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upport\Finance\TRESORERIE\REPORTING\CALCULATION TOOLS\"/>
    </mc:Choice>
  </mc:AlternateContent>
  <xr:revisionPtr revIDLastSave="0" documentId="13_ncr:1_{606BF0AC-B790-40EA-AE23-764671C95668}" xr6:coauthVersionLast="47" xr6:coauthVersionMax="47" xr10:uidLastSave="{00000000-0000-0000-0000-000000000000}"/>
  <bookViews>
    <workbookView xWindow="-120" yWindow="-120" windowWidth="29040" windowHeight="15720" tabRatio="940" firstSheet="1" activeTab="7" xr2:uid="{E5686E8C-4088-4D8B-AD6B-F31FE8D63F84}"/>
  </bookViews>
  <sheets>
    <sheet name="2026-1" sheetId="30" r:id="rId1"/>
    <sheet name="2026-2" sheetId="32" r:id="rId2"/>
    <sheet name="Monthly Report 2026 €" sheetId="19" r:id="rId3"/>
    <sheet name="Monthly Report 2025 €" sheetId="31" r:id="rId4"/>
    <sheet name="OverNight €" sheetId="2" r:id="rId5"/>
    <sheet name="codeis €" sheetId="25" r:id="rId6"/>
    <sheet name="CT- € Ellipsis BNP" sheetId="26" r:id="rId7"/>
    <sheet name="Préparation paiements" sheetId="11" r:id="rId8"/>
    <sheet name="mouvement tréso &amp; change" sheetId="23" r:id="rId9"/>
    <sheet name="Monthly Report 2026 $" sheetId="20" r:id="rId10"/>
    <sheet name="OverNight $" sheetId="5" r:id="rId11"/>
    <sheet name="codeis $" sheetId="24" r:id="rId12"/>
    <sheet name="MM $" sheetId="29" r:id="rId13"/>
  </sheets>
  <definedNames>
    <definedName name="_xlnm.Print_Area" localSheetId="3">'Monthly Report 2025 €'!$A$1:$R$7</definedName>
    <definedName name="_xlnm.Print_Area" localSheetId="9">'Monthly Report 2026 $'!$A$1:$R$5</definedName>
    <definedName name="_xlnm.Print_Area" localSheetId="2">'Monthly Report 2026 €'!$A$1:$R$5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7" i="5" l="1"/>
  <c r="H437" i="2"/>
  <c r="H436" i="2"/>
  <c r="H40" i="23" l="1"/>
  <c r="F40" i="23" s="1"/>
  <c r="G40" i="23"/>
  <c r="H39" i="23"/>
  <c r="H38" i="23"/>
  <c r="J789" i="11" l="1"/>
  <c r="K789" i="11"/>
  <c r="M789" i="11"/>
  <c r="N789" i="11"/>
  <c r="O789" i="11"/>
  <c r="P789" i="11"/>
  <c r="Q789" i="11"/>
  <c r="Q790" i="11" s="1"/>
  <c r="Q791" i="11" s="1"/>
  <c r="Q792" i="11" s="1"/>
  <c r="Q793" i="11" s="1"/>
  <c r="Q794" i="11" s="1"/>
  <c r="Q795" i="11" s="1"/>
  <c r="Q796" i="11" s="1"/>
  <c r="Q797" i="11" s="1"/>
  <c r="Q798" i="11" s="1"/>
  <c r="Q799" i="11" s="1"/>
  <c r="Q800" i="11" s="1"/>
  <c r="Q801" i="11" s="1"/>
  <c r="Q802" i="11" s="1"/>
  <c r="Q803" i="11" s="1"/>
  <c r="Q804" i="11" s="1"/>
  <c r="Q805" i="11" s="1"/>
  <c r="Q806" i="11" s="1"/>
  <c r="Q807" i="11" s="1"/>
  <c r="Q808" i="11" s="1"/>
  <c r="Q809" i="11" s="1"/>
  <c r="Q810" i="11" s="1"/>
  <c r="R789" i="11"/>
  <c r="R790" i="11" s="1"/>
  <c r="R791" i="11" s="1"/>
  <c r="R792" i="11" s="1"/>
  <c r="R793" i="11" s="1"/>
  <c r="R794" i="11" s="1"/>
  <c r="R795" i="11" s="1"/>
  <c r="R796" i="11" s="1"/>
  <c r="R797" i="11" s="1"/>
  <c r="R798" i="11" s="1"/>
  <c r="R799" i="11" s="1"/>
  <c r="R800" i="11" s="1"/>
  <c r="R801" i="11" s="1"/>
  <c r="R802" i="11" s="1"/>
  <c r="R803" i="11" s="1"/>
  <c r="R804" i="11" s="1"/>
  <c r="R805" i="11" s="1"/>
  <c r="R806" i="11" s="1"/>
  <c r="R807" i="11" s="1"/>
  <c r="R808" i="11" s="1"/>
  <c r="R809" i="11" s="1"/>
  <c r="R810" i="11" s="1"/>
  <c r="Z789" i="11"/>
  <c r="AA789" i="11"/>
  <c r="AD789" i="11"/>
  <c r="AE789" i="11"/>
  <c r="AF789" i="11"/>
  <c r="AG789" i="11"/>
  <c r="AH789" i="11"/>
  <c r="J790" i="11"/>
  <c r="K790" i="11"/>
  <c r="M790" i="11"/>
  <c r="N790" i="11"/>
  <c r="O790" i="11"/>
  <c r="P790" i="11"/>
  <c r="Z790" i="11"/>
  <c r="AA790" i="11"/>
  <c r="AD790" i="11"/>
  <c r="AE790" i="11"/>
  <c r="AF790" i="11"/>
  <c r="AG790" i="11"/>
  <c r="AH790" i="11"/>
  <c r="J791" i="11"/>
  <c r="K791" i="11"/>
  <c r="M791" i="11"/>
  <c r="N791" i="11"/>
  <c r="O791" i="11"/>
  <c r="P791" i="11"/>
  <c r="P792" i="11" s="1"/>
  <c r="P793" i="11" s="1"/>
  <c r="P794" i="11" s="1"/>
  <c r="P795" i="11" s="1"/>
  <c r="P796" i="11" s="1"/>
  <c r="P797" i="11" s="1"/>
  <c r="P798" i="11" s="1"/>
  <c r="P799" i="11" s="1"/>
  <c r="P800" i="11" s="1"/>
  <c r="P801" i="11" s="1"/>
  <c r="P802" i="11" s="1"/>
  <c r="P803" i="11" s="1"/>
  <c r="P804" i="11" s="1"/>
  <c r="P805" i="11" s="1"/>
  <c r="P806" i="11" s="1"/>
  <c r="P807" i="11" s="1"/>
  <c r="P808" i="11" s="1"/>
  <c r="P809" i="11" s="1"/>
  <c r="P810" i="11" s="1"/>
  <c r="Z791" i="11"/>
  <c r="AA791" i="11"/>
  <c r="AD791" i="11"/>
  <c r="AE791" i="11"/>
  <c r="AF791" i="11"/>
  <c r="AG791" i="11"/>
  <c r="AH791" i="11"/>
  <c r="J792" i="11"/>
  <c r="K792" i="11"/>
  <c r="M792" i="11"/>
  <c r="N792" i="11"/>
  <c r="O792" i="11"/>
  <c r="Z792" i="11"/>
  <c r="AA792" i="11"/>
  <c r="AD792" i="11"/>
  <c r="AE792" i="11"/>
  <c r="AF792" i="11"/>
  <c r="AG792" i="11"/>
  <c r="AH792" i="11"/>
  <c r="J793" i="11"/>
  <c r="K793" i="11"/>
  <c r="M793" i="11"/>
  <c r="N793" i="11"/>
  <c r="O793" i="11"/>
  <c r="Z793" i="11"/>
  <c r="AA793" i="11"/>
  <c r="AD793" i="11"/>
  <c r="AE793" i="11"/>
  <c r="AF793" i="11"/>
  <c r="AG793" i="11"/>
  <c r="AH793" i="11"/>
  <c r="J794" i="11"/>
  <c r="K794" i="11"/>
  <c r="M794" i="11"/>
  <c r="N794" i="11"/>
  <c r="O794" i="11"/>
  <c r="Z794" i="11"/>
  <c r="AA794" i="11"/>
  <c r="AD794" i="11"/>
  <c r="AE794" i="11"/>
  <c r="AF794" i="11"/>
  <c r="AG794" i="11"/>
  <c r="AH794" i="11"/>
  <c r="J795" i="11"/>
  <c r="K795" i="11"/>
  <c r="M795" i="11"/>
  <c r="N795" i="11"/>
  <c r="O795" i="11"/>
  <c r="Z795" i="11"/>
  <c r="AA795" i="11"/>
  <c r="AD795" i="11"/>
  <c r="AE795" i="11"/>
  <c r="AF795" i="11"/>
  <c r="AG795" i="11"/>
  <c r="AH795" i="11"/>
  <c r="J796" i="11"/>
  <c r="K796" i="11"/>
  <c r="M796" i="11"/>
  <c r="N796" i="11"/>
  <c r="O796" i="11"/>
  <c r="Z796" i="11"/>
  <c r="AA796" i="11"/>
  <c r="AD796" i="11"/>
  <c r="AE796" i="11"/>
  <c r="AF796" i="11"/>
  <c r="AG796" i="11"/>
  <c r="AH796" i="11"/>
  <c r="J797" i="11"/>
  <c r="K797" i="11"/>
  <c r="M797" i="11"/>
  <c r="N797" i="11"/>
  <c r="O797" i="11"/>
  <c r="Z797" i="11"/>
  <c r="AA797" i="11"/>
  <c r="AD797" i="11"/>
  <c r="AE797" i="11"/>
  <c r="AF797" i="11"/>
  <c r="AG797" i="11"/>
  <c r="AH797" i="11"/>
  <c r="J798" i="11"/>
  <c r="K798" i="11"/>
  <c r="M798" i="11"/>
  <c r="N798" i="11"/>
  <c r="O798" i="11"/>
  <c r="Z798" i="11"/>
  <c r="AA798" i="11"/>
  <c r="AD798" i="11"/>
  <c r="AE798" i="11"/>
  <c r="AF798" i="11"/>
  <c r="AG798" i="11"/>
  <c r="AH798" i="11"/>
  <c r="J799" i="11"/>
  <c r="K799" i="11"/>
  <c r="M799" i="11"/>
  <c r="N799" i="11"/>
  <c r="O799" i="11"/>
  <c r="Z799" i="11"/>
  <c r="AA799" i="11"/>
  <c r="AD799" i="11"/>
  <c r="AE799" i="11"/>
  <c r="AF799" i="11"/>
  <c r="AG799" i="11"/>
  <c r="AH799" i="11"/>
  <c r="J800" i="11"/>
  <c r="K800" i="11"/>
  <c r="M800" i="11"/>
  <c r="N800" i="11"/>
  <c r="O800" i="11"/>
  <c r="Z800" i="11"/>
  <c r="AA800" i="11"/>
  <c r="AD800" i="11"/>
  <c r="AE800" i="11"/>
  <c r="AF800" i="11"/>
  <c r="AG800" i="11"/>
  <c r="AH800" i="11"/>
  <c r="J801" i="11"/>
  <c r="K801" i="11"/>
  <c r="M801" i="11"/>
  <c r="N801" i="11"/>
  <c r="O801" i="11"/>
  <c r="Z801" i="11"/>
  <c r="AA801" i="11"/>
  <c r="AD801" i="11"/>
  <c r="AE801" i="11"/>
  <c r="AF801" i="11"/>
  <c r="AG801" i="11"/>
  <c r="AH801" i="11"/>
  <c r="J802" i="11"/>
  <c r="K802" i="11"/>
  <c r="M802" i="11"/>
  <c r="N802" i="11"/>
  <c r="O802" i="11"/>
  <c r="Z802" i="11"/>
  <c r="AA802" i="11"/>
  <c r="AD802" i="11"/>
  <c r="AE802" i="11"/>
  <c r="AF802" i="11"/>
  <c r="AG802" i="11"/>
  <c r="AH802" i="11"/>
  <c r="J803" i="11"/>
  <c r="K803" i="11"/>
  <c r="M803" i="11"/>
  <c r="N803" i="11"/>
  <c r="O803" i="11"/>
  <c r="Z803" i="11"/>
  <c r="AA803" i="11"/>
  <c r="AD803" i="11"/>
  <c r="AE803" i="11"/>
  <c r="AF803" i="11"/>
  <c r="AG803" i="11"/>
  <c r="AH803" i="11"/>
  <c r="J804" i="11"/>
  <c r="K804" i="11"/>
  <c r="M804" i="11"/>
  <c r="N804" i="11"/>
  <c r="O804" i="11"/>
  <c r="Z804" i="11"/>
  <c r="AA804" i="11"/>
  <c r="AD804" i="11"/>
  <c r="AE804" i="11"/>
  <c r="AF804" i="11"/>
  <c r="AG804" i="11"/>
  <c r="AH804" i="11"/>
  <c r="J805" i="11"/>
  <c r="K805" i="11"/>
  <c r="M805" i="11"/>
  <c r="N805" i="11"/>
  <c r="O805" i="11"/>
  <c r="Z805" i="11"/>
  <c r="AA805" i="11"/>
  <c r="AD805" i="11"/>
  <c r="AE805" i="11"/>
  <c r="AF805" i="11"/>
  <c r="AG805" i="11"/>
  <c r="AH805" i="11"/>
  <c r="J806" i="11"/>
  <c r="K806" i="11"/>
  <c r="M806" i="11"/>
  <c r="N806" i="11"/>
  <c r="O806" i="11"/>
  <c r="Z806" i="11"/>
  <c r="AA806" i="11"/>
  <c r="AD806" i="11"/>
  <c r="AE806" i="11"/>
  <c r="AF806" i="11"/>
  <c r="AG806" i="11"/>
  <c r="AH806" i="11"/>
  <c r="J807" i="11"/>
  <c r="K807" i="11"/>
  <c r="M807" i="11"/>
  <c r="N807" i="11"/>
  <c r="O807" i="11"/>
  <c r="Z807" i="11"/>
  <c r="AA807" i="11"/>
  <c r="AD807" i="11"/>
  <c r="AE807" i="11"/>
  <c r="AF807" i="11"/>
  <c r="AG807" i="11"/>
  <c r="AH807" i="11"/>
  <c r="J808" i="11"/>
  <c r="K808" i="11"/>
  <c r="M808" i="11"/>
  <c r="N808" i="11"/>
  <c r="O808" i="11"/>
  <c r="Z808" i="11"/>
  <c r="AA808" i="11"/>
  <c r="AD808" i="11"/>
  <c r="AE808" i="11"/>
  <c r="AF808" i="11"/>
  <c r="AG808" i="11"/>
  <c r="AH808" i="11"/>
  <c r="J809" i="11"/>
  <c r="K809" i="11"/>
  <c r="M809" i="11"/>
  <c r="N809" i="11"/>
  <c r="O809" i="11"/>
  <c r="Z809" i="11"/>
  <c r="AA809" i="11"/>
  <c r="AD809" i="11"/>
  <c r="AE809" i="11"/>
  <c r="AF809" i="11"/>
  <c r="AG809" i="11"/>
  <c r="AH809" i="11"/>
  <c r="J810" i="11"/>
  <c r="K810" i="11"/>
  <c r="M810" i="11"/>
  <c r="N810" i="11"/>
  <c r="O810" i="11"/>
  <c r="Z810" i="11"/>
  <c r="AA810" i="11"/>
  <c r="AD810" i="11"/>
  <c r="AE810" i="11"/>
  <c r="AF810" i="11"/>
  <c r="AG810" i="11"/>
  <c r="AH810" i="11"/>
  <c r="J767" i="11"/>
  <c r="K767" i="11"/>
  <c r="M767" i="11"/>
  <c r="N767" i="11"/>
  <c r="O767" i="11"/>
  <c r="P767" i="11"/>
  <c r="Q767" i="11"/>
  <c r="R767" i="11"/>
  <c r="U767" i="11"/>
  <c r="X767" i="11"/>
  <c r="U768" i="11" s="1"/>
  <c r="X768" i="11" s="1"/>
  <c r="U769" i="11" s="1"/>
  <c r="X769" i="11" s="1"/>
  <c r="U770" i="11" s="1"/>
  <c r="X770" i="11" s="1"/>
  <c r="U771" i="11" s="1"/>
  <c r="X771" i="11" s="1"/>
  <c r="U772" i="11" s="1"/>
  <c r="X772" i="11" s="1"/>
  <c r="U773" i="11" s="1"/>
  <c r="X773" i="11" s="1"/>
  <c r="U774" i="11" s="1"/>
  <c r="X774" i="11" s="1"/>
  <c r="U775" i="11" s="1"/>
  <c r="X775" i="11" s="1"/>
  <c r="U776" i="11" s="1"/>
  <c r="X776" i="11" s="1"/>
  <c r="U777" i="11" s="1"/>
  <c r="X777" i="11" s="1"/>
  <c r="U778" i="11" s="1"/>
  <c r="X778" i="11" s="1"/>
  <c r="U779" i="11" s="1"/>
  <c r="X779" i="11" s="1"/>
  <c r="U780" i="11" s="1"/>
  <c r="X780" i="11" s="1"/>
  <c r="U781" i="11" s="1"/>
  <c r="X781" i="11" s="1"/>
  <c r="U782" i="11" s="1"/>
  <c r="X782" i="11" s="1"/>
  <c r="U783" i="11" s="1"/>
  <c r="X783" i="11" s="1"/>
  <c r="U784" i="11" s="1"/>
  <c r="X784" i="11" s="1"/>
  <c r="U785" i="11" s="1"/>
  <c r="X785" i="11" s="1"/>
  <c r="U786" i="11" s="1"/>
  <c r="X786" i="11" s="1"/>
  <c r="U787" i="11" s="1"/>
  <c r="X787" i="11" s="1"/>
  <c r="U788" i="11" s="1"/>
  <c r="X788" i="11" s="1"/>
  <c r="U789" i="11" s="1"/>
  <c r="X789" i="11" s="1"/>
  <c r="U790" i="11" s="1"/>
  <c r="X790" i="11" s="1"/>
  <c r="U791" i="11" s="1"/>
  <c r="X791" i="11" s="1"/>
  <c r="U792" i="11" s="1"/>
  <c r="X792" i="11" s="1"/>
  <c r="U793" i="11" s="1"/>
  <c r="X793" i="11" s="1"/>
  <c r="U794" i="11" s="1"/>
  <c r="X794" i="11" s="1"/>
  <c r="U795" i="11" s="1"/>
  <c r="X795" i="11" s="1"/>
  <c r="U796" i="11" s="1"/>
  <c r="X796" i="11" s="1"/>
  <c r="U797" i="11" s="1"/>
  <c r="X797" i="11" s="1"/>
  <c r="U798" i="11" s="1"/>
  <c r="X798" i="11" s="1"/>
  <c r="U799" i="11" s="1"/>
  <c r="X799" i="11" s="1"/>
  <c r="U800" i="11" s="1"/>
  <c r="X800" i="11" s="1"/>
  <c r="U801" i="11" s="1"/>
  <c r="X801" i="11" s="1"/>
  <c r="U802" i="11" s="1"/>
  <c r="X802" i="11" s="1"/>
  <c r="U803" i="11" s="1"/>
  <c r="X803" i="11" s="1"/>
  <c r="U804" i="11" s="1"/>
  <c r="X804" i="11" s="1"/>
  <c r="U805" i="11" s="1"/>
  <c r="X805" i="11" s="1"/>
  <c r="U806" i="11" s="1"/>
  <c r="X806" i="11" s="1"/>
  <c r="U807" i="11" s="1"/>
  <c r="X807" i="11" s="1"/>
  <c r="U808" i="11" s="1"/>
  <c r="X808" i="11" s="1"/>
  <c r="U809" i="11" s="1"/>
  <c r="X809" i="11" s="1"/>
  <c r="U810" i="11" s="1"/>
  <c r="X810" i="11" s="1"/>
  <c r="Y767" i="11"/>
  <c r="Y768" i="11" s="1"/>
  <c r="Y769" i="11" s="1"/>
  <c r="Y770" i="11" s="1"/>
  <c r="Y771" i="11" s="1"/>
  <c r="Y772" i="11" s="1"/>
  <c r="Y773" i="11" s="1"/>
  <c r="Y774" i="11" s="1"/>
  <c r="Y775" i="11" s="1"/>
  <c r="Y776" i="11" s="1"/>
  <c r="Y777" i="11" s="1"/>
  <c r="Y778" i="11" s="1"/>
  <c r="Y779" i="11" s="1"/>
  <c r="Y780" i="11" s="1"/>
  <c r="Y781" i="11" s="1"/>
  <c r="Y782" i="11" s="1"/>
  <c r="Y783" i="11" s="1"/>
  <c r="Y784" i="11" s="1"/>
  <c r="Y785" i="11" s="1"/>
  <c r="Y786" i="11" s="1"/>
  <c r="Y787" i="11" s="1"/>
  <c r="Y788" i="11" s="1"/>
  <c r="Y789" i="11" s="1"/>
  <c r="Y790" i="11" s="1"/>
  <c r="Y791" i="11" s="1"/>
  <c r="Y792" i="11" s="1"/>
  <c r="Y793" i="11" s="1"/>
  <c r="Y794" i="11" s="1"/>
  <c r="Y795" i="11" s="1"/>
  <c r="Y796" i="11" s="1"/>
  <c r="Y797" i="11" s="1"/>
  <c r="Y798" i="11" s="1"/>
  <c r="Y799" i="11" s="1"/>
  <c r="Y800" i="11" s="1"/>
  <c r="Y801" i="11" s="1"/>
  <c r="Y802" i="11" s="1"/>
  <c r="Y803" i="11" s="1"/>
  <c r="Y804" i="11" s="1"/>
  <c r="Y805" i="11" s="1"/>
  <c r="Y806" i="11" s="1"/>
  <c r="Y807" i="11" s="1"/>
  <c r="Y808" i="11" s="1"/>
  <c r="Y809" i="11" s="1"/>
  <c r="Y810" i="11" s="1"/>
  <c r="Z767" i="11"/>
  <c r="AA767" i="11"/>
  <c r="AD767" i="11"/>
  <c r="AE767" i="11"/>
  <c r="AF767" i="11"/>
  <c r="AG767" i="11"/>
  <c r="AH767" i="11"/>
  <c r="J768" i="11"/>
  <c r="K768" i="11"/>
  <c r="M768" i="11"/>
  <c r="N768" i="11"/>
  <c r="O768" i="11"/>
  <c r="P768" i="11"/>
  <c r="Q768" i="11"/>
  <c r="R768" i="11"/>
  <c r="Z768" i="11"/>
  <c r="AA768" i="11"/>
  <c r="AD768" i="11"/>
  <c r="AE768" i="11"/>
  <c r="AF768" i="11"/>
  <c r="AG768" i="11"/>
  <c r="AH768" i="11"/>
  <c r="J769" i="11"/>
  <c r="K769" i="11"/>
  <c r="M769" i="11"/>
  <c r="N769" i="11"/>
  <c r="O769" i="11"/>
  <c r="P769" i="11"/>
  <c r="P770" i="11" s="1"/>
  <c r="P771" i="11" s="1"/>
  <c r="P772" i="11" s="1"/>
  <c r="P773" i="11" s="1"/>
  <c r="P774" i="11" s="1"/>
  <c r="P775" i="11" s="1"/>
  <c r="P776" i="11" s="1"/>
  <c r="P777" i="11" s="1"/>
  <c r="P778" i="11" s="1"/>
  <c r="P779" i="11" s="1"/>
  <c r="P780" i="11" s="1"/>
  <c r="P781" i="11" s="1"/>
  <c r="P782" i="11" s="1"/>
  <c r="P783" i="11" s="1"/>
  <c r="P784" i="11" s="1"/>
  <c r="P785" i="11" s="1"/>
  <c r="P786" i="11" s="1"/>
  <c r="P787" i="11" s="1"/>
  <c r="P788" i="11" s="1"/>
  <c r="Q769" i="11"/>
  <c r="Q770" i="11" s="1"/>
  <c r="Q771" i="11" s="1"/>
  <c r="Q772" i="11" s="1"/>
  <c r="Q773" i="11" s="1"/>
  <c r="Q774" i="11" s="1"/>
  <c r="Q775" i="11" s="1"/>
  <c r="Q776" i="11" s="1"/>
  <c r="Q777" i="11" s="1"/>
  <c r="Q778" i="11" s="1"/>
  <c r="Q779" i="11" s="1"/>
  <c r="Q780" i="11" s="1"/>
  <c r="Q781" i="11" s="1"/>
  <c r="Q782" i="11" s="1"/>
  <c r="Q783" i="11" s="1"/>
  <c r="Q784" i="11" s="1"/>
  <c r="Q785" i="11" s="1"/>
  <c r="Q786" i="11" s="1"/>
  <c r="Q787" i="11" s="1"/>
  <c r="Q788" i="11" s="1"/>
  <c r="R769" i="11"/>
  <c r="Z769" i="11"/>
  <c r="AA769" i="11"/>
  <c r="AD769" i="11"/>
  <c r="AE769" i="11"/>
  <c r="AF769" i="11"/>
  <c r="AG769" i="11"/>
  <c r="AH769" i="11"/>
  <c r="J770" i="11"/>
  <c r="K770" i="11"/>
  <c r="M770" i="11"/>
  <c r="N770" i="11"/>
  <c r="O770" i="11"/>
  <c r="R770" i="11"/>
  <c r="R771" i="11" s="1"/>
  <c r="R772" i="11" s="1"/>
  <c r="R773" i="11" s="1"/>
  <c r="R774" i="11" s="1"/>
  <c r="R775" i="11" s="1"/>
  <c r="R776" i="11" s="1"/>
  <c r="R777" i="11" s="1"/>
  <c r="R778" i="11" s="1"/>
  <c r="R779" i="11" s="1"/>
  <c r="R780" i="11" s="1"/>
  <c r="R781" i="11" s="1"/>
  <c r="R782" i="11" s="1"/>
  <c r="R783" i="11" s="1"/>
  <c r="R784" i="11" s="1"/>
  <c r="R785" i="11" s="1"/>
  <c r="R786" i="11" s="1"/>
  <c r="R787" i="11" s="1"/>
  <c r="R788" i="11" s="1"/>
  <c r="Z770" i="11"/>
  <c r="AA770" i="11"/>
  <c r="AD770" i="11"/>
  <c r="AE770" i="11"/>
  <c r="AF770" i="11"/>
  <c r="AG770" i="11"/>
  <c r="AH770" i="11"/>
  <c r="J771" i="11"/>
  <c r="K771" i="11"/>
  <c r="M771" i="11"/>
  <c r="N771" i="11"/>
  <c r="O771" i="11"/>
  <c r="Z771" i="11"/>
  <c r="AA771" i="11"/>
  <c r="AD771" i="11"/>
  <c r="AE771" i="11"/>
  <c r="AF771" i="11"/>
  <c r="AG771" i="11"/>
  <c r="AH771" i="11"/>
  <c r="J772" i="11"/>
  <c r="K772" i="11"/>
  <c r="M772" i="11"/>
  <c r="N772" i="11"/>
  <c r="O772" i="11"/>
  <c r="Z772" i="11"/>
  <c r="AA772" i="11"/>
  <c r="AD772" i="11"/>
  <c r="AE772" i="11"/>
  <c r="AF772" i="11"/>
  <c r="AG772" i="11"/>
  <c r="AH772" i="11"/>
  <c r="J773" i="11"/>
  <c r="K773" i="11"/>
  <c r="M773" i="11"/>
  <c r="N773" i="11"/>
  <c r="O773" i="11"/>
  <c r="Z773" i="11"/>
  <c r="AA773" i="11"/>
  <c r="AD773" i="11"/>
  <c r="AE773" i="11"/>
  <c r="AF773" i="11"/>
  <c r="AG773" i="11"/>
  <c r="AH773" i="11"/>
  <c r="J774" i="11"/>
  <c r="K774" i="11"/>
  <c r="M774" i="11"/>
  <c r="N774" i="11"/>
  <c r="O774" i="11"/>
  <c r="Z774" i="11"/>
  <c r="AA774" i="11"/>
  <c r="AD774" i="11"/>
  <c r="AE774" i="11"/>
  <c r="AF774" i="11"/>
  <c r="AG774" i="11"/>
  <c r="AH774" i="11"/>
  <c r="J775" i="11"/>
  <c r="K775" i="11"/>
  <c r="M775" i="11"/>
  <c r="N775" i="11"/>
  <c r="O775" i="11"/>
  <c r="Z775" i="11"/>
  <c r="AA775" i="11"/>
  <c r="AD775" i="11"/>
  <c r="AE775" i="11"/>
  <c r="AF775" i="11"/>
  <c r="AG775" i="11"/>
  <c r="AH775" i="11"/>
  <c r="J776" i="11"/>
  <c r="K776" i="11"/>
  <c r="M776" i="11"/>
  <c r="N776" i="11"/>
  <c r="O776" i="11"/>
  <c r="Z776" i="11"/>
  <c r="AA776" i="11"/>
  <c r="AD776" i="11"/>
  <c r="AE776" i="11"/>
  <c r="AF776" i="11"/>
  <c r="AG776" i="11"/>
  <c r="AH776" i="11"/>
  <c r="J777" i="11"/>
  <c r="K777" i="11"/>
  <c r="M777" i="11"/>
  <c r="N777" i="11"/>
  <c r="O777" i="11"/>
  <c r="Z777" i="11"/>
  <c r="AA777" i="11"/>
  <c r="AD777" i="11"/>
  <c r="AE777" i="11"/>
  <c r="AF777" i="11"/>
  <c r="AG777" i="11"/>
  <c r="AH777" i="11"/>
  <c r="J778" i="11"/>
  <c r="K778" i="11"/>
  <c r="M778" i="11"/>
  <c r="N778" i="11"/>
  <c r="O778" i="11"/>
  <c r="Z778" i="11"/>
  <c r="AA778" i="11"/>
  <c r="AD778" i="11"/>
  <c r="AE778" i="11"/>
  <c r="AF778" i="11"/>
  <c r="AG778" i="11"/>
  <c r="AH778" i="11"/>
  <c r="J779" i="11"/>
  <c r="K779" i="11"/>
  <c r="M779" i="11"/>
  <c r="N779" i="11"/>
  <c r="O779" i="11"/>
  <c r="Z779" i="11"/>
  <c r="AA779" i="11"/>
  <c r="AD779" i="11"/>
  <c r="AE779" i="11"/>
  <c r="AF779" i="11"/>
  <c r="AG779" i="11"/>
  <c r="AH779" i="11"/>
  <c r="J780" i="11"/>
  <c r="K780" i="11"/>
  <c r="M780" i="11"/>
  <c r="N780" i="11"/>
  <c r="O780" i="11"/>
  <c r="Z780" i="11"/>
  <c r="AA780" i="11"/>
  <c r="AD780" i="11"/>
  <c r="AE780" i="11"/>
  <c r="AF780" i="11"/>
  <c r="AG780" i="11"/>
  <c r="AH780" i="11"/>
  <c r="J781" i="11"/>
  <c r="K781" i="11"/>
  <c r="M781" i="11"/>
  <c r="N781" i="11"/>
  <c r="O781" i="11"/>
  <c r="Z781" i="11"/>
  <c r="AA781" i="11"/>
  <c r="AD781" i="11"/>
  <c r="AE781" i="11"/>
  <c r="AF781" i="11"/>
  <c r="AG781" i="11"/>
  <c r="AH781" i="11"/>
  <c r="J782" i="11"/>
  <c r="K782" i="11"/>
  <c r="M782" i="11"/>
  <c r="N782" i="11"/>
  <c r="O782" i="11"/>
  <c r="Z782" i="11"/>
  <c r="AA782" i="11"/>
  <c r="AD782" i="11"/>
  <c r="AE782" i="11"/>
  <c r="AF782" i="11"/>
  <c r="AG782" i="11"/>
  <c r="AH782" i="11"/>
  <c r="J783" i="11"/>
  <c r="K783" i="11"/>
  <c r="M783" i="11"/>
  <c r="N783" i="11"/>
  <c r="O783" i="11"/>
  <c r="Z783" i="11"/>
  <c r="AA783" i="11"/>
  <c r="AD783" i="11"/>
  <c r="AE783" i="11"/>
  <c r="AF783" i="11"/>
  <c r="AG783" i="11"/>
  <c r="AH783" i="11"/>
  <c r="J784" i="11"/>
  <c r="K784" i="11"/>
  <c r="M784" i="11"/>
  <c r="N784" i="11"/>
  <c r="O784" i="11"/>
  <c r="Z784" i="11"/>
  <c r="AA784" i="11"/>
  <c r="AD784" i="11"/>
  <c r="AE784" i="11"/>
  <c r="AF784" i="11"/>
  <c r="AG784" i="11"/>
  <c r="AH784" i="11"/>
  <c r="J785" i="11"/>
  <c r="K785" i="11"/>
  <c r="M785" i="11"/>
  <c r="N785" i="11"/>
  <c r="O785" i="11"/>
  <c r="Z785" i="11"/>
  <c r="AA785" i="11"/>
  <c r="AD785" i="11"/>
  <c r="AE785" i="11"/>
  <c r="AF785" i="11"/>
  <c r="AG785" i="11"/>
  <c r="AH785" i="11"/>
  <c r="J786" i="11"/>
  <c r="K786" i="11"/>
  <c r="M786" i="11"/>
  <c r="N786" i="11"/>
  <c r="O786" i="11"/>
  <c r="Z786" i="11"/>
  <c r="AA786" i="11"/>
  <c r="AD786" i="11"/>
  <c r="AE786" i="11"/>
  <c r="AF786" i="11"/>
  <c r="AG786" i="11"/>
  <c r="AH786" i="11"/>
  <c r="J787" i="11"/>
  <c r="K787" i="11"/>
  <c r="M787" i="11"/>
  <c r="N787" i="11"/>
  <c r="O787" i="11"/>
  <c r="Z787" i="11"/>
  <c r="AA787" i="11"/>
  <c r="AD787" i="11"/>
  <c r="AE787" i="11"/>
  <c r="AF787" i="11"/>
  <c r="AG787" i="11"/>
  <c r="AH787" i="11"/>
  <c r="J788" i="11"/>
  <c r="K788" i="11"/>
  <c r="M788" i="11"/>
  <c r="N788" i="11"/>
  <c r="O788" i="11"/>
  <c r="Z788" i="11"/>
  <c r="AA788" i="11"/>
  <c r="AD788" i="11"/>
  <c r="AE788" i="11"/>
  <c r="AF788" i="11"/>
  <c r="AG788" i="11"/>
  <c r="AH788" i="11"/>
  <c r="G429" i="5"/>
  <c r="H429" i="2"/>
  <c r="H423" i="2"/>
  <c r="F750" i="11"/>
  <c r="G415" i="5"/>
  <c r="L83" i="20"/>
  <c r="O107" i="19"/>
  <c r="I34" i="32"/>
  <c r="I23" i="32"/>
  <c r="I24" i="32"/>
  <c r="I25" i="32"/>
  <c r="I26" i="32"/>
  <c r="I27" i="32"/>
  <c r="I28" i="32"/>
  <c r="I29" i="32"/>
  <c r="I30" i="32"/>
  <c r="I31" i="32"/>
  <c r="I32" i="32"/>
  <c r="I33" i="32"/>
  <c r="I22" i="32"/>
  <c r="D23" i="32"/>
  <c r="D24" i="32"/>
  <c r="D25" i="32"/>
  <c r="D26" i="32"/>
  <c r="D27" i="32"/>
  <c r="D28" i="32"/>
  <c r="D29" i="32"/>
  <c r="D30" i="32"/>
  <c r="D31" i="32"/>
  <c r="D32" i="32"/>
  <c r="D33" i="32"/>
  <c r="E34" i="32"/>
  <c r="D22" i="32"/>
  <c r="D17" i="32"/>
  <c r="D5" i="32"/>
  <c r="B25" i="30"/>
  <c r="B12" i="30"/>
  <c r="B23" i="30"/>
  <c r="B10" i="30"/>
  <c r="M25" i="30"/>
  <c r="H414" i="2" l="1"/>
  <c r="G414" i="5"/>
  <c r="AU373" i="2"/>
  <c r="AT373" i="2"/>
  <c r="CA373" i="5"/>
  <c r="BZ373" i="5"/>
  <c r="BY374" i="5"/>
  <c r="BY375" i="5"/>
  <c r="BY376" i="5"/>
  <c r="BY377" i="5"/>
  <c r="BY378" i="5"/>
  <c r="BY379" i="5"/>
  <c r="BY380" i="5"/>
  <c r="BY381" i="5"/>
  <c r="BY382" i="5"/>
  <c r="BY383" i="5"/>
  <c r="BY384" i="5"/>
  <c r="BY385" i="5"/>
  <c r="BY386" i="5"/>
  <c r="BY387" i="5"/>
  <c r="BY388" i="5"/>
  <c r="BY389" i="5"/>
  <c r="BY390" i="5"/>
  <c r="BY391" i="5"/>
  <c r="BY392" i="5"/>
  <c r="BY393" i="5"/>
  <c r="BY394" i="5"/>
  <c r="BY395" i="5"/>
  <c r="BY396" i="5"/>
  <c r="BY397" i="5"/>
  <c r="BY398" i="5"/>
  <c r="BY399" i="5"/>
  <c r="BY400" i="5"/>
  <c r="BY401" i="5"/>
  <c r="BY402" i="5"/>
  <c r="BY403" i="5"/>
  <c r="BY404" i="5"/>
  <c r="BY405" i="5"/>
  <c r="BY406" i="5"/>
  <c r="BY407" i="5"/>
  <c r="BY408" i="5"/>
  <c r="BY409" i="5"/>
  <c r="BY410" i="5"/>
  <c r="BY411" i="5"/>
  <c r="BY412" i="5"/>
  <c r="BY413" i="5"/>
  <c r="L73" i="20" l="1"/>
  <c r="B46" i="20"/>
  <c r="B42" i="20"/>
  <c r="P404" i="29" l="1"/>
  <c r="AK733" i="11" l="1"/>
  <c r="AD705" i="11"/>
  <c r="AD706" i="11"/>
  <c r="AD707" i="11"/>
  <c r="AD708" i="11"/>
  <c r="AD709" i="11"/>
  <c r="AD710" i="11"/>
  <c r="AD711" i="11"/>
  <c r="AD712" i="11"/>
  <c r="AD713" i="11"/>
  <c r="AD714" i="11"/>
  <c r="AD715" i="11"/>
  <c r="AD716" i="11"/>
  <c r="AD717" i="11"/>
  <c r="AD718" i="11"/>
  <c r="AD719" i="11"/>
  <c r="AD720" i="11"/>
  <c r="AD721" i="11"/>
  <c r="AD722" i="11"/>
  <c r="AD723" i="11"/>
  <c r="AD724" i="11"/>
  <c r="AD725" i="11"/>
  <c r="AD726" i="11"/>
  <c r="AD727" i="11"/>
  <c r="AD728" i="11"/>
  <c r="AD729" i="11"/>
  <c r="AD730" i="11"/>
  <c r="AD731" i="11"/>
  <c r="AD732" i="11"/>
  <c r="AD733" i="11"/>
  <c r="AD734" i="11"/>
  <c r="AD735" i="11"/>
  <c r="AD736" i="11"/>
  <c r="AD737" i="11"/>
  <c r="AD738" i="11"/>
  <c r="AD739" i="11"/>
  <c r="AD740" i="11"/>
  <c r="AD741" i="11"/>
  <c r="AD742" i="11"/>
  <c r="AD743" i="11"/>
  <c r="AD744" i="11"/>
  <c r="AD745" i="11"/>
  <c r="AD746" i="11"/>
  <c r="AD747" i="11"/>
  <c r="AD748" i="11"/>
  <c r="AD749" i="11"/>
  <c r="AD750" i="11"/>
  <c r="AD751" i="11"/>
  <c r="AD752" i="11"/>
  <c r="AD753" i="11"/>
  <c r="AD754" i="11"/>
  <c r="AD755" i="11"/>
  <c r="AD756" i="11"/>
  <c r="AD757" i="11"/>
  <c r="AD758" i="11"/>
  <c r="AD759" i="11"/>
  <c r="AD760" i="11"/>
  <c r="AD761" i="11"/>
  <c r="AD762" i="11"/>
  <c r="AD763" i="11"/>
  <c r="AD764" i="11"/>
  <c r="AD765" i="11"/>
  <c r="AD766" i="11"/>
  <c r="AD704" i="11"/>
  <c r="AA705" i="11"/>
  <c r="AA706" i="11"/>
  <c r="AA707" i="11"/>
  <c r="AA708" i="11"/>
  <c r="AA709" i="11"/>
  <c r="AA710" i="11"/>
  <c r="AA711" i="11"/>
  <c r="AA712" i="11"/>
  <c r="AA713" i="11"/>
  <c r="AA714" i="11"/>
  <c r="AA715" i="11"/>
  <c r="AA716" i="11"/>
  <c r="AA717" i="11"/>
  <c r="AA718" i="11"/>
  <c r="AA719" i="11"/>
  <c r="AA720" i="11"/>
  <c r="AA721" i="11"/>
  <c r="AA722" i="11"/>
  <c r="AA723" i="11"/>
  <c r="AA724" i="11"/>
  <c r="AA725" i="11"/>
  <c r="AA726" i="11"/>
  <c r="AA727" i="11"/>
  <c r="AA728" i="11"/>
  <c r="AA729" i="11"/>
  <c r="AA730" i="11"/>
  <c r="AA731" i="11"/>
  <c r="AA732" i="11"/>
  <c r="AA733" i="11"/>
  <c r="AA734" i="11"/>
  <c r="AA735" i="11"/>
  <c r="AA736" i="11"/>
  <c r="AA737" i="11"/>
  <c r="AA738" i="11"/>
  <c r="AA739" i="11"/>
  <c r="AA740" i="11"/>
  <c r="AA741" i="11"/>
  <c r="AA742" i="11"/>
  <c r="AA743" i="11"/>
  <c r="AA744" i="11"/>
  <c r="AA745" i="11"/>
  <c r="AA746" i="11"/>
  <c r="AA747" i="11"/>
  <c r="AA748" i="11"/>
  <c r="AA749" i="11"/>
  <c r="AA750" i="11"/>
  <c r="AA751" i="11"/>
  <c r="AA752" i="11"/>
  <c r="AA753" i="11"/>
  <c r="AA754" i="11"/>
  <c r="AA755" i="11"/>
  <c r="AA756" i="11"/>
  <c r="AA757" i="11"/>
  <c r="AA758" i="11"/>
  <c r="AA759" i="11"/>
  <c r="AA760" i="11"/>
  <c r="AA761" i="11"/>
  <c r="AA762" i="11"/>
  <c r="AA763" i="11"/>
  <c r="AA764" i="11"/>
  <c r="AA765" i="11"/>
  <c r="AA766" i="11"/>
  <c r="AA704" i="11"/>
  <c r="Z705" i="11"/>
  <c r="Z706" i="11"/>
  <c r="Z707" i="11"/>
  <c r="Z708" i="11"/>
  <c r="Z709" i="11"/>
  <c r="Z710" i="11"/>
  <c r="Z711" i="11"/>
  <c r="Z712" i="11"/>
  <c r="Z713" i="11"/>
  <c r="Z714" i="11"/>
  <c r="Z715" i="11"/>
  <c r="Z716" i="11"/>
  <c r="Z717" i="11"/>
  <c r="Z718" i="11"/>
  <c r="Z719" i="11"/>
  <c r="Z720" i="11"/>
  <c r="Z721" i="11"/>
  <c r="Z722" i="11"/>
  <c r="Z723" i="11"/>
  <c r="Z724" i="11"/>
  <c r="Z725" i="11"/>
  <c r="Z726" i="11"/>
  <c r="Z727" i="11"/>
  <c r="Z728" i="11"/>
  <c r="Z729" i="11"/>
  <c r="Z730" i="11"/>
  <c r="Z731" i="11"/>
  <c r="Z732" i="11"/>
  <c r="Z733" i="11"/>
  <c r="Z734" i="11"/>
  <c r="Z735" i="11"/>
  <c r="Z736" i="11"/>
  <c r="Z737" i="11"/>
  <c r="Z738" i="11"/>
  <c r="Z739" i="11"/>
  <c r="Z740" i="11"/>
  <c r="Z741" i="11"/>
  <c r="Z742" i="11"/>
  <c r="Z743" i="11"/>
  <c r="Z744" i="11"/>
  <c r="Z745" i="11"/>
  <c r="Z746" i="11"/>
  <c r="Z747" i="11"/>
  <c r="Z748" i="11"/>
  <c r="Z749" i="11"/>
  <c r="Z750" i="11"/>
  <c r="Z751" i="11"/>
  <c r="Z752" i="11"/>
  <c r="Z753" i="11"/>
  <c r="Z754" i="11"/>
  <c r="Z755" i="11"/>
  <c r="Z756" i="11"/>
  <c r="Z757" i="11"/>
  <c r="Z758" i="11"/>
  <c r="Z759" i="11"/>
  <c r="Z760" i="11"/>
  <c r="Z761" i="11"/>
  <c r="Z762" i="11"/>
  <c r="Z763" i="11"/>
  <c r="Z764" i="11"/>
  <c r="Z765" i="11"/>
  <c r="Z766" i="11"/>
  <c r="Z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04" i="11"/>
  <c r="M766" i="11"/>
  <c r="M765" i="11"/>
  <c r="M764" i="11"/>
  <c r="M763" i="11"/>
  <c r="M762" i="11"/>
  <c r="M761" i="11"/>
  <c r="M760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7" i="11"/>
  <c r="M746" i="11"/>
  <c r="M745" i="11"/>
  <c r="M744" i="11"/>
  <c r="M743" i="11"/>
  <c r="M742" i="11"/>
  <c r="M741" i="11"/>
  <c r="M740" i="11"/>
  <c r="M739" i="11"/>
  <c r="M738" i="11"/>
  <c r="M737" i="11"/>
  <c r="M736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 s="1"/>
  <c r="N637" i="11" s="1"/>
  <c r="N638" i="11" s="1"/>
  <c r="N639" i="11" s="1"/>
  <c r="N640" i="11" s="1"/>
  <c r="N641" i="11" s="1"/>
  <c r="N642" i="11"/>
  <c r="N643" i="11" s="1"/>
  <c r="N644" i="11" s="1"/>
  <c r="N645" i="11" s="1"/>
  <c r="N646" i="11" s="1"/>
  <c r="N648" i="11"/>
  <c r="N649" i="11"/>
  <c r="N650" i="11"/>
  <c r="N651" i="11" s="1"/>
  <c r="N652" i="11" s="1"/>
  <c r="N653" i="11" s="1"/>
  <c r="N654" i="11" s="1"/>
  <c r="N655" i="11" s="1"/>
  <c r="N656" i="11" s="1"/>
  <c r="N657" i="11" s="1"/>
  <c r="N658" i="11" s="1"/>
  <c r="N659" i="11" s="1"/>
  <c r="N660" i="11" s="1"/>
  <c r="N661" i="11" s="1"/>
  <c r="N662" i="11" s="1"/>
  <c r="N663" i="11" s="1"/>
  <c r="N664" i="11" s="1"/>
  <c r="N665" i="11" s="1"/>
  <c r="N666" i="11" s="1"/>
  <c r="N667" i="11" s="1"/>
  <c r="N668" i="11" s="1"/>
  <c r="N669" i="11" s="1"/>
  <c r="N670" i="11" s="1"/>
  <c r="N671" i="11" s="1"/>
  <c r="N672" i="11" s="1"/>
  <c r="N673" i="11" s="1"/>
  <c r="N674" i="11" s="1"/>
  <c r="N675" i="11" s="1"/>
  <c r="N676" i="11" s="1"/>
  <c r="N677" i="11" s="1"/>
  <c r="N678" i="11" s="1"/>
  <c r="N679" i="11" s="1"/>
  <c r="N680" i="11" s="1"/>
  <c r="N681" i="11" s="1"/>
  <c r="N682" i="11" s="1"/>
  <c r="N683" i="11" s="1"/>
  <c r="N684" i="11" s="1"/>
  <c r="N685" i="11" s="1"/>
  <c r="N686" i="11" s="1"/>
  <c r="N687" i="11" s="1"/>
  <c r="N688" i="11" s="1"/>
  <c r="N689" i="11" s="1"/>
  <c r="N690" i="11" s="1"/>
  <c r="N691" i="11" s="1"/>
  <c r="N692" i="11" s="1"/>
  <c r="N693" i="11" s="1"/>
  <c r="N694" i="11" s="1"/>
  <c r="N695" i="11" s="1"/>
  <c r="N696" i="11" s="1"/>
  <c r="N697" i="11" s="1"/>
  <c r="N698" i="11" s="1"/>
  <c r="N699" i="11" s="1"/>
  <c r="N700" i="11" s="1"/>
  <c r="N701" i="11" s="1"/>
  <c r="N702" i="11" s="1"/>
  <c r="N703" i="11" s="1"/>
  <c r="M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35" i="11"/>
  <c r="AB389" i="24" l="1"/>
  <c r="G410" i="5"/>
  <c r="B2" i="30" l="1"/>
  <c r="AV404" i="5" l="1"/>
  <c r="BA403" i="5" l="1"/>
  <c r="BA375" i="5"/>
  <c r="BA376" i="5"/>
  <c r="BA377" i="5"/>
  <c r="BA378" i="5"/>
  <c r="BA379" i="5"/>
  <c r="BA380" i="5"/>
  <c r="BA381" i="5"/>
  <c r="BA382" i="5"/>
  <c r="BA383" i="5"/>
  <c r="BA384" i="5"/>
  <c r="BA385" i="5"/>
  <c r="BA386" i="5"/>
  <c r="BA387" i="5"/>
  <c r="BA388" i="5"/>
  <c r="BA389" i="5"/>
  <c r="BA390" i="5"/>
  <c r="BA391" i="5"/>
  <c r="BA392" i="5"/>
  <c r="BA393" i="5"/>
  <c r="BA394" i="5"/>
  <c r="BA395" i="5"/>
  <c r="BA396" i="5"/>
  <c r="BA397" i="5"/>
  <c r="BA398" i="5"/>
  <c r="BA399" i="5"/>
  <c r="BA400" i="5"/>
  <c r="BA401" i="5"/>
  <c r="BA402" i="5"/>
  <c r="BA374" i="5"/>
  <c r="AZ373" i="5"/>
  <c r="AZ374" i="5" s="1"/>
  <c r="AZ375" i="5" s="1"/>
  <c r="AZ376" i="5" s="1"/>
  <c r="AZ377" i="5" s="1"/>
  <c r="AZ378" i="5" s="1"/>
  <c r="AZ379" i="5" s="1"/>
  <c r="AZ380" i="5" s="1"/>
  <c r="AZ381" i="5" s="1"/>
  <c r="AZ382" i="5" s="1"/>
  <c r="AZ383" i="5" s="1"/>
  <c r="AZ384" i="5" s="1"/>
  <c r="AZ385" i="5" s="1"/>
  <c r="AZ386" i="5" s="1"/>
  <c r="AZ387" i="5" s="1"/>
  <c r="AZ388" i="5" s="1"/>
  <c r="AZ389" i="5" s="1"/>
  <c r="AZ390" i="5" s="1"/>
  <c r="AZ391" i="5" s="1"/>
  <c r="AZ392" i="5" s="1"/>
  <c r="AZ393" i="5" s="1"/>
  <c r="AZ394" i="5" s="1"/>
  <c r="AZ395" i="5" s="1"/>
  <c r="AZ396" i="5" s="1"/>
  <c r="AZ397" i="5" s="1"/>
  <c r="AZ398" i="5" s="1"/>
  <c r="AZ399" i="5" s="1"/>
  <c r="AZ400" i="5" s="1"/>
  <c r="AZ401" i="5" s="1"/>
  <c r="AZ402" i="5" s="1"/>
  <c r="AZ403" i="5" s="1"/>
  <c r="AY375" i="5"/>
  <c r="AY376" i="5"/>
  <c r="AY377" i="5"/>
  <c r="AY378" i="5"/>
  <c r="AY379" i="5"/>
  <c r="AY380" i="5"/>
  <c r="AY381" i="5"/>
  <c r="AY382" i="5"/>
  <c r="AY383" i="5"/>
  <c r="AY384" i="5"/>
  <c r="AY385" i="5"/>
  <c r="AY386" i="5"/>
  <c r="AY387" i="5"/>
  <c r="AY388" i="5"/>
  <c r="AY389" i="5"/>
  <c r="AY390" i="5"/>
  <c r="AY391" i="5"/>
  <c r="AY392" i="5"/>
  <c r="AY393" i="5"/>
  <c r="AY394" i="5"/>
  <c r="AY395" i="5"/>
  <c r="AY396" i="5"/>
  <c r="AY397" i="5"/>
  <c r="AY398" i="5"/>
  <c r="AY399" i="5"/>
  <c r="AY400" i="5"/>
  <c r="AY401" i="5"/>
  <c r="AY402" i="5"/>
  <c r="AY403" i="5"/>
  <c r="AY374" i="5"/>
  <c r="BD405" i="5"/>
  <c r="BE405" i="5"/>
  <c r="BF405" i="5"/>
  <c r="BI405" i="5"/>
  <c r="BJ405" i="5"/>
  <c r="BK405" i="5"/>
  <c r="BN405" i="5"/>
  <c r="BO405" i="5"/>
  <c r="BP405" i="5"/>
  <c r="BS405" i="5"/>
  <c r="BT405" i="5"/>
  <c r="BU405" i="5"/>
  <c r="BD406" i="5"/>
  <c r="BE406" i="5"/>
  <c r="BF406" i="5"/>
  <c r="BI406" i="5"/>
  <c r="BJ406" i="5"/>
  <c r="BK406" i="5"/>
  <c r="BN406" i="5"/>
  <c r="BO406" i="5"/>
  <c r="BP406" i="5"/>
  <c r="BS406" i="5"/>
  <c r="BT406" i="5"/>
  <c r="BU406" i="5"/>
  <c r="BC407" i="5"/>
  <c r="AE737" i="11" s="1"/>
  <c r="BD407" i="5"/>
  <c r="BE407" i="5"/>
  <c r="BF407" i="5"/>
  <c r="BH407" i="5"/>
  <c r="AF737" i="11" s="1"/>
  <c r="BI407" i="5"/>
  <c r="BJ407" i="5"/>
  <c r="BK407" i="5"/>
  <c r="BM407" i="5"/>
  <c r="AG737" i="11" s="1"/>
  <c r="BN407" i="5"/>
  <c r="BO407" i="5"/>
  <c r="BP407" i="5"/>
  <c r="BR407" i="5"/>
  <c r="AH737" i="11" s="1"/>
  <c r="BS407" i="5"/>
  <c r="BT407" i="5"/>
  <c r="BU407" i="5"/>
  <c r="BC408" i="5"/>
  <c r="AE738" i="11" s="1"/>
  <c r="BD408" i="5"/>
  <c r="BE408" i="5"/>
  <c r="BF408" i="5"/>
  <c r="BH408" i="5"/>
  <c r="AF738" i="11" s="1"/>
  <c r="BI408" i="5"/>
  <c r="BJ408" i="5"/>
  <c r="BK408" i="5"/>
  <c r="BM408" i="5"/>
  <c r="AG738" i="11" s="1"/>
  <c r="BN408" i="5"/>
  <c r="BO408" i="5"/>
  <c r="BP408" i="5"/>
  <c r="BR408" i="5"/>
  <c r="AH738" i="11" s="1"/>
  <c r="BS408" i="5"/>
  <c r="BT408" i="5"/>
  <c r="BU408" i="5"/>
  <c r="BC409" i="5"/>
  <c r="AE739" i="11" s="1"/>
  <c r="BD409" i="5"/>
  <c r="BE409" i="5"/>
  <c r="BF409" i="5"/>
  <c r="BH409" i="5"/>
  <c r="AF739" i="11" s="1"/>
  <c r="BI409" i="5"/>
  <c r="BJ409" i="5"/>
  <c r="BK409" i="5"/>
  <c r="BM409" i="5"/>
  <c r="AG739" i="11" s="1"/>
  <c r="BN409" i="5"/>
  <c r="BO409" i="5"/>
  <c r="BP409" i="5"/>
  <c r="BR409" i="5"/>
  <c r="AH739" i="11" s="1"/>
  <c r="BS409" i="5"/>
  <c r="BT409" i="5"/>
  <c r="BU409" i="5"/>
  <c r="BC410" i="5"/>
  <c r="AE740" i="11" s="1"/>
  <c r="BD410" i="5"/>
  <c r="BE410" i="5"/>
  <c r="BF410" i="5"/>
  <c r="BH410" i="5"/>
  <c r="AF740" i="11" s="1"/>
  <c r="BI410" i="5"/>
  <c r="BJ410" i="5"/>
  <c r="BK410" i="5"/>
  <c r="BM410" i="5"/>
  <c r="AG740" i="11" s="1"/>
  <c r="BN410" i="5"/>
  <c r="BO410" i="5"/>
  <c r="BP410" i="5"/>
  <c r="BR410" i="5"/>
  <c r="AH740" i="11" s="1"/>
  <c r="BS410" i="5"/>
  <c r="BT410" i="5"/>
  <c r="BU410" i="5"/>
  <c r="BC411" i="5"/>
  <c r="AE741" i="11" s="1"/>
  <c r="BD411" i="5"/>
  <c r="BE411" i="5"/>
  <c r="BF411" i="5"/>
  <c r="BH411" i="5"/>
  <c r="AF741" i="11" s="1"/>
  <c r="BI411" i="5"/>
  <c r="BJ411" i="5"/>
  <c r="BK411" i="5"/>
  <c r="BM411" i="5"/>
  <c r="AG741" i="11" s="1"/>
  <c r="BN411" i="5"/>
  <c r="BO411" i="5"/>
  <c r="BP411" i="5"/>
  <c r="BR411" i="5"/>
  <c r="AH741" i="11" s="1"/>
  <c r="BS411" i="5"/>
  <c r="BT411" i="5"/>
  <c r="BU411" i="5"/>
  <c r="BC412" i="5"/>
  <c r="AE742" i="11" s="1"/>
  <c r="BD412" i="5"/>
  <c r="BE412" i="5"/>
  <c r="BF412" i="5"/>
  <c r="BH412" i="5"/>
  <c r="AF742" i="11" s="1"/>
  <c r="BI412" i="5"/>
  <c r="BJ412" i="5"/>
  <c r="BK412" i="5"/>
  <c r="BM412" i="5"/>
  <c r="AG742" i="11" s="1"/>
  <c r="BN412" i="5"/>
  <c r="BO412" i="5"/>
  <c r="BP412" i="5"/>
  <c r="BR412" i="5"/>
  <c r="AH742" i="11" s="1"/>
  <c r="BS412" i="5"/>
  <c r="BT412" i="5"/>
  <c r="BU412" i="5"/>
  <c r="BC413" i="5"/>
  <c r="AE743" i="11" s="1"/>
  <c r="BD413" i="5"/>
  <c r="BE413" i="5"/>
  <c r="BF413" i="5"/>
  <c r="BH413" i="5"/>
  <c r="AF743" i="11" s="1"/>
  <c r="BI413" i="5"/>
  <c r="BJ413" i="5"/>
  <c r="BK413" i="5"/>
  <c r="BM413" i="5"/>
  <c r="AG743" i="11" s="1"/>
  <c r="BN413" i="5"/>
  <c r="BO413" i="5"/>
  <c r="BP413" i="5"/>
  <c r="BR413" i="5"/>
  <c r="AH743" i="11" s="1"/>
  <c r="BS413" i="5"/>
  <c r="BT413" i="5"/>
  <c r="BU413" i="5"/>
  <c r="BC414" i="5"/>
  <c r="AE744" i="11" s="1"/>
  <c r="BD414" i="5"/>
  <c r="BE414" i="5"/>
  <c r="BF414" i="5"/>
  <c r="BH414" i="5"/>
  <c r="AF744" i="11" s="1"/>
  <c r="BI414" i="5"/>
  <c r="BJ414" i="5"/>
  <c r="BK414" i="5"/>
  <c r="BM414" i="5"/>
  <c r="AG744" i="11" s="1"/>
  <c r="BN414" i="5"/>
  <c r="BO414" i="5"/>
  <c r="BP414" i="5"/>
  <c r="BR414" i="5"/>
  <c r="AH744" i="11" s="1"/>
  <c r="BS414" i="5"/>
  <c r="BT414" i="5"/>
  <c r="BU414" i="5"/>
  <c r="BC415" i="5"/>
  <c r="AE745" i="11" s="1"/>
  <c r="BD415" i="5"/>
  <c r="BE415" i="5"/>
  <c r="BF415" i="5"/>
  <c r="BH415" i="5"/>
  <c r="AF745" i="11" s="1"/>
  <c r="BI415" i="5"/>
  <c r="BJ415" i="5"/>
  <c r="BK415" i="5"/>
  <c r="BM415" i="5"/>
  <c r="AG745" i="11" s="1"/>
  <c r="BN415" i="5"/>
  <c r="BO415" i="5"/>
  <c r="BP415" i="5"/>
  <c r="BR415" i="5"/>
  <c r="AH745" i="11" s="1"/>
  <c r="BS415" i="5"/>
  <c r="BT415" i="5"/>
  <c r="BU415" i="5"/>
  <c r="BC416" i="5"/>
  <c r="AE746" i="11" s="1"/>
  <c r="BD416" i="5"/>
  <c r="BE416" i="5"/>
  <c r="BF416" i="5"/>
  <c r="BH416" i="5"/>
  <c r="AF746" i="11" s="1"/>
  <c r="BI416" i="5"/>
  <c r="BJ416" i="5"/>
  <c r="BK416" i="5"/>
  <c r="BM416" i="5"/>
  <c r="AG746" i="11" s="1"/>
  <c r="BN416" i="5"/>
  <c r="BO416" i="5"/>
  <c r="BP416" i="5"/>
  <c r="BR416" i="5"/>
  <c r="AH746" i="11" s="1"/>
  <c r="BS416" i="5"/>
  <c r="BT416" i="5"/>
  <c r="BU416" i="5"/>
  <c r="BC417" i="5"/>
  <c r="AE747" i="11" s="1"/>
  <c r="BD417" i="5"/>
  <c r="BE417" i="5"/>
  <c r="BF417" i="5"/>
  <c r="BH417" i="5"/>
  <c r="AF747" i="11" s="1"/>
  <c r="BI417" i="5"/>
  <c r="BJ417" i="5"/>
  <c r="BK417" i="5"/>
  <c r="BM417" i="5"/>
  <c r="AG747" i="11" s="1"/>
  <c r="BN417" i="5"/>
  <c r="BO417" i="5"/>
  <c r="BP417" i="5"/>
  <c r="BR417" i="5"/>
  <c r="AH747" i="11" s="1"/>
  <c r="BS417" i="5"/>
  <c r="BT417" i="5"/>
  <c r="BU417" i="5"/>
  <c r="BC418" i="5"/>
  <c r="AE748" i="11" s="1"/>
  <c r="BD418" i="5"/>
  <c r="BE418" i="5"/>
  <c r="BF418" i="5"/>
  <c r="BH418" i="5"/>
  <c r="AF748" i="11" s="1"/>
  <c r="BI418" i="5"/>
  <c r="BJ418" i="5"/>
  <c r="BK418" i="5"/>
  <c r="BM418" i="5"/>
  <c r="AG748" i="11" s="1"/>
  <c r="BN418" i="5"/>
  <c r="BO418" i="5"/>
  <c r="BP418" i="5"/>
  <c r="BR418" i="5"/>
  <c r="AH748" i="11" s="1"/>
  <c r="BS418" i="5"/>
  <c r="BT418" i="5"/>
  <c r="BU418" i="5"/>
  <c r="BC419" i="5"/>
  <c r="AE749" i="11" s="1"/>
  <c r="BD419" i="5"/>
  <c r="BE419" i="5"/>
  <c r="BF419" i="5"/>
  <c r="BH419" i="5"/>
  <c r="AF749" i="11" s="1"/>
  <c r="BI419" i="5"/>
  <c r="BJ419" i="5"/>
  <c r="BK419" i="5"/>
  <c r="BM419" i="5"/>
  <c r="AG749" i="11" s="1"/>
  <c r="BN419" i="5"/>
  <c r="BO419" i="5"/>
  <c r="BP419" i="5"/>
  <c r="BR419" i="5"/>
  <c r="AH749" i="11" s="1"/>
  <c r="BS419" i="5"/>
  <c r="BT419" i="5"/>
  <c r="BU419" i="5"/>
  <c r="BC420" i="5"/>
  <c r="AE750" i="11" s="1"/>
  <c r="BD420" i="5"/>
  <c r="BE420" i="5"/>
  <c r="BF420" i="5"/>
  <c r="BH420" i="5"/>
  <c r="AF750" i="11" s="1"/>
  <c r="BI420" i="5"/>
  <c r="BJ420" i="5"/>
  <c r="BK420" i="5"/>
  <c r="BM420" i="5"/>
  <c r="AG750" i="11" s="1"/>
  <c r="BN420" i="5"/>
  <c r="BO420" i="5"/>
  <c r="BP420" i="5"/>
  <c r="BR420" i="5"/>
  <c r="AH750" i="11" s="1"/>
  <c r="BS420" i="5"/>
  <c r="BT420" i="5"/>
  <c r="BU420" i="5"/>
  <c r="BC421" i="5"/>
  <c r="AE751" i="11" s="1"/>
  <c r="BD421" i="5"/>
  <c r="BE421" i="5"/>
  <c r="BF421" i="5"/>
  <c r="BH421" i="5"/>
  <c r="AF751" i="11" s="1"/>
  <c r="BI421" i="5"/>
  <c r="BJ421" i="5"/>
  <c r="BK421" i="5"/>
  <c r="BM421" i="5"/>
  <c r="AG751" i="11" s="1"/>
  <c r="BN421" i="5"/>
  <c r="BO421" i="5"/>
  <c r="BP421" i="5"/>
  <c r="BR421" i="5"/>
  <c r="AH751" i="11" s="1"/>
  <c r="BS421" i="5"/>
  <c r="BT421" i="5"/>
  <c r="BU421" i="5"/>
  <c r="BC422" i="5"/>
  <c r="AE752" i="11" s="1"/>
  <c r="BD422" i="5"/>
  <c r="BE422" i="5"/>
  <c r="BF422" i="5"/>
  <c r="BH422" i="5"/>
  <c r="AF752" i="11" s="1"/>
  <c r="BI422" i="5"/>
  <c r="BJ422" i="5"/>
  <c r="BK422" i="5"/>
  <c r="BM422" i="5"/>
  <c r="AG752" i="11" s="1"/>
  <c r="BN422" i="5"/>
  <c r="BO422" i="5"/>
  <c r="BP422" i="5"/>
  <c r="BR422" i="5"/>
  <c r="AH752" i="11" s="1"/>
  <c r="BS422" i="5"/>
  <c r="BT422" i="5"/>
  <c r="BU422" i="5"/>
  <c r="BC423" i="5"/>
  <c r="AE753" i="11" s="1"/>
  <c r="BD423" i="5"/>
  <c r="BE423" i="5"/>
  <c r="BF423" i="5"/>
  <c r="BH423" i="5"/>
  <c r="AF753" i="11" s="1"/>
  <c r="BI423" i="5"/>
  <c r="BJ423" i="5"/>
  <c r="BK423" i="5"/>
  <c r="BM423" i="5"/>
  <c r="AG753" i="11" s="1"/>
  <c r="BN423" i="5"/>
  <c r="BO423" i="5"/>
  <c r="BP423" i="5"/>
  <c r="BR423" i="5"/>
  <c r="AH753" i="11" s="1"/>
  <c r="BS423" i="5"/>
  <c r="BT423" i="5"/>
  <c r="BU423" i="5"/>
  <c r="BC424" i="5"/>
  <c r="AE754" i="11" s="1"/>
  <c r="BD424" i="5"/>
  <c r="BE424" i="5"/>
  <c r="BF424" i="5"/>
  <c r="BH424" i="5"/>
  <c r="AF754" i="11" s="1"/>
  <c r="BI424" i="5"/>
  <c r="BJ424" i="5"/>
  <c r="BK424" i="5"/>
  <c r="BM424" i="5"/>
  <c r="AG754" i="11" s="1"/>
  <c r="BN424" i="5"/>
  <c r="BO424" i="5"/>
  <c r="BP424" i="5"/>
  <c r="BR424" i="5"/>
  <c r="AH754" i="11" s="1"/>
  <c r="BS424" i="5"/>
  <c r="BT424" i="5"/>
  <c r="BU424" i="5"/>
  <c r="BC425" i="5"/>
  <c r="AE755" i="11" s="1"/>
  <c r="BD425" i="5"/>
  <c r="BE425" i="5"/>
  <c r="BF425" i="5"/>
  <c r="BH425" i="5"/>
  <c r="AF755" i="11" s="1"/>
  <c r="BI425" i="5"/>
  <c r="BJ425" i="5"/>
  <c r="BK425" i="5"/>
  <c r="BM425" i="5"/>
  <c r="AG755" i="11" s="1"/>
  <c r="BN425" i="5"/>
  <c r="BO425" i="5"/>
  <c r="BP425" i="5"/>
  <c r="BR425" i="5"/>
  <c r="AH755" i="11" s="1"/>
  <c r="BS425" i="5"/>
  <c r="BT425" i="5"/>
  <c r="BU425" i="5"/>
  <c r="BC426" i="5"/>
  <c r="AE756" i="11" s="1"/>
  <c r="BD426" i="5"/>
  <c r="BE426" i="5"/>
  <c r="BF426" i="5"/>
  <c r="BH426" i="5"/>
  <c r="AF756" i="11" s="1"/>
  <c r="BI426" i="5"/>
  <c r="BJ426" i="5"/>
  <c r="BK426" i="5"/>
  <c r="BM426" i="5"/>
  <c r="AG756" i="11" s="1"/>
  <c r="BN426" i="5"/>
  <c r="BO426" i="5"/>
  <c r="BP426" i="5"/>
  <c r="BR426" i="5"/>
  <c r="AH756" i="11" s="1"/>
  <c r="BS426" i="5"/>
  <c r="BT426" i="5"/>
  <c r="BU426" i="5"/>
  <c r="BC427" i="5"/>
  <c r="AE757" i="11" s="1"/>
  <c r="BD427" i="5"/>
  <c r="BE427" i="5"/>
  <c r="BF427" i="5"/>
  <c r="BH427" i="5"/>
  <c r="AF757" i="11" s="1"/>
  <c r="BI427" i="5"/>
  <c r="BJ427" i="5"/>
  <c r="BK427" i="5"/>
  <c r="BM427" i="5"/>
  <c r="AG757" i="11" s="1"/>
  <c r="BN427" i="5"/>
  <c r="BO427" i="5"/>
  <c r="BP427" i="5"/>
  <c r="BR427" i="5"/>
  <c r="AH757" i="11" s="1"/>
  <c r="BS427" i="5"/>
  <c r="BT427" i="5"/>
  <c r="BU427" i="5"/>
  <c r="BC428" i="5"/>
  <c r="AE758" i="11" s="1"/>
  <c r="BD428" i="5"/>
  <c r="BE428" i="5"/>
  <c r="BF428" i="5"/>
  <c r="BH428" i="5"/>
  <c r="AF758" i="11" s="1"/>
  <c r="BI428" i="5"/>
  <c r="BJ428" i="5"/>
  <c r="BK428" i="5"/>
  <c r="BM428" i="5"/>
  <c r="AG758" i="11" s="1"/>
  <c r="BN428" i="5"/>
  <c r="BO428" i="5"/>
  <c r="BP428" i="5"/>
  <c r="BR428" i="5"/>
  <c r="AH758" i="11" s="1"/>
  <c r="BS428" i="5"/>
  <c r="BT428" i="5"/>
  <c r="BU428" i="5"/>
  <c r="BC429" i="5"/>
  <c r="AE759" i="11" s="1"/>
  <c r="BD429" i="5"/>
  <c r="BE429" i="5"/>
  <c r="BF429" i="5"/>
  <c r="BH429" i="5"/>
  <c r="AF759" i="11" s="1"/>
  <c r="BI429" i="5"/>
  <c r="BJ429" i="5"/>
  <c r="BK429" i="5"/>
  <c r="BM429" i="5"/>
  <c r="AG759" i="11" s="1"/>
  <c r="BN429" i="5"/>
  <c r="BO429" i="5"/>
  <c r="BP429" i="5"/>
  <c r="BR429" i="5"/>
  <c r="AH759" i="11" s="1"/>
  <c r="BS429" i="5"/>
  <c r="BT429" i="5"/>
  <c r="BU429" i="5"/>
  <c r="BC430" i="5"/>
  <c r="AE760" i="11" s="1"/>
  <c r="BD430" i="5"/>
  <c r="BE430" i="5"/>
  <c r="BF430" i="5"/>
  <c r="BH430" i="5"/>
  <c r="AF760" i="11" s="1"/>
  <c r="BI430" i="5"/>
  <c r="BJ430" i="5"/>
  <c r="BK430" i="5"/>
  <c r="BM430" i="5"/>
  <c r="AG760" i="11" s="1"/>
  <c r="BN430" i="5"/>
  <c r="BO430" i="5"/>
  <c r="BP430" i="5"/>
  <c r="BR430" i="5"/>
  <c r="AH760" i="11" s="1"/>
  <c r="BS430" i="5"/>
  <c r="BT430" i="5"/>
  <c r="BU430" i="5"/>
  <c r="BC431" i="5"/>
  <c r="AE761" i="11" s="1"/>
  <c r="BD431" i="5"/>
  <c r="BE431" i="5"/>
  <c r="BF431" i="5"/>
  <c r="BH431" i="5"/>
  <c r="AF761" i="11" s="1"/>
  <c r="BI431" i="5"/>
  <c r="BJ431" i="5"/>
  <c r="BK431" i="5"/>
  <c r="BM431" i="5"/>
  <c r="AG761" i="11" s="1"/>
  <c r="BN431" i="5"/>
  <c r="BO431" i="5"/>
  <c r="BP431" i="5"/>
  <c r="BR431" i="5"/>
  <c r="AH761" i="11" s="1"/>
  <c r="BS431" i="5"/>
  <c r="BT431" i="5"/>
  <c r="BU431" i="5"/>
  <c r="BC432" i="5"/>
  <c r="AE762" i="11" s="1"/>
  <c r="BD432" i="5"/>
  <c r="BE432" i="5"/>
  <c r="BF432" i="5"/>
  <c r="BH432" i="5"/>
  <c r="AF762" i="11" s="1"/>
  <c r="BI432" i="5"/>
  <c r="BJ432" i="5"/>
  <c r="BK432" i="5"/>
  <c r="BM432" i="5"/>
  <c r="AG762" i="11" s="1"/>
  <c r="BN432" i="5"/>
  <c r="BO432" i="5"/>
  <c r="BP432" i="5"/>
  <c r="BR432" i="5"/>
  <c r="AH762" i="11" s="1"/>
  <c r="BS432" i="5"/>
  <c r="BT432" i="5"/>
  <c r="BU432" i="5"/>
  <c r="BC433" i="5"/>
  <c r="AE763" i="11" s="1"/>
  <c r="BD433" i="5"/>
  <c r="BE433" i="5"/>
  <c r="BF433" i="5"/>
  <c r="BH433" i="5"/>
  <c r="AF763" i="11" s="1"/>
  <c r="BI433" i="5"/>
  <c r="BJ433" i="5"/>
  <c r="BK433" i="5"/>
  <c r="BM433" i="5"/>
  <c r="AG763" i="11" s="1"/>
  <c r="BN433" i="5"/>
  <c r="BO433" i="5"/>
  <c r="BP433" i="5"/>
  <c r="BR433" i="5"/>
  <c r="AH763" i="11" s="1"/>
  <c r="BS433" i="5"/>
  <c r="BT433" i="5"/>
  <c r="BU433" i="5"/>
  <c r="BC434" i="5"/>
  <c r="AE764" i="11" s="1"/>
  <c r="BD434" i="5"/>
  <c r="BE434" i="5"/>
  <c r="BF434" i="5"/>
  <c r="BH434" i="5"/>
  <c r="AF764" i="11" s="1"/>
  <c r="BI434" i="5"/>
  <c r="BJ434" i="5"/>
  <c r="BK434" i="5"/>
  <c r="BM434" i="5"/>
  <c r="AG764" i="11" s="1"/>
  <c r="BN434" i="5"/>
  <c r="BO434" i="5"/>
  <c r="BP434" i="5"/>
  <c r="BR434" i="5"/>
  <c r="AH764" i="11" s="1"/>
  <c r="BS434" i="5"/>
  <c r="BT434" i="5"/>
  <c r="BU434" i="5"/>
  <c r="BC435" i="5"/>
  <c r="AE765" i="11" s="1"/>
  <c r="BD435" i="5"/>
  <c r="BE435" i="5"/>
  <c r="BF435" i="5"/>
  <c r="BH435" i="5"/>
  <c r="AF765" i="11" s="1"/>
  <c r="BI435" i="5"/>
  <c r="BJ435" i="5"/>
  <c r="BK435" i="5"/>
  <c r="BM435" i="5"/>
  <c r="AG765" i="11" s="1"/>
  <c r="BN435" i="5"/>
  <c r="BO435" i="5"/>
  <c r="BP435" i="5"/>
  <c r="BR435" i="5"/>
  <c r="AH765" i="11" s="1"/>
  <c r="BS435" i="5"/>
  <c r="BT435" i="5"/>
  <c r="BU435" i="5"/>
  <c r="BC436" i="5"/>
  <c r="AE766" i="11" s="1"/>
  <c r="BD436" i="5"/>
  <c r="BE436" i="5"/>
  <c r="BF436" i="5"/>
  <c r="BH436" i="5"/>
  <c r="AF766" i="11" s="1"/>
  <c r="BI436" i="5"/>
  <c r="BJ436" i="5"/>
  <c r="BK436" i="5"/>
  <c r="BM436" i="5"/>
  <c r="AG766" i="11" s="1"/>
  <c r="BN436" i="5"/>
  <c r="BO436" i="5"/>
  <c r="BP436" i="5"/>
  <c r="BR436" i="5"/>
  <c r="AH766" i="11" s="1"/>
  <c r="BS436" i="5"/>
  <c r="BT436" i="5"/>
  <c r="BU436" i="5"/>
  <c r="BC437" i="5"/>
  <c r="BD437" i="5"/>
  <c r="BE437" i="5"/>
  <c r="BF437" i="5"/>
  <c r="BH437" i="5"/>
  <c r="BI437" i="5"/>
  <c r="BJ437" i="5"/>
  <c r="BK437" i="5"/>
  <c r="BM437" i="5"/>
  <c r="BN437" i="5"/>
  <c r="BO437" i="5"/>
  <c r="BP437" i="5"/>
  <c r="BR437" i="5"/>
  <c r="BS437" i="5"/>
  <c r="BT437" i="5"/>
  <c r="BU437" i="5"/>
  <c r="BC438" i="5"/>
  <c r="BD438" i="5"/>
  <c r="BE438" i="5"/>
  <c r="BF438" i="5"/>
  <c r="BH438" i="5"/>
  <c r="BI438" i="5"/>
  <c r="BJ438" i="5"/>
  <c r="BK438" i="5"/>
  <c r="BM438" i="5"/>
  <c r="BN438" i="5"/>
  <c r="BO438" i="5"/>
  <c r="BP438" i="5"/>
  <c r="BR438" i="5"/>
  <c r="BS438" i="5"/>
  <c r="BT438" i="5"/>
  <c r="BU438" i="5"/>
  <c r="BC439" i="5"/>
  <c r="BD439" i="5"/>
  <c r="BE439" i="5"/>
  <c r="BF439" i="5"/>
  <c r="BH439" i="5"/>
  <c r="BI439" i="5"/>
  <c r="BJ439" i="5"/>
  <c r="BK439" i="5"/>
  <c r="BM439" i="5"/>
  <c r="BN439" i="5"/>
  <c r="BO439" i="5"/>
  <c r="BP439" i="5"/>
  <c r="BR439" i="5"/>
  <c r="BS439" i="5"/>
  <c r="BT439" i="5"/>
  <c r="BU439" i="5"/>
  <c r="BC440" i="5"/>
  <c r="BD440" i="5"/>
  <c r="BE440" i="5"/>
  <c r="BF440" i="5"/>
  <c r="BH440" i="5"/>
  <c r="BI440" i="5"/>
  <c r="BJ440" i="5"/>
  <c r="BK440" i="5"/>
  <c r="BM440" i="5"/>
  <c r="BN440" i="5"/>
  <c r="BO440" i="5"/>
  <c r="BP440" i="5"/>
  <c r="BR440" i="5"/>
  <c r="BS440" i="5"/>
  <c r="BT440" i="5"/>
  <c r="BU440" i="5"/>
  <c r="BC441" i="5"/>
  <c r="BD441" i="5"/>
  <c r="BE441" i="5"/>
  <c r="BF441" i="5"/>
  <c r="BH441" i="5"/>
  <c r="BI441" i="5"/>
  <c r="BJ441" i="5"/>
  <c r="BK441" i="5"/>
  <c r="BM441" i="5"/>
  <c r="BN441" i="5"/>
  <c r="BO441" i="5"/>
  <c r="BP441" i="5"/>
  <c r="BR441" i="5"/>
  <c r="BS441" i="5"/>
  <c r="BT441" i="5"/>
  <c r="BU441" i="5"/>
  <c r="BC442" i="5"/>
  <c r="BD442" i="5"/>
  <c r="BE442" i="5"/>
  <c r="BF442" i="5"/>
  <c r="BH442" i="5"/>
  <c r="BI442" i="5"/>
  <c r="BJ442" i="5"/>
  <c r="BK442" i="5"/>
  <c r="BM442" i="5"/>
  <c r="BN442" i="5"/>
  <c r="BO442" i="5"/>
  <c r="BP442" i="5"/>
  <c r="BR442" i="5"/>
  <c r="BS442" i="5"/>
  <c r="BT442" i="5"/>
  <c r="BU442" i="5"/>
  <c r="BC443" i="5"/>
  <c r="BD443" i="5"/>
  <c r="BE443" i="5"/>
  <c r="BF443" i="5"/>
  <c r="BH443" i="5"/>
  <c r="BI443" i="5"/>
  <c r="BJ443" i="5"/>
  <c r="BK443" i="5"/>
  <c r="BM443" i="5"/>
  <c r="BN443" i="5"/>
  <c r="BO443" i="5"/>
  <c r="BP443" i="5"/>
  <c r="BR443" i="5"/>
  <c r="BS443" i="5"/>
  <c r="BT443" i="5"/>
  <c r="BU443" i="5"/>
  <c r="BC444" i="5"/>
  <c r="BD444" i="5"/>
  <c r="BE444" i="5"/>
  <c r="BF444" i="5"/>
  <c r="BH444" i="5"/>
  <c r="BI444" i="5"/>
  <c r="BJ444" i="5"/>
  <c r="BK444" i="5"/>
  <c r="BM444" i="5"/>
  <c r="BN444" i="5"/>
  <c r="BO444" i="5"/>
  <c r="BP444" i="5"/>
  <c r="BR444" i="5"/>
  <c r="BS444" i="5"/>
  <c r="BT444" i="5"/>
  <c r="BU444" i="5"/>
  <c r="BC445" i="5"/>
  <c r="BD445" i="5"/>
  <c r="BE445" i="5"/>
  <c r="BF445" i="5"/>
  <c r="BH445" i="5"/>
  <c r="BI445" i="5"/>
  <c r="BJ445" i="5"/>
  <c r="BK445" i="5"/>
  <c r="BM445" i="5"/>
  <c r="BN445" i="5"/>
  <c r="BO445" i="5"/>
  <c r="BP445" i="5"/>
  <c r="BR445" i="5"/>
  <c r="BS445" i="5"/>
  <c r="BT445" i="5"/>
  <c r="BU445" i="5"/>
  <c r="BC446" i="5"/>
  <c r="BD446" i="5"/>
  <c r="BE446" i="5"/>
  <c r="BF446" i="5"/>
  <c r="BH446" i="5"/>
  <c r="BI446" i="5"/>
  <c r="BJ446" i="5"/>
  <c r="BK446" i="5"/>
  <c r="BM446" i="5"/>
  <c r="BN446" i="5"/>
  <c r="BO446" i="5"/>
  <c r="BP446" i="5"/>
  <c r="BR446" i="5"/>
  <c r="BS446" i="5"/>
  <c r="BT446" i="5"/>
  <c r="BU446" i="5"/>
  <c r="BC447" i="5"/>
  <c r="BD447" i="5"/>
  <c r="BE447" i="5"/>
  <c r="BF447" i="5"/>
  <c r="BH447" i="5"/>
  <c r="BI447" i="5"/>
  <c r="BJ447" i="5"/>
  <c r="BK447" i="5"/>
  <c r="BM447" i="5"/>
  <c r="BN447" i="5"/>
  <c r="BO447" i="5"/>
  <c r="BP447" i="5"/>
  <c r="BR447" i="5"/>
  <c r="BS447" i="5"/>
  <c r="BT447" i="5"/>
  <c r="BU447" i="5"/>
  <c r="BC448" i="5"/>
  <c r="BD448" i="5"/>
  <c r="BE448" i="5"/>
  <c r="BF448" i="5"/>
  <c r="BH448" i="5"/>
  <c r="BI448" i="5"/>
  <c r="BJ448" i="5"/>
  <c r="BK448" i="5"/>
  <c r="BM448" i="5"/>
  <c r="BN448" i="5"/>
  <c r="BO448" i="5"/>
  <c r="BP448" i="5"/>
  <c r="BR448" i="5"/>
  <c r="BS448" i="5"/>
  <c r="BT448" i="5"/>
  <c r="BU448" i="5"/>
  <c r="BC449" i="5"/>
  <c r="BD449" i="5"/>
  <c r="BE449" i="5"/>
  <c r="BF449" i="5"/>
  <c r="BH449" i="5"/>
  <c r="BI449" i="5"/>
  <c r="BJ449" i="5"/>
  <c r="BK449" i="5"/>
  <c r="BM449" i="5"/>
  <c r="BN449" i="5"/>
  <c r="BO449" i="5"/>
  <c r="BP449" i="5"/>
  <c r="BR449" i="5"/>
  <c r="BS449" i="5"/>
  <c r="BT449" i="5"/>
  <c r="BU449" i="5"/>
  <c r="BC450" i="5"/>
  <c r="BD450" i="5"/>
  <c r="BE450" i="5"/>
  <c r="BF450" i="5"/>
  <c r="BH450" i="5"/>
  <c r="BI450" i="5"/>
  <c r="BJ450" i="5"/>
  <c r="BK450" i="5"/>
  <c r="BM450" i="5"/>
  <c r="BN450" i="5"/>
  <c r="BO450" i="5"/>
  <c r="BP450" i="5"/>
  <c r="BR450" i="5"/>
  <c r="BS450" i="5"/>
  <c r="BT450" i="5"/>
  <c r="BU450" i="5"/>
  <c r="BC451" i="5"/>
  <c r="BD451" i="5"/>
  <c r="BE451" i="5"/>
  <c r="BF451" i="5"/>
  <c r="BH451" i="5"/>
  <c r="BI451" i="5"/>
  <c r="BJ451" i="5"/>
  <c r="BK451" i="5"/>
  <c r="BM451" i="5"/>
  <c r="BN451" i="5"/>
  <c r="BO451" i="5"/>
  <c r="BP451" i="5"/>
  <c r="BR451" i="5"/>
  <c r="BS451" i="5"/>
  <c r="BT451" i="5"/>
  <c r="BU451" i="5"/>
  <c r="BC452" i="5"/>
  <c r="BD452" i="5"/>
  <c r="BE452" i="5"/>
  <c r="BF452" i="5"/>
  <c r="BH452" i="5"/>
  <c r="BI452" i="5"/>
  <c r="BJ452" i="5"/>
  <c r="BK452" i="5"/>
  <c r="BM452" i="5"/>
  <c r="BN452" i="5"/>
  <c r="BO452" i="5"/>
  <c r="BP452" i="5"/>
  <c r="BR452" i="5"/>
  <c r="BS452" i="5"/>
  <c r="BT452" i="5"/>
  <c r="BU452" i="5"/>
  <c r="BC453" i="5"/>
  <c r="BD453" i="5"/>
  <c r="BE453" i="5"/>
  <c r="BF453" i="5"/>
  <c r="BH453" i="5"/>
  <c r="BI453" i="5"/>
  <c r="BJ453" i="5"/>
  <c r="BK453" i="5"/>
  <c r="BM453" i="5"/>
  <c r="BN453" i="5"/>
  <c r="BO453" i="5"/>
  <c r="BP453" i="5"/>
  <c r="BR453" i="5"/>
  <c r="BS453" i="5"/>
  <c r="BT453" i="5"/>
  <c r="BU453" i="5"/>
  <c r="BC454" i="5"/>
  <c r="BD454" i="5"/>
  <c r="BE454" i="5"/>
  <c r="BF454" i="5"/>
  <c r="BH454" i="5"/>
  <c r="BI454" i="5"/>
  <c r="BJ454" i="5"/>
  <c r="BK454" i="5"/>
  <c r="BM454" i="5"/>
  <c r="BN454" i="5"/>
  <c r="BO454" i="5"/>
  <c r="BP454" i="5"/>
  <c r="BR454" i="5"/>
  <c r="BS454" i="5"/>
  <c r="BT454" i="5"/>
  <c r="BU454" i="5"/>
  <c r="BC455" i="5"/>
  <c r="BD455" i="5"/>
  <c r="BE455" i="5"/>
  <c r="BF455" i="5"/>
  <c r="BH455" i="5"/>
  <c r="BI455" i="5"/>
  <c r="BJ455" i="5"/>
  <c r="BK455" i="5"/>
  <c r="BM455" i="5"/>
  <c r="BN455" i="5"/>
  <c r="BO455" i="5"/>
  <c r="BP455" i="5"/>
  <c r="BR455" i="5"/>
  <c r="BS455" i="5"/>
  <c r="BT455" i="5"/>
  <c r="BU455" i="5"/>
  <c r="BC456" i="5"/>
  <c r="BD456" i="5"/>
  <c r="BE456" i="5"/>
  <c r="BF456" i="5"/>
  <c r="BH456" i="5"/>
  <c r="BI456" i="5"/>
  <c r="BJ456" i="5"/>
  <c r="BK456" i="5"/>
  <c r="BM456" i="5"/>
  <c r="BN456" i="5"/>
  <c r="BO456" i="5"/>
  <c r="BP456" i="5"/>
  <c r="BR456" i="5"/>
  <c r="BS456" i="5"/>
  <c r="BT456" i="5"/>
  <c r="BU456" i="5"/>
  <c r="BC457" i="5"/>
  <c r="BD457" i="5"/>
  <c r="BE457" i="5"/>
  <c r="BF457" i="5"/>
  <c r="BH457" i="5"/>
  <c r="BI457" i="5"/>
  <c r="BJ457" i="5"/>
  <c r="BK457" i="5"/>
  <c r="BM457" i="5"/>
  <c r="BN457" i="5"/>
  <c r="BO457" i="5"/>
  <c r="BP457" i="5"/>
  <c r="BR457" i="5"/>
  <c r="BS457" i="5"/>
  <c r="BT457" i="5"/>
  <c r="BU457" i="5"/>
  <c r="BC458" i="5"/>
  <c r="BD458" i="5"/>
  <c r="BE458" i="5"/>
  <c r="BF458" i="5"/>
  <c r="BH458" i="5"/>
  <c r="BI458" i="5"/>
  <c r="BJ458" i="5"/>
  <c r="BK458" i="5"/>
  <c r="BM458" i="5"/>
  <c r="BN458" i="5"/>
  <c r="BO458" i="5"/>
  <c r="BP458" i="5"/>
  <c r="BR458" i="5"/>
  <c r="BS458" i="5"/>
  <c r="BT458" i="5"/>
  <c r="BU458" i="5"/>
  <c r="BC459" i="5"/>
  <c r="BD459" i="5"/>
  <c r="BE459" i="5"/>
  <c r="BF459" i="5"/>
  <c r="BH459" i="5"/>
  <c r="BI459" i="5"/>
  <c r="BJ459" i="5"/>
  <c r="BK459" i="5"/>
  <c r="BM459" i="5"/>
  <c r="BN459" i="5"/>
  <c r="BO459" i="5"/>
  <c r="BP459" i="5"/>
  <c r="BR459" i="5"/>
  <c r="BS459" i="5"/>
  <c r="BT459" i="5"/>
  <c r="BU459" i="5"/>
  <c r="BC460" i="5"/>
  <c r="BD460" i="5"/>
  <c r="BE460" i="5"/>
  <c r="BF460" i="5"/>
  <c r="BH460" i="5"/>
  <c r="BI460" i="5"/>
  <c r="BJ460" i="5"/>
  <c r="BK460" i="5"/>
  <c r="BM460" i="5"/>
  <c r="BN460" i="5"/>
  <c r="BO460" i="5"/>
  <c r="BP460" i="5"/>
  <c r="BR460" i="5"/>
  <c r="BS460" i="5"/>
  <c r="BT460" i="5"/>
  <c r="BU460" i="5"/>
  <c r="BC461" i="5"/>
  <c r="BD461" i="5"/>
  <c r="BE461" i="5"/>
  <c r="BF461" i="5"/>
  <c r="BH461" i="5"/>
  <c r="BI461" i="5"/>
  <c r="BJ461" i="5"/>
  <c r="BK461" i="5"/>
  <c r="BM461" i="5"/>
  <c r="BN461" i="5"/>
  <c r="BO461" i="5"/>
  <c r="BP461" i="5"/>
  <c r="BR461" i="5"/>
  <c r="BS461" i="5"/>
  <c r="BT461" i="5"/>
  <c r="BU461" i="5"/>
  <c r="BC462" i="5"/>
  <c r="BD462" i="5"/>
  <c r="BE462" i="5"/>
  <c r="BF462" i="5"/>
  <c r="BH462" i="5"/>
  <c r="BI462" i="5"/>
  <c r="BJ462" i="5"/>
  <c r="BK462" i="5"/>
  <c r="BM462" i="5"/>
  <c r="BN462" i="5"/>
  <c r="BO462" i="5"/>
  <c r="BP462" i="5"/>
  <c r="BR462" i="5"/>
  <c r="BS462" i="5"/>
  <c r="BT462" i="5"/>
  <c r="BU462" i="5"/>
  <c r="BC463" i="5"/>
  <c r="BD463" i="5"/>
  <c r="BE463" i="5"/>
  <c r="BF463" i="5"/>
  <c r="BH463" i="5"/>
  <c r="BI463" i="5"/>
  <c r="BJ463" i="5"/>
  <c r="BK463" i="5"/>
  <c r="BM463" i="5"/>
  <c r="BN463" i="5"/>
  <c r="BO463" i="5"/>
  <c r="BP463" i="5"/>
  <c r="BR463" i="5"/>
  <c r="BS463" i="5"/>
  <c r="BT463" i="5"/>
  <c r="BU463" i="5"/>
  <c r="BC464" i="5"/>
  <c r="BD464" i="5"/>
  <c r="BE464" i="5"/>
  <c r="BF464" i="5"/>
  <c r="BH464" i="5"/>
  <c r="BI464" i="5"/>
  <c r="BJ464" i="5"/>
  <c r="BK464" i="5"/>
  <c r="BM464" i="5"/>
  <c r="BN464" i="5"/>
  <c r="BO464" i="5"/>
  <c r="BP464" i="5"/>
  <c r="BR464" i="5"/>
  <c r="BS464" i="5"/>
  <c r="BT464" i="5"/>
  <c r="BU464" i="5"/>
  <c r="BC465" i="5"/>
  <c r="BD465" i="5"/>
  <c r="BE465" i="5"/>
  <c r="BF465" i="5"/>
  <c r="BH465" i="5"/>
  <c r="BI465" i="5"/>
  <c r="BJ465" i="5"/>
  <c r="BK465" i="5"/>
  <c r="BM465" i="5"/>
  <c r="BN465" i="5"/>
  <c r="BO465" i="5"/>
  <c r="BP465" i="5"/>
  <c r="BR465" i="5"/>
  <c r="BS465" i="5"/>
  <c r="BT465" i="5"/>
  <c r="BU465" i="5"/>
  <c r="BC466" i="5"/>
  <c r="BD466" i="5"/>
  <c r="BE466" i="5"/>
  <c r="BF466" i="5"/>
  <c r="BH466" i="5"/>
  <c r="BI466" i="5"/>
  <c r="BJ466" i="5"/>
  <c r="BK466" i="5"/>
  <c r="BM466" i="5"/>
  <c r="BN466" i="5"/>
  <c r="BO466" i="5"/>
  <c r="BP466" i="5"/>
  <c r="BR466" i="5"/>
  <c r="BS466" i="5"/>
  <c r="BT466" i="5"/>
  <c r="BU466" i="5"/>
  <c r="BC467" i="5"/>
  <c r="BD467" i="5"/>
  <c r="BE467" i="5"/>
  <c r="BF467" i="5"/>
  <c r="BH467" i="5"/>
  <c r="BI467" i="5"/>
  <c r="BJ467" i="5"/>
  <c r="BK467" i="5"/>
  <c r="BM467" i="5"/>
  <c r="BN467" i="5"/>
  <c r="BO467" i="5"/>
  <c r="BP467" i="5"/>
  <c r="BR467" i="5"/>
  <c r="BS467" i="5"/>
  <c r="BT467" i="5"/>
  <c r="BU467" i="5"/>
  <c r="BC468" i="5"/>
  <c r="BD468" i="5"/>
  <c r="BE468" i="5"/>
  <c r="BF468" i="5"/>
  <c r="BH468" i="5"/>
  <c r="BI468" i="5"/>
  <c r="BJ468" i="5"/>
  <c r="BK468" i="5"/>
  <c r="BM468" i="5"/>
  <c r="BN468" i="5"/>
  <c r="BO468" i="5"/>
  <c r="BP468" i="5"/>
  <c r="BR468" i="5"/>
  <c r="BS468" i="5"/>
  <c r="BT468" i="5"/>
  <c r="BU468" i="5"/>
  <c r="BC469" i="5"/>
  <c r="BD469" i="5"/>
  <c r="BE469" i="5"/>
  <c r="BF469" i="5"/>
  <c r="BH469" i="5"/>
  <c r="BI469" i="5"/>
  <c r="BJ469" i="5"/>
  <c r="BK469" i="5"/>
  <c r="BM469" i="5"/>
  <c r="BN469" i="5"/>
  <c r="BO469" i="5"/>
  <c r="BP469" i="5"/>
  <c r="BR469" i="5"/>
  <c r="BS469" i="5"/>
  <c r="BT469" i="5"/>
  <c r="BU469" i="5"/>
  <c r="BC470" i="5"/>
  <c r="BD470" i="5"/>
  <c r="BE470" i="5"/>
  <c r="BF470" i="5"/>
  <c r="BH470" i="5"/>
  <c r="BI470" i="5"/>
  <c r="BJ470" i="5"/>
  <c r="BK470" i="5"/>
  <c r="BM470" i="5"/>
  <c r="BN470" i="5"/>
  <c r="BO470" i="5"/>
  <c r="BP470" i="5"/>
  <c r="BR470" i="5"/>
  <c r="BS470" i="5"/>
  <c r="BT470" i="5"/>
  <c r="BU470" i="5"/>
  <c r="BC471" i="5"/>
  <c r="BD471" i="5"/>
  <c r="BE471" i="5"/>
  <c r="BF471" i="5"/>
  <c r="BH471" i="5"/>
  <c r="BI471" i="5"/>
  <c r="BJ471" i="5"/>
  <c r="BK471" i="5"/>
  <c r="BM471" i="5"/>
  <c r="BN471" i="5"/>
  <c r="BO471" i="5"/>
  <c r="BP471" i="5"/>
  <c r="BR471" i="5"/>
  <c r="BS471" i="5"/>
  <c r="BT471" i="5"/>
  <c r="BU471" i="5"/>
  <c r="BC472" i="5"/>
  <c r="BD472" i="5"/>
  <c r="BE472" i="5"/>
  <c r="BF472" i="5"/>
  <c r="BH472" i="5"/>
  <c r="BI472" i="5"/>
  <c r="BJ472" i="5"/>
  <c r="BK472" i="5"/>
  <c r="BM472" i="5"/>
  <c r="BN472" i="5"/>
  <c r="BO472" i="5"/>
  <c r="BP472" i="5"/>
  <c r="BR472" i="5"/>
  <c r="BS472" i="5"/>
  <c r="BT472" i="5"/>
  <c r="BU472" i="5"/>
  <c r="BC473" i="5"/>
  <c r="BD473" i="5"/>
  <c r="BE473" i="5"/>
  <c r="BF473" i="5"/>
  <c r="BH473" i="5"/>
  <c r="BI473" i="5"/>
  <c r="BJ473" i="5"/>
  <c r="BK473" i="5"/>
  <c r="BM473" i="5"/>
  <c r="BN473" i="5"/>
  <c r="BO473" i="5"/>
  <c r="BP473" i="5"/>
  <c r="BR473" i="5"/>
  <c r="BS473" i="5"/>
  <c r="BT473" i="5"/>
  <c r="BU473" i="5"/>
  <c r="BC474" i="5"/>
  <c r="BD474" i="5"/>
  <c r="BE474" i="5"/>
  <c r="BF474" i="5"/>
  <c r="BH474" i="5"/>
  <c r="BI474" i="5"/>
  <c r="BJ474" i="5"/>
  <c r="BK474" i="5"/>
  <c r="BM474" i="5"/>
  <c r="BN474" i="5"/>
  <c r="BO474" i="5"/>
  <c r="BP474" i="5"/>
  <c r="BR474" i="5"/>
  <c r="BS474" i="5"/>
  <c r="BT474" i="5"/>
  <c r="BU474" i="5"/>
  <c r="BC475" i="5"/>
  <c r="BD475" i="5"/>
  <c r="BE475" i="5"/>
  <c r="BF475" i="5"/>
  <c r="BH475" i="5"/>
  <c r="BI475" i="5"/>
  <c r="BJ475" i="5"/>
  <c r="BK475" i="5"/>
  <c r="BM475" i="5"/>
  <c r="BN475" i="5"/>
  <c r="BO475" i="5"/>
  <c r="BP475" i="5"/>
  <c r="BR475" i="5"/>
  <c r="BS475" i="5"/>
  <c r="BT475" i="5"/>
  <c r="BU475" i="5"/>
  <c r="BC476" i="5"/>
  <c r="BD476" i="5"/>
  <c r="BE476" i="5"/>
  <c r="BF476" i="5"/>
  <c r="BH476" i="5"/>
  <c r="BI476" i="5"/>
  <c r="BJ476" i="5"/>
  <c r="BK476" i="5"/>
  <c r="BM476" i="5"/>
  <c r="BN476" i="5"/>
  <c r="BO476" i="5"/>
  <c r="BP476" i="5"/>
  <c r="BR476" i="5"/>
  <c r="BS476" i="5"/>
  <c r="BT476" i="5"/>
  <c r="BU476" i="5"/>
  <c r="BC477" i="5"/>
  <c r="BD477" i="5"/>
  <c r="BE477" i="5"/>
  <c r="BF477" i="5"/>
  <c r="BH477" i="5"/>
  <c r="BI477" i="5"/>
  <c r="BJ477" i="5"/>
  <c r="BK477" i="5"/>
  <c r="BM477" i="5"/>
  <c r="BN477" i="5"/>
  <c r="BO477" i="5"/>
  <c r="BP477" i="5"/>
  <c r="BR477" i="5"/>
  <c r="BS477" i="5"/>
  <c r="BT477" i="5"/>
  <c r="BU477" i="5"/>
  <c r="BC478" i="5"/>
  <c r="BD478" i="5"/>
  <c r="BE478" i="5"/>
  <c r="BF478" i="5"/>
  <c r="BH478" i="5"/>
  <c r="BI478" i="5"/>
  <c r="BJ478" i="5"/>
  <c r="BK478" i="5"/>
  <c r="BM478" i="5"/>
  <c r="BN478" i="5"/>
  <c r="BO478" i="5"/>
  <c r="BP478" i="5"/>
  <c r="BR478" i="5"/>
  <c r="BS478" i="5"/>
  <c r="BT478" i="5"/>
  <c r="BU478" i="5"/>
  <c r="BC479" i="5"/>
  <c r="BD479" i="5"/>
  <c r="BE479" i="5"/>
  <c r="BF479" i="5"/>
  <c r="BH479" i="5"/>
  <c r="BI479" i="5"/>
  <c r="BJ479" i="5"/>
  <c r="BK479" i="5"/>
  <c r="BM479" i="5"/>
  <c r="BN479" i="5"/>
  <c r="BO479" i="5"/>
  <c r="BP479" i="5"/>
  <c r="BR479" i="5"/>
  <c r="BS479" i="5"/>
  <c r="BT479" i="5"/>
  <c r="BU479" i="5"/>
  <c r="BC480" i="5"/>
  <c r="BD480" i="5"/>
  <c r="BE480" i="5"/>
  <c r="BF480" i="5"/>
  <c r="BH480" i="5"/>
  <c r="BI480" i="5"/>
  <c r="BJ480" i="5"/>
  <c r="BK480" i="5"/>
  <c r="BM480" i="5"/>
  <c r="BN480" i="5"/>
  <c r="BO480" i="5"/>
  <c r="BP480" i="5"/>
  <c r="BR480" i="5"/>
  <c r="BS480" i="5"/>
  <c r="BT480" i="5"/>
  <c r="BU480" i="5"/>
  <c r="BC481" i="5"/>
  <c r="BD481" i="5"/>
  <c r="BE481" i="5"/>
  <c r="BF481" i="5"/>
  <c r="BH481" i="5"/>
  <c r="BI481" i="5"/>
  <c r="BJ481" i="5"/>
  <c r="BK481" i="5"/>
  <c r="BM481" i="5"/>
  <c r="BN481" i="5"/>
  <c r="BO481" i="5"/>
  <c r="BP481" i="5"/>
  <c r="BR481" i="5"/>
  <c r="BS481" i="5"/>
  <c r="BT481" i="5"/>
  <c r="BU481" i="5"/>
  <c r="BC482" i="5"/>
  <c r="BD482" i="5"/>
  <c r="BE482" i="5"/>
  <c r="BF482" i="5"/>
  <c r="BH482" i="5"/>
  <c r="BI482" i="5"/>
  <c r="BJ482" i="5"/>
  <c r="BK482" i="5"/>
  <c r="BM482" i="5"/>
  <c r="BN482" i="5"/>
  <c r="BO482" i="5"/>
  <c r="BP482" i="5"/>
  <c r="BR482" i="5"/>
  <c r="BS482" i="5"/>
  <c r="BT482" i="5"/>
  <c r="BU482" i="5"/>
  <c r="BC483" i="5"/>
  <c r="BD483" i="5"/>
  <c r="BE483" i="5"/>
  <c r="BF483" i="5"/>
  <c r="BH483" i="5"/>
  <c r="BI483" i="5"/>
  <c r="BJ483" i="5"/>
  <c r="BK483" i="5"/>
  <c r="BM483" i="5"/>
  <c r="BN483" i="5"/>
  <c r="BO483" i="5"/>
  <c r="BP483" i="5"/>
  <c r="BR483" i="5"/>
  <c r="BS483" i="5"/>
  <c r="BT483" i="5"/>
  <c r="BU483" i="5"/>
  <c r="BC484" i="5"/>
  <c r="BD484" i="5"/>
  <c r="BE484" i="5"/>
  <c r="BF484" i="5"/>
  <c r="BH484" i="5"/>
  <c r="BI484" i="5"/>
  <c r="BJ484" i="5"/>
  <c r="BK484" i="5"/>
  <c r="BM484" i="5"/>
  <c r="BN484" i="5"/>
  <c r="BO484" i="5"/>
  <c r="BP484" i="5"/>
  <c r="BR484" i="5"/>
  <c r="BS484" i="5"/>
  <c r="BT484" i="5"/>
  <c r="BU484" i="5"/>
  <c r="BC485" i="5"/>
  <c r="BD485" i="5"/>
  <c r="BE485" i="5"/>
  <c r="BF485" i="5"/>
  <c r="BH485" i="5"/>
  <c r="BI485" i="5"/>
  <c r="BJ485" i="5"/>
  <c r="BK485" i="5"/>
  <c r="BM485" i="5"/>
  <c r="BN485" i="5"/>
  <c r="BO485" i="5"/>
  <c r="BP485" i="5"/>
  <c r="BR485" i="5"/>
  <c r="BS485" i="5"/>
  <c r="BT485" i="5"/>
  <c r="BU485" i="5"/>
  <c r="BC486" i="5"/>
  <c r="BD486" i="5"/>
  <c r="BE486" i="5"/>
  <c r="BF486" i="5"/>
  <c r="BH486" i="5"/>
  <c r="BI486" i="5"/>
  <c r="BJ486" i="5"/>
  <c r="BK486" i="5"/>
  <c r="BM486" i="5"/>
  <c r="BN486" i="5"/>
  <c r="BO486" i="5"/>
  <c r="BP486" i="5"/>
  <c r="BR486" i="5"/>
  <c r="BS486" i="5"/>
  <c r="BT486" i="5"/>
  <c r="BU486" i="5"/>
  <c r="BC487" i="5"/>
  <c r="BD487" i="5"/>
  <c r="BE487" i="5"/>
  <c r="BF487" i="5"/>
  <c r="BH487" i="5"/>
  <c r="BI487" i="5"/>
  <c r="BJ487" i="5"/>
  <c r="BK487" i="5"/>
  <c r="BM487" i="5"/>
  <c r="BN487" i="5"/>
  <c r="BO487" i="5"/>
  <c r="BP487" i="5"/>
  <c r="BR487" i="5"/>
  <c r="BS487" i="5"/>
  <c r="BT487" i="5"/>
  <c r="BU487" i="5"/>
  <c r="BC488" i="5"/>
  <c r="BD488" i="5"/>
  <c r="BE488" i="5"/>
  <c r="BF488" i="5"/>
  <c r="BH488" i="5"/>
  <c r="BI488" i="5"/>
  <c r="BJ488" i="5"/>
  <c r="BK488" i="5"/>
  <c r="BM488" i="5"/>
  <c r="BN488" i="5"/>
  <c r="BO488" i="5"/>
  <c r="BP488" i="5"/>
  <c r="BR488" i="5"/>
  <c r="BS488" i="5"/>
  <c r="BT488" i="5"/>
  <c r="BU488" i="5"/>
  <c r="BC489" i="5"/>
  <c r="BD489" i="5"/>
  <c r="BE489" i="5"/>
  <c r="BF489" i="5"/>
  <c r="BH489" i="5"/>
  <c r="BI489" i="5"/>
  <c r="BJ489" i="5"/>
  <c r="BK489" i="5"/>
  <c r="BM489" i="5"/>
  <c r="BN489" i="5"/>
  <c r="BO489" i="5"/>
  <c r="BP489" i="5"/>
  <c r="BR489" i="5"/>
  <c r="BS489" i="5"/>
  <c r="BT489" i="5"/>
  <c r="BU489" i="5"/>
  <c r="BC490" i="5"/>
  <c r="BD490" i="5"/>
  <c r="BE490" i="5"/>
  <c r="BF490" i="5"/>
  <c r="BH490" i="5"/>
  <c r="BI490" i="5"/>
  <c r="BJ490" i="5"/>
  <c r="BK490" i="5"/>
  <c r="BM490" i="5"/>
  <c r="BN490" i="5"/>
  <c r="BO490" i="5"/>
  <c r="BP490" i="5"/>
  <c r="BR490" i="5"/>
  <c r="BS490" i="5"/>
  <c r="BT490" i="5"/>
  <c r="BU490" i="5"/>
  <c r="BC491" i="5"/>
  <c r="BD491" i="5"/>
  <c r="BE491" i="5"/>
  <c r="BF491" i="5"/>
  <c r="BH491" i="5"/>
  <c r="BI491" i="5"/>
  <c r="BJ491" i="5"/>
  <c r="BK491" i="5"/>
  <c r="BM491" i="5"/>
  <c r="BN491" i="5"/>
  <c r="BO491" i="5"/>
  <c r="BP491" i="5"/>
  <c r="BR491" i="5"/>
  <c r="BS491" i="5"/>
  <c r="BT491" i="5"/>
  <c r="BU491" i="5"/>
  <c r="BC492" i="5"/>
  <c r="BD492" i="5"/>
  <c r="BE492" i="5"/>
  <c r="BF492" i="5"/>
  <c r="BH492" i="5"/>
  <c r="BI492" i="5"/>
  <c r="BJ492" i="5"/>
  <c r="BK492" i="5"/>
  <c r="BM492" i="5"/>
  <c r="BN492" i="5"/>
  <c r="BO492" i="5"/>
  <c r="BP492" i="5"/>
  <c r="BR492" i="5"/>
  <c r="BS492" i="5"/>
  <c r="BT492" i="5"/>
  <c r="BU492" i="5"/>
  <c r="BC493" i="5"/>
  <c r="BD493" i="5"/>
  <c r="BE493" i="5"/>
  <c r="BF493" i="5"/>
  <c r="BH493" i="5"/>
  <c r="BI493" i="5"/>
  <c r="BJ493" i="5"/>
  <c r="BK493" i="5"/>
  <c r="BM493" i="5"/>
  <c r="BN493" i="5"/>
  <c r="BO493" i="5"/>
  <c r="BP493" i="5"/>
  <c r="BR493" i="5"/>
  <c r="BS493" i="5"/>
  <c r="BT493" i="5"/>
  <c r="BU493" i="5"/>
  <c r="BC494" i="5"/>
  <c r="BD494" i="5"/>
  <c r="BE494" i="5"/>
  <c r="BF494" i="5"/>
  <c r="BH494" i="5"/>
  <c r="BI494" i="5"/>
  <c r="BJ494" i="5"/>
  <c r="BK494" i="5"/>
  <c r="BM494" i="5"/>
  <c r="BN494" i="5"/>
  <c r="BO494" i="5"/>
  <c r="BP494" i="5"/>
  <c r="BR494" i="5"/>
  <c r="BS494" i="5"/>
  <c r="BT494" i="5"/>
  <c r="BU494" i="5"/>
  <c r="BC495" i="5"/>
  <c r="BD495" i="5"/>
  <c r="BE495" i="5"/>
  <c r="BF495" i="5"/>
  <c r="BH495" i="5"/>
  <c r="BI495" i="5"/>
  <c r="BJ495" i="5"/>
  <c r="BK495" i="5"/>
  <c r="BM495" i="5"/>
  <c r="BN495" i="5"/>
  <c r="BO495" i="5"/>
  <c r="BP495" i="5"/>
  <c r="BR495" i="5"/>
  <c r="BS495" i="5"/>
  <c r="BT495" i="5"/>
  <c r="BU495" i="5"/>
  <c r="BC496" i="5"/>
  <c r="BD496" i="5"/>
  <c r="BE496" i="5"/>
  <c r="BF496" i="5"/>
  <c r="BH496" i="5"/>
  <c r="BI496" i="5"/>
  <c r="BJ496" i="5"/>
  <c r="BK496" i="5"/>
  <c r="BM496" i="5"/>
  <c r="BN496" i="5"/>
  <c r="BO496" i="5"/>
  <c r="BP496" i="5"/>
  <c r="BR496" i="5"/>
  <c r="BS496" i="5"/>
  <c r="BT496" i="5"/>
  <c r="BU496" i="5"/>
  <c r="L86" i="20"/>
  <c r="J77" i="20" l="1"/>
  <c r="I77" i="20"/>
  <c r="L88" i="20"/>
  <c r="M23" i="20"/>
  <c r="AG375" i="25"/>
  <c r="AG376" i="25"/>
  <c r="AG377" i="25"/>
  <c r="AG378" i="25"/>
  <c r="AG379" i="25"/>
  <c r="AG380" i="25"/>
  <c r="AG381" i="25"/>
  <c r="AG382" i="25"/>
  <c r="AG383" i="25"/>
  <c r="AG384" i="25"/>
  <c r="AG385" i="25"/>
  <c r="AG386" i="25"/>
  <c r="AG387" i="25"/>
  <c r="AG388" i="25"/>
  <c r="AG389" i="25"/>
  <c r="AG390" i="25"/>
  <c r="AG391" i="25"/>
  <c r="AG392" i="25"/>
  <c r="AG393" i="25"/>
  <c r="AG394" i="25"/>
  <c r="AG395" i="25"/>
  <c r="AG396" i="25"/>
  <c r="AG397" i="25"/>
  <c r="AG398" i="25"/>
  <c r="AG399" i="25"/>
  <c r="AG400" i="25"/>
  <c r="AG401" i="25"/>
  <c r="AG402" i="25"/>
  <c r="AG374" i="25"/>
  <c r="AF401" i="25"/>
  <c r="AF400" i="25" s="1"/>
  <c r="AF399" i="25" s="1"/>
  <c r="AF398" i="25" s="1"/>
  <c r="AF397" i="25" s="1"/>
  <c r="AF396" i="25" s="1"/>
  <c r="AF395" i="25" s="1"/>
  <c r="AF394" i="25" s="1"/>
  <c r="AF393" i="25" s="1"/>
  <c r="AF392" i="25" s="1"/>
  <c r="AF391" i="25" s="1"/>
  <c r="AF390" i="25" s="1"/>
  <c r="AF389" i="25" s="1"/>
  <c r="AF388" i="25" s="1"/>
  <c r="AF387" i="25" s="1"/>
  <c r="AF386" i="25" s="1"/>
  <c r="AF385" i="25" s="1"/>
  <c r="AF384" i="25" s="1"/>
  <c r="AF383" i="25" s="1"/>
  <c r="AF382" i="25" s="1"/>
  <c r="AF381" i="25" s="1"/>
  <c r="AF380" i="25" s="1"/>
  <c r="AF379" i="25" s="1"/>
  <c r="AF378" i="25" s="1"/>
  <c r="AF377" i="25" s="1"/>
  <c r="AF376" i="25" s="1"/>
  <c r="AF375" i="25" s="1"/>
  <c r="AF374" i="25" s="1"/>
  <c r="AF402" i="25"/>
  <c r="K89" i="19" l="1"/>
  <c r="J89" i="19"/>
  <c r="I89" i="19"/>
  <c r="L55" i="20"/>
  <c r="L51" i="20"/>
  <c r="L47" i="20"/>
  <c r="L43" i="20"/>
  <c r="K75" i="19"/>
  <c r="L75" i="19" s="1"/>
  <c r="J75" i="19"/>
  <c r="J103" i="19" s="1"/>
  <c r="I75" i="19"/>
  <c r="L57" i="20" l="1"/>
  <c r="L59" i="20" s="1"/>
  <c r="G409" i="5"/>
  <c r="G408" i="5"/>
  <c r="D42" i="20"/>
  <c r="D46" i="20" s="1"/>
  <c r="G46" i="20"/>
  <c r="G50" i="20" s="1"/>
  <c r="G54" i="20" s="1"/>
  <c r="J46" i="20"/>
  <c r="G45" i="20"/>
  <c r="G49" i="20" s="1"/>
  <c r="G53" i="20" s="1"/>
  <c r="I45" i="20"/>
  <c r="I47" i="20" s="1"/>
  <c r="J42" i="20"/>
  <c r="I42" i="20"/>
  <c r="J41" i="20"/>
  <c r="I41" i="20"/>
  <c r="I43" i="20" s="1"/>
  <c r="D45" i="20"/>
  <c r="J45" i="20" l="1"/>
  <c r="A42" i="20"/>
  <c r="A45" i="20"/>
  <c r="K45" i="20" s="1"/>
  <c r="K47" i="20" s="1"/>
  <c r="D49" i="20"/>
  <c r="D50" i="20"/>
  <c r="A46" i="20"/>
  <c r="K46" i="20" s="1"/>
  <c r="A41" i="20"/>
  <c r="K41" i="20" s="1"/>
  <c r="K43" i="20" s="1"/>
  <c r="I46" i="20"/>
  <c r="AB407" i="26"/>
  <c r="AA405" i="26"/>
  <c r="AA404" i="26" s="1"/>
  <c r="AA403" i="26" s="1"/>
  <c r="AA402" i="26" s="1"/>
  <c r="AA401" i="26" s="1"/>
  <c r="AA400" i="26" s="1"/>
  <c r="AA399" i="26" s="1"/>
  <c r="AA398" i="26" s="1"/>
  <c r="AA397" i="26" s="1"/>
  <c r="AA396" i="26" s="1"/>
  <c r="AA395" i="26" s="1"/>
  <c r="AA394" i="26" s="1"/>
  <c r="AA393" i="26" s="1"/>
  <c r="AA392" i="26" s="1"/>
  <c r="AA391" i="26" s="1"/>
  <c r="AA390" i="26" s="1"/>
  <c r="AA389" i="26" s="1"/>
  <c r="AA388" i="26" s="1"/>
  <c r="AA387" i="26" s="1"/>
  <c r="AA386" i="26" s="1"/>
  <c r="AA385" i="26" s="1"/>
  <c r="AA384" i="26" s="1"/>
  <c r="AA383" i="26" s="1"/>
  <c r="AA382" i="26" s="1"/>
  <c r="AA381" i="26" s="1"/>
  <c r="AA380" i="26" s="1"/>
  <c r="AA379" i="26" s="1"/>
  <c r="AA378" i="26" s="1"/>
  <c r="AA377" i="26" s="1"/>
  <c r="AA376" i="26" s="1"/>
  <c r="AA406" i="26"/>
  <c r="AA407" i="26"/>
  <c r="T377" i="26"/>
  <c r="U377" i="26"/>
  <c r="X377" i="26"/>
  <c r="V377" i="26" s="1"/>
  <c r="W377" i="26" s="1"/>
  <c r="AC377" i="26" s="1"/>
  <c r="Z377" i="26"/>
  <c r="AB377" i="26"/>
  <c r="T378" i="26"/>
  <c r="T379" i="26" s="1"/>
  <c r="U378" i="26"/>
  <c r="U379" i="26" s="1"/>
  <c r="U380" i="26" s="1"/>
  <c r="U381" i="26" s="1"/>
  <c r="U382" i="26" s="1"/>
  <c r="U383" i="26" s="1"/>
  <c r="U384" i="26" s="1"/>
  <c r="U385" i="26" s="1"/>
  <c r="U386" i="26" s="1"/>
  <c r="U387" i="26" s="1"/>
  <c r="U388" i="26" s="1"/>
  <c r="U389" i="26" s="1"/>
  <c r="U390" i="26" s="1"/>
  <c r="U391" i="26" s="1"/>
  <c r="U392" i="26" s="1"/>
  <c r="U393" i="26" s="1"/>
  <c r="U394" i="26" s="1"/>
  <c r="U395" i="26" s="1"/>
  <c r="U396" i="26" s="1"/>
  <c r="U397" i="26" s="1"/>
  <c r="U398" i="26" s="1"/>
  <c r="U399" i="26" s="1"/>
  <c r="U400" i="26" s="1"/>
  <c r="U401" i="26" s="1"/>
  <c r="U402" i="26" s="1"/>
  <c r="U403" i="26" s="1"/>
  <c r="U404" i="26" s="1"/>
  <c r="U405" i="26" s="1"/>
  <c r="U406" i="26" s="1"/>
  <c r="U407" i="26" s="1"/>
  <c r="X378" i="26"/>
  <c r="V378" i="26" s="1"/>
  <c r="W378" i="26" s="1"/>
  <c r="AC378" i="26" s="1"/>
  <c r="Z378" i="26"/>
  <c r="AB378" i="26"/>
  <c r="Z379" i="26"/>
  <c r="AB379" i="26"/>
  <c r="Z380" i="26"/>
  <c r="AB380" i="26"/>
  <c r="Z381" i="26"/>
  <c r="AB381" i="26"/>
  <c r="Z382" i="26"/>
  <c r="AB382" i="26"/>
  <c r="Z383" i="26"/>
  <c r="AB383" i="26"/>
  <c r="Z384" i="26"/>
  <c r="AB384" i="26"/>
  <c r="Z385" i="26"/>
  <c r="AB385" i="26"/>
  <c r="Z386" i="26"/>
  <c r="AB386" i="26"/>
  <c r="Z387" i="26"/>
  <c r="AB387" i="26"/>
  <c r="Z388" i="26"/>
  <c r="AB388" i="26"/>
  <c r="Z389" i="26"/>
  <c r="AB389" i="26"/>
  <c r="Z390" i="26"/>
  <c r="AB390" i="26"/>
  <c r="Z391" i="26"/>
  <c r="AB391" i="26"/>
  <c r="Z392" i="26"/>
  <c r="AB392" i="26"/>
  <c r="Z393" i="26"/>
  <c r="AB393" i="26"/>
  <c r="Z394" i="26"/>
  <c r="AB394" i="26"/>
  <c r="Z395" i="26"/>
  <c r="AB395" i="26"/>
  <c r="Z396" i="26"/>
  <c r="AB396" i="26"/>
  <c r="Z397" i="26"/>
  <c r="AB397" i="26"/>
  <c r="Z398" i="26"/>
  <c r="AB398" i="26"/>
  <c r="Z399" i="26"/>
  <c r="AB399" i="26"/>
  <c r="Z400" i="26"/>
  <c r="AB400" i="26"/>
  <c r="Z401" i="26"/>
  <c r="AB401" i="26"/>
  <c r="Z402" i="26"/>
  <c r="AB402" i="26"/>
  <c r="Z403" i="26"/>
  <c r="AB403" i="26"/>
  <c r="Z404" i="26"/>
  <c r="AB404" i="26"/>
  <c r="Z405" i="26"/>
  <c r="AB405" i="26"/>
  <c r="Z406" i="26"/>
  <c r="AB406" i="26"/>
  <c r="Z407" i="26"/>
  <c r="AB376" i="26"/>
  <c r="Z376" i="26"/>
  <c r="U376" i="26"/>
  <c r="T376" i="26"/>
  <c r="X376" i="26" s="1"/>
  <c r="V376" i="26" s="1"/>
  <c r="W376" i="26" s="1"/>
  <c r="AC376" i="26" s="1"/>
  <c r="B50" i="20" l="1"/>
  <c r="J49" i="20"/>
  <c r="I49" i="20"/>
  <c r="I51" i="20" s="1"/>
  <c r="I53" i="20"/>
  <c r="I55" i="20" s="1"/>
  <c r="M41" i="20"/>
  <c r="M43" i="20" s="1"/>
  <c r="A50" i="20"/>
  <c r="K50" i="20" s="1"/>
  <c r="D54" i="20"/>
  <c r="A54" i="20" s="1"/>
  <c r="K54" i="20" s="1"/>
  <c r="D53" i="20"/>
  <c r="A53" i="20" s="1"/>
  <c r="K53" i="20" s="1"/>
  <c r="K55" i="20" s="1"/>
  <c r="A49" i="20"/>
  <c r="K49" i="20" s="1"/>
  <c r="K51" i="20" s="1"/>
  <c r="J50" i="20"/>
  <c r="I50" i="20"/>
  <c r="M46" i="20"/>
  <c r="M45" i="20"/>
  <c r="M47" i="20" s="1"/>
  <c r="T380" i="26"/>
  <c r="X379" i="26"/>
  <c r="V379" i="26" s="1"/>
  <c r="W379" i="26" s="1"/>
  <c r="AC379" i="26" s="1"/>
  <c r="J53" i="20" l="1"/>
  <c r="J57" i="20" s="1"/>
  <c r="B54" i="20"/>
  <c r="J54" i="20" s="1"/>
  <c r="K57" i="20"/>
  <c r="M49" i="20"/>
  <c r="M51" i="20" s="1"/>
  <c r="M53" i="20"/>
  <c r="M55" i="20" s="1"/>
  <c r="M54" i="20"/>
  <c r="M50" i="20"/>
  <c r="X380" i="26"/>
  <c r="V380" i="26" s="1"/>
  <c r="W380" i="26" s="1"/>
  <c r="AC380" i="26" s="1"/>
  <c r="T381" i="26"/>
  <c r="I54" i="20" l="1"/>
  <c r="M57" i="20"/>
  <c r="M59" i="20" s="1"/>
  <c r="X381" i="26"/>
  <c r="V381" i="26" s="1"/>
  <c r="W381" i="26" s="1"/>
  <c r="AC381" i="26" s="1"/>
  <c r="T382" i="26"/>
  <c r="X382" i="26" l="1"/>
  <c r="V382" i="26" s="1"/>
  <c r="W382" i="26" s="1"/>
  <c r="AC382" i="26" s="1"/>
  <c r="T383" i="26"/>
  <c r="T384" i="26" l="1"/>
  <c r="X383" i="26"/>
  <c r="V383" i="26" s="1"/>
  <c r="W383" i="26" s="1"/>
  <c r="AC383" i="26" s="1"/>
  <c r="X384" i="26" l="1"/>
  <c r="V384" i="26" s="1"/>
  <c r="W384" i="26" s="1"/>
  <c r="AC384" i="26" s="1"/>
  <c r="T385" i="26"/>
  <c r="T386" i="26" l="1"/>
  <c r="X385" i="26"/>
  <c r="V385" i="26" s="1"/>
  <c r="W385" i="26" s="1"/>
  <c r="AC385" i="26" s="1"/>
  <c r="T387" i="26" l="1"/>
  <c r="X386" i="26"/>
  <c r="V386" i="26" s="1"/>
  <c r="W386" i="26" s="1"/>
  <c r="AC386" i="26" s="1"/>
  <c r="X387" i="26" l="1"/>
  <c r="V387" i="26" s="1"/>
  <c r="W387" i="26" s="1"/>
  <c r="AC387" i="26" s="1"/>
  <c r="T388" i="26"/>
  <c r="X388" i="26" l="1"/>
  <c r="V388" i="26" s="1"/>
  <c r="W388" i="26" s="1"/>
  <c r="AC388" i="26" s="1"/>
  <c r="T389" i="26"/>
  <c r="X389" i="26" l="1"/>
  <c r="V389" i="26" s="1"/>
  <c r="W389" i="26" s="1"/>
  <c r="AC389" i="26" s="1"/>
  <c r="T390" i="26"/>
  <c r="T391" i="26" l="1"/>
  <c r="X390" i="26"/>
  <c r="V390" i="26" s="1"/>
  <c r="W390" i="26" s="1"/>
  <c r="AC390" i="26" s="1"/>
  <c r="AH401" i="24"/>
  <c r="AH400" i="24" s="1"/>
  <c r="AH399" i="24" s="1"/>
  <c r="AH398" i="24" s="1"/>
  <c r="AH397" i="24" s="1"/>
  <c r="AH396" i="24" s="1"/>
  <c r="AH395" i="24" s="1"/>
  <c r="AH394" i="24" s="1"/>
  <c r="AH393" i="24" s="1"/>
  <c r="AH392" i="24" s="1"/>
  <c r="AH391" i="24" s="1"/>
  <c r="AH390" i="24" s="1"/>
  <c r="AH389" i="24" s="1"/>
  <c r="AH388" i="24" s="1"/>
  <c r="AH387" i="24" s="1"/>
  <c r="AH386" i="24" s="1"/>
  <c r="AH385" i="24" s="1"/>
  <c r="AH384" i="24" s="1"/>
  <c r="AH383" i="24" s="1"/>
  <c r="AH382" i="24" s="1"/>
  <c r="AH381" i="24" s="1"/>
  <c r="AH380" i="24" s="1"/>
  <c r="AH379" i="24" s="1"/>
  <c r="AH378" i="24" s="1"/>
  <c r="AH377" i="24" s="1"/>
  <c r="AH376" i="24" s="1"/>
  <c r="AH375" i="24" s="1"/>
  <c r="AH374" i="24" s="1"/>
  <c r="AH402" i="24"/>
  <c r="AH403" i="24"/>
  <c r="AH373" i="24"/>
  <c r="Z375" i="24"/>
  <c r="AB375" i="24" s="1"/>
  <c r="AA375" i="24"/>
  <c r="AI375" i="24"/>
  <c r="Z376" i="24"/>
  <c r="Z377" i="24" s="1"/>
  <c r="AA376" i="24"/>
  <c r="AA377" i="24" s="1"/>
  <c r="AA378" i="24" s="1"/>
  <c r="AA379" i="24" s="1"/>
  <c r="AA380" i="24" s="1"/>
  <c r="AA381" i="24" s="1"/>
  <c r="AA382" i="24" s="1"/>
  <c r="AA383" i="24" s="1"/>
  <c r="AA384" i="24" s="1"/>
  <c r="AA385" i="24" s="1"/>
  <c r="AA386" i="24" s="1"/>
  <c r="AA387" i="24" s="1"/>
  <c r="AA388" i="24" s="1"/>
  <c r="AA389" i="24" s="1"/>
  <c r="AA390" i="24" s="1"/>
  <c r="AA391" i="24" s="1"/>
  <c r="AA392" i="24" s="1"/>
  <c r="AA393" i="24" s="1"/>
  <c r="AA394" i="24" s="1"/>
  <c r="AA395" i="24" s="1"/>
  <c r="AA396" i="24" s="1"/>
  <c r="AA397" i="24" s="1"/>
  <c r="AA398" i="24" s="1"/>
  <c r="AA399" i="24" s="1"/>
  <c r="AA400" i="24" s="1"/>
  <c r="AA401" i="24" s="1"/>
  <c r="AA402" i="24" s="1"/>
  <c r="AA403" i="24" s="1"/>
  <c r="AA404" i="24" s="1"/>
  <c r="AA405" i="24" s="1"/>
  <c r="AA406" i="24" s="1"/>
  <c r="AA407" i="24" s="1"/>
  <c r="AI378" i="24"/>
  <c r="AI379" i="24"/>
  <c r="AI380" i="24"/>
  <c r="AI381" i="24"/>
  <c r="AI382" i="24"/>
  <c r="AI385" i="24"/>
  <c r="AI386" i="24"/>
  <c r="AI387" i="24"/>
  <c r="AI388" i="24"/>
  <c r="AI389" i="24"/>
  <c r="AI392" i="24"/>
  <c r="AI393" i="24"/>
  <c r="AI394" i="24"/>
  <c r="AI395" i="24"/>
  <c r="AI396" i="24"/>
  <c r="AI399" i="24"/>
  <c r="AI400" i="24"/>
  <c r="AI401" i="24"/>
  <c r="AI402" i="24"/>
  <c r="AI403" i="24"/>
  <c r="AI404" i="24"/>
  <c r="AI406" i="24"/>
  <c r="AI407" i="24"/>
  <c r="AI374" i="24"/>
  <c r="AA374" i="24"/>
  <c r="Z374" i="24"/>
  <c r="AB374" i="24" s="1"/>
  <c r="AI405" i="24"/>
  <c r="AI397" i="24"/>
  <c r="AI391" i="24"/>
  <c r="AI383" i="24"/>
  <c r="AB376" i="24"/>
  <c r="AD376" i="24" s="1"/>
  <c r="X391" i="26" l="1"/>
  <c r="V391" i="26" s="1"/>
  <c r="W391" i="26" s="1"/>
  <c r="AC391" i="26" s="1"/>
  <c r="T392" i="26"/>
  <c r="AI390" i="24"/>
  <c r="AI377" i="24"/>
  <c r="AI384" i="24"/>
  <c r="AI376" i="24"/>
  <c r="AI398" i="24"/>
  <c r="AE375" i="24"/>
  <c r="AK375" i="24" s="1"/>
  <c r="AD375" i="24"/>
  <c r="AE376" i="24"/>
  <c r="AK376" i="24" s="1"/>
  <c r="AB377" i="24"/>
  <c r="Z378" i="24"/>
  <c r="AD374" i="24"/>
  <c r="T393" i="26" l="1"/>
  <c r="X392" i="26"/>
  <c r="V392" i="26" s="1"/>
  <c r="W392" i="26" s="1"/>
  <c r="AC392" i="26" s="1"/>
  <c r="AD377" i="24"/>
  <c r="AE377" i="24"/>
  <c r="AK377" i="24" s="1"/>
  <c r="Z379" i="24"/>
  <c r="AB378" i="24"/>
  <c r="T394" i="26" l="1"/>
  <c r="X393" i="26"/>
  <c r="V393" i="26" s="1"/>
  <c r="W393" i="26" s="1"/>
  <c r="AC393" i="26" s="1"/>
  <c r="AD378" i="24"/>
  <c r="AE378" i="24"/>
  <c r="AK378" i="24" s="1"/>
  <c r="AB379" i="24"/>
  <c r="Z380" i="24"/>
  <c r="X394" i="26" l="1"/>
  <c r="V394" i="26" s="1"/>
  <c r="W394" i="26" s="1"/>
  <c r="AC394" i="26" s="1"/>
  <c r="T395" i="26"/>
  <c r="Z381" i="24"/>
  <c r="AB380" i="24"/>
  <c r="AD379" i="24"/>
  <c r="AE379" i="24"/>
  <c r="AK379" i="24" s="1"/>
  <c r="T396" i="26" l="1"/>
  <c r="X395" i="26"/>
  <c r="V395" i="26" s="1"/>
  <c r="W395" i="26" s="1"/>
  <c r="AC395" i="26" s="1"/>
  <c r="AD380" i="24"/>
  <c r="AE380" i="24"/>
  <c r="AK380" i="24" s="1"/>
  <c r="AB381" i="24"/>
  <c r="Z382" i="24"/>
  <c r="X396" i="26" l="1"/>
  <c r="V396" i="26" s="1"/>
  <c r="W396" i="26" s="1"/>
  <c r="AC396" i="26" s="1"/>
  <c r="T397" i="26"/>
  <c r="Z383" i="24"/>
  <c r="AB382" i="24"/>
  <c r="AD381" i="24"/>
  <c r="AE381" i="24"/>
  <c r="AK381" i="24" s="1"/>
  <c r="BH406" i="5" l="1"/>
  <c r="AF736" i="11" s="1"/>
  <c r="T398" i="26"/>
  <c r="X397" i="26"/>
  <c r="V397" i="26" s="1"/>
  <c r="W397" i="26" s="1"/>
  <c r="AC397" i="26" s="1"/>
  <c r="AB383" i="24"/>
  <c r="Z384" i="24"/>
  <c r="AD382" i="24"/>
  <c r="AE382" i="24"/>
  <c r="AK382" i="24" s="1"/>
  <c r="X398" i="26" l="1"/>
  <c r="V398" i="26" s="1"/>
  <c r="W398" i="26" s="1"/>
  <c r="AC398" i="26" s="1"/>
  <c r="T399" i="26"/>
  <c r="Z385" i="24"/>
  <c r="AB384" i="24"/>
  <c r="AD383" i="24"/>
  <c r="AE383" i="24"/>
  <c r="AK383" i="24" s="1"/>
  <c r="T400" i="26" l="1"/>
  <c r="X399" i="26"/>
  <c r="V399" i="26" s="1"/>
  <c r="W399" i="26" s="1"/>
  <c r="AC399" i="26" s="1"/>
  <c r="AD384" i="24"/>
  <c r="AE384" i="24"/>
  <c r="AK384" i="24" s="1"/>
  <c r="AB385" i="24"/>
  <c r="Z386" i="24"/>
  <c r="X400" i="26" l="1"/>
  <c r="V400" i="26" s="1"/>
  <c r="W400" i="26" s="1"/>
  <c r="AC400" i="26" s="1"/>
  <c r="T401" i="26"/>
  <c r="Z387" i="24"/>
  <c r="AB386" i="24"/>
  <c r="AD385" i="24"/>
  <c r="AE385" i="24"/>
  <c r="AK385" i="24" s="1"/>
  <c r="X401" i="26" l="1"/>
  <c r="V401" i="26" s="1"/>
  <c r="W401" i="26" s="1"/>
  <c r="AC401" i="26" s="1"/>
  <c r="T402" i="26"/>
  <c r="AD386" i="24"/>
  <c r="AE386" i="24"/>
  <c r="AK386" i="24" s="1"/>
  <c r="AB387" i="24"/>
  <c r="Z388" i="24"/>
  <c r="T403" i="26" l="1"/>
  <c r="X402" i="26"/>
  <c r="V402" i="26" s="1"/>
  <c r="W402" i="26" s="1"/>
  <c r="AC402" i="26" s="1"/>
  <c r="Z389" i="24"/>
  <c r="AB388" i="24"/>
  <c r="AE387" i="24"/>
  <c r="AK387" i="24" s="1"/>
  <c r="AD387" i="24"/>
  <c r="X403" i="26" l="1"/>
  <c r="V403" i="26" s="1"/>
  <c r="W403" i="26" s="1"/>
  <c r="AC403" i="26" s="1"/>
  <c r="T404" i="26"/>
  <c r="AD388" i="24"/>
  <c r="AE388" i="24"/>
  <c r="AK388" i="24" s="1"/>
  <c r="Z390" i="24"/>
  <c r="T405" i="26" l="1"/>
  <c r="X404" i="26"/>
  <c r="V404" i="26" s="1"/>
  <c r="W404" i="26" s="1"/>
  <c r="AC404" i="26" s="1"/>
  <c r="Z391" i="24"/>
  <c r="AB390" i="24"/>
  <c r="AD389" i="24"/>
  <c r="AE389" i="24"/>
  <c r="AK389" i="24" l="1"/>
  <c r="X405" i="26"/>
  <c r="V405" i="26" s="1"/>
  <c r="W405" i="26" s="1"/>
  <c r="AC405" i="26" s="1"/>
  <c r="T406" i="26"/>
  <c r="AD390" i="24"/>
  <c r="AE390" i="24"/>
  <c r="AK390" i="24" s="1"/>
  <c r="AB391" i="24"/>
  <c r="Z392" i="24"/>
  <c r="AF403" i="24" l="1"/>
  <c r="K77" i="20" s="1"/>
  <c r="L77" i="20" s="1"/>
  <c r="T407" i="26"/>
  <c r="X406" i="26"/>
  <c r="V406" i="26" s="1"/>
  <c r="W406" i="26" s="1"/>
  <c r="AC406" i="26" s="1"/>
  <c r="AD391" i="24"/>
  <c r="AE391" i="24"/>
  <c r="AK391" i="24" s="1"/>
  <c r="Z393" i="24"/>
  <c r="AB392" i="24"/>
  <c r="X407" i="26" l="1"/>
  <c r="V407" i="26" s="1"/>
  <c r="W407" i="26" s="1"/>
  <c r="AC407" i="26" s="1"/>
  <c r="AD392" i="24"/>
  <c r="AE392" i="24"/>
  <c r="AK392" i="24" s="1"/>
  <c r="AB393" i="24"/>
  <c r="Z394" i="24"/>
  <c r="AD393" i="24" l="1"/>
  <c r="AE393" i="24"/>
  <c r="AK393" i="24" s="1"/>
  <c r="Z395" i="24"/>
  <c r="AB394" i="24"/>
  <c r="AD394" i="24" l="1"/>
  <c r="AE394" i="24"/>
  <c r="AK394" i="24" s="1"/>
  <c r="AB395" i="24"/>
  <c r="Z396" i="24"/>
  <c r="AE395" i="24" l="1"/>
  <c r="AK395" i="24" s="1"/>
  <c r="AD395" i="24"/>
  <c r="Z397" i="24"/>
  <c r="AB396" i="24"/>
  <c r="AB397" i="24" l="1"/>
  <c r="Z398" i="24"/>
  <c r="AD396" i="24"/>
  <c r="AE396" i="24"/>
  <c r="AK396" i="24" s="1"/>
  <c r="Z399" i="24" l="1"/>
  <c r="AB398" i="24"/>
  <c r="AD397" i="24"/>
  <c r="AE397" i="24"/>
  <c r="AK397" i="24" s="1"/>
  <c r="AD398" i="24" l="1"/>
  <c r="AE398" i="24"/>
  <c r="AK398" i="24" s="1"/>
  <c r="AB399" i="24"/>
  <c r="Z400" i="24"/>
  <c r="AD399" i="24" l="1"/>
  <c r="AE399" i="24"/>
  <c r="AK399" i="24" s="1"/>
  <c r="Z401" i="24"/>
  <c r="AB400" i="24"/>
  <c r="AD400" i="24" l="1"/>
  <c r="AE400" i="24"/>
  <c r="AK400" i="24" s="1"/>
  <c r="AB401" i="24"/>
  <c r="Z402" i="24"/>
  <c r="AE401" i="24" l="1"/>
  <c r="AK401" i="24" s="1"/>
  <c r="AD401" i="24"/>
  <c r="Z403" i="24"/>
  <c r="AB402" i="24"/>
  <c r="AB403" i="24" l="1"/>
  <c r="Z404" i="24"/>
  <c r="AD402" i="24"/>
  <c r="AE402" i="24"/>
  <c r="AK402" i="24" s="1"/>
  <c r="Z405" i="24" l="1"/>
  <c r="AB404" i="24"/>
  <c r="AD403" i="24"/>
  <c r="AE403" i="24"/>
  <c r="AK403" i="24" s="1"/>
  <c r="AD404" i="24" l="1"/>
  <c r="AE404" i="24"/>
  <c r="AK404" i="24" s="1"/>
  <c r="AB405" i="24"/>
  <c r="Z406" i="24"/>
  <c r="Z407" i="24" l="1"/>
  <c r="AB407" i="24" s="1"/>
  <c r="AB406" i="24"/>
  <c r="AD405" i="24"/>
  <c r="AE405" i="24"/>
  <c r="AK405" i="24" s="1"/>
  <c r="AD406" i="24" l="1"/>
  <c r="AE406" i="24"/>
  <c r="AK406" i="24" s="1"/>
  <c r="AE407" i="24"/>
  <c r="AK407" i="24" s="1"/>
  <c r="AD407" i="24"/>
  <c r="AI375" i="25" l="1"/>
  <c r="AI376" i="25"/>
  <c r="AI377" i="25"/>
  <c r="AI378" i="25"/>
  <c r="AI379" i="25"/>
  <c r="AI380" i="25"/>
  <c r="AI381" i="25"/>
  <c r="AI382" i="25"/>
  <c r="AI383" i="25"/>
  <c r="AI384" i="25"/>
  <c r="AI385" i="25"/>
  <c r="AI386" i="25"/>
  <c r="AI387" i="25"/>
  <c r="AI388" i="25"/>
  <c r="AI389" i="25"/>
  <c r="AI390" i="25"/>
  <c r="AI391" i="25"/>
  <c r="AI392" i="25"/>
  <c r="AI393" i="25"/>
  <c r="AI394" i="25"/>
  <c r="AI395" i="25"/>
  <c r="AI396" i="25"/>
  <c r="AI397" i="25"/>
  <c r="AI398" i="25"/>
  <c r="AI399" i="25"/>
  <c r="AI400" i="25"/>
  <c r="AI401" i="25"/>
  <c r="AI402" i="25"/>
  <c r="AI403" i="25"/>
  <c r="AI374" i="25"/>
  <c r="AG373" i="25"/>
  <c r="AG403" i="25"/>
  <c r="AF403" i="25"/>
  <c r="AD403" i="25"/>
  <c r="AC375" i="25"/>
  <c r="AC376" i="25"/>
  <c r="AC377" i="25"/>
  <c r="AC378" i="25"/>
  <c r="AC379" i="25"/>
  <c r="AC380" i="25"/>
  <c r="AC381" i="25"/>
  <c r="AC382" i="25"/>
  <c r="AC383" i="25"/>
  <c r="AC384" i="25"/>
  <c r="AC385" i="25"/>
  <c r="AC386" i="25"/>
  <c r="AC387" i="25"/>
  <c r="AC388" i="25"/>
  <c r="AC389" i="25"/>
  <c r="AC390" i="25"/>
  <c r="AC391" i="25"/>
  <c r="AC392" i="25"/>
  <c r="AC393" i="25"/>
  <c r="AC394" i="25"/>
  <c r="AC395" i="25"/>
  <c r="AC396" i="25"/>
  <c r="AC397" i="25"/>
  <c r="AC398" i="25"/>
  <c r="AC399" i="25"/>
  <c r="AC400" i="25"/>
  <c r="AC401" i="25"/>
  <c r="AC402" i="25"/>
  <c r="AC403" i="25"/>
  <c r="AC374" i="25"/>
  <c r="AB375" i="25"/>
  <c r="AB376" i="25"/>
  <c r="AB377" i="25"/>
  <c r="AB378" i="25"/>
  <c r="AB379" i="25"/>
  <c r="AB380" i="25"/>
  <c r="AB381" i="25"/>
  <c r="AB382" i="25"/>
  <c r="AB383" i="25"/>
  <c r="AB384" i="25"/>
  <c r="AB385" i="25"/>
  <c r="AB386" i="25"/>
  <c r="AB387" i="25"/>
  <c r="AB388" i="25"/>
  <c r="AB389" i="25"/>
  <c r="AB390" i="25"/>
  <c r="AB391" i="25"/>
  <c r="AB392" i="25"/>
  <c r="AB393" i="25"/>
  <c r="AB394" i="25"/>
  <c r="AB395" i="25"/>
  <c r="AB396" i="25"/>
  <c r="AB397" i="25"/>
  <c r="AB398" i="25"/>
  <c r="AB399" i="25"/>
  <c r="AB400" i="25"/>
  <c r="AB401" i="25"/>
  <c r="AB402" i="25"/>
  <c r="AB403" i="25"/>
  <c r="AB374" i="25"/>
  <c r="Z375" i="25"/>
  <c r="Z376" i="25"/>
  <c r="Z377" i="25"/>
  <c r="Z378" i="25"/>
  <c r="Z379" i="25"/>
  <c r="Z380" i="25"/>
  <c r="Z381" i="25"/>
  <c r="Z382" i="25"/>
  <c r="Z383" i="25"/>
  <c r="Z384" i="25"/>
  <c r="Z385" i="25"/>
  <c r="Z386" i="25"/>
  <c r="Z387" i="25"/>
  <c r="Z388" i="25"/>
  <c r="Z389" i="25"/>
  <c r="Z390" i="25"/>
  <c r="Z391" i="25"/>
  <c r="Z392" i="25"/>
  <c r="Z393" i="25"/>
  <c r="Z394" i="25"/>
  <c r="Z395" i="25"/>
  <c r="Z396" i="25"/>
  <c r="Z397" i="25"/>
  <c r="Z398" i="25"/>
  <c r="Z399" i="25"/>
  <c r="Z400" i="25"/>
  <c r="Z401" i="25"/>
  <c r="Z402" i="25"/>
  <c r="Z403" i="25"/>
  <c r="Z374" i="25"/>
  <c r="Y399" i="25"/>
  <c r="Y375" i="25"/>
  <c r="Y376" i="25"/>
  <c r="Y377" i="25"/>
  <c r="Y378" i="25"/>
  <c r="Y379" i="25"/>
  <c r="Y380" i="25"/>
  <c r="Y381" i="25"/>
  <c r="Y382" i="25"/>
  <c r="Y383" i="25"/>
  <c r="Y384" i="25"/>
  <c r="Y385" i="25"/>
  <c r="Y386" i="25" s="1"/>
  <c r="Y387" i="25" s="1"/>
  <c r="Y388" i="25" s="1"/>
  <c r="Y389" i="25" s="1"/>
  <c r="Y390" i="25" s="1"/>
  <c r="Y391" i="25" s="1"/>
  <c r="Y392" i="25" s="1"/>
  <c r="Y393" i="25" s="1"/>
  <c r="Y394" i="25" s="1"/>
  <c r="Y395" i="25" s="1"/>
  <c r="Y396" i="25" s="1"/>
  <c r="Y397" i="25" s="1"/>
  <c r="Y398" i="25" s="1"/>
  <c r="Y374" i="25"/>
  <c r="X399" i="25"/>
  <c r="X375" i="25"/>
  <c r="X376" i="25" s="1"/>
  <c r="X377" i="25" s="1"/>
  <c r="X378" i="25" s="1"/>
  <c r="X379" i="25" s="1"/>
  <c r="X380" i="25" s="1"/>
  <c r="X381" i="25" s="1"/>
  <c r="X382" i="25" s="1"/>
  <c r="X383" i="25" s="1"/>
  <c r="X384" i="25" s="1"/>
  <c r="X385" i="25" s="1"/>
  <c r="X386" i="25" s="1"/>
  <c r="X387" i="25" s="1"/>
  <c r="X388" i="25" s="1"/>
  <c r="X389" i="25" s="1"/>
  <c r="X390" i="25" s="1"/>
  <c r="X391" i="25" s="1"/>
  <c r="X392" i="25" s="1"/>
  <c r="X393" i="25" s="1"/>
  <c r="X394" i="25" s="1"/>
  <c r="X395" i="25" s="1"/>
  <c r="X396" i="25" s="1"/>
  <c r="X397" i="25" s="1"/>
  <c r="X398" i="25" s="1"/>
  <c r="X400" i="25" s="1"/>
  <c r="X401" i="25" s="1"/>
  <c r="X402" i="25" s="1"/>
  <c r="X403" i="25" s="1"/>
  <c r="X374" i="25"/>
  <c r="U399" i="25"/>
  <c r="V399" i="25"/>
  <c r="T399" i="25"/>
  <c r="S288" i="25"/>
  <c r="Y400" i="25" l="1"/>
  <c r="Y401" i="25" s="1"/>
  <c r="Y402" i="25" s="1"/>
  <c r="Y403" i="25" s="1"/>
  <c r="J26" i="20" l="1"/>
  <c r="J25" i="20"/>
  <c r="I26" i="20"/>
  <c r="I25" i="20"/>
  <c r="B82" i="20"/>
  <c r="A82" i="20"/>
  <c r="B77" i="20"/>
  <c r="A77" i="20"/>
  <c r="M77" i="20" s="1"/>
  <c r="B61" i="20"/>
  <c r="A61" i="20"/>
  <c r="M61" i="20" s="1"/>
  <c r="M73" i="20" s="1"/>
  <c r="B11" i="20"/>
  <c r="BX738" i="5"/>
  <c r="AN405" i="5"/>
  <c r="AO405" i="5"/>
  <c r="AP405" i="5"/>
  <c r="AQ405" i="5"/>
  <c r="AN406" i="5"/>
  <c r="AO406" i="5"/>
  <c r="AP406" i="5"/>
  <c r="AQ406" i="5"/>
  <c r="AN407" i="5"/>
  <c r="AO407" i="5"/>
  <c r="AP407" i="5"/>
  <c r="AQ407" i="5"/>
  <c r="AN408" i="5"/>
  <c r="AO408" i="5"/>
  <c r="AP408" i="5"/>
  <c r="AQ408" i="5"/>
  <c r="AN409" i="5"/>
  <c r="AO409" i="5"/>
  <c r="AP409" i="5"/>
  <c r="AQ409" i="5"/>
  <c r="AN410" i="5"/>
  <c r="AO410" i="5"/>
  <c r="AP410" i="5"/>
  <c r="AQ410" i="5"/>
  <c r="AN411" i="5"/>
  <c r="AO411" i="5"/>
  <c r="AP411" i="5"/>
  <c r="AQ411" i="5"/>
  <c r="AN412" i="5"/>
  <c r="AO412" i="5"/>
  <c r="AP412" i="5"/>
  <c r="AQ412" i="5"/>
  <c r="AN413" i="5"/>
  <c r="AO413" i="5"/>
  <c r="AP413" i="5"/>
  <c r="AQ413" i="5"/>
  <c r="AN414" i="5"/>
  <c r="AO414" i="5"/>
  <c r="AP414" i="5"/>
  <c r="AQ414" i="5"/>
  <c r="AN415" i="5"/>
  <c r="AO415" i="5"/>
  <c r="AP415" i="5"/>
  <c r="AQ415" i="5"/>
  <c r="AN416" i="5"/>
  <c r="AO416" i="5"/>
  <c r="AP416" i="5"/>
  <c r="AQ416" i="5"/>
  <c r="AN417" i="5"/>
  <c r="AO417" i="5"/>
  <c r="AP417" i="5"/>
  <c r="AQ417" i="5"/>
  <c r="AN418" i="5"/>
  <c r="AO418" i="5"/>
  <c r="AP418" i="5"/>
  <c r="AQ418" i="5"/>
  <c r="AN419" i="5"/>
  <c r="AO419" i="5"/>
  <c r="AP419" i="5"/>
  <c r="AQ419" i="5"/>
  <c r="AN420" i="5"/>
  <c r="AO420" i="5"/>
  <c r="AP420" i="5"/>
  <c r="AQ420" i="5"/>
  <c r="AN421" i="5"/>
  <c r="AO421" i="5"/>
  <c r="AP421" i="5"/>
  <c r="AQ421" i="5"/>
  <c r="AN422" i="5"/>
  <c r="AO422" i="5"/>
  <c r="AP422" i="5"/>
  <c r="AQ422" i="5"/>
  <c r="AN423" i="5"/>
  <c r="AO423" i="5"/>
  <c r="AP423" i="5"/>
  <c r="AQ423" i="5"/>
  <c r="AN424" i="5"/>
  <c r="AO424" i="5"/>
  <c r="AP424" i="5"/>
  <c r="AQ424" i="5"/>
  <c r="AN425" i="5"/>
  <c r="AO425" i="5"/>
  <c r="AP425" i="5"/>
  <c r="AQ425" i="5"/>
  <c r="AN426" i="5"/>
  <c r="AO426" i="5"/>
  <c r="AP426" i="5"/>
  <c r="AQ426" i="5"/>
  <c r="AN427" i="5"/>
  <c r="AO427" i="5"/>
  <c r="AP427" i="5"/>
  <c r="AQ427" i="5"/>
  <c r="AN428" i="5"/>
  <c r="AO428" i="5"/>
  <c r="AP428" i="5"/>
  <c r="AQ428" i="5"/>
  <c r="AN429" i="5"/>
  <c r="AO429" i="5"/>
  <c r="AP429" i="5"/>
  <c r="AQ429" i="5"/>
  <c r="AN430" i="5"/>
  <c r="AO430" i="5"/>
  <c r="AP430" i="5"/>
  <c r="AQ430" i="5"/>
  <c r="AN431" i="5"/>
  <c r="AO431" i="5"/>
  <c r="AP431" i="5"/>
  <c r="AQ431" i="5"/>
  <c r="AN432" i="5"/>
  <c r="AO432" i="5"/>
  <c r="AP432" i="5"/>
  <c r="AQ432" i="5"/>
  <c r="AN433" i="5"/>
  <c r="AO433" i="5"/>
  <c r="AP433" i="5"/>
  <c r="AQ433" i="5"/>
  <c r="AN434" i="5"/>
  <c r="AO434" i="5"/>
  <c r="AP434" i="5"/>
  <c r="AQ434" i="5"/>
  <c r="AN435" i="5"/>
  <c r="AO435" i="5"/>
  <c r="AP435" i="5"/>
  <c r="AQ435" i="5"/>
  <c r="AN436" i="5"/>
  <c r="AO436" i="5"/>
  <c r="AP436" i="5"/>
  <c r="AQ436" i="5"/>
  <c r="AN437" i="5"/>
  <c r="AO437" i="5"/>
  <c r="AP437" i="5"/>
  <c r="AQ437" i="5"/>
  <c r="AN438" i="5"/>
  <c r="AO438" i="5"/>
  <c r="AP438" i="5"/>
  <c r="AQ438" i="5"/>
  <c r="AN439" i="5"/>
  <c r="AO439" i="5"/>
  <c r="AP439" i="5"/>
  <c r="AQ439" i="5"/>
  <c r="AN440" i="5"/>
  <c r="AO440" i="5"/>
  <c r="AP440" i="5"/>
  <c r="AQ440" i="5"/>
  <c r="AN441" i="5"/>
  <c r="AO441" i="5"/>
  <c r="AP441" i="5"/>
  <c r="AQ441" i="5"/>
  <c r="AN442" i="5"/>
  <c r="AO442" i="5"/>
  <c r="AP442" i="5"/>
  <c r="AQ442" i="5"/>
  <c r="AN443" i="5"/>
  <c r="AO443" i="5"/>
  <c r="AP443" i="5"/>
  <c r="AQ443" i="5"/>
  <c r="AN444" i="5"/>
  <c r="AO444" i="5"/>
  <c r="AP444" i="5"/>
  <c r="AQ444" i="5"/>
  <c r="AN445" i="5"/>
  <c r="AO445" i="5"/>
  <c r="AP445" i="5"/>
  <c r="AQ445" i="5"/>
  <c r="AN446" i="5"/>
  <c r="AO446" i="5"/>
  <c r="AP446" i="5"/>
  <c r="AQ446" i="5"/>
  <c r="AN447" i="5"/>
  <c r="AO447" i="5"/>
  <c r="AP447" i="5"/>
  <c r="AQ447" i="5"/>
  <c r="AN448" i="5"/>
  <c r="AO448" i="5"/>
  <c r="AP448" i="5"/>
  <c r="AQ448" i="5"/>
  <c r="AN449" i="5"/>
  <c r="AO449" i="5"/>
  <c r="AP449" i="5"/>
  <c r="AQ449" i="5"/>
  <c r="AN450" i="5"/>
  <c r="AO450" i="5"/>
  <c r="AP450" i="5"/>
  <c r="AQ450" i="5"/>
  <c r="AN451" i="5"/>
  <c r="AO451" i="5"/>
  <c r="AP451" i="5"/>
  <c r="AQ451" i="5"/>
  <c r="AN452" i="5"/>
  <c r="AO452" i="5"/>
  <c r="AP452" i="5"/>
  <c r="AQ452" i="5"/>
  <c r="AN453" i="5"/>
  <c r="AO453" i="5"/>
  <c r="AP453" i="5"/>
  <c r="AQ453" i="5"/>
  <c r="AN454" i="5"/>
  <c r="AO454" i="5"/>
  <c r="AP454" i="5"/>
  <c r="AQ454" i="5"/>
  <c r="AN455" i="5"/>
  <c r="AO455" i="5"/>
  <c r="AP455" i="5"/>
  <c r="AQ455" i="5"/>
  <c r="AN456" i="5"/>
  <c r="AO456" i="5"/>
  <c r="AP456" i="5"/>
  <c r="AQ456" i="5"/>
  <c r="AN457" i="5"/>
  <c r="AO457" i="5"/>
  <c r="AP457" i="5"/>
  <c r="AQ457" i="5"/>
  <c r="AN458" i="5"/>
  <c r="AO458" i="5"/>
  <c r="AP458" i="5"/>
  <c r="AQ458" i="5"/>
  <c r="AN459" i="5"/>
  <c r="AO459" i="5"/>
  <c r="AP459" i="5"/>
  <c r="AQ459" i="5"/>
  <c r="AN460" i="5"/>
  <c r="AO460" i="5"/>
  <c r="AP460" i="5"/>
  <c r="AQ460" i="5"/>
  <c r="AN461" i="5"/>
  <c r="AO461" i="5"/>
  <c r="AP461" i="5"/>
  <c r="AQ461" i="5"/>
  <c r="AN462" i="5"/>
  <c r="AO462" i="5"/>
  <c r="AP462" i="5"/>
  <c r="AQ462" i="5"/>
  <c r="AN463" i="5"/>
  <c r="AO463" i="5"/>
  <c r="AP463" i="5"/>
  <c r="AQ463" i="5"/>
  <c r="AN464" i="5"/>
  <c r="AO464" i="5"/>
  <c r="AP464" i="5"/>
  <c r="AQ464" i="5"/>
  <c r="AN465" i="5"/>
  <c r="AO465" i="5"/>
  <c r="AP465" i="5"/>
  <c r="AQ465" i="5"/>
  <c r="AN466" i="5"/>
  <c r="AO466" i="5"/>
  <c r="AP466" i="5"/>
  <c r="AQ466" i="5"/>
  <c r="AN467" i="5"/>
  <c r="AO467" i="5"/>
  <c r="AP467" i="5"/>
  <c r="AQ467" i="5"/>
  <c r="AN468" i="5"/>
  <c r="AO468" i="5"/>
  <c r="AP468" i="5"/>
  <c r="AQ468" i="5"/>
  <c r="AN469" i="5"/>
  <c r="AO469" i="5"/>
  <c r="AP469" i="5"/>
  <c r="AQ469" i="5"/>
  <c r="AN470" i="5"/>
  <c r="AO470" i="5"/>
  <c r="AP470" i="5"/>
  <c r="AQ470" i="5"/>
  <c r="AN471" i="5"/>
  <c r="AO471" i="5"/>
  <c r="AP471" i="5"/>
  <c r="AQ471" i="5"/>
  <c r="AN472" i="5"/>
  <c r="AO472" i="5"/>
  <c r="AP472" i="5"/>
  <c r="AQ472" i="5"/>
  <c r="AN473" i="5"/>
  <c r="AO473" i="5"/>
  <c r="AP473" i="5"/>
  <c r="AQ473" i="5"/>
  <c r="AN474" i="5"/>
  <c r="AO474" i="5"/>
  <c r="AP474" i="5"/>
  <c r="AQ474" i="5"/>
  <c r="AN475" i="5"/>
  <c r="AO475" i="5"/>
  <c r="AP475" i="5"/>
  <c r="AQ475" i="5"/>
  <c r="AN476" i="5"/>
  <c r="AO476" i="5"/>
  <c r="AP476" i="5"/>
  <c r="AQ476" i="5"/>
  <c r="AN477" i="5"/>
  <c r="AO477" i="5"/>
  <c r="AP477" i="5"/>
  <c r="AQ477" i="5"/>
  <c r="AN478" i="5"/>
  <c r="AO478" i="5"/>
  <c r="AP478" i="5"/>
  <c r="AQ478" i="5"/>
  <c r="AN479" i="5"/>
  <c r="AO479" i="5"/>
  <c r="AP479" i="5"/>
  <c r="AQ479" i="5"/>
  <c r="AN480" i="5"/>
  <c r="AO480" i="5"/>
  <c r="AP480" i="5"/>
  <c r="AQ480" i="5"/>
  <c r="AN481" i="5"/>
  <c r="AO481" i="5"/>
  <c r="AP481" i="5"/>
  <c r="AQ481" i="5"/>
  <c r="AN482" i="5"/>
  <c r="AO482" i="5"/>
  <c r="AP482" i="5"/>
  <c r="AQ482" i="5"/>
  <c r="AN483" i="5"/>
  <c r="AO483" i="5"/>
  <c r="AP483" i="5"/>
  <c r="AQ483" i="5"/>
  <c r="AN484" i="5"/>
  <c r="AO484" i="5"/>
  <c r="AP484" i="5"/>
  <c r="AQ484" i="5"/>
  <c r="AN485" i="5"/>
  <c r="AO485" i="5"/>
  <c r="AP485" i="5"/>
  <c r="AQ485" i="5"/>
  <c r="AN486" i="5"/>
  <c r="AO486" i="5"/>
  <c r="AP486" i="5"/>
  <c r="AQ486" i="5"/>
  <c r="AN487" i="5"/>
  <c r="AO487" i="5"/>
  <c r="AP487" i="5"/>
  <c r="AQ487" i="5"/>
  <c r="AN488" i="5"/>
  <c r="AO488" i="5"/>
  <c r="AP488" i="5"/>
  <c r="AQ488" i="5"/>
  <c r="AN489" i="5"/>
  <c r="AO489" i="5"/>
  <c r="AP489" i="5"/>
  <c r="AQ489" i="5"/>
  <c r="AN490" i="5"/>
  <c r="AO490" i="5"/>
  <c r="AP490" i="5"/>
  <c r="AQ490" i="5"/>
  <c r="AN491" i="5"/>
  <c r="AO491" i="5"/>
  <c r="AP491" i="5"/>
  <c r="AQ491" i="5"/>
  <c r="AN492" i="5"/>
  <c r="AO492" i="5"/>
  <c r="AP492" i="5"/>
  <c r="AQ492" i="5"/>
  <c r="AN493" i="5"/>
  <c r="AO493" i="5"/>
  <c r="AP493" i="5"/>
  <c r="AQ493" i="5"/>
  <c r="AN494" i="5"/>
  <c r="AO494" i="5"/>
  <c r="AP494" i="5"/>
  <c r="AQ494" i="5"/>
  <c r="AN495" i="5"/>
  <c r="AO495" i="5"/>
  <c r="AP495" i="5"/>
  <c r="AQ495" i="5"/>
  <c r="AN496" i="5"/>
  <c r="AO496" i="5"/>
  <c r="AP496" i="5"/>
  <c r="AQ496" i="5"/>
  <c r="AN497" i="5"/>
  <c r="AO497" i="5"/>
  <c r="AP497" i="5"/>
  <c r="AQ497" i="5"/>
  <c r="AN498" i="5"/>
  <c r="AO498" i="5"/>
  <c r="AP498" i="5"/>
  <c r="AQ498" i="5"/>
  <c r="AN499" i="5"/>
  <c r="AO499" i="5"/>
  <c r="AP499" i="5"/>
  <c r="AQ499" i="5"/>
  <c r="AN500" i="5"/>
  <c r="AO500" i="5"/>
  <c r="AP500" i="5"/>
  <c r="AQ500" i="5"/>
  <c r="AN501" i="5"/>
  <c r="AO501" i="5"/>
  <c r="AP501" i="5"/>
  <c r="AQ501" i="5"/>
  <c r="AN502" i="5"/>
  <c r="AO502" i="5"/>
  <c r="AP502" i="5"/>
  <c r="AQ502" i="5"/>
  <c r="AN503" i="5"/>
  <c r="AO503" i="5"/>
  <c r="AP503" i="5"/>
  <c r="AQ503" i="5"/>
  <c r="AN504" i="5"/>
  <c r="AO504" i="5"/>
  <c r="AP504" i="5"/>
  <c r="AQ504" i="5"/>
  <c r="AN505" i="5"/>
  <c r="AO505" i="5"/>
  <c r="AP505" i="5"/>
  <c r="AQ505" i="5"/>
  <c r="AN506" i="5"/>
  <c r="AO506" i="5"/>
  <c r="AP506" i="5"/>
  <c r="AQ506" i="5"/>
  <c r="AN507" i="5"/>
  <c r="AO507" i="5"/>
  <c r="AP507" i="5"/>
  <c r="AQ507" i="5"/>
  <c r="AN508" i="5"/>
  <c r="AO508" i="5"/>
  <c r="AP508" i="5"/>
  <c r="AQ508" i="5"/>
  <c r="AN509" i="5"/>
  <c r="AO509" i="5"/>
  <c r="AP509" i="5"/>
  <c r="AQ509" i="5"/>
  <c r="AN510" i="5"/>
  <c r="AO510" i="5"/>
  <c r="AP510" i="5"/>
  <c r="AQ510" i="5"/>
  <c r="AN511" i="5"/>
  <c r="AO511" i="5"/>
  <c r="AP511" i="5"/>
  <c r="AQ511" i="5"/>
  <c r="AN512" i="5"/>
  <c r="AO512" i="5"/>
  <c r="AP512" i="5"/>
  <c r="AQ512" i="5"/>
  <c r="AN513" i="5"/>
  <c r="AO513" i="5"/>
  <c r="AP513" i="5"/>
  <c r="AQ513" i="5"/>
  <c r="AN514" i="5"/>
  <c r="AO514" i="5"/>
  <c r="AP514" i="5"/>
  <c r="AQ514" i="5"/>
  <c r="AN515" i="5"/>
  <c r="AO515" i="5"/>
  <c r="AP515" i="5"/>
  <c r="AQ515" i="5"/>
  <c r="AN516" i="5"/>
  <c r="AO516" i="5"/>
  <c r="AP516" i="5"/>
  <c r="AQ516" i="5"/>
  <c r="AN517" i="5"/>
  <c r="AO517" i="5"/>
  <c r="AP517" i="5"/>
  <c r="AQ517" i="5"/>
  <c r="AN518" i="5"/>
  <c r="AO518" i="5"/>
  <c r="AP518" i="5"/>
  <c r="AQ518" i="5"/>
  <c r="AN519" i="5"/>
  <c r="AO519" i="5"/>
  <c r="AP519" i="5"/>
  <c r="AQ519" i="5"/>
  <c r="AN520" i="5"/>
  <c r="AO520" i="5"/>
  <c r="AP520" i="5"/>
  <c r="AQ520" i="5"/>
  <c r="AN521" i="5"/>
  <c r="AO521" i="5"/>
  <c r="AP521" i="5"/>
  <c r="AQ521" i="5"/>
  <c r="AN522" i="5"/>
  <c r="AO522" i="5"/>
  <c r="AP522" i="5"/>
  <c r="AQ522" i="5"/>
  <c r="AN523" i="5"/>
  <c r="AO523" i="5"/>
  <c r="AP523" i="5"/>
  <c r="AQ523" i="5"/>
  <c r="AN524" i="5"/>
  <c r="AO524" i="5"/>
  <c r="AP524" i="5"/>
  <c r="AQ524" i="5"/>
  <c r="AN525" i="5"/>
  <c r="AO525" i="5"/>
  <c r="AP525" i="5"/>
  <c r="AQ525" i="5"/>
  <c r="AN526" i="5"/>
  <c r="AO526" i="5"/>
  <c r="AP526" i="5"/>
  <c r="AQ526" i="5"/>
  <c r="AN527" i="5"/>
  <c r="AO527" i="5"/>
  <c r="AP527" i="5"/>
  <c r="AQ527" i="5"/>
  <c r="AN528" i="5"/>
  <c r="AO528" i="5"/>
  <c r="AP528" i="5"/>
  <c r="AQ528" i="5"/>
  <c r="AN529" i="5"/>
  <c r="AO529" i="5"/>
  <c r="AP529" i="5"/>
  <c r="AQ529" i="5"/>
  <c r="AN530" i="5"/>
  <c r="AO530" i="5"/>
  <c r="AP530" i="5"/>
  <c r="AQ530" i="5"/>
  <c r="AN531" i="5"/>
  <c r="AO531" i="5"/>
  <c r="AP531" i="5"/>
  <c r="AQ531" i="5"/>
  <c r="AN532" i="5"/>
  <c r="AO532" i="5"/>
  <c r="AP532" i="5"/>
  <c r="AQ532" i="5"/>
  <c r="AN533" i="5"/>
  <c r="AO533" i="5"/>
  <c r="AP533" i="5"/>
  <c r="AQ533" i="5"/>
  <c r="AN534" i="5"/>
  <c r="AO534" i="5"/>
  <c r="AP534" i="5"/>
  <c r="AQ534" i="5"/>
  <c r="AN535" i="5"/>
  <c r="AO535" i="5"/>
  <c r="AP535" i="5"/>
  <c r="AQ535" i="5"/>
  <c r="AN536" i="5"/>
  <c r="AO536" i="5"/>
  <c r="AP536" i="5"/>
  <c r="AQ536" i="5"/>
  <c r="AN537" i="5"/>
  <c r="AO537" i="5"/>
  <c r="AP537" i="5"/>
  <c r="AQ537" i="5"/>
  <c r="AN538" i="5"/>
  <c r="AO538" i="5"/>
  <c r="AP538" i="5"/>
  <c r="AQ538" i="5"/>
  <c r="AN539" i="5"/>
  <c r="AO539" i="5"/>
  <c r="AP539" i="5"/>
  <c r="AQ539" i="5"/>
  <c r="AN540" i="5"/>
  <c r="AO540" i="5"/>
  <c r="AP540" i="5"/>
  <c r="AQ540" i="5"/>
  <c r="AN541" i="5"/>
  <c r="AO541" i="5"/>
  <c r="AP541" i="5"/>
  <c r="AQ541" i="5"/>
  <c r="AN542" i="5"/>
  <c r="AO542" i="5"/>
  <c r="AP542" i="5"/>
  <c r="AQ542" i="5"/>
  <c r="AN543" i="5"/>
  <c r="AO543" i="5"/>
  <c r="AP543" i="5"/>
  <c r="AQ543" i="5"/>
  <c r="AN544" i="5"/>
  <c r="AO544" i="5"/>
  <c r="AP544" i="5"/>
  <c r="AQ544" i="5"/>
  <c r="AN545" i="5"/>
  <c r="AO545" i="5"/>
  <c r="AP545" i="5"/>
  <c r="AQ545" i="5"/>
  <c r="AN546" i="5"/>
  <c r="AO546" i="5"/>
  <c r="AP546" i="5"/>
  <c r="AQ546" i="5"/>
  <c r="AN547" i="5"/>
  <c r="AO547" i="5"/>
  <c r="AP547" i="5"/>
  <c r="AQ547" i="5"/>
  <c r="AN548" i="5"/>
  <c r="AO548" i="5"/>
  <c r="AP548" i="5"/>
  <c r="AQ548" i="5"/>
  <c r="AN549" i="5"/>
  <c r="AO549" i="5"/>
  <c r="AP549" i="5"/>
  <c r="AQ549" i="5"/>
  <c r="AN550" i="5"/>
  <c r="AO550" i="5"/>
  <c r="AP550" i="5"/>
  <c r="AQ550" i="5"/>
  <c r="AN551" i="5"/>
  <c r="AO551" i="5"/>
  <c r="AP551" i="5"/>
  <c r="AQ551" i="5"/>
  <c r="AN552" i="5"/>
  <c r="AO552" i="5"/>
  <c r="AP552" i="5"/>
  <c r="AQ552" i="5"/>
  <c r="AN553" i="5"/>
  <c r="AO553" i="5"/>
  <c r="AP553" i="5"/>
  <c r="AQ553" i="5"/>
  <c r="AN554" i="5"/>
  <c r="AO554" i="5"/>
  <c r="AP554" i="5"/>
  <c r="AQ554" i="5"/>
  <c r="AN555" i="5"/>
  <c r="AO555" i="5"/>
  <c r="AP555" i="5"/>
  <c r="AQ555" i="5"/>
  <c r="AN556" i="5"/>
  <c r="AO556" i="5"/>
  <c r="AP556" i="5"/>
  <c r="AQ556" i="5"/>
  <c r="AN557" i="5"/>
  <c r="AO557" i="5"/>
  <c r="AP557" i="5"/>
  <c r="AQ557" i="5"/>
  <c r="AN558" i="5"/>
  <c r="AO558" i="5"/>
  <c r="AP558" i="5"/>
  <c r="AQ558" i="5"/>
  <c r="AN559" i="5"/>
  <c r="AO559" i="5"/>
  <c r="AP559" i="5"/>
  <c r="AQ559" i="5"/>
  <c r="AN560" i="5"/>
  <c r="AO560" i="5"/>
  <c r="AP560" i="5"/>
  <c r="AQ560" i="5"/>
  <c r="AN561" i="5"/>
  <c r="AO561" i="5"/>
  <c r="AP561" i="5"/>
  <c r="AQ561" i="5"/>
  <c r="AN562" i="5"/>
  <c r="AO562" i="5"/>
  <c r="AP562" i="5"/>
  <c r="AQ562" i="5"/>
  <c r="AN563" i="5"/>
  <c r="AO563" i="5"/>
  <c r="AP563" i="5"/>
  <c r="AQ563" i="5"/>
  <c r="AN564" i="5"/>
  <c r="AO564" i="5"/>
  <c r="AP564" i="5"/>
  <c r="AQ564" i="5"/>
  <c r="AN565" i="5"/>
  <c r="AO565" i="5"/>
  <c r="AP565" i="5"/>
  <c r="AQ565" i="5"/>
  <c r="AN566" i="5"/>
  <c r="AO566" i="5"/>
  <c r="AP566" i="5"/>
  <c r="AQ566" i="5"/>
  <c r="AN567" i="5"/>
  <c r="AO567" i="5"/>
  <c r="AP567" i="5"/>
  <c r="AQ567" i="5"/>
  <c r="AN568" i="5"/>
  <c r="AO568" i="5"/>
  <c r="AP568" i="5"/>
  <c r="AQ568" i="5"/>
  <c r="AN569" i="5"/>
  <c r="AO569" i="5"/>
  <c r="AP569" i="5"/>
  <c r="AQ569" i="5"/>
  <c r="AN570" i="5"/>
  <c r="AO570" i="5"/>
  <c r="AP570" i="5"/>
  <c r="AQ570" i="5"/>
  <c r="AN571" i="5"/>
  <c r="AO571" i="5"/>
  <c r="AP571" i="5"/>
  <c r="AQ571" i="5"/>
  <c r="AN572" i="5"/>
  <c r="AO572" i="5"/>
  <c r="AP572" i="5"/>
  <c r="AQ572" i="5"/>
  <c r="AN573" i="5"/>
  <c r="AO573" i="5"/>
  <c r="AP573" i="5"/>
  <c r="AQ573" i="5"/>
  <c r="AN574" i="5"/>
  <c r="AO574" i="5"/>
  <c r="AP574" i="5"/>
  <c r="AQ574" i="5"/>
  <c r="AN575" i="5"/>
  <c r="AO575" i="5"/>
  <c r="AP575" i="5"/>
  <c r="AQ575" i="5"/>
  <c r="AN576" i="5"/>
  <c r="AO576" i="5"/>
  <c r="AP576" i="5"/>
  <c r="AQ576" i="5"/>
  <c r="AN577" i="5"/>
  <c r="AO577" i="5"/>
  <c r="AP577" i="5"/>
  <c r="AQ577" i="5"/>
  <c r="AN578" i="5"/>
  <c r="AO578" i="5"/>
  <c r="AP578" i="5"/>
  <c r="AQ578" i="5"/>
  <c r="AN579" i="5"/>
  <c r="AO579" i="5"/>
  <c r="AP579" i="5"/>
  <c r="AQ579" i="5"/>
  <c r="AN580" i="5"/>
  <c r="AO580" i="5"/>
  <c r="AP580" i="5"/>
  <c r="AQ580" i="5"/>
  <c r="AN581" i="5"/>
  <c r="AO581" i="5"/>
  <c r="AP581" i="5"/>
  <c r="AQ581" i="5"/>
  <c r="AN582" i="5"/>
  <c r="AO582" i="5"/>
  <c r="AP582" i="5"/>
  <c r="AQ582" i="5"/>
  <c r="AN583" i="5"/>
  <c r="AO583" i="5"/>
  <c r="AP583" i="5"/>
  <c r="AQ583" i="5"/>
  <c r="AN584" i="5"/>
  <c r="AO584" i="5"/>
  <c r="AP584" i="5"/>
  <c r="AQ584" i="5"/>
  <c r="AN585" i="5"/>
  <c r="AO585" i="5"/>
  <c r="AP585" i="5"/>
  <c r="AQ585" i="5"/>
  <c r="AN586" i="5"/>
  <c r="AO586" i="5"/>
  <c r="AP586" i="5"/>
  <c r="AQ586" i="5"/>
  <c r="AN587" i="5"/>
  <c r="AO587" i="5"/>
  <c r="AP587" i="5"/>
  <c r="AQ587" i="5"/>
  <c r="AN588" i="5"/>
  <c r="AO588" i="5"/>
  <c r="AP588" i="5"/>
  <c r="AQ588" i="5"/>
  <c r="AN589" i="5"/>
  <c r="AO589" i="5"/>
  <c r="AP589" i="5"/>
  <c r="AQ589" i="5"/>
  <c r="AN590" i="5"/>
  <c r="AO590" i="5"/>
  <c r="AP590" i="5"/>
  <c r="AQ590" i="5"/>
  <c r="AN591" i="5"/>
  <c r="AO591" i="5"/>
  <c r="AP591" i="5"/>
  <c r="AQ591" i="5"/>
  <c r="AN592" i="5"/>
  <c r="AO592" i="5"/>
  <c r="AP592" i="5"/>
  <c r="AQ592" i="5"/>
  <c r="AN593" i="5"/>
  <c r="AO593" i="5"/>
  <c r="AP593" i="5"/>
  <c r="AQ593" i="5"/>
  <c r="AN594" i="5"/>
  <c r="AO594" i="5"/>
  <c r="AP594" i="5"/>
  <c r="AQ594" i="5"/>
  <c r="AN595" i="5"/>
  <c r="AO595" i="5"/>
  <c r="AP595" i="5"/>
  <c r="AQ595" i="5"/>
  <c r="AN596" i="5"/>
  <c r="AO596" i="5"/>
  <c r="AP596" i="5"/>
  <c r="AQ596" i="5"/>
  <c r="AN597" i="5"/>
  <c r="AO597" i="5"/>
  <c r="AP597" i="5"/>
  <c r="AQ597" i="5"/>
  <c r="AN598" i="5"/>
  <c r="AO598" i="5"/>
  <c r="AP598" i="5"/>
  <c r="AQ598" i="5"/>
  <c r="AN599" i="5"/>
  <c r="AO599" i="5"/>
  <c r="AP599" i="5"/>
  <c r="AQ599" i="5"/>
  <c r="AN600" i="5"/>
  <c r="AO600" i="5"/>
  <c r="AP600" i="5"/>
  <c r="AQ600" i="5"/>
  <c r="AN601" i="5"/>
  <c r="AO601" i="5"/>
  <c r="AP601" i="5"/>
  <c r="AQ601" i="5"/>
  <c r="AN602" i="5"/>
  <c r="AO602" i="5"/>
  <c r="AP602" i="5"/>
  <c r="AQ602" i="5"/>
  <c r="AN603" i="5"/>
  <c r="AO603" i="5"/>
  <c r="AP603" i="5"/>
  <c r="AQ603" i="5"/>
  <c r="AN604" i="5"/>
  <c r="AO604" i="5"/>
  <c r="AP604" i="5"/>
  <c r="AQ604" i="5"/>
  <c r="AN605" i="5"/>
  <c r="AO605" i="5"/>
  <c r="AP605" i="5"/>
  <c r="AQ605" i="5"/>
  <c r="AN606" i="5"/>
  <c r="AO606" i="5"/>
  <c r="AP606" i="5"/>
  <c r="AQ606" i="5"/>
  <c r="AN607" i="5"/>
  <c r="AO607" i="5"/>
  <c r="AP607" i="5"/>
  <c r="AQ607" i="5"/>
  <c r="AN608" i="5"/>
  <c r="AO608" i="5"/>
  <c r="AP608" i="5"/>
  <c r="AQ608" i="5"/>
  <c r="AN609" i="5"/>
  <c r="AO609" i="5"/>
  <c r="AP609" i="5"/>
  <c r="AQ609" i="5"/>
  <c r="AN610" i="5"/>
  <c r="AO610" i="5"/>
  <c r="AP610" i="5"/>
  <c r="AQ610" i="5"/>
  <c r="AN611" i="5"/>
  <c r="AO611" i="5"/>
  <c r="AP611" i="5"/>
  <c r="AQ611" i="5"/>
  <c r="AN612" i="5"/>
  <c r="AO612" i="5"/>
  <c r="AP612" i="5"/>
  <c r="AQ612" i="5"/>
  <c r="AN613" i="5"/>
  <c r="AO613" i="5"/>
  <c r="AP613" i="5"/>
  <c r="AQ613" i="5"/>
  <c r="AN614" i="5"/>
  <c r="AO614" i="5"/>
  <c r="AP614" i="5"/>
  <c r="AQ614" i="5"/>
  <c r="AN615" i="5"/>
  <c r="AO615" i="5"/>
  <c r="AP615" i="5"/>
  <c r="AQ615" i="5"/>
  <c r="AN616" i="5"/>
  <c r="AO616" i="5"/>
  <c r="AP616" i="5"/>
  <c r="AQ616" i="5"/>
  <c r="AN617" i="5"/>
  <c r="AO617" i="5"/>
  <c r="AP617" i="5"/>
  <c r="AQ617" i="5"/>
  <c r="AN618" i="5"/>
  <c r="AO618" i="5"/>
  <c r="AP618" i="5"/>
  <c r="AQ618" i="5"/>
  <c r="AN619" i="5"/>
  <c r="AO619" i="5"/>
  <c r="AP619" i="5"/>
  <c r="AQ619" i="5"/>
  <c r="AN620" i="5"/>
  <c r="AO620" i="5"/>
  <c r="AP620" i="5"/>
  <c r="AQ620" i="5"/>
  <c r="AN621" i="5"/>
  <c r="AO621" i="5"/>
  <c r="AP621" i="5"/>
  <c r="AQ621" i="5"/>
  <c r="AN622" i="5"/>
  <c r="AO622" i="5"/>
  <c r="AP622" i="5"/>
  <c r="AQ622" i="5"/>
  <c r="AN623" i="5"/>
  <c r="AO623" i="5"/>
  <c r="AP623" i="5"/>
  <c r="AQ623" i="5"/>
  <c r="AN624" i="5"/>
  <c r="AO624" i="5"/>
  <c r="AP624" i="5"/>
  <c r="AQ624" i="5"/>
  <c r="AN625" i="5"/>
  <c r="AO625" i="5"/>
  <c r="AP625" i="5"/>
  <c r="AQ625" i="5"/>
  <c r="AN626" i="5"/>
  <c r="AO626" i="5"/>
  <c r="AP626" i="5"/>
  <c r="AQ626" i="5"/>
  <c r="AN627" i="5"/>
  <c r="AO627" i="5"/>
  <c r="AP627" i="5"/>
  <c r="AQ627" i="5"/>
  <c r="AN628" i="5"/>
  <c r="AO628" i="5"/>
  <c r="AP628" i="5"/>
  <c r="AQ628" i="5"/>
  <c r="AN629" i="5"/>
  <c r="AO629" i="5"/>
  <c r="AP629" i="5"/>
  <c r="AQ629" i="5"/>
  <c r="AN630" i="5"/>
  <c r="AO630" i="5"/>
  <c r="AP630" i="5"/>
  <c r="AQ630" i="5"/>
  <c r="AN631" i="5"/>
  <c r="AO631" i="5"/>
  <c r="AP631" i="5"/>
  <c r="AQ631" i="5"/>
  <c r="AN632" i="5"/>
  <c r="AO632" i="5"/>
  <c r="AP632" i="5"/>
  <c r="AQ632" i="5"/>
  <c r="AN633" i="5"/>
  <c r="AO633" i="5"/>
  <c r="AP633" i="5"/>
  <c r="AQ633" i="5"/>
  <c r="AN634" i="5"/>
  <c r="AO634" i="5"/>
  <c r="AP634" i="5"/>
  <c r="AQ634" i="5"/>
  <c r="AN635" i="5"/>
  <c r="AO635" i="5"/>
  <c r="AP635" i="5"/>
  <c r="AQ635" i="5"/>
  <c r="AN636" i="5"/>
  <c r="AO636" i="5"/>
  <c r="AP636" i="5"/>
  <c r="AQ636" i="5"/>
  <c r="AN637" i="5"/>
  <c r="AO637" i="5"/>
  <c r="AP637" i="5"/>
  <c r="AQ637" i="5"/>
  <c r="AN638" i="5"/>
  <c r="AO638" i="5"/>
  <c r="AP638" i="5"/>
  <c r="AQ638" i="5"/>
  <c r="AN639" i="5"/>
  <c r="AO639" i="5"/>
  <c r="AP639" i="5"/>
  <c r="AQ639" i="5"/>
  <c r="AN640" i="5"/>
  <c r="AO640" i="5"/>
  <c r="AP640" i="5"/>
  <c r="AQ640" i="5"/>
  <c r="AN641" i="5"/>
  <c r="AO641" i="5"/>
  <c r="AP641" i="5"/>
  <c r="AQ641" i="5"/>
  <c r="AN642" i="5"/>
  <c r="AO642" i="5"/>
  <c r="AP642" i="5"/>
  <c r="AQ642" i="5"/>
  <c r="AN643" i="5"/>
  <c r="AO643" i="5"/>
  <c r="AP643" i="5"/>
  <c r="AQ643" i="5"/>
  <c r="AN644" i="5"/>
  <c r="AO644" i="5"/>
  <c r="AP644" i="5"/>
  <c r="AQ644" i="5"/>
  <c r="AN645" i="5"/>
  <c r="AO645" i="5"/>
  <c r="AP645" i="5"/>
  <c r="AQ645" i="5"/>
  <c r="AN646" i="5"/>
  <c r="AO646" i="5"/>
  <c r="AP646" i="5"/>
  <c r="AQ646" i="5"/>
  <c r="AN647" i="5"/>
  <c r="AO647" i="5"/>
  <c r="AP647" i="5"/>
  <c r="AQ647" i="5"/>
  <c r="AN648" i="5"/>
  <c r="AO648" i="5"/>
  <c r="AP648" i="5"/>
  <c r="AQ648" i="5"/>
  <c r="AN649" i="5"/>
  <c r="AO649" i="5"/>
  <c r="AP649" i="5"/>
  <c r="AQ649" i="5"/>
  <c r="AN650" i="5"/>
  <c r="AO650" i="5"/>
  <c r="AP650" i="5"/>
  <c r="AQ650" i="5"/>
  <c r="AN651" i="5"/>
  <c r="AO651" i="5"/>
  <c r="AP651" i="5"/>
  <c r="AQ651" i="5"/>
  <c r="AN652" i="5"/>
  <c r="AO652" i="5"/>
  <c r="AP652" i="5"/>
  <c r="AQ652" i="5"/>
  <c r="AN653" i="5"/>
  <c r="AO653" i="5"/>
  <c r="AP653" i="5"/>
  <c r="AQ653" i="5"/>
  <c r="AN654" i="5"/>
  <c r="AO654" i="5"/>
  <c r="AP654" i="5"/>
  <c r="AQ654" i="5"/>
  <c r="AN655" i="5"/>
  <c r="AO655" i="5"/>
  <c r="AP655" i="5"/>
  <c r="AQ655" i="5"/>
  <c r="AN656" i="5"/>
  <c r="AO656" i="5"/>
  <c r="AP656" i="5"/>
  <c r="AQ656" i="5"/>
  <c r="AN657" i="5"/>
  <c r="AO657" i="5"/>
  <c r="AP657" i="5"/>
  <c r="AQ657" i="5"/>
  <c r="AN658" i="5"/>
  <c r="AO658" i="5"/>
  <c r="AP658" i="5"/>
  <c r="AQ658" i="5"/>
  <c r="AN659" i="5"/>
  <c r="AO659" i="5"/>
  <c r="AP659" i="5"/>
  <c r="AQ659" i="5"/>
  <c r="AN660" i="5"/>
  <c r="AO660" i="5"/>
  <c r="AP660" i="5"/>
  <c r="AQ660" i="5"/>
  <c r="AN661" i="5"/>
  <c r="AO661" i="5"/>
  <c r="AP661" i="5"/>
  <c r="AQ661" i="5"/>
  <c r="AN662" i="5"/>
  <c r="AO662" i="5"/>
  <c r="AP662" i="5"/>
  <c r="AQ662" i="5"/>
  <c r="AN663" i="5"/>
  <c r="AO663" i="5"/>
  <c r="AP663" i="5"/>
  <c r="AQ663" i="5"/>
  <c r="AN664" i="5"/>
  <c r="AO664" i="5"/>
  <c r="AP664" i="5"/>
  <c r="AQ664" i="5"/>
  <c r="AN665" i="5"/>
  <c r="AO665" i="5"/>
  <c r="AP665" i="5"/>
  <c r="AQ665" i="5"/>
  <c r="AN666" i="5"/>
  <c r="AO666" i="5"/>
  <c r="AP666" i="5"/>
  <c r="AQ666" i="5"/>
  <c r="AN667" i="5"/>
  <c r="AO667" i="5"/>
  <c r="AP667" i="5"/>
  <c r="AQ667" i="5"/>
  <c r="AN668" i="5"/>
  <c r="AO668" i="5"/>
  <c r="AP668" i="5"/>
  <c r="AQ668" i="5"/>
  <c r="AN669" i="5"/>
  <c r="AO669" i="5"/>
  <c r="AP669" i="5"/>
  <c r="AQ669" i="5"/>
  <c r="AN670" i="5"/>
  <c r="AO670" i="5"/>
  <c r="AP670" i="5"/>
  <c r="AQ670" i="5"/>
  <c r="AN671" i="5"/>
  <c r="AO671" i="5"/>
  <c r="AP671" i="5"/>
  <c r="AQ671" i="5"/>
  <c r="AN672" i="5"/>
  <c r="AO672" i="5"/>
  <c r="AP672" i="5"/>
  <c r="AQ672" i="5"/>
  <c r="AN673" i="5"/>
  <c r="AO673" i="5"/>
  <c r="AP673" i="5"/>
  <c r="AQ673" i="5"/>
  <c r="AN674" i="5"/>
  <c r="AO674" i="5"/>
  <c r="AP674" i="5"/>
  <c r="AQ674" i="5"/>
  <c r="AN675" i="5"/>
  <c r="AO675" i="5"/>
  <c r="AP675" i="5"/>
  <c r="AQ675" i="5"/>
  <c r="AN676" i="5"/>
  <c r="AO676" i="5"/>
  <c r="AP676" i="5"/>
  <c r="AQ676" i="5"/>
  <c r="AN677" i="5"/>
  <c r="AO677" i="5"/>
  <c r="AP677" i="5"/>
  <c r="AQ677" i="5"/>
  <c r="AN678" i="5"/>
  <c r="AO678" i="5"/>
  <c r="AP678" i="5"/>
  <c r="AQ678" i="5"/>
  <c r="AN679" i="5"/>
  <c r="AO679" i="5"/>
  <c r="AP679" i="5"/>
  <c r="AQ679" i="5"/>
  <c r="AN680" i="5"/>
  <c r="AO680" i="5"/>
  <c r="AP680" i="5"/>
  <c r="AQ680" i="5"/>
  <c r="AN681" i="5"/>
  <c r="AO681" i="5"/>
  <c r="AP681" i="5"/>
  <c r="AQ681" i="5"/>
  <c r="AN682" i="5"/>
  <c r="AO682" i="5"/>
  <c r="AP682" i="5"/>
  <c r="AQ682" i="5"/>
  <c r="AN683" i="5"/>
  <c r="AO683" i="5"/>
  <c r="AP683" i="5"/>
  <c r="AQ683" i="5"/>
  <c r="AN684" i="5"/>
  <c r="AO684" i="5"/>
  <c r="AP684" i="5"/>
  <c r="AQ684" i="5"/>
  <c r="AN685" i="5"/>
  <c r="AO685" i="5"/>
  <c r="AP685" i="5"/>
  <c r="AQ685" i="5"/>
  <c r="AN686" i="5"/>
  <c r="AO686" i="5"/>
  <c r="AP686" i="5"/>
  <c r="AQ686" i="5"/>
  <c r="AN687" i="5"/>
  <c r="AO687" i="5"/>
  <c r="AP687" i="5"/>
  <c r="AQ687" i="5"/>
  <c r="AN688" i="5"/>
  <c r="AO688" i="5"/>
  <c r="AP688" i="5"/>
  <c r="AQ688" i="5"/>
  <c r="AN689" i="5"/>
  <c r="AO689" i="5"/>
  <c r="AP689" i="5"/>
  <c r="AQ689" i="5"/>
  <c r="AN690" i="5"/>
  <c r="AO690" i="5"/>
  <c r="AP690" i="5"/>
  <c r="AQ690" i="5"/>
  <c r="AN691" i="5"/>
  <c r="AO691" i="5"/>
  <c r="AP691" i="5"/>
  <c r="AQ691" i="5"/>
  <c r="AN692" i="5"/>
  <c r="AO692" i="5"/>
  <c r="AP692" i="5"/>
  <c r="AQ692" i="5"/>
  <c r="AN693" i="5"/>
  <c r="AO693" i="5"/>
  <c r="AP693" i="5"/>
  <c r="AQ693" i="5"/>
  <c r="AN694" i="5"/>
  <c r="AO694" i="5"/>
  <c r="AP694" i="5"/>
  <c r="AQ694" i="5"/>
  <c r="AN695" i="5"/>
  <c r="AO695" i="5"/>
  <c r="AP695" i="5"/>
  <c r="AQ695" i="5"/>
  <c r="AN696" i="5"/>
  <c r="AO696" i="5"/>
  <c r="AP696" i="5"/>
  <c r="AQ696" i="5"/>
  <c r="AN697" i="5"/>
  <c r="AO697" i="5"/>
  <c r="AP697" i="5"/>
  <c r="AQ697" i="5"/>
  <c r="AN698" i="5"/>
  <c r="AO698" i="5"/>
  <c r="AP698" i="5"/>
  <c r="AQ698" i="5"/>
  <c r="AN699" i="5"/>
  <c r="AO699" i="5"/>
  <c r="AP699" i="5"/>
  <c r="AQ699" i="5"/>
  <c r="AN700" i="5"/>
  <c r="AO700" i="5"/>
  <c r="AP700" i="5"/>
  <c r="AQ700" i="5"/>
  <c r="AN701" i="5"/>
  <c r="AO701" i="5"/>
  <c r="AP701" i="5"/>
  <c r="AQ701" i="5"/>
  <c r="AN702" i="5"/>
  <c r="AO702" i="5"/>
  <c r="AP702" i="5"/>
  <c r="AQ702" i="5"/>
  <c r="AN703" i="5"/>
  <c r="AO703" i="5"/>
  <c r="AP703" i="5"/>
  <c r="AQ703" i="5"/>
  <c r="AN704" i="5"/>
  <c r="AO704" i="5"/>
  <c r="AP704" i="5"/>
  <c r="AQ704" i="5"/>
  <c r="AN705" i="5"/>
  <c r="AO705" i="5"/>
  <c r="AP705" i="5"/>
  <c r="AQ705" i="5"/>
  <c r="AN706" i="5"/>
  <c r="AO706" i="5"/>
  <c r="AP706" i="5"/>
  <c r="AQ706" i="5"/>
  <c r="AN707" i="5"/>
  <c r="AO707" i="5"/>
  <c r="AP707" i="5"/>
  <c r="AQ707" i="5"/>
  <c r="AN708" i="5"/>
  <c r="AO708" i="5"/>
  <c r="AP708" i="5"/>
  <c r="AQ708" i="5"/>
  <c r="AN709" i="5"/>
  <c r="AO709" i="5"/>
  <c r="AP709" i="5"/>
  <c r="AQ709" i="5"/>
  <c r="AN710" i="5"/>
  <c r="AO710" i="5"/>
  <c r="AP710" i="5"/>
  <c r="AQ710" i="5"/>
  <c r="AN711" i="5"/>
  <c r="AO711" i="5"/>
  <c r="AP711" i="5"/>
  <c r="AQ711" i="5"/>
  <c r="AN712" i="5"/>
  <c r="AO712" i="5"/>
  <c r="AP712" i="5"/>
  <c r="AQ712" i="5"/>
  <c r="AN713" i="5"/>
  <c r="AO713" i="5"/>
  <c r="AP713" i="5"/>
  <c r="AQ713" i="5"/>
  <c r="AN714" i="5"/>
  <c r="AO714" i="5"/>
  <c r="AP714" i="5"/>
  <c r="AQ714" i="5"/>
  <c r="AN715" i="5"/>
  <c r="AO715" i="5"/>
  <c r="AP715" i="5"/>
  <c r="AQ715" i="5"/>
  <c r="AN716" i="5"/>
  <c r="AO716" i="5"/>
  <c r="AP716" i="5"/>
  <c r="AQ716" i="5"/>
  <c r="AN717" i="5"/>
  <c r="AO717" i="5"/>
  <c r="AP717" i="5"/>
  <c r="AQ717" i="5"/>
  <c r="AN718" i="5"/>
  <c r="AO718" i="5"/>
  <c r="AP718" i="5"/>
  <c r="AQ718" i="5"/>
  <c r="AN719" i="5"/>
  <c r="AO719" i="5"/>
  <c r="AP719" i="5"/>
  <c r="AQ719" i="5"/>
  <c r="AN720" i="5"/>
  <c r="AO720" i="5"/>
  <c r="AP720" i="5"/>
  <c r="AQ720" i="5"/>
  <c r="AN721" i="5"/>
  <c r="AO721" i="5"/>
  <c r="AP721" i="5"/>
  <c r="AQ721" i="5"/>
  <c r="AN722" i="5"/>
  <c r="AO722" i="5"/>
  <c r="AP722" i="5"/>
  <c r="AQ722" i="5"/>
  <c r="AN723" i="5"/>
  <c r="AO723" i="5"/>
  <c r="AP723" i="5"/>
  <c r="AQ723" i="5"/>
  <c r="AN724" i="5"/>
  <c r="AO724" i="5"/>
  <c r="AP724" i="5"/>
  <c r="AQ724" i="5"/>
  <c r="AN725" i="5"/>
  <c r="AO725" i="5"/>
  <c r="AP725" i="5"/>
  <c r="AQ725" i="5"/>
  <c r="AN726" i="5"/>
  <c r="AO726" i="5"/>
  <c r="AP726" i="5"/>
  <c r="AQ726" i="5"/>
  <c r="AN727" i="5"/>
  <c r="AO727" i="5"/>
  <c r="AP727" i="5"/>
  <c r="AQ727" i="5"/>
  <c r="AN728" i="5"/>
  <c r="AO728" i="5"/>
  <c r="AP728" i="5"/>
  <c r="AQ728" i="5"/>
  <c r="AN729" i="5"/>
  <c r="AO729" i="5"/>
  <c r="AP729" i="5"/>
  <c r="AQ729" i="5"/>
  <c r="AN730" i="5"/>
  <c r="AO730" i="5"/>
  <c r="AP730" i="5"/>
  <c r="AQ730" i="5"/>
  <c r="AN731" i="5"/>
  <c r="AO731" i="5"/>
  <c r="AP731" i="5"/>
  <c r="AQ731" i="5"/>
  <c r="AN732" i="5"/>
  <c r="AO732" i="5"/>
  <c r="AP732" i="5"/>
  <c r="AQ732" i="5"/>
  <c r="AN733" i="5"/>
  <c r="AO733" i="5"/>
  <c r="AP733" i="5"/>
  <c r="AQ733" i="5"/>
  <c r="AN734" i="5"/>
  <c r="AO734" i="5"/>
  <c r="AP734" i="5"/>
  <c r="AQ734" i="5"/>
  <c r="AN735" i="5"/>
  <c r="AO735" i="5"/>
  <c r="AP735" i="5"/>
  <c r="AQ735" i="5"/>
  <c r="AN736" i="5"/>
  <c r="AO736" i="5"/>
  <c r="AP736" i="5"/>
  <c r="AQ736" i="5"/>
  <c r="AN737" i="5"/>
  <c r="AO737" i="5"/>
  <c r="AP737" i="5"/>
  <c r="AQ737" i="5"/>
  <c r="AN741" i="5"/>
  <c r="AO741" i="5"/>
  <c r="AP741" i="5"/>
  <c r="AQ741" i="5"/>
  <c r="AN742" i="5"/>
  <c r="AO742" i="5"/>
  <c r="AP742" i="5"/>
  <c r="AQ742" i="5"/>
  <c r="AN743" i="5"/>
  <c r="AO743" i="5"/>
  <c r="AP743" i="5"/>
  <c r="AQ743" i="5"/>
  <c r="AN744" i="5"/>
  <c r="AO744" i="5"/>
  <c r="AP744" i="5"/>
  <c r="AQ744" i="5"/>
  <c r="AN745" i="5"/>
  <c r="AO745" i="5"/>
  <c r="AP745" i="5"/>
  <c r="AQ745" i="5"/>
  <c r="AN746" i="5"/>
  <c r="AO746" i="5"/>
  <c r="AP746" i="5"/>
  <c r="AQ746" i="5"/>
  <c r="AN747" i="5"/>
  <c r="AO747" i="5"/>
  <c r="AP747" i="5"/>
  <c r="AQ747" i="5"/>
  <c r="AN748" i="5"/>
  <c r="AO748" i="5"/>
  <c r="AP748" i="5"/>
  <c r="AQ748" i="5"/>
  <c r="AN749" i="5"/>
  <c r="AO749" i="5"/>
  <c r="AP749" i="5"/>
  <c r="AQ749" i="5"/>
  <c r="AN750" i="5"/>
  <c r="AO750" i="5"/>
  <c r="AP750" i="5"/>
  <c r="AQ750" i="5"/>
  <c r="AN751" i="5"/>
  <c r="AO751" i="5"/>
  <c r="AP751" i="5"/>
  <c r="AQ751" i="5"/>
  <c r="AN752" i="5"/>
  <c r="AO752" i="5"/>
  <c r="AP752" i="5"/>
  <c r="AQ752" i="5"/>
  <c r="AN753" i="5"/>
  <c r="AO753" i="5"/>
  <c r="AP753" i="5"/>
  <c r="AQ753" i="5"/>
  <c r="BW5" i="5"/>
  <c r="BY5" i="5" s="1"/>
  <c r="A98" i="19"/>
  <c r="A99" i="19"/>
  <c r="A100" i="19"/>
  <c r="L101" i="19"/>
  <c r="L87" i="19"/>
  <c r="K87" i="19"/>
  <c r="L69" i="19"/>
  <c r="L51" i="19"/>
  <c r="L37" i="19"/>
  <c r="L23" i="19"/>
  <c r="M23" i="19"/>
  <c r="J57" i="19"/>
  <c r="I57" i="19"/>
  <c r="I69" i="19" s="1"/>
  <c r="A57" i="19"/>
  <c r="H39" i="19"/>
  <c r="G40" i="19" s="1"/>
  <c r="H40" i="19" s="1"/>
  <c r="G41" i="19" s="1"/>
  <c r="H41" i="19" s="1"/>
  <c r="G42" i="19" s="1"/>
  <c r="H42" i="19" s="1"/>
  <c r="G43" i="19" s="1"/>
  <c r="H43" i="19" s="1"/>
  <c r="G44" i="19" s="1"/>
  <c r="H44" i="19" s="1"/>
  <c r="G45" i="19" s="1"/>
  <c r="H45" i="19" s="1"/>
  <c r="G46" i="19" s="1"/>
  <c r="H46" i="19" s="1"/>
  <c r="G47" i="19" s="1"/>
  <c r="H47" i="19" s="1"/>
  <c r="G48" i="19" s="1"/>
  <c r="H48" i="19" s="1"/>
  <c r="G49" i="19" s="1"/>
  <c r="H49" i="19" s="1"/>
  <c r="G50" i="19" s="1"/>
  <c r="H50" i="19" s="1"/>
  <c r="H25" i="19"/>
  <c r="D58" i="19"/>
  <c r="A58" i="19" s="1"/>
  <c r="B58" i="19"/>
  <c r="J58" i="19" s="1"/>
  <c r="I39" i="19"/>
  <c r="I51" i="19" s="1"/>
  <c r="J39" i="19"/>
  <c r="J25" i="19"/>
  <c r="J11" i="19"/>
  <c r="I25" i="19"/>
  <c r="I37" i="19" s="1"/>
  <c r="L103" i="19" l="1"/>
  <c r="I61" i="20"/>
  <c r="I73" i="20" s="1"/>
  <c r="J61" i="20"/>
  <c r="J11" i="20"/>
  <c r="J59" i="20" s="1"/>
  <c r="J71" i="19"/>
  <c r="M57" i="19"/>
  <c r="M69" i="19" s="1"/>
  <c r="K57" i="19"/>
  <c r="K69" i="19" s="1"/>
  <c r="M58" i="19"/>
  <c r="K58" i="19"/>
  <c r="I11" i="20"/>
  <c r="I23" i="20" s="1"/>
  <c r="B59" i="19"/>
  <c r="B60" i="19" s="1"/>
  <c r="B61" i="19" s="1"/>
  <c r="B62" i="19" s="1"/>
  <c r="B63" i="19" s="1"/>
  <c r="B64" i="19" s="1"/>
  <c r="B65" i="19" s="1"/>
  <c r="B66" i="19" s="1"/>
  <c r="B67" i="19" s="1"/>
  <c r="B68" i="19" s="1"/>
  <c r="I68" i="19" s="1"/>
  <c r="I58" i="19"/>
  <c r="D59" i="19"/>
  <c r="A59" i="19" s="1"/>
  <c r="L71" i="19"/>
  <c r="K59" i="19" l="1"/>
  <c r="M59" i="19"/>
  <c r="J68" i="19"/>
  <c r="J62" i="19"/>
  <c r="I63" i="19"/>
  <c r="I60" i="19"/>
  <c r="J63" i="19"/>
  <c r="I59" i="19"/>
  <c r="I64" i="19"/>
  <c r="I65" i="19"/>
  <c r="J59" i="19"/>
  <c r="J64" i="19"/>
  <c r="I61" i="19"/>
  <c r="I66" i="19"/>
  <c r="J60" i="19"/>
  <c r="I67" i="19"/>
  <c r="I62" i="19"/>
  <c r="J61" i="19"/>
  <c r="J65" i="19"/>
  <c r="J66" i="19"/>
  <c r="J67" i="19"/>
  <c r="D60" i="19"/>
  <c r="A60" i="19" s="1"/>
  <c r="D61" i="19" l="1"/>
  <c r="A61" i="19" s="1"/>
  <c r="M60" i="19"/>
  <c r="K60" i="19"/>
  <c r="D62" i="19"/>
  <c r="K61" i="19" l="1"/>
  <c r="M61" i="19"/>
  <c r="D63" i="19"/>
  <c r="A62" i="19"/>
  <c r="M62" i="19" l="1"/>
  <c r="K62" i="19"/>
  <c r="A63" i="19"/>
  <c r="D64" i="19"/>
  <c r="K63" i="19" l="1"/>
  <c r="M63" i="19"/>
  <c r="A64" i="19"/>
  <c r="D65" i="19"/>
  <c r="K64" i="19" l="1"/>
  <c r="M64" i="19"/>
  <c r="A65" i="19"/>
  <c r="D66" i="19"/>
  <c r="K65" i="19" l="1"/>
  <c r="M65" i="19"/>
  <c r="A66" i="19"/>
  <c r="D67" i="19"/>
  <c r="K66" i="19" l="1"/>
  <c r="M66" i="19"/>
  <c r="D68" i="19"/>
  <c r="A68" i="19" s="1"/>
  <c r="A67" i="19"/>
  <c r="K67" i="19" l="1"/>
  <c r="M67" i="19"/>
  <c r="K68" i="19"/>
  <c r="M68" i="19"/>
  <c r="AS741" i="2"/>
  <c r="Y741" i="2"/>
  <c r="X741" i="2"/>
  <c r="W741" i="2"/>
  <c r="V741" i="2"/>
  <c r="U741" i="2"/>
  <c r="R741" i="2"/>
  <c r="Q741" i="2"/>
  <c r="O741" i="2"/>
  <c r="N741" i="2"/>
  <c r="I741" i="2"/>
  <c r="D741" i="2"/>
  <c r="B741" i="2" s="1"/>
  <c r="C741" i="2"/>
  <c r="E741" i="2" l="1"/>
  <c r="P741" i="2"/>
  <c r="I11" i="19"/>
  <c r="I23" i="19" s="1"/>
  <c r="AM374" i="2"/>
  <c r="AN374" i="2"/>
  <c r="AO374" i="2"/>
  <c r="AP374" i="2"/>
  <c r="AM375" i="2"/>
  <c r="AN375" i="2"/>
  <c r="AO375" i="2"/>
  <c r="AP375" i="2"/>
  <c r="AM376" i="2"/>
  <c r="AN376" i="2"/>
  <c r="AO376" i="2"/>
  <c r="AP376" i="2"/>
  <c r="AM377" i="2"/>
  <c r="AN377" i="2"/>
  <c r="AO377" i="2"/>
  <c r="AP377" i="2"/>
  <c r="AM378" i="2"/>
  <c r="AN378" i="2"/>
  <c r="AO378" i="2"/>
  <c r="AP378" i="2"/>
  <c r="AM379" i="2"/>
  <c r="AN379" i="2"/>
  <c r="AO379" i="2"/>
  <c r="AP379" i="2"/>
  <c r="AM380" i="2"/>
  <c r="AN380" i="2"/>
  <c r="AO380" i="2"/>
  <c r="AP380" i="2"/>
  <c r="AM381" i="2"/>
  <c r="AN381" i="2"/>
  <c r="AO381" i="2"/>
  <c r="AP381" i="2"/>
  <c r="AM382" i="2"/>
  <c r="AN382" i="2"/>
  <c r="AO382" i="2"/>
  <c r="AP382" i="2"/>
  <c r="AM383" i="2"/>
  <c r="AN383" i="2"/>
  <c r="AO383" i="2"/>
  <c r="AP383" i="2"/>
  <c r="AM384" i="2"/>
  <c r="AN384" i="2"/>
  <c r="AO384" i="2"/>
  <c r="AP384" i="2"/>
  <c r="AM385" i="2"/>
  <c r="AN385" i="2"/>
  <c r="AO385" i="2"/>
  <c r="AP385" i="2"/>
  <c r="AM386" i="2"/>
  <c r="AN386" i="2"/>
  <c r="AO386" i="2"/>
  <c r="AP386" i="2"/>
  <c r="AM387" i="2"/>
  <c r="AN387" i="2"/>
  <c r="AO387" i="2"/>
  <c r="AP387" i="2"/>
  <c r="AM388" i="2"/>
  <c r="AN388" i="2"/>
  <c r="AO388" i="2"/>
  <c r="AP388" i="2"/>
  <c r="AM389" i="2"/>
  <c r="AN389" i="2"/>
  <c r="AO389" i="2"/>
  <c r="AP389" i="2"/>
  <c r="AM390" i="2"/>
  <c r="AN390" i="2"/>
  <c r="AO390" i="2"/>
  <c r="AP390" i="2"/>
  <c r="AM391" i="2"/>
  <c r="AN391" i="2"/>
  <c r="AO391" i="2"/>
  <c r="AP391" i="2"/>
  <c r="AM392" i="2"/>
  <c r="AN392" i="2"/>
  <c r="AO392" i="2"/>
  <c r="AP392" i="2"/>
  <c r="AM393" i="2"/>
  <c r="AN393" i="2"/>
  <c r="AO393" i="2"/>
  <c r="AP393" i="2"/>
  <c r="AM394" i="2"/>
  <c r="AN394" i="2"/>
  <c r="AO394" i="2"/>
  <c r="AP394" i="2"/>
  <c r="AM395" i="2"/>
  <c r="AN395" i="2"/>
  <c r="AO395" i="2"/>
  <c r="AP395" i="2"/>
  <c r="AM396" i="2"/>
  <c r="AN396" i="2"/>
  <c r="AO396" i="2"/>
  <c r="AP396" i="2"/>
  <c r="AM397" i="2"/>
  <c r="AN397" i="2"/>
  <c r="AO397" i="2"/>
  <c r="AP397" i="2"/>
  <c r="AM398" i="2"/>
  <c r="AN398" i="2"/>
  <c r="AO398" i="2"/>
  <c r="AP398" i="2"/>
  <c r="AM399" i="2"/>
  <c r="AN399" i="2"/>
  <c r="AO399" i="2"/>
  <c r="AP399" i="2"/>
  <c r="AM400" i="2"/>
  <c r="AN400" i="2"/>
  <c r="AO400" i="2"/>
  <c r="AP400" i="2"/>
  <c r="AM401" i="2"/>
  <c r="AN401" i="2"/>
  <c r="AO401" i="2"/>
  <c r="AP401" i="2"/>
  <c r="AM402" i="2"/>
  <c r="AN402" i="2"/>
  <c r="AO402" i="2"/>
  <c r="AP402" i="2"/>
  <c r="AM403" i="2"/>
  <c r="AN403" i="2"/>
  <c r="AO403" i="2"/>
  <c r="AP403" i="2"/>
  <c r="AM404" i="2"/>
  <c r="AN404" i="2"/>
  <c r="AO404" i="2"/>
  <c r="AP404" i="2"/>
  <c r="AM405" i="2"/>
  <c r="AN405" i="2"/>
  <c r="AO405" i="2"/>
  <c r="AP405" i="2"/>
  <c r="AM406" i="2"/>
  <c r="AN406" i="2"/>
  <c r="AO406" i="2"/>
  <c r="AP406" i="2"/>
  <c r="AM407" i="2"/>
  <c r="AN407" i="2"/>
  <c r="AO407" i="2"/>
  <c r="AP407" i="2"/>
  <c r="AM408" i="2"/>
  <c r="AN408" i="2"/>
  <c r="AO408" i="2"/>
  <c r="AP408" i="2"/>
  <c r="AM409" i="2"/>
  <c r="AN409" i="2"/>
  <c r="AO409" i="2"/>
  <c r="AP409" i="2"/>
  <c r="AM410" i="2"/>
  <c r="AN410" i="2"/>
  <c r="AO410" i="2"/>
  <c r="AP410" i="2"/>
  <c r="AM411" i="2"/>
  <c r="AN411" i="2"/>
  <c r="AO411" i="2"/>
  <c r="AP411" i="2"/>
  <c r="AM412" i="2"/>
  <c r="AN412" i="2"/>
  <c r="AO412" i="2"/>
  <c r="AP412" i="2"/>
  <c r="AM413" i="2"/>
  <c r="AN413" i="2"/>
  <c r="AO413" i="2"/>
  <c r="AP413" i="2"/>
  <c r="AM414" i="2"/>
  <c r="AN414" i="2"/>
  <c r="AO414" i="2"/>
  <c r="AP414" i="2"/>
  <c r="AM415" i="2"/>
  <c r="AN415" i="2"/>
  <c r="AO415" i="2"/>
  <c r="AP415" i="2"/>
  <c r="AM416" i="2"/>
  <c r="AN416" i="2"/>
  <c r="AO416" i="2"/>
  <c r="AP416" i="2"/>
  <c r="AM417" i="2"/>
  <c r="AN417" i="2"/>
  <c r="AO417" i="2"/>
  <c r="AP417" i="2"/>
  <c r="AM418" i="2"/>
  <c r="AN418" i="2"/>
  <c r="AO418" i="2"/>
  <c r="AP418" i="2"/>
  <c r="AM419" i="2"/>
  <c r="AN419" i="2"/>
  <c r="AO419" i="2"/>
  <c r="AP419" i="2"/>
  <c r="AM420" i="2"/>
  <c r="AN420" i="2"/>
  <c r="AO420" i="2"/>
  <c r="AP420" i="2"/>
  <c r="AM421" i="2"/>
  <c r="AN421" i="2"/>
  <c r="AO421" i="2"/>
  <c r="AP421" i="2"/>
  <c r="AM422" i="2"/>
  <c r="AN422" i="2"/>
  <c r="AO422" i="2"/>
  <c r="AP422" i="2"/>
  <c r="AM423" i="2"/>
  <c r="AN423" i="2"/>
  <c r="AO423" i="2"/>
  <c r="AP423" i="2"/>
  <c r="AM424" i="2"/>
  <c r="AN424" i="2"/>
  <c r="AO424" i="2"/>
  <c r="AP424" i="2"/>
  <c r="AM425" i="2"/>
  <c r="AN425" i="2"/>
  <c r="AO425" i="2"/>
  <c r="AP425" i="2"/>
  <c r="AM426" i="2"/>
  <c r="AN426" i="2"/>
  <c r="AO426" i="2"/>
  <c r="AP426" i="2"/>
  <c r="AM427" i="2"/>
  <c r="AN427" i="2"/>
  <c r="AO427" i="2"/>
  <c r="AP427" i="2"/>
  <c r="AM428" i="2"/>
  <c r="AN428" i="2"/>
  <c r="AO428" i="2"/>
  <c r="AP428" i="2"/>
  <c r="AM429" i="2"/>
  <c r="AN429" i="2"/>
  <c r="AO429" i="2"/>
  <c r="AP429" i="2"/>
  <c r="AM430" i="2"/>
  <c r="AN430" i="2"/>
  <c r="AO430" i="2"/>
  <c r="AP430" i="2"/>
  <c r="AM431" i="2"/>
  <c r="AN431" i="2"/>
  <c r="AO431" i="2"/>
  <c r="AP431" i="2"/>
  <c r="AM432" i="2"/>
  <c r="AN432" i="2"/>
  <c r="AO432" i="2"/>
  <c r="AP432" i="2"/>
  <c r="AM433" i="2"/>
  <c r="AN433" i="2"/>
  <c r="AO433" i="2"/>
  <c r="AP433" i="2"/>
  <c r="AM434" i="2"/>
  <c r="AN434" i="2"/>
  <c r="AO434" i="2"/>
  <c r="AP434" i="2"/>
  <c r="AM435" i="2"/>
  <c r="AN435" i="2"/>
  <c r="AO435" i="2"/>
  <c r="AP435" i="2"/>
  <c r="AM436" i="2"/>
  <c r="AN436" i="2"/>
  <c r="AO436" i="2"/>
  <c r="AP436" i="2"/>
  <c r="AM437" i="2"/>
  <c r="AN437" i="2"/>
  <c r="AO437" i="2"/>
  <c r="AP437" i="2"/>
  <c r="AM438" i="2"/>
  <c r="AN438" i="2"/>
  <c r="AO438" i="2"/>
  <c r="AP438" i="2"/>
  <c r="AM439" i="2"/>
  <c r="AN439" i="2"/>
  <c r="AO439" i="2"/>
  <c r="AP439" i="2"/>
  <c r="AM440" i="2"/>
  <c r="AN440" i="2"/>
  <c r="AO440" i="2"/>
  <c r="AP440" i="2"/>
  <c r="AM441" i="2"/>
  <c r="AN441" i="2"/>
  <c r="AO441" i="2"/>
  <c r="AP441" i="2"/>
  <c r="AM442" i="2"/>
  <c r="AN442" i="2"/>
  <c r="AO442" i="2"/>
  <c r="AP442" i="2"/>
  <c r="AM443" i="2"/>
  <c r="AN443" i="2"/>
  <c r="AO443" i="2"/>
  <c r="AP443" i="2"/>
  <c r="AM444" i="2"/>
  <c r="AN444" i="2"/>
  <c r="AO444" i="2"/>
  <c r="AP444" i="2"/>
  <c r="AM445" i="2"/>
  <c r="AN445" i="2"/>
  <c r="AO445" i="2"/>
  <c r="AP445" i="2"/>
  <c r="AM446" i="2"/>
  <c r="AN446" i="2"/>
  <c r="AO446" i="2"/>
  <c r="AP446" i="2"/>
  <c r="AM447" i="2"/>
  <c r="AN447" i="2"/>
  <c r="AO447" i="2"/>
  <c r="AP447" i="2"/>
  <c r="AM448" i="2"/>
  <c r="AN448" i="2"/>
  <c r="AO448" i="2"/>
  <c r="AP448" i="2"/>
  <c r="AM449" i="2"/>
  <c r="AN449" i="2"/>
  <c r="AO449" i="2"/>
  <c r="AP449" i="2"/>
  <c r="AM450" i="2"/>
  <c r="AN450" i="2"/>
  <c r="AO450" i="2"/>
  <c r="AP450" i="2"/>
  <c r="AM451" i="2"/>
  <c r="AN451" i="2"/>
  <c r="AO451" i="2"/>
  <c r="AP451" i="2"/>
  <c r="AM452" i="2"/>
  <c r="AN452" i="2"/>
  <c r="AO452" i="2"/>
  <c r="AP452" i="2"/>
  <c r="AM453" i="2"/>
  <c r="AN453" i="2"/>
  <c r="AO453" i="2"/>
  <c r="AP453" i="2"/>
  <c r="AM454" i="2"/>
  <c r="AN454" i="2"/>
  <c r="AO454" i="2"/>
  <c r="AP454" i="2"/>
  <c r="AM455" i="2"/>
  <c r="AN455" i="2"/>
  <c r="AO455" i="2"/>
  <c r="AP455" i="2"/>
  <c r="AM456" i="2"/>
  <c r="AN456" i="2"/>
  <c r="AO456" i="2"/>
  <c r="AP456" i="2"/>
  <c r="AM457" i="2"/>
  <c r="AN457" i="2"/>
  <c r="AO457" i="2"/>
  <c r="AP457" i="2"/>
  <c r="AM458" i="2"/>
  <c r="AN458" i="2"/>
  <c r="AO458" i="2"/>
  <c r="AP458" i="2"/>
  <c r="AM459" i="2"/>
  <c r="AN459" i="2"/>
  <c r="AO459" i="2"/>
  <c r="AP459" i="2"/>
  <c r="AM460" i="2"/>
  <c r="AN460" i="2"/>
  <c r="AO460" i="2"/>
  <c r="AP460" i="2"/>
  <c r="AM461" i="2"/>
  <c r="AN461" i="2"/>
  <c r="AO461" i="2"/>
  <c r="AP461" i="2"/>
  <c r="AM462" i="2"/>
  <c r="AN462" i="2"/>
  <c r="AO462" i="2"/>
  <c r="AP462" i="2"/>
  <c r="AM463" i="2"/>
  <c r="AN463" i="2"/>
  <c r="AO463" i="2"/>
  <c r="AP463" i="2"/>
  <c r="AM464" i="2"/>
  <c r="AN464" i="2"/>
  <c r="AO464" i="2"/>
  <c r="AP464" i="2"/>
  <c r="AM465" i="2"/>
  <c r="AN465" i="2"/>
  <c r="AO465" i="2"/>
  <c r="AP465" i="2"/>
  <c r="AM466" i="2"/>
  <c r="AN466" i="2"/>
  <c r="AO466" i="2"/>
  <c r="AP466" i="2"/>
  <c r="AM467" i="2"/>
  <c r="AN467" i="2"/>
  <c r="AO467" i="2"/>
  <c r="AP467" i="2"/>
  <c r="AM468" i="2"/>
  <c r="AN468" i="2"/>
  <c r="AO468" i="2"/>
  <c r="AP468" i="2"/>
  <c r="AM469" i="2"/>
  <c r="AN469" i="2"/>
  <c r="AO469" i="2"/>
  <c r="AP469" i="2"/>
  <c r="AM470" i="2"/>
  <c r="AN470" i="2"/>
  <c r="AO470" i="2"/>
  <c r="AP470" i="2"/>
  <c r="AM471" i="2"/>
  <c r="AN471" i="2"/>
  <c r="AO471" i="2"/>
  <c r="AP471" i="2"/>
  <c r="AM472" i="2"/>
  <c r="AN472" i="2"/>
  <c r="AO472" i="2"/>
  <c r="AP472" i="2"/>
  <c r="AM473" i="2"/>
  <c r="AN473" i="2"/>
  <c r="AO473" i="2"/>
  <c r="AP473" i="2"/>
  <c r="AM474" i="2"/>
  <c r="AN474" i="2"/>
  <c r="AO474" i="2"/>
  <c r="AP474" i="2"/>
  <c r="AM475" i="2"/>
  <c r="AN475" i="2"/>
  <c r="AO475" i="2"/>
  <c r="AP475" i="2"/>
  <c r="AM476" i="2"/>
  <c r="AN476" i="2"/>
  <c r="AO476" i="2"/>
  <c r="AP476" i="2"/>
  <c r="AM477" i="2"/>
  <c r="AN477" i="2"/>
  <c r="AO477" i="2"/>
  <c r="AP477" i="2"/>
  <c r="AM478" i="2"/>
  <c r="AN478" i="2"/>
  <c r="AO478" i="2"/>
  <c r="AP478" i="2"/>
  <c r="AM479" i="2"/>
  <c r="AN479" i="2"/>
  <c r="AO479" i="2"/>
  <c r="AP479" i="2"/>
  <c r="AM480" i="2"/>
  <c r="AN480" i="2"/>
  <c r="AO480" i="2"/>
  <c r="AP480" i="2"/>
  <c r="AM481" i="2"/>
  <c r="AN481" i="2"/>
  <c r="AO481" i="2"/>
  <c r="AP481" i="2"/>
  <c r="AM482" i="2"/>
  <c r="AN482" i="2"/>
  <c r="AO482" i="2"/>
  <c r="AP482" i="2"/>
  <c r="AM483" i="2"/>
  <c r="AN483" i="2"/>
  <c r="AO483" i="2"/>
  <c r="AP483" i="2"/>
  <c r="AM484" i="2"/>
  <c r="AN484" i="2"/>
  <c r="AO484" i="2"/>
  <c r="AP484" i="2"/>
  <c r="AM485" i="2"/>
  <c r="AN485" i="2"/>
  <c r="AO485" i="2"/>
  <c r="AP485" i="2"/>
  <c r="AM486" i="2"/>
  <c r="AN486" i="2"/>
  <c r="AO486" i="2"/>
  <c r="AP486" i="2"/>
  <c r="AM487" i="2"/>
  <c r="AN487" i="2"/>
  <c r="AO487" i="2"/>
  <c r="AP487" i="2"/>
  <c r="AM488" i="2"/>
  <c r="AN488" i="2"/>
  <c r="AO488" i="2"/>
  <c r="AP488" i="2"/>
  <c r="AM489" i="2"/>
  <c r="AN489" i="2"/>
  <c r="AO489" i="2"/>
  <c r="AP489" i="2"/>
  <c r="AM490" i="2"/>
  <c r="AN490" i="2"/>
  <c r="AO490" i="2"/>
  <c r="AP490" i="2"/>
  <c r="AM491" i="2"/>
  <c r="AN491" i="2"/>
  <c r="AO491" i="2"/>
  <c r="AP491" i="2"/>
  <c r="AM492" i="2"/>
  <c r="AN492" i="2"/>
  <c r="AO492" i="2"/>
  <c r="AP492" i="2"/>
  <c r="AM493" i="2"/>
  <c r="AN493" i="2"/>
  <c r="AO493" i="2"/>
  <c r="AP493" i="2"/>
  <c r="AM494" i="2"/>
  <c r="AN494" i="2"/>
  <c r="AO494" i="2"/>
  <c r="AP494" i="2"/>
  <c r="AM495" i="2"/>
  <c r="AN495" i="2"/>
  <c r="AO495" i="2"/>
  <c r="AP495" i="2"/>
  <c r="AM496" i="2"/>
  <c r="AN496" i="2"/>
  <c r="AO496" i="2"/>
  <c r="AP496" i="2"/>
  <c r="AM497" i="2"/>
  <c r="AN497" i="2"/>
  <c r="AO497" i="2"/>
  <c r="AP497" i="2"/>
  <c r="AM498" i="2"/>
  <c r="AN498" i="2"/>
  <c r="AO498" i="2"/>
  <c r="AP498" i="2"/>
  <c r="AM499" i="2"/>
  <c r="AN499" i="2"/>
  <c r="AO499" i="2"/>
  <c r="AP499" i="2"/>
  <c r="AM500" i="2"/>
  <c r="AN500" i="2"/>
  <c r="AO500" i="2"/>
  <c r="AP500" i="2"/>
  <c r="AM501" i="2"/>
  <c r="AN501" i="2"/>
  <c r="AO501" i="2"/>
  <c r="AP501" i="2"/>
  <c r="AM502" i="2"/>
  <c r="AN502" i="2"/>
  <c r="AO502" i="2"/>
  <c r="AP502" i="2"/>
  <c r="AM503" i="2"/>
  <c r="AN503" i="2"/>
  <c r="AO503" i="2"/>
  <c r="AP503" i="2"/>
  <c r="AM504" i="2"/>
  <c r="AN504" i="2"/>
  <c r="AO504" i="2"/>
  <c r="AP504" i="2"/>
  <c r="AM505" i="2"/>
  <c r="AN505" i="2"/>
  <c r="AO505" i="2"/>
  <c r="AP505" i="2"/>
  <c r="AM506" i="2"/>
  <c r="AN506" i="2"/>
  <c r="AO506" i="2"/>
  <c r="AP506" i="2"/>
  <c r="AM507" i="2"/>
  <c r="AN507" i="2"/>
  <c r="AO507" i="2"/>
  <c r="AP507" i="2"/>
  <c r="AM508" i="2"/>
  <c r="AN508" i="2"/>
  <c r="AO508" i="2"/>
  <c r="AP508" i="2"/>
  <c r="AM509" i="2"/>
  <c r="AN509" i="2"/>
  <c r="AO509" i="2"/>
  <c r="AP509" i="2"/>
  <c r="AM510" i="2"/>
  <c r="AN510" i="2"/>
  <c r="AO510" i="2"/>
  <c r="AP510" i="2"/>
  <c r="AM511" i="2"/>
  <c r="AN511" i="2"/>
  <c r="AO511" i="2"/>
  <c r="AP511" i="2"/>
  <c r="AM512" i="2"/>
  <c r="AN512" i="2"/>
  <c r="AO512" i="2"/>
  <c r="AP512" i="2"/>
  <c r="AM513" i="2"/>
  <c r="AN513" i="2"/>
  <c r="AO513" i="2"/>
  <c r="AP513" i="2"/>
  <c r="AM514" i="2"/>
  <c r="AN514" i="2"/>
  <c r="AO514" i="2"/>
  <c r="AP514" i="2"/>
  <c r="AM515" i="2"/>
  <c r="AN515" i="2"/>
  <c r="AO515" i="2"/>
  <c r="AP515" i="2"/>
  <c r="AM516" i="2"/>
  <c r="AN516" i="2"/>
  <c r="AO516" i="2"/>
  <c r="AP516" i="2"/>
  <c r="AM517" i="2"/>
  <c r="AN517" i="2"/>
  <c r="AO517" i="2"/>
  <c r="AP517" i="2"/>
  <c r="AM518" i="2"/>
  <c r="AN518" i="2"/>
  <c r="AO518" i="2"/>
  <c r="AP518" i="2"/>
  <c r="AM519" i="2"/>
  <c r="AN519" i="2"/>
  <c r="AO519" i="2"/>
  <c r="AP519" i="2"/>
  <c r="AM520" i="2"/>
  <c r="AN520" i="2"/>
  <c r="AO520" i="2"/>
  <c r="AP520" i="2"/>
  <c r="AM521" i="2"/>
  <c r="AN521" i="2"/>
  <c r="AO521" i="2"/>
  <c r="AP521" i="2"/>
  <c r="AM522" i="2"/>
  <c r="AN522" i="2"/>
  <c r="AO522" i="2"/>
  <c r="AP522" i="2"/>
  <c r="AM523" i="2"/>
  <c r="AN523" i="2"/>
  <c r="AO523" i="2"/>
  <c r="AP523" i="2"/>
  <c r="AM524" i="2"/>
  <c r="AN524" i="2"/>
  <c r="AO524" i="2"/>
  <c r="AP524" i="2"/>
  <c r="AM525" i="2"/>
  <c r="AN525" i="2"/>
  <c r="AO525" i="2"/>
  <c r="AP525" i="2"/>
  <c r="AM526" i="2"/>
  <c r="AN526" i="2"/>
  <c r="AO526" i="2"/>
  <c r="AP526" i="2"/>
  <c r="AM527" i="2"/>
  <c r="AN527" i="2"/>
  <c r="AO527" i="2"/>
  <c r="AP527" i="2"/>
  <c r="AM528" i="2"/>
  <c r="AN528" i="2"/>
  <c r="AO528" i="2"/>
  <c r="AP528" i="2"/>
  <c r="AM529" i="2"/>
  <c r="AN529" i="2"/>
  <c r="AO529" i="2"/>
  <c r="AP529" i="2"/>
  <c r="AM530" i="2"/>
  <c r="AN530" i="2"/>
  <c r="AO530" i="2"/>
  <c r="AP530" i="2"/>
  <c r="AM531" i="2"/>
  <c r="AN531" i="2"/>
  <c r="AO531" i="2"/>
  <c r="AP531" i="2"/>
  <c r="AM532" i="2"/>
  <c r="AN532" i="2"/>
  <c r="AO532" i="2"/>
  <c r="AP532" i="2"/>
  <c r="AM533" i="2"/>
  <c r="AN533" i="2"/>
  <c r="AO533" i="2"/>
  <c r="AP533" i="2"/>
  <c r="AM534" i="2"/>
  <c r="AN534" i="2"/>
  <c r="AO534" i="2"/>
  <c r="AP534" i="2"/>
  <c r="AM535" i="2"/>
  <c r="AN535" i="2"/>
  <c r="AO535" i="2"/>
  <c r="AP535" i="2"/>
  <c r="AM536" i="2"/>
  <c r="AN536" i="2"/>
  <c r="AO536" i="2"/>
  <c r="AP536" i="2"/>
  <c r="AM537" i="2"/>
  <c r="AN537" i="2"/>
  <c r="AO537" i="2"/>
  <c r="AP537" i="2"/>
  <c r="AM538" i="2"/>
  <c r="AN538" i="2"/>
  <c r="AO538" i="2"/>
  <c r="AP538" i="2"/>
  <c r="AM539" i="2"/>
  <c r="AN539" i="2"/>
  <c r="AO539" i="2"/>
  <c r="AP539" i="2"/>
  <c r="AM540" i="2"/>
  <c r="AN540" i="2"/>
  <c r="AO540" i="2"/>
  <c r="AP540" i="2"/>
  <c r="AM541" i="2"/>
  <c r="AN541" i="2"/>
  <c r="AO541" i="2"/>
  <c r="AP541" i="2"/>
  <c r="AM542" i="2"/>
  <c r="AN542" i="2"/>
  <c r="AO542" i="2"/>
  <c r="AP542" i="2"/>
  <c r="AM543" i="2"/>
  <c r="AN543" i="2"/>
  <c r="AO543" i="2"/>
  <c r="AP543" i="2"/>
  <c r="AM544" i="2"/>
  <c r="AN544" i="2"/>
  <c r="AO544" i="2"/>
  <c r="AP544" i="2"/>
  <c r="AM545" i="2"/>
  <c r="AN545" i="2"/>
  <c r="AO545" i="2"/>
  <c r="AP545" i="2"/>
  <c r="AM546" i="2"/>
  <c r="AN546" i="2"/>
  <c r="AO546" i="2"/>
  <c r="AP546" i="2"/>
  <c r="AM547" i="2"/>
  <c r="AN547" i="2"/>
  <c r="AO547" i="2"/>
  <c r="AP547" i="2"/>
  <c r="AM548" i="2"/>
  <c r="AN548" i="2"/>
  <c r="AO548" i="2"/>
  <c r="AP548" i="2"/>
  <c r="AM549" i="2"/>
  <c r="AN549" i="2"/>
  <c r="AO549" i="2"/>
  <c r="AP549" i="2"/>
  <c r="AM550" i="2"/>
  <c r="AN550" i="2"/>
  <c r="AO550" i="2"/>
  <c r="AP550" i="2"/>
  <c r="AM551" i="2"/>
  <c r="AN551" i="2"/>
  <c r="AO551" i="2"/>
  <c r="AP551" i="2"/>
  <c r="AM552" i="2"/>
  <c r="AN552" i="2"/>
  <c r="AO552" i="2"/>
  <c r="AP552" i="2"/>
  <c r="AM553" i="2"/>
  <c r="AN553" i="2"/>
  <c r="AO553" i="2"/>
  <c r="AP553" i="2"/>
  <c r="AM554" i="2"/>
  <c r="AN554" i="2"/>
  <c r="AO554" i="2"/>
  <c r="AP554" i="2"/>
  <c r="AM555" i="2"/>
  <c r="AN555" i="2"/>
  <c r="AO555" i="2"/>
  <c r="AP555" i="2"/>
  <c r="AM556" i="2"/>
  <c r="AN556" i="2"/>
  <c r="AO556" i="2"/>
  <c r="AP556" i="2"/>
  <c r="AM557" i="2"/>
  <c r="AN557" i="2"/>
  <c r="AO557" i="2"/>
  <c r="AP557" i="2"/>
  <c r="AM558" i="2"/>
  <c r="AN558" i="2"/>
  <c r="AO558" i="2"/>
  <c r="AP558" i="2"/>
  <c r="AM559" i="2"/>
  <c r="AN559" i="2"/>
  <c r="AO559" i="2"/>
  <c r="AP559" i="2"/>
  <c r="AM560" i="2"/>
  <c r="AN560" i="2"/>
  <c r="AO560" i="2"/>
  <c r="AP560" i="2"/>
  <c r="AM561" i="2"/>
  <c r="AN561" i="2"/>
  <c r="AO561" i="2"/>
  <c r="AP561" i="2"/>
  <c r="AM562" i="2"/>
  <c r="AN562" i="2"/>
  <c r="AO562" i="2"/>
  <c r="AP562" i="2"/>
  <c r="AM563" i="2"/>
  <c r="AN563" i="2"/>
  <c r="AO563" i="2"/>
  <c r="AP563" i="2"/>
  <c r="AM564" i="2"/>
  <c r="AN564" i="2"/>
  <c r="AO564" i="2"/>
  <c r="AP564" i="2"/>
  <c r="AM565" i="2"/>
  <c r="AN565" i="2"/>
  <c r="AO565" i="2"/>
  <c r="AP565" i="2"/>
  <c r="AM566" i="2"/>
  <c r="AN566" i="2"/>
  <c r="AO566" i="2"/>
  <c r="AP566" i="2"/>
  <c r="AM567" i="2"/>
  <c r="AN567" i="2"/>
  <c r="AO567" i="2"/>
  <c r="AP567" i="2"/>
  <c r="AM568" i="2"/>
  <c r="AN568" i="2"/>
  <c r="AO568" i="2"/>
  <c r="AP568" i="2"/>
  <c r="AM569" i="2"/>
  <c r="AN569" i="2"/>
  <c r="AO569" i="2"/>
  <c r="AP569" i="2"/>
  <c r="AM570" i="2"/>
  <c r="AN570" i="2"/>
  <c r="AO570" i="2"/>
  <c r="AP570" i="2"/>
  <c r="AM571" i="2"/>
  <c r="AN571" i="2"/>
  <c r="AO571" i="2"/>
  <c r="AP571" i="2"/>
  <c r="AM572" i="2"/>
  <c r="AN572" i="2"/>
  <c r="AO572" i="2"/>
  <c r="AP572" i="2"/>
  <c r="AM573" i="2"/>
  <c r="AN573" i="2"/>
  <c r="AO573" i="2"/>
  <c r="AP573" i="2"/>
  <c r="AM574" i="2"/>
  <c r="AN574" i="2"/>
  <c r="AO574" i="2"/>
  <c r="AP574" i="2"/>
  <c r="AM575" i="2"/>
  <c r="AN575" i="2"/>
  <c r="AO575" i="2"/>
  <c r="AP575" i="2"/>
  <c r="AM576" i="2"/>
  <c r="AN576" i="2"/>
  <c r="AO576" i="2"/>
  <c r="AP576" i="2"/>
  <c r="AM577" i="2"/>
  <c r="AN577" i="2"/>
  <c r="AO577" i="2"/>
  <c r="AP577" i="2"/>
  <c r="AM578" i="2"/>
  <c r="AN578" i="2"/>
  <c r="AO578" i="2"/>
  <c r="AP578" i="2"/>
  <c r="AM579" i="2"/>
  <c r="AN579" i="2"/>
  <c r="AO579" i="2"/>
  <c r="AP579" i="2"/>
  <c r="AM580" i="2"/>
  <c r="AN580" i="2"/>
  <c r="AO580" i="2"/>
  <c r="AP580" i="2"/>
  <c r="AM581" i="2"/>
  <c r="AN581" i="2"/>
  <c r="AO581" i="2"/>
  <c r="AP581" i="2"/>
  <c r="AM582" i="2"/>
  <c r="AN582" i="2"/>
  <c r="AO582" i="2"/>
  <c r="AP582" i="2"/>
  <c r="AM583" i="2"/>
  <c r="AN583" i="2"/>
  <c r="AO583" i="2"/>
  <c r="AP583" i="2"/>
  <c r="AM584" i="2"/>
  <c r="AN584" i="2"/>
  <c r="AO584" i="2"/>
  <c r="AP584" i="2"/>
  <c r="AM585" i="2"/>
  <c r="AN585" i="2"/>
  <c r="AO585" i="2"/>
  <c r="AP585" i="2"/>
  <c r="AM586" i="2"/>
  <c r="AN586" i="2"/>
  <c r="AO586" i="2"/>
  <c r="AP586" i="2"/>
  <c r="AM587" i="2"/>
  <c r="AN587" i="2"/>
  <c r="AO587" i="2"/>
  <c r="AP587" i="2"/>
  <c r="AM588" i="2"/>
  <c r="AN588" i="2"/>
  <c r="AO588" i="2"/>
  <c r="AP588" i="2"/>
  <c r="AM589" i="2"/>
  <c r="AN589" i="2"/>
  <c r="AO589" i="2"/>
  <c r="AP589" i="2"/>
  <c r="AM590" i="2"/>
  <c r="AN590" i="2"/>
  <c r="AO590" i="2"/>
  <c r="AP590" i="2"/>
  <c r="AM591" i="2"/>
  <c r="AN591" i="2"/>
  <c r="AO591" i="2"/>
  <c r="AP591" i="2"/>
  <c r="AM592" i="2"/>
  <c r="AN592" i="2"/>
  <c r="AO592" i="2"/>
  <c r="AP592" i="2"/>
  <c r="AM593" i="2"/>
  <c r="AN593" i="2"/>
  <c r="AO593" i="2"/>
  <c r="AP593" i="2"/>
  <c r="AM594" i="2"/>
  <c r="AN594" i="2"/>
  <c r="AO594" i="2"/>
  <c r="AP594" i="2"/>
  <c r="AM595" i="2"/>
  <c r="AN595" i="2"/>
  <c r="AO595" i="2"/>
  <c r="AP595" i="2"/>
  <c r="AM596" i="2"/>
  <c r="AN596" i="2"/>
  <c r="AO596" i="2"/>
  <c r="AP596" i="2"/>
  <c r="AM597" i="2"/>
  <c r="AN597" i="2"/>
  <c r="AO597" i="2"/>
  <c r="AP597" i="2"/>
  <c r="AM598" i="2"/>
  <c r="AN598" i="2"/>
  <c r="AO598" i="2"/>
  <c r="AP598" i="2"/>
  <c r="AM599" i="2"/>
  <c r="AN599" i="2"/>
  <c r="AO599" i="2"/>
  <c r="AP599" i="2"/>
  <c r="AM600" i="2"/>
  <c r="AN600" i="2"/>
  <c r="AO600" i="2"/>
  <c r="AP600" i="2"/>
  <c r="AM601" i="2"/>
  <c r="AN601" i="2"/>
  <c r="AO601" i="2"/>
  <c r="AP601" i="2"/>
  <c r="AM602" i="2"/>
  <c r="AN602" i="2"/>
  <c r="AO602" i="2"/>
  <c r="AP602" i="2"/>
  <c r="AM603" i="2"/>
  <c r="AN603" i="2"/>
  <c r="AO603" i="2"/>
  <c r="AP603" i="2"/>
  <c r="AM604" i="2"/>
  <c r="AN604" i="2"/>
  <c r="AO604" i="2"/>
  <c r="AP604" i="2"/>
  <c r="AM605" i="2"/>
  <c r="AN605" i="2"/>
  <c r="AO605" i="2"/>
  <c r="AP605" i="2"/>
  <c r="AM606" i="2"/>
  <c r="AN606" i="2"/>
  <c r="AO606" i="2"/>
  <c r="AP606" i="2"/>
  <c r="AM607" i="2"/>
  <c r="AN607" i="2"/>
  <c r="AO607" i="2"/>
  <c r="AP607" i="2"/>
  <c r="AM608" i="2"/>
  <c r="AN608" i="2"/>
  <c r="AO608" i="2"/>
  <c r="AP608" i="2"/>
  <c r="AM609" i="2"/>
  <c r="AN609" i="2"/>
  <c r="AO609" i="2"/>
  <c r="AP609" i="2"/>
  <c r="AM610" i="2"/>
  <c r="AN610" i="2"/>
  <c r="AO610" i="2"/>
  <c r="AP610" i="2"/>
  <c r="AM611" i="2"/>
  <c r="AN611" i="2"/>
  <c r="AO611" i="2"/>
  <c r="AP611" i="2"/>
  <c r="AM612" i="2"/>
  <c r="AN612" i="2"/>
  <c r="AO612" i="2"/>
  <c r="AP612" i="2"/>
  <c r="AM613" i="2"/>
  <c r="AN613" i="2"/>
  <c r="AO613" i="2"/>
  <c r="AP613" i="2"/>
  <c r="AM614" i="2"/>
  <c r="AN614" i="2"/>
  <c r="AO614" i="2"/>
  <c r="AP614" i="2"/>
  <c r="AM615" i="2"/>
  <c r="AN615" i="2"/>
  <c r="AO615" i="2"/>
  <c r="AP615" i="2"/>
  <c r="AM616" i="2"/>
  <c r="AN616" i="2"/>
  <c r="AO616" i="2"/>
  <c r="AP616" i="2"/>
  <c r="AM617" i="2"/>
  <c r="AN617" i="2"/>
  <c r="AO617" i="2"/>
  <c r="AP617" i="2"/>
  <c r="AM618" i="2"/>
  <c r="AN618" i="2"/>
  <c r="AO618" i="2"/>
  <c r="AP618" i="2"/>
  <c r="AM619" i="2"/>
  <c r="AN619" i="2"/>
  <c r="AO619" i="2"/>
  <c r="AP619" i="2"/>
  <c r="AM620" i="2"/>
  <c r="AN620" i="2"/>
  <c r="AO620" i="2"/>
  <c r="AP620" i="2"/>
  <c r="AM621" i="2"/>
  <c r="AN621" i="2"/>
  <c r="AO621" i="2"/>
  <c r="AP621" i="2"/>
  <c r="AM622" i="2"/>
  <c r="AN622" i="2"/>
  <c r="AO622" i="2"/>
  <c r="AP622" i="2"/>
  <c r="AM623" i="2"/>
  <c r="AN623" i="2"/>
  <c r="AO623" i="2"/>
  <c r="AP623" i="2"/>
  <c r="AM624" i="2"/>
  <c r="AN624" i="2"/>
  <c r="AO624" i="2"/>
  <c r="AP624" i="2"/>
  <c r="AM625" i="2"/>
  <c r="AN625" i="2"/>
  <c r="AO625" i="2"/>
  <c r="AP625" i="2"/>
  <c r="AM626" i="2"/>
  <c r="AN626" i="2"/>
  <c r="AO626" i="2"/>
  <c r="AP626" i="2"/>
  <c r="AM627" i="2"/>
  <c r="AN627" i="2"/>
  <c r="AO627" i="2"/>
  <c r="AP627" i="2"/>
  <c r="AM628" i="2"/>
  <c r="AN628" i="2"/>
  <c r="AO628" i="2"/>
  <c r="AP628" i="2"/>
  <c r="AM629" i="2"/>
  <c r="AN629" i="2"/>
  <c r="AO629" i="2"/>
  <c r="AP629" i="2"/>
  <c r="AM630" i="2"/>
  <c r="AN630" i="2"/>
  <c r="AO630" i="2"/>
  <c r="AP630" i="2"/>
  <c r="AM631" i="2"/>
  <c r="AN631" i="2"/>
  <c r="AO631" i="2"/>
  <c r="AP631" i="2"/>
  <c r="AM632" i="2"/>
  <c r="AN632" i="2"/>
  <c r="AO632" i="2"/>
  <c r="AP632" i="2"/>
  <c r="AM633" i="2"/>
  <c r="AN633" i="2"/>
  <c r="AO633" i="2"/>
  <c r="AP633" i="2"/>
  <c r="AM634" i="2"/>
  <c r="AN634" i="2"/>
  <c r="AO634" i="2"/>
  <c r="AP634" i="2"/>
  <c r="AM635" i="2"/>
  <c r="AN635" i="2"/>
  <c r="AO635" i="2"/>
  <c r="AP635" i="2"/>
  <c r="AM636" i="2"/>
  <c r="AN636" i="2"/>
  <c r="AO636" i="2"/>
  <c r="AP636" i="2"/>
  <c r="AM637" i="2"/>
  <c r="AN637" i="2"/>
  <c r="AO637" i="2"/>
  <c r="AP637" i="2"/>
  <c r="AM638" i="2"/>
  <c r="AN638" i="2"/>
  <c r="AO638" i="2"/>
  <c r="AP638" i="2"/>
  <c r="AM639" i="2"/>
  <c r="AN639" i="2"/>
  <c r="AO639" i="2"/>
  <c r="AP639" i="2"/>
  <c r="AM640" i="2"/>
  <c r="AN640" i="2"/>
  <c r="AO640" i="2"/>
  <c r="AP640" i="2"/>
  <c r="AM641" i="2"/>
  <c r="AN641" i="2"/>
  <c r="AO641" i="2"/>
  <c r="AP641" i="2"/>
  <c r="AM642" i="2"/>
  <c r="AN642" i="2"/>
  <c r="AO642" i="2"/>
  <c r="AP642" i="2"/>
  <c r="AM643" i="2"/>
  <c r="AN643" i="2"/>
  <c r="AO643" i="2"/>
  <c r="AP643" i="2"/>
  <c r="AM644" i="2"/>
  <c r="AN644" i="2"/>
  <c r="AO644" i="2"/>
  <c r="AP644" i="2"/>
  <c r="AM645" i="2"/>
  <c r="AN645" i="2"/>
  <c r="AO645" i="2"/>
  <c r="AP645" i="2"/>
  <c r="AM646" i="2"/>
  <c r="AN646" i="2"/>
  <c r="AO646" i="2"/>
  <c r="AP646" i="2"/>
  <c r="AM647" i="2"/>
  <c r="AN647" i="2"/>
  <c r="AO647" i="2"/>
  <c r="AP647" i="2"/>
  <c r="AM648" i="2"/>
  <c r="AN648" i="2"/>
  <c r="AO648" i="2"/>
  <c r="AP648" i="2"/>
  <c r="AM649" i="2"/>
  <c r="AN649" i="2"/>
  <c r="AO649" i="2"/>
  <c r="AP649" i="2"/>
  <c r="AM650" i="2"/>
  <c r="AN650" i="2"/>
  <c r="AO650" i="2"/>
  <c r="AP650" i="2"/>
  <c r="AM651" i="2"/>
  <c r="AN651" i="2"/>
  <c r="AO651" i="2"/>
  <c r="AP651" i="2"/>
  <c r="AM652" i="2"/>
  <c r="AN652" i="2"/>
  <c r="AO652" i="2"/>
  <c r="AP652" i="2"/>
  <c r="AM653" i="2"/>
  <c r="AN653" i="2"/>
  <c r="AO653" i="2"/>
  <c r="AP653" i="2"/>
  <c r="AM654" i="2"/>
  <c r="AN654" i="2"/>
  <c r="AO654" i="2"/>
  <c r="AP654" i="2"/>
  <c r="AM655" i="2"/>
  <c r="AN655" i="2"/>
  <c r="AO655" i="2"/>
  <c r="AP655" i="2"/>
  <c r="AM656" i="2"/>
  <c r="AN656" i="2"/>
  <c r="AO656" i="2"/>
  <c r="AP656" i="2"/>
  <c r="AM657" i="2"/>
  <c r="AN657" i="2"/>
  <c r="AO657" i="2"/>
  <c r="AP657" i="2"/>
  <c r="AM658" i="2"/>
  <c r="AN658" i="2"/>
  <c r="AO658" i="2"/>
  <c r="AP658" i="2"/>
  <c r="AM659" i="2"/>
  <c r="AN659" i="2"/>
  <c r="AO659" i="2"/>
  <c r="AP659" i="2"/>
  <c r="AM660" i="2"/>
  <c r="AN660" i="2"/>
  <c r="AO660" i="2"/>
  <c r="AP660" i="2"/>
  <c r="AM661" i="2"/>
  <c r="AN661" i="2"/>
  <c r="AO661" i="2"/>
  <c r="AP661" i="2"/>
  <c r="AM662" i="2"/>
  <c r="AN662" i="2"/>
  <c r="AO662" i="2"/>
  <c r="AP662" i="2"/>
  <c r="AM663" i="2"/>
  <c r="AN663" i="2"/>
  <c r="AO663" i="2"/>
  <c r="AP663" i="2"/>
  <c r="AM664" i="2"/>
  <c r="AN664" i="2"/>
  <c r="AO664" i="2"/>
  <c r="AP664" i="2"/>
  <c r="AM665" i="2"/>
  <c r="AN665" i="2"/>
  <c r="AO665" i="2"/>
  <c r="AP665" i="2"/>
  <c r="AM666" i="2"/>
  <c r="AN666" i="2"/>
  <c r="AO666" i="2"/>
  <c r="AP666" i="2"/>
  <c r="AM667" i="2"/>
  <c r="AN667" i="2"/>
  <c r="AO667" i="2"/>
  <c r="AP667" i="2"/>
  <c r="AM668" i="2"/>
  <c r="AN668" i="2"/>
  <c r="AO668" i="2"/>
  <c r="AP668" i="2"/>
  <c r="AM669" i="2"/>
  <c r="AN669" i="2"/>
  <c r="AO669" i="2"/>
  <c r="AP669" i="2"/>
  <c r="AM670" i="2"/>
  <c r="AN670" i="2"/>
  <c r="AO670" i="2"/>
  <c r="AP670" i="2"/>
  <c r="AM671" i="2"/>
  <c r="AN671" i="2"/>
  <c r="AO671" i="2"/>
  <c r="AP671" i="2"/>
  <c r="AM672" i="2"/>
  <c r="AN672" i="2"/>
  <c r="AO672" i="2"/>
  <c r="AP672" i="2"/>
  <c r="AM673" i="2"/>
  <c r="AN673" i="2"/>
  <c r="AO673" i="2"/>
  <c r="AP673" i="2"/>
  <c r="AM674" i="2"/>
  <c r="AN674" i="2"/>
  <c r="AO674" i="2"/>
  <c r="AP674" i="2"/>
  <c r="AM675" i="2"/>
  <c r="AN675" i="2"/>
  <c r="AO675" i="2"/>
  <c r="AP675" i="2"/>
  <c r="AM676" i="2"/>
  <c r="AN676" i="2"/>
  <c r="AO676" i="2"/>
  <c r="AP676" i="2"/>
  <c r="AM677" i="2"/>
  <c r="AN677" i="2"/>
  <c r="AO677" i="2"/>
  <c r="AP677" i="2"/>
  <c r="AM678" i="2"/>
  <c r="AN678" i="2"/>
  <c r="AO678" i="2"/>
  <c r="AP678" i="2"/>
  <c r="AM679" i="2"/>
  <c r="AN679" i="2"/>
  <c r="AO679" i="2"/>
  <c r="AP679" i="2"/>
  <c r="AM680" i="2"/>
  <c r="AN680" i="2"/>
  <c r="AO680" i="2"/>
  <c r="AP680" i="2"/>
  <c r="AM681" i="2"/>
  <c r="AN681" i="2"/>
  <c r="AO681" i="2"/>
  <c r="AP681" i="2"/>
  <c r="AM682" i="2"/>
  <c r="AN682" i="2"/>
  <c r="AO682" i="2"/>
  <c r="AP682" i="2"/>
  <c r="AM683" i="2"/>
  <c r="AN683" i="2"/>
  <c r="AO683" i="2"/>
  <c r="AP683" i="2"/>
  <c r="AM684" i="2"/>
  <c r="AN684" i="2"/>
  <c r="AO684" i="2"/>
  <c r="AP684" i="2"/>
  <c r="AM685" i="2"/>
  <c r="AN685" i="2"/>
  <c r="AO685" i="2"/>
  <c r="AP685" i="2"/>
  <c r="AM686" i="2"/>
  <c r="AN686" i="2"/>
  <c r="AO686" i="2"/>
  <c r="AP686" i="2"/>
  <c r="AM687" i="2"/>
  <c r="AN687" i="2"/>
  <c r="AO687" i="2"/>
  <c r="AP687" i="2"/>
  <c r="AM688" i="2"/>
  <c r="AN688" i="2"/>
  <c r="AO688" i="2"/>
  <c r="AP688" i="2"/>
  <c r="AM689" i="2"/>
  <c r="AN689" i="2"/>
  <c r="AO689" i="2"/>
  <c r="AP689" i="2"/>
  <c r="AM690" i="2"/>
  <c r="AN690" i="2"/>
  <c r="AO690" i="2"/>
  <c r="AP690" i="2"/>
  <c r="AM691" i="2"/>
  <c r="AN691" i="2"/>
  <c r="AO691" i="2"/>
  <c r="AP691" i="2"/>
  <c r="AM692" i="2"/>
  <c r="AN692" i="2"/>
  <c r="AO692" i="2"/>
  <c r="AP692" i="2"/>
  <c r="AM693" i="2"/>
  <c r="AN693" i="2"/>
  <c r="AO693" i="2"/>
  <c r="AP693" i="2"/>
  <c r="AM694" i="2"/>
  <c r="AN694" i="2"/>
  <c r="AO694" i="2"/>
  <c r="AP694" i="2"/>
  <c r="AM695" i="2"/>
  <c r="AN695" i="2"/>
  <c r="AO695" i="2"/>
  <c r="AP695" i="2"/>
  <c r="AM696" i="2"/>
  <c r="AN696" i="2"/>
  <c r="AO696" i="2"/>
  <c r="AP696" i="2"/>
  <c r="AM697" i="2"/>
  <c r="AN697" i="2"/>
  <c r="AO697" i="2"/>
  <c r="AP697" i="2"/>
  <c r="AM698" i="2"/>
  <c r="AN698" i="2"/>
  <c r="AO698" i="2"/>
  <c r="AP698" i="2"/>
  <c r="AM699" i="2"/>
  <c r="AN699" i="2"/>
  <c r="AO699" i="2"/>
  <c r="AP699" i="2"/>
  <c r="AM700" i="2"/>
  <c r="AN700" i="2"/>
  <c r="AO700" i="2"/>
  <c r="AP700" i="2"/>
  <c r="AM701" i="2"/>
  <c r="AN701" i="2"/>
  <c r="AO701" i="2"/>
  <c r="AP701" i="2"/>
  <c r="AM702" i="2"/>
  <c r="AN702" i="2"/>
  <c r="AO702" i="2"/>
  <c r="AP702" i="2"/>
  <c r="AM703" i="2"/>
  <c r="AN703" i="2"/>
  <c r="AO703" i="2"/>
  <c r="AP703" i="2"/>
  <c r="AM704" i="2"/>
  <c r="AN704" i="2"/>
  <c r="AO704" i="2"/>
  <c r="AP704" i="2"/>
  <c r="AM705" i="2"/>
  <c r="AN705" i="2"/>
  <c r="AO705" i="2"/>
  <c r="AP705" i="2"/>
  <c r="AM706" i="2"/>
  <c r="AN706" i="2"/>
  <c r="AO706" i="2"/>
  <c r="AP706" i="2"/>
  <c r="AM707" i="2"/>
  <c r="AN707" i="2"/>
  <c r="AO707" i="2"/>
  <c r="AP707" i="2"/>
  <c r="AM708" i="2"/>
  <c r="AN708" i="2"/>
  <c r="AO708" i="2"/>
  <c r="AP708" i="2"/>
  <c r="AM709" i="2"/>
  <c r="AN709" i="2"/>
  <c r="AO709" i="2"/>
  <c r="AP709" i="2"/>
  <c r="AM710" i="2"/>
  <c r="AN710" i="2"/>
  <c r="AO710" i="2"/>
  <c r="AP710" i="2"/>
  <c r="AM711" i="2"/>
  <c r="AN711" i="2"/>
  <c r="AO711" i="2"/>
  <c r="AP711" i="2"/>
  <c r="AM712" i="2"/>
  <c r="AN712" i="2"/>
  <c r="AO712" i="2"/>
  <c r="AP712" i="2"/>
  <c r="AM713" i="2"/>
  <c r="AN713" i="2"/>
  <c r="AO713" i="2"/>
  <c r="AP713" i="2"/>
  <c r="AM714" i="2"/>
  <c r="AN714" i="2"/>
  <c r="AO714" i="2"/>
  <c r="AP714" i="2"/>
  <c r="AM715" i="2"/>
  <c r="AN715" i="2"/>
  <c r="AO715" i="2"/>
  <c r="AP715" i="2"/>
  <c r="AM716" i="2"/>
  <c r="AN716" i="2"/>
  <c r="AO716" i="2"/>
  <c r="AP716" i="2"/>
  <c r="AM717" i="2"/>
  <c r="AN717" i="2"/>
  <c r="AO717" i="2"/>
  <c r="AP717" i="2"/>
  <c r="AM718" i="2"/>
  <c r="AN718" i="2"/>
  <c r="AO718" i="2"/>
  <c r="AP718" i="2"/>
  <c r="AM719" i="2"/>
  <c r="AN719" i="2"/>
  <c r="AO719" i="2"/>
  <c r="AP719" i="2"/>
  <c r="AM720" i="2"/>
  <c r="AN720" i="2"/>
  <c r="AO720" i="2"/>
  <c r="AP720" i="2"/>
  <c r="AM721" i="2"/>
  <c r="AN721" i="2"/>
  <c r="AO721" i="2"/>
  <c r="AP721" i="2"/>
  <c r="AM722" i="2"/>
  <c r="AN722" i="2"/>
  <c r="AO722" i="2"/>
  <c r="AP722" i="2"/>
  <c r="AM723" i="2"/>
  <c r="AN723" i="2"/>
  <c r="AO723" i="2"/>
  <c r="AP723" i="2"/>
  <c r="AM724" i="2"/>
  <c r="AN724" i="2"/>
  <c r="AO724" i="2"/>
  <c r="AP724" i="2"/>
  <c r="AM725" i="2"/>
  <c r="AN725" i="2"/>
  <c r="AO725" i="2"/>
  <c r="AP725" i="2"/>
  <c r="AM726" i="2"/>
  <c r="AN726" i="2"/>
  <c r="AO726" i="2"/>
  <c r="AP726" i="2"/>
  <c r="AM727" i="2"/>
  <c r="AN727" i="2"/>
  <c r="AO727" i="2"/>
  <c r="AP727" i="2"/>
  <c r="AM728" i="2"/>
  <c r="AN728" i="2"/>
  <c r="AO728" i="2"/>
  <c r="AP728" i="2"/>
  <c r="AM729" i="2"/>
  <c r="AN729" i="2"/>
  <c r="AO729" i="2"/>
  <c r="AP729" i="2"/>
  <c r="AM730" i="2"/>
  <c r="AN730" i="2"/>
  <c r="AO730" i="2"/>
  <c r="AP730" i="2"/>
  <c r="AM731" i="2"/>
  <c r="AN731" i="2"/>
  <c r="AO731" i="2"/>
  <c r="AP731" i="2"/>
  <c r="AM732" i="2"/>
  <c r="AN732" i="2"/>
  <c r="AO732" i="2"/>
  <c r="AP732" i="2"/>
  <c r="AM733" i="2"/>
  <c r="AN733" i="2"/>
  <c r="AO733" i="2"/>
  <c r="AP733" i="2"/>
  <c r="AM734" i="2"/>
  <c r="AN734" i="2"/>
  <c r="AO734" i="2"/>
  <c r="AP734" i="2"/>
  <c r="AM735" i="2"/>
  <c r="AN735" i="2"/>
  <c r="AO735" i="2"/>
  <c r="AP735" i="2"/>
  <c r="AM736" i="2"/>
  <c r="AN736" i="2"/>
  <c r="AO736" i="2"/>
  <c r="AP736" i="2"/>
  <c r="AM737" i="2"/>
  <c r="AN737" i="2"/>
  <c r="AO737" i="2"/>
  <c r="AP737" i="2"/>
  <c r="D5" i="25"/>
  <c r="C5" i="25"/>
  <c r="X375" i="2"/>
  <c r="X376" i="2"/>
  <c r="X377" i="2" s="1"/>
  <c r="X378" i="2" s="1"/>
  <c r="X379" i="2" s="1"/>
  <c r="X380" i="2"/>
  <c r="X381" i="2"/>
  <c r="X382" i="2"/>
  <c r="X383" i="2" s="1"/>
  <c r="X384" i="2" s="1"/>
  <c r="X385" i="2" s="1"/>
  <c r="X386" i="2" s="1"/>
  <c r="X387" i="2" s="1"/>
  <c r="X388" i="2" s="1"/>
  <c r="X389" i="2" s="1"/>
  <c r="X390" i="2" s="1"/>
  <c r="X391" i="2" s="1"/>
  <c r="X392" i="2" s="1"/>
  <c r="X393" i="2" s="1"/>
  <c r="X394" i="2" s="1"/>
  <c r="X395" i="2" s="1"/>
  <c r="X396" i="2" s="1"/>
  <c r="X397" i="2" s="1"/>
  <c r="X398" i="2" s="1"/>
  <c r="X399" i="2" s="1"/>
  <c r="X400" i="2" s="1"/>
  <c r="X401" i="2" s="1"/>
  <c r="X402" i="2" s="1"/>
  <c r="X403" i="2" s="1"/>
  <c r="X404" i="2" s="1"/>
  <c r="X405" i="2" s="1"/>
  <c r="X406" i="2" s="1"/>
  <c r="X407" i="2" s="1"/>
  <c r="X408" i="2" s="1"/>
  <c r="X409" i="2" s="1"/>
  <c r="X410" i="2" s="1"/>
  <c r="X411" i="2" s="1"/>
  <c r="X412" i="2" s="1"/>
  <c r="X413" i="2" s="1"/>
  <c r="X414" i="2" s="1"/>
  <c r="X415" i="2" s="1"/>
  <c r="X416" i="2" s="1"/>
  <c r="X417" i="2" s="1"/>
  <c r="X418" i="2" s="1"/>
  <c r="X419" i="2" s="1"/>
  <c r="X420" i="2" s="1"/>
  <c r="X421" i="2" s="1"/>
  <c r="X422" i="2" s="1"/>
  <c r="X423" i="2" s="1"/>
  <c r="X424" i="2" s="1"/>
  <c r="X425" i="2" s="1"/>
  <c r="X426" i="2" s="1"/>
  <c r="X427" i="2" s="1"/>
  <c r="X428" i="2" s="1"/>
  <c r="X429" i="2" s="1"/>
  <c r="X430" i="2" s="1"/>
  <c r="X431" i="2" s="1"/>
  <c r="X432" i="2" s="1"/>
  <c r="X433" i="2" s="1"/>
  <c r="X434" i="2" s="1"/>
  <c r="X435" i="2" s="1"/>
  <c r="X436" i="2" s="1"/>
  <c r="X437" i="2" s="1"/>
  <c r="X438" i="2" s="1"/>
  <c r="X439" i="2" s="1"/>
  <c r="X440" i="2" s="1"/>
  <c r="X441" i="2" s="1"/>
  <c r="X442" i="2" s="1"/>
  <c r="X443" i="2" s="1"/>
  <c r="X444" i="2" s="1"/>
  <c r="X445" i="2" s="1"/>
  <c r="X446" i="2" s="1"/>
  <c r="X447" i="2" s="1"/>
  <c r="X448" i="2" s="1"/>
  <c r="X449" i="2" s="1"/>
  <c r="X450" i="2" s="1"/>
  <c r="X451" i="2" s="1"/>
  <c r="X452" i="2" s="1"/>
  <c r="X453" i="2" s="1"/>
  <c r="X454" i="2" s="1"/>
  <c r="X455" i="2" s="1"/>
  <c r="X456" i="2" s="1"/>
  <c r="X457" i="2" s="1"/>
  <c r="X458" i="2" s="1"/>
  <c r="X459" i="2" s="1"/>
  <c r="X460" i="2" s="1"/>
  <c r="X461" i="2" s="1"/>
  <c r="X462" i="2" s="1"/>
  <c r="X463" i="2" s="1"/>
  <c r="X464" i="2" s="1"/>
  <c r="X465" i="2" s="1"/>
  <c r="X466" i="2" s="1"/>
  <c r="X467" i="2" s="1"/>
  <c r="X468" i="2" s="1"/>
  <c r="X469" i="2" s="1"/>
  <c r="X470" i="2" s="1"/>
  <c r="X471" i="2" s="1"/>
  <c r="X472" i="2" s="1"/>
  <c r="X473" i="2" s="1"/>
  <c r="X474" i="2" s="1"/>
  <c r="X475" i="2" s="1"/>
  <c r="X476" i="2" s="1"/>
  <c r="X477" i="2" s="1"/>
  <c r="X478" i="2" s="1"/>
  <c r="X479" i="2" s="1"/>
  <c r="X480" i="2" s="1"/>
  <c r="X481" i="2" s="1"/>
  <c r="X482" i="2" s="1"/>
  <c r="X483" i="2" s="1"/>
  <c r="X484" i="2" s="1"/>
  <c r="X485" i="2" s="1"/>
  <c r="X486" i="2" s="1"/>
  <c r="X487" i="2" s="1"/>
  <c r="X488" i="2" s="1"/>
  <c r="X489" i="2" s="1"/>
  <c r="X490" i="2" s="1"/>
  <c r="X491" i="2" s="1"/>
  <c r="X492" i="2" s="1"/>
  <c r="X493" i="2" s="1"/>
  <c r="X494" i="2" s="1"/>
  <c r="X495" i="2" s="1"/>
  <c r="X496" i="2" s="1"/>
  <c r="X497" i="2" s="1"/>
  <c r="X498" i="2" s="1"/>
  <c r="X499" i="2" s="1"/>
  <c r="X500" i="2" s="1"/>
  <c r="X501" i="2" s="1"/>
  <c r="X502" i="2" s="1"/>
  <c r="X503" i="2" s="1"/>
  <c r="X504" i="2" s="1"/>
  <c r="X505" i="2" s="1"/>
  <c r="X506" i="2" s="1"/>
  <c r="X507" i="2" s="1"/>
  <c r="X508" i="2" s="1"/>
  <c r="X509" i="2" s="1"/>
  <c r="X510" i="2" s="1"/>
  <c r="X511" i="2" s="1"/>
  <c r="X512" i="2" s="1"/>
  <c r="X513" i="2" s="1"/>
  <c r="X514" i="2" s="1"/>
  <c r="X515" i="2" s="1"/>
  <c r="X516" i="2" s="1"/>
  <c r="X517" i="2" s="1"/>
  <c r="X518" i="2" s="1"/>
  <c r="X519" i="2" s="1"/>
  <c r="X520" i="2" s="1"/>
  <c r="X521" i="2" s="1"/>
  <c r="X522" i="2" s="1"/>
  <c r="X523" i="2" s="1"/>
  <c r="X524" i="2" s="1"/>
  <c r="X525" i="2" s="1"/>
  <c r="X526" i="2" s="1"/>
  <c r="X527" i="2" s="1"/>
  <c r="X528" i="2" s="1"/>
  <c r="X529" i="2" s="1"/>
  <c r="X530" i="2" s="1"/>
  <c r="X531" i="2" s="1"/>
  <c r="X532" i="2" s="1"/>
  <c r="X533" i="2" s="1"/>
  <c r="X534" i="2" s="1"/>
  <c r="X535" i="2" s="1"/>
  <c r="X536" i="2" s="1"/>
  <c r="X537" i="2" s="1"/>
  <c r="X538" i="2" s="1"/>
  <c r="X539" i="2" s="1"/>
  <c r="X540" i="2" s="1"/>
  <c r="X541" i="2" s="1"/>
  <c r="X542" i="2" s="1"/>
  <c r="X543" i="2" s="1"/>
  <c r="X544" i="2" s="1"/>
  <c r="X545" i="2" s="1"/>
  <c r="X546" i="2" s="1"/>
  <c r="X547" i="2" s="1"/>
  <c r="X548" i="2" s="1"/>
  <c r="X549" i="2" s="1"/>
  <c r="X550" i="2" s="1"/>
  <c r="X551" i="2" s="1"/>
  <c r="X552" i="2" s="1"/>
  <c r="X553" i="2" s="1"/>
  <c r="X554" i="2" s="1"/>
  <c r="X555" i="2" s="1"/>
  <c r="X556" i="2" s="1"/>
  <c r="X557" i="2" s="1"/>
  <c r="X558" i="2" s="1"/>
  <c r="X559" i="2" s="1"/>
  <c r="X560" i="2" s="1"/>
  <c r="X561" i="2" s="1"/>
  <c r="X562" i="2" s="1"/>
  <c r="X563" i="2" s="1"/>
  <c r="X564" i="2" s="1"/>
  <c r="X565" i="2" s="1"/>
  <c r="X566" i="2" s="1"/>
  <c r="X567" i="2" s="1"/>
  <c r="X568" i="2" s="1"/>
  <c r="X569" i="2" s="1"/>
  <c r="X570" i="2" s="1"/>
  <c r="X571" i="2" s="1"/>
  <c r="X572" i="2" s="1"/>
  <c r="X573" i="2" s="1"/>
  <c r="X574" i="2" s="1"/>
  <c r="X575" i="2" s="1"/>
  <c r="X576" i="2" s="1"/>
  <c r="X577" i="2" s="1"/>
  <c r="X578" i="2" s="1"/>
  <c r="X579" i="2" s="1"/>
  <c r="X580" i="2" s="1"/>
  <c r="X581" i="2" s="1"/>
  <c r="X582" i="2" s="1"/>
  <c r="X583" i="2" s="1"/>
  <c r="X584" i="2" s="1"/>
  <c r="X585" i="2" s="1"/>
  <c r="X586" i="2" s="1"/>
  <c r="X587" i="2" s="1"/>
  <c r="X588" i="2" s="1"/>
  <c r="X589" i="2" s="1"/>
  <c r="X590" i="2" s="1"/>
  <c r="X591" i="2" s="1"/>
  <c r="X592" i="2" s="1"/>
  <c r="X593" i="2" s="1"/>
  <c r="X594" i="2" s="1"/>
  <c r="X595" i="2" s="1"/>
  <c r="X596" i="2" s="1"/>
  <c r="X597" i="2" s="1"/>
  <c r="X598" i="2" s="1"/>
  <c r="X599" i="2" s="1"/>
  <c r="X600" i="2" s="1"/>
  <c r="X601" i="2" s="1"/>
  <c r="X602" i="2" s="1"/>
  <c r="X603" i="2" s="1"/>
  <c r="X604" i="2" s="1"/>
  <c r="X605" i="2" s="1"/>
  <c r="X606" i="2" s="1"/>
  <c r="X607" i="2" s="1"/>
  <c r="X608" i="2" s="1"/>
  <c r="X609" i="2" s="1"/>
  <c r="X610" i="2" s="1"/>
  <c r="X611" i="2" s="1"/>
  <c r="X612" i="2" s="1"/>
  <c r="X613" i="2" s="1"/>
  <c r="X614" i="2" s="1"/>
  <c r="X615" i="2" s="1"/>
  <c r="X616" i="2" s="1"/>
  <c r="X617" i="2" s="1"/>
  <c r="X618" i="2" s="1"/>
  <c r="X619" i="2" s="1"/>
  <c r="X620" i="2" s="1"/>
  <c r="X621" i="2" s="1"/>
  <c r="X622" i="2" s="1"/>
  <c r="X623" i="2" s="1"/>
  <c r="X624" i="2" s="1"/>
  <c r="X625" i="2" s="1"/>
  <c r="X626" i="2" s="1"/>
  <c r="X627" i="2" s="1"/>
  <c r="X628" i="2" s="1"/>
  <c r="X629" i="2" s="1"/>
  <c r="X630" i="2" s="1"/>
  <c r="X631" i="2" s="1"/>
  <c r="X632" i="2" s="1"/>
  <c r="X633" i="2" s="1"/>
  <c r="X634" i="2" s="1"/>
  <c r="X635" i="2" s="1"/>
  <c r="X636" i="2" s="1"/>
  <c r="X637" i="2" s="1"/>
  <c r="X638" i="2" s="1"/>
  <c r="X639" i="2" s="1"/>
  <c r="X640" i="2" s="1"/>
  <c r="X641" i="2" s="1"/>
  <c r="X642" i="2" s="1"/>
  <c r="X643" i="2" s="1"/>
  <c r="X644" i="2" s="1"/>
  <c r="X645" i="2" s="1"/>
  <c r="X646" i="2" s="1"/>
  <c r="X647" i="2" s="1"/>
  <c r="X648" i="2" s="1"/>
  <c r="X649" i="2" s="1"/>
  <c r="X650" i="2" s="1"/>
  <c r="X651" i="2" s="1"/>
  <c r="X652" i="2" s="1"/>
  <c r="X653" i="2" s="1"/>
  <c r="X654" i="2" s="1"/>
  <c r="X655" i="2" s="1"/>
  <c r="X656" i="2" s="1"/>
  <c r="X657" i="2" s="1"/>
  <c r="X658" i="2" s="1"/>
  <c r="X659" i="2" s="1"/>
  <c r="X660" i="2" s="1"/>
  <c r="X661" i="2" s="1"/>
  <c r="X662" i="2" s="1"/>
  <c r="X663" i="2" s="1"/>
  <c r="X664" i="2" s="1"/>
  <c r="X665" i="2" s="1"/>
  <c r="X666" i="2" s="1"/>
  <c r="X667" i="2" s="1"/>
  <c r="X668" i="2" s="1"/>
  <c r="X669" i="2" s="1"/>
  <c r="X670" i="2" s="1"/>
  <c r="X671" i="2" s="1"/>
  <c r="X672" i="2" s="1"/>
  <c r="X673" i="2" s="1"/>
  <c r="X674" i="2" s="1"/>
  <c r="X675" i="2" s="1"/>
  <c r="X676" i="2" s="1"/>
  <c r="X677" i="2" s="1"/>
  <c r="X678" i="2" s="1"/>
  <c r="X679" i="2" s="1"/>
  <c r="X680" i="2" s="1"/>
  <c r="X681" i="2" s="1"/>
  <c r="X682" i="2" s="1"/>
  <c r="X683" i="2" s="1"/>
  <c r="X684" i="2" s="1"/>
  <c r="X685" i="2" s="1"/>
  <c r="X686" i="2" s="1"/>
  <c r="X687" i="2" s="1"/>
  <c r="X688" i="2" s="1"/>
  <c r="X689" i="2" s="1"/>
  <c r="X690" i="2" s="1"/>
  <c r="X691" i="2" s="1"/>
  <c r="X692" i="2" s="1"/>
  <c r="X693" i="2" s="1"/>
  <c r="X694" i="2" s="1"/>
  <c r="X695" i="2" s="1"/>
  <c r="X696" i="2" s="1"/>
  <c r="X697" i="2" s="1"/>
  <c r="X698" i="2" s="1"/>
  <c r="X699" i="2" s="1"/>
  <c r="X700" i="2" s="1"/>
  <c r="X701" i="2" s="1"/>
  <c r="X702" i="2" s="1"/>
  <c r="X703" i="2" s="1"/>
  <c r="X704" i="2" s="1"/>
  <c r="X705" i="2" s="1"/>
  <c r="X706" i="2" s="1"/>
  <c r="X707" i="2" s="1"/>
  <c r="X708" i="2" s="1"/>
  <c r="X709" i="2" s="1"/>
  <c r="X710" i="2" s="1"/>
  <c r="X711" i="2" s="1"/>
  <c r="X712" i="2" s="1"/>
  <c r="X713" i="2" s="1"/>
  <c r="X714" i="2" s="1"/>
  <c r="X715" i="2" s="1"/>
  <c r="X716" i="2" s="1"/>
  <c r="X717" i="2" s="1"/>
  <c r="X718" i="2" s="1"/>
  <c r="X719" i="2" s="1"/>
  <c r="X720" i="2" s="1"/>
  <c r="X721" i="2" s="1"/>
  <c r="X722" i="2" s="1"/>
  <c r="X723" i="2" s="1"/>
  <c r="X724" i="2" s="1"/>
  <c r="X725" i="2" s="1"/>
  <c r="X726" i="2" s="1"/>
  <c r="X727" i="2" s="1"/>
  <c r="X728" i="2" s="1"/>
  <c r="X729" i="2" s="1"/>
  <c r="X730" i="2" s="1"/>
  <c r="X731" i="2" s="1"/>
  <c r="X732" i="2" s="1"/>
  <c r="X733" i="2" s="1"/>
  <c r="X734" i="2" s="1"/>
  <c r="X735" i="2" s="1"/>
  <c r="X736" i="2" s="1"/>
  <c r="X737" i="2" s="1"/>
  <c r="X374" i="2"/>
  <c r="U384" i="2"/>
  <c r="AV741" i="2" l="1"/>
  <c r="AH376" i="2" l="1"/>
  <c r="AI376" i="2"/>
  <c r="AJ376" i="2"/>
  <c r="AK376" i="2"/>
  <c r="AH377" i="2"/>
  <c r="AI377" i="2"/>
  <c r="AJ377" i="2"/>
  <c r="AK377" i="2"/>
  <c r="AH378" i="2"/>
  <c r="AI378" i="2"/>
  <c r="AJ378" i="2"/>
  <c r="AK378" i="2"/>
  <c r="AH379" i="2"/>
  <c r="AI379" i="2"/>
  <c r="AJ379" i="2"/>
  <c r="AK379" i="2"/>
  <c r="AH380" i="2"/>
  <c r="AI380" i="2"/>
  <c r="AJ380" i="2"/>
  <c r="AK380" i="2"/>
  <c r="AH381" i="2"/>
  <c r="AI381" i="2"/>
  <c r="AJ381" i="2"/>
  <c r="AK381" i="2"/>
  <c r="AH382" i="2"/>
  <c r="AI382" i="2"/>
  <c r="AJ382" i="2"/>
  <c r="AK382" i="2"/>
  <c r="AH383" i="2"/>
  <c r="AI383" i="2"/>
  <c r="AJ383" i="2"/>
  <c r="AK383" i="2"/>
  <c r="AH384" i="2"/>
  <c r="AI384" i="2"/>
  <c r="AJ384" i="2"/>
  <c r="AK384" i="2"/>
  <c r="AH385" i="2"/>
  <c r="AI385" i="2"/>
  <c r="AJ385" i="2"/>
  <c r="AK385" i="2"/>
  <c r="AH386" i="2"/>
  <c r="AI386" i="2"/>
  <c r="AJ386" i="2"/>
  <c r="AK386" i="2"/>
  <c r="AH387" i="2"/>
  <c r="AI387" i="2"/>
  <c r="AJ387" i="2"/>
  <c r="AK387" i="2"/>
  <c r="AH388" i="2"/>
  <c r="AI388" i="2"/>
  <c r="AJ388" i="2"/>
  <c r="AK388" i="2"/>
  <c r="AH389" i="2"/>
  <c r="AI389" i="2"/>
  <c r="AJ389" i="2"/>
  <c r="AK389" i="2"/>
  <c r="AH390" i="2"/>
  <c r="AI390" i="2"/>
  <c r="AJ390" i="2"/>
  <c r="AK390" i="2"/>
  <c r="AH391" i="2"/>
  <c r="AI391" i="2"/>
  <c r="AJ391" i="2"/>
  <c r="AK391" i="2"/>
  <c r="AH392" i="2"/>
  <c r="AI392" i="2"/>
  <c r="AJ392" i="2"/>
  <c r="AK392" i="2"/>
  <c r="AH393" i="2"/>
  <c r="AI393" i="2"/>
  <c r="AJ393" i="2"/>
  <c r="AK393" i="2"/>
  <c r="AH394" i="2"/>
  <c r="AI394" i="2"/>
  <c r="AJ394" i="2"/>
  <c r="AK394" i="2"/>
  <c r="AH395" i="2"/>
  <c r="AI395" i="2"/>
  <c r="AJ395" i="2"/>
  <c r="AK395" i="2"/>
  <c r="AH396" i="2"/>
  <c r="AI396" i="2"/>
  <c r="AJ396" i="2"/>
  <c r="AK396" i="2"/>
  <c r="AH397" i="2"/>
  <c r="AI397" i="2"/>
  <c r="AJ397" i="2"/>
  <c r="AK397" i="2"/>
  <c r="AH398" i="2"/>
  <c r="AI398" i="2"/>
  <c r="AJ398" i="2"/>
  <c r="AK398" i="2"/>
  <c r="AH399" i="2"/>
  <c r="AI399" i="2"/>
  <c r="AJ399" i="2"/>
  <c r="AK399" i="2"/>
  <c r="AH400" i="2"/>
  <c r="AI400" i="2"/>
  <c r="AJ400" i="2"/>
  <c r="AK400" i="2"/>
  <c r="AH401" i="2"/>
  <c r="AI401" i="2"/>
  <c r="AJ401" i="2"/>
  <c r="AK401" i="2"/>
  <c r="AH402" i="2"/>
  <c r="AI402" i="2"/>
  <c r="AJ402" i="2"/>
  <c r="AK402" i="2"/>
  <c r="AH403" i="2"/>
  <c r="AI403" i="2"/>
  <c r="AJ403" i="2"/>
  <c r="AK403" i="2"/>
  <c r="AH404" i="2"/>
  <c r="AI404" i="2"/>
  <c r="AJ404" i="2"/>
  <c r="AK404" i="2"/>
  <c r="AH405" i="2"/>
  <c r="AI405" i="2"/>
  <c r="AJ405" i="2"/>
  <c r="AK405" i="2"/>
  <c r="AH406" i="2"/>
  <c r="AI406" i="2"/>
  <c r="AJ406" i="2"/>
  <c r="AK406" i="2"/>
  <c r="AH407" i="2"/>
  <c r="AI407" i="2"/>
  <c r="AJ407" i="2"/>
  <c r="AK407" i="2"/>
  <c r="AH408" i="2"/>
  <c r="AI408" i="2"/>
  <c r="AJ408" i="2"/>
  <c r="AK408" i="2"/>
  <c r="AH409" i="2"/>
  <c r="AI409" i="2"/>
  <c r="AJ409" i="2"/>
  <c r="AK409" i="2"/>
  <c r="AH410" i="2"/>
  <c r="AI410" i="2"/>
  <c r="AJ410" i="2"/>
  <c r="AK410" i="2"/>
  <c r="AH411" i="2"/>
  <c r="AI411" i="2"/>
  <c r="AJ411" i="2"/>
  <c r="AK411" i="2"/>
  <c r="AH412" i="2"/>
  <c r="AI412" i="2"/>
  <c r="AJ412" i="2"/>
  <c r="AK412" i="2"/>
  <c r="AH413" i="2"/>
  <c r="AI413" i="2"/>
  <c r="AJ413" i="2"/>
  <c r="AK413" i="2"/>
  <c r="AH414" i="2"/>
  <c r="AI414" i="2"/>
  <c r="AJ414" i="2"/>
  <c r="AK414" i="2"/>
  <c r="AH415" i="2"/>
  <c r="AI415" i="2"/>
  <c r="AJ415" i="2"/>
  <c r="AK415" i="2"/>
  <c r="AH416" i="2"/>
  <c r="AI416" i="2"/>
  <c r="AJ416" i="2"/>
  <c r="AK416" i="2"/>
  <c r="AH417" i="2"/>
  <c r="AI417" i="2"/>
  <c r="AJ417" i="2"/>
  <c r="AK417" i="2"/>
  <c r="AH418" i="2"/>
  <c r="AI418" i="2"/>
  <c r="AJ418" i="2"/>
  <c r="AK418" i="2"/>
  <c r="AH419" i="2"/>
  <c r="AI419" i="2"/>
  <c r="AJ419" i="2"/>
  <c r="AK419" i="2"/>
  <c r="AH420" i="2"/>
  <c r="AI420" i="2"/>
  <c r="AJ420" i="2"/>
  <c r="AK420" i="2"/>
  <c r="AH421" i="2"/>
  <c r="AI421" i="2"/>
  <c r="AJ421" i="2"/>
  <c r="AK421" i="2"/>
  <c r="AH422" i="2"/>
  <c r="AI422" i="2"/>
  <c r="AJ422" i="2"/>
  <c r="AK422" i="2"/>
  <c r="AH423" i="2"/>
  <c r="AI423" i="2"/>
  <c r="AJ423" i="2"/>
  <c r="AK423" i="2"/>
  <c r="AH424" i="2"/>
  <c r="AI424" i="2"/>
  <c r="AJ424" i="2"/>
  <c r="AK424" i="2"/>
  <c r="AH425" i="2"/>
  <c r="AI425" i="2"/>
  <c r="AJ425" i="2"/>
  <c r="AK425" i="2"/>
  <c r="AH426" i="2"/>
  <c r="AI426" i="2"/>
  <c r="AJ426" i="2"/>
  <c r="AK426" i="2"/>
  <c r="AH427" i="2"/>
  <c r="AI427" i="2"/>
  <c r="AJ427" i="2"/>
  <c r="AK427" i="2"/>
  <c r="AH428" i="2"/>
  <c r="AI428" i="2"/>
  <c r="AJ428" i="2"/>
  <c r="AK428" i="2"/>
  <c r="AH429" i="2"/>
  <c r="AI429" i="2"/>
  <c r="AJ429" i="2"/>
  <c r="AK429" i="2"/>
  <c r="AH430" i="2"/>
  <c r="AI430" i="2"/>
  <c r="AJ430" i="2"/>
  <c r="AK430" i="2"/>
  <c r="AH431" i="2"/>
  <c r="AI431" i="2"/>
  <c r="AJ431" i="2"/>
  <c r="AK431" i="2"/>
  <c r="AH432" i="2"/>
  <c r="AI432" i="2"/>
  <c r="AJ432" i="2"/>
  <c r="AK432" i="2"/>
  <c r="AH433" i="2"/>
  <c r="AI433" i="2"/>
  <c r="AJ433" i="2"/>
  <c r="AK433" i="2"/>
  <c r="AH434" i="2"/>
  <c r="AI434" i="2"/>
  <c r="AJ434" i="2"/>
  <c r="AK434" i="2"/>
  <c r="AH435" i="2"/>
  <c r="AI435" i="2"/>
  <c r="AJ435" i="2"/>
  <c r="AK435" i="2"/>
  <c r="AH436" i="2"/>
  <c r="AI436" i="2"/>
  <c r="AJ436" i="2"/>
  <c r="AK436" i="2"/>
  <c r="AH437" i="2"/>
  <c r="AI437" i="2"/>
  <c r="AJ437" i="2"/>
  <c r="AK437" i="2"/>
  <c r="AH438" i="2"/>
  <c r="AI438" i="2"/>
  <c r="AJ438" i="2"/>
  <c r="AK438" i="2"/>
  <c r="AH439" i="2"/>
  <c r="AI439" i="2"/>
  <c r="AJ439" i="2"/>
  <c r="AK439" i="2"/>
  <c r="AH440" i="2"/>
  <c r="AI440" i="2"/>
  <c r="AJ440" i="2"/>
  <c r="AK440" i="2"/>
  <c r="AH441" i="2"/>
  <c r="AI441" i="2"/>
  <c r="AJ441" i="2"/>
  <c r="AK441" i="2"/>
  <c r="AH442" i="2"/>
  <c r="AI442" i="2"/>
  <c r="AJ442" i="2"/>
  <c r="AK442" i="2"/>
  <c r="AH443" i="2"/>
  <c r="AI443" i="2"/>
  <c r="AJ443" i="2"/>
  <c r="AK443" i="2"/>
  <c r="AH444" i="2"/>
  <c r="AI444" i="2"/>
  <c r="AJ444" i="2"/>
  <c r="AK444" i="2"/>
  <c r="AH445" i="2"/>
  <c r="AI445" i="2"/>
  <c r="AJ445" i="2"/>
  <c r="AK445" i="2"/>
  <c r="AH446" i="2"/>
  <c r="AI446" i="2"/>
  <c r="AJ446" i="2"/>
  <c r="AK446" i="2"/>
  <c r="AH447" i="2"/>
  <c r="AI447" i="2"/>
  <c r="AJ447" i="2"/>
  <c r="AK447" i="2"/>
  <c r="AH448" i="2"/>
  <c r="AI448" i="2"/>
  <c r="AJ448" i="2"/>
  <c r="AK448" i="2"/>
  <c r="AH449" i="2"/>
  <c r="AI449" i="2"/>
  <c r="AJ449" i="2"/>
  <c r="AK449" i="2"/>
  <c r="AH450" i="2"/>
  <c r="AI450" i="2"/>
  <c r="AJ450" i="2"/>
  <c r="AK450" i="2"/>
  <c r="AH451" i="2"/>
  <c r="AI451" i="2"/>
  <c r="AJ451" i="2"/>
  <c r="AK451" i="2"/>
  <c r="AH452" i="2"/>
  <c r="AI452" i="2"/>
  <c r="AJ452" i="2"/>
  <c r="AK452" i="2"/>
  <c r="AH453" i="2"/>
  <c r="AI453" i="2"/>
  <c r="AJ453" i="2"/>
  <c r="AK453" i="2"/>
  <c r="AH454" i="2"/>
  <c r="AI454" i="2"/>
  <c r="AJ454" i="2"/>
  <c r="AK454" i="2"/>
  <c r="AH455" i="2"/>
  <c r="AI455" i="2"/>
  <c r="AJ455" i="2"/>
  <c r="AK455" i="2"/>
  <c r="AH456" i="2"/>
  <c r="AI456" i="2"/>
  <c r="AJ456" i="2"/>
  <c r="AK456" i="2"/>
  <c r="AH457" i="2"/>
  <c r="AI457" i="2"/>
  <c r="AJ457" i="2"/>
  <c r="AK457" i="2"/>
  <c r="AH458" i="2"/>
  <c r="AI458" i="2"/>
  <c r="AJ458" i="2"/>
  <c r="AK458" i="2"/>
  <c r="AH459" i="2"/>
  <c r="AI459" i="2"/>
  <c r="AJ459" i="2"/>
  <c r="AK459" i="2"/>
  <c r="AH460" i="2"/>
  <c r="AI460" i="2"/>
  <c r="AJ460" i="2"/>
  <c r="AK460" i="2"/>
  <c r="AH461" i="2"/>
  <c r="AI461" i="2"/>
  <c r="AJ461" i="2"/>
  <c r="AK461" i="2"/>
  <c r="AH462" i="2"/>
  <c r="AI462" i="2"/>
  <c r="AJ462" i="2"/>
  <c r="AK462" i="2"/>
  <c r="AH463" i="2"/>
  <c r="AI463" i="2"/>
  <c r="AJ463" i="2"/>
  <c r="AK463" i="2"/>
  <c r="AH464" i="2"/>
  <c r="AI464" i="2"/>
  <c r="AJ464" i="2"/>
  <c r="AK464" i="2"/>
  <c r="AH465" i="2"/>
  <c r="AI465" i="2"/>
  <c r="AJ465" i="2"/>
  <c r="AK465" i="2"/>
  <c r="AH466" i="2"/>
  <c r="AI466" i="2"/>
  <c r="AJ466" i="2"/>
  <c r="AK466" i="2"/>
  <c r="AH467" i="2"/>
  <c r="AI467" i="2"/>
  <c r="AJ467" i="2"/>
  <c r="AK467" i="2"/>
  <c r="AH468" i="2"/>
  <c r="AI468" i="2"/>
  <c r="AJ468" i="2"/>
  <c r="AK468" i="2"/>
  <c r="AH469" i="2"/>
  <c r="AI469" i="2"/>
  <c r="AJ469" i="2"/>
  <c r="AK469" i="2"/>
  <c r="AH470" i="2"/>
  <c r="AI470" i="2"/>
  <c r="AJ470" i="2"/>
  <c r="AK470" i="2"/>
  <c r="AH471" i="2"/>
  <c r="AI471" i="2"/>
  <c r="AJ471" i="2"/>
  <c r="AK471" i="2"/>
  <c r="AH472" i="2"/>
  <c r="AI472" i="2"/>
  <c r="AJ472" i="2"/>
  <c r="AK472" i="2"/>
  <c r="AH473" i="2"/>
  <c r="AI473" i="2"/>
  <c r="AJ473" i="2"/>
  <c r="AK473" i="2"/>
  <c r="AH474" i="2"/>
  <c r="AI474" i="2"/>
  <c r="AJ474" i="2"/>
  <c r="AK474" i="2"/>
  <c r="AH475" i="2"/>
  <c r="AI475" i="2"/>
  <c r="AJ475" i="2"/>
  <c r="AK475" i="2"/>
  <c r="AH476" i="2"/>
  <c r="AI476" i="2"/>
  <c r="AJ476" i="2"/>
  <c r="AK476" i="2"/>
  <c r="AH477" i="2"/>
  <c r="AI477" i="2"/>
  <c r="AJ477" i="2"/>
  <c r="AK477" i="2"/>
  <c r="AH478" i="2"/>
  <c r="AI478" i="2"/>
  <c r="AJ478" i="2"/>
  <c r="AK478" i="2"/>
  <c r="AH479" i="2"/>
  <c r="AI479" i="2"/>
  <c r="AJ479" i="2"/>
  <c r="AK479" i="2"/>
  <c r="AH480" i="2"/>
  <c r="AI480" i="2"/>
  <c r="AJ480" i="2"/>
  <c r="AK480" i="2"/>
  <c r="AH481" i="2"/>
  <c r="AI481" i="2"/>
  <c r="AJ481" i="2"/>
  <c r="AK481" i="2"/>
  <c r="AH482" i="2"/>
  <c r="AI482" i="2"/>
  <c r="AJ482" i="2"/>
  <c r="AK482" i="2"/>
  <c r="AH483" i="2"/>
  <c r="AI483" i="2"/>
  <c r="AJ483" i="2"/>
  <c r="AK483" i="2"/>
  <c r="AH484" i="2"/>
  <c r="AI484" i="2"/>
  <c r="AJ484" i="2"/>
  <c r="AK484" i="2"/>
  <c r="AH485" i="2"/>
  <c r="AI485" i="2"/>
  <c r="AJ485" i="2"/>
  <c r="AK485" i="2"/>
  <c r="AH486" i="2"/>
  <c r="AI486" i="2"/>
  <c r="AJ486" i="2"/>
  <c r="AK486" i="2"/>
  <c r="AH487" i="2"/>
  <c r="AI487" i="2"/>
  <c r="AJ487" i="2"/>
  <c r="AK487" i="2"/>
  <c r="AH488" i="2"/>
  <c r="AI488" i="2"/>
  <c r="AJ488" i="2"/>
  <c r="AK488" i="2"/>
  <c r="AH489" i="2"/>
  <c r="AI489" i="2"/>
  <c r="AJ489" i="2"/>
  <c r="AK489" i="2"/>
  <c r="AH490" i="2"/>
  <c r="AI490" i="2"/>
  <c r="AJ490" i="2"/>
  <c r="AK490" i="2"/>
  <c r="AH491" i="2"/>
  <c r="AI491" i="2"/>
  <c r="AJ491" i="2"/>
  <c r="AK491" i="2"/>
  <c r="AH492" i="2"/>
  <c r="AI492" i="2"/>
  <c r="AJ492" i="2"/>
  <c r="AK492" i="2"/>
  <c r="AH493" i="2"/>
  <c r="AI493" i="2"/>
  <c r="AJ493" i="2"/>
  <c r="AK493" i="2"/>
  <c r="AH494" i="2"/>
  <c r="AI494" i="2"/>
  <c r="AJ494" i="2"/>
  <c r="AK494" i="2"/>
  <c r="AH495" i="2"/>
  <c r="AI495" i="2"/>
  <c r="AJ495" i="2"/>
  <c r="AK495" i="2"/>
  <c r="AH496" i="2"/>
  <c r="AI496" i="2"/>
  <c r="AJ496" i="2"/>
  <c r="AK496" i="2"/>
  <c r="AH497" i="2"/>
  <c r="AI497" i="2"/>
  <c r="AJ497" i="2"/>
  <c r="AK497" i="2"/>
  <c r="AH498" i="2"/>
  <c r="AI498" i="2"/>
  <c r="AJ498" i="2"/>
  <c r="AK498" i="2"/>
  <c r="AH499" i="2"/>
  <c r="AI499" i="2"/>
  <c r="AJ499" i="2"/>
  <c r="AK499" i="2"/>
  <c r="AH500" i="2"/>
  <c r="AI500" i="2"/>
  <c r="AJ500" i="2"/>
  <c r="AK500" i="2"/>
  <c r="AH501" i="2"/>
  <c r="AI501" i="2"/>
  <c r="AJ501" i="2"/>
  <c r="AK501" i="2"/>
  <c r="AH502" i="2"/>
  <c r="AI502" i="2"/>
  <c r="AJ502" i="2"/>
  <c r="AK502" i="2"/>
  <c r="AH503" i="2"/>
  <c r="AI503" i="2"/>
  <c r="AJ503" i="2"/>
  <c r="AK503" i="2"/>
  <c r="AH504" i="2"/>
  <c r="AI504" i="2"/>
  <c r="AJ504" i="2"/>
  <c r="AK504" i="2"/>
  <c r="AH505" i="2"/>
  <c r="AI505" i="2"/>
  <c r="AJ505" i="2"/>
  <c r="AK505" i="2"/>
  <c r="AH506" i="2"/>
  <c r="AI506" i="2"/>
  <c r="AJ506" i="2"/>
  <c r="AK506" i="2"/>
  <c r="AH507" i="2"/>
  <c r="AI507" i="2"/>
  <c r="AJ507" i="2"/>
  <c r="AK507" i="2"/>
  <c r="AH508" i="2"/>
  <c r="AI508" i="2"/>
  <c r="AJ508" i="2"/>
  <c r="AK508" i="2"/>
  <c r="AH509" i="2"/>
  <c r="AI509" i="2"/>
  <c r="AJ509" i="2"/>
  <c r="AK509" i="2"/>
  <c r="AH510" i="2"/>
  <c r="AI510" i="2"/>
  <c r="AJ510" i="2"/>
  <c r="AK510" i="2"/>
  <c r="AH511" i="2"/>
  <c r="AI511" i="2"/>
  <c r="AJ511" i="2"/>
  <c r="AK511" i="2"/>
  <c r="AH512" i="2"/>
  <c r="AI512" i="2"/>
  <c r="AJ512" i="2"/>
  <c r="AK512" i="2"/>
  <c r="AH513" i="2"/>
  <c r="AI513" i="2"/>
  <c r="AJ513" i="2"/>
  <c r="AK513" i="2"/>
  <c r="AH514" i="2"/>
  <c r="AI514" i="2"/>
  <c r="AJ514" i="2"/>
  <c r="AK514" i="2"/>
  <c r="AH515" i="2"/>
  <c r="AI515" i="2"/>
  <c r="AJ515" i="2"/>
  <c r="AK515" i="2"/>
  <c r="AH516" i="2"/>
  <c r="AI516" i="2"/>
  <c r="AJ516" i="2"/>
  <c r="AK516" i="2"/>
  <c r="AH517" i="2"/>
  <c r="AI517" i="2"/>
  <c r="AJ517" i="2"/>
  <c r="AK517" i="2"/>
  <c r="AH518" i="2"/>
  <c r="AI518" i="2"/>
  <c r="AJ518" i="2"/>
  <c r="AK518" i="2"/>
  <c r="AH519" i="2"/>
  <c r="AI519" i="2"/>
  <c r="AJ519" i="2"/>
  <c r="AK519" i="2"/>
  <c r="AH520" i="2"/>
  <c r="AI520" i="2"/>
  <c r="AJ520" i="2"/>
  <c r="AK520" i="2"/>
  <c r="AH521" i="2"/>
  <c r="AI521" i="2"/>
  <c r="AJ521" i="2"/>
  <c r="AK521" i="2"/>
  <c r="AH522" i="2"/>
  <c r="AI522" i="2"/>
  <c r="AJ522" i="2"/>
  <c r="AK522" i="2"/>
  <c r="AH523" i="2"/>
  <c r="AI523" i="2"/>
  <c r="AJ523" i="2"/>
  <c r="AK523" i="2"/>
  <c r="AH524" i="2"/>
  <c r="AI524" i="2"/>
  <c r="AJ524" i="2"/>
  <c r="AK524" i="2"/>
  <c r="AH525" i="2"/>
  <c r="AI525" i="2"/>
  <c r="AJ525" i="2"/>
  <c r="AK525" i="2"/>
  <c r="AH526" i="2"/>
  <c r="AI526" i="2"/>
  <c r="AJ526" i="2"/>
  <c r="AK526" i="2"/>
  <c r="AH527" i="2"/>
  <c r="AI527" i="2"/>
  <c r="AJ527" i="2"/>
  <c r="AK527" i="2"/>
  <c r="AH528" i="2"/>
  <c r="AI528" i="2"/>
  <c r="AJ528" i="2"/>
  <c r="AK528" i="2"/>
  <c r="AH529" i="2"/>
  <c r="AI529" i="2"/>
  <c r="AJ529" i="2"/>
  <c r="AK529" i="2"/>
  <c r="AH530" i="2"/>
  <c r="AI530" i="2"/>
  <c r="AJ530" i="2"/>
  <c r="AK530" i="2"/>
  <c r="AH531" i="2"/>
  <c r="AI531" i="2"/>
  <c r="AJ531" i="2"/>
  <c r="AK531" i="2"/>
  <c r="AH532" i="2"/>
  <c r="AI532" i="2"/>
  <c r="AJ532" i="2"/>
  <c r="AK532" i="2"/>
  <c r="AH533" i="2"/>
  <c r="AI533" i="2"/>
  <c r="AJ533" i="2"/>
  <c r="AK533" i="2"/>
  <c r="AH534" i="2"/>
  <c r="AI534" i="2"/>
  <c r="AJ534" i="2"/>
  <c r="AK534" i="2"/>
  <c r="AH535" i="2"/>
  <c r="AI535" i="2"/>
  <c r="AJ535" i="2"/>
  <c r="AK535" i="2"/>
  <c r="AH536" i="2"/>
  <c r="AI536" i="2"/>
  <c r="AJ536" i="2"/>
  <c r="AK536" i="2"/>
  <c r="AH537" i="2"/>
  <c r="AI537" i="2"/>
  <c r="AJ537" i="2"/>
  <c r="AK537" i="2"/>
  <c r="AH538" i="2"/>
  <c r="AI538" i="2"/>
  <c r="AJ538" i="2"/>
  <c r="AK538" i="2"/>
  <c r="AH539" i="2"/>
  <c r="AI539" i="2"/>
  <c r="AJ539" i="2"/>
  <c r="AK539" i="2"/>
  <c r="AH540" i="2"/>
  <c r="AI540" i="2"/>
  <c r="AJ540" i="2"/>
  <c r="AK540" i="2"/>
  <c r="AH541" i="2"/>
  <c r="AI541" i="2"/>
  <c r="AJ541" i="2"/>
  <c r="AK541" i="2"/>
  <c r="AH542" i="2"/>
  <c r="AI542" i="2"/>
  <c r="AJ542" i="2"/>
  <c r="AK542" i="2"/>
  <c r="AH543" i="2"/>
  <c r="AI543" i="2"/>
  <c r="AJ543" i="2"/>
  <c r="AK543" i="2"/>
  <c r="AH544" i="2"/>
  <c r="AI544" i="2"/>
  <c r="AJ544" i="2"/>
  <c r="AK544" i="2"/>
  <c r="AH545" i="2"/>
  <c r="AI545" i="2"/>
  <c r="AJ545" i="2"/>
  <c r="AK545" i="2"/>
  <c r="AH546" i="2"/>
  <c r="AI546" i="2"/>
  <c r="AJ546" i="2"/>
  <c r="AK546" i="2"/>
  <c r="AH547" i="2"/>
  <c r="AI547" i="2"/>
  <c r="AJ547" i="2"/>
  <c r="AK547" i="2"/>
  <c r="AH548" i="2"/>
  <c r="AI548" i="2"/>
  <c r="AJ548" i="2"/>
  <c r="AK548" i="2"/>
  <c r="AH549" i="2"/>
  <c r="AI549" i="2"/>
  <c r="AJ549" i="2"/>
  <c r="AK549" i="2"/>
  <c r="AH550" i="2"/>
  <c r="AI550" i="2"/>
  <c r="AJ550" i="2"/>
  <c r="AK550" i="2"/>
  <c r="AH551" i="2"/>
  <c r="AI551" i="2"/>
  <c r="AJ551" i="2"/>
  <c r="AK551" i="2"/>
  <c r="AH552" i="2"/>
  <c r="AI552" i="2"/>
  <c r="AJ552" i="2"/>
  <c r="AK552" i="2"/>
  <c r="AH553" i="2"/>
  <c r="AI553" i="2"/>
  <c r="AJ553" i="2"/>
  <c r="AK553" i="2"/>
  <c r="AH554" i="2"/>
  <c r="AI554" i="2"/>
  <c r="AJ554" i="2"/>
  <c r="AK554" i="2"/>
  <c r="AH555" i="2"/>
  <c r="AI555" i="2"/>
  <c r="AJ555" i="2"/>
  <c r="AK555" i="2"/>
  <c r="AH556" i="2"/>
  <c r="AI556" i="2"/>
  <c r="AJ556" i="2"/>
  <c r="AK556" i="2"/>
  <c r="AH557" i="2"/>
  <c r="AI557" i="2"/>
  <c r="AJ557" i="2"/>
  <c r="AK557" i="2"/>
  <c r="AH558" i="2"/>
  <c r="AI558" i="2"/>
  <c r="AJ558" i="2"/>
  <c r="AK558" i="2"/>
  <c r="AH559" i="2"/>
  <c r="AI559" i="2"/>
  <c r="AJ559" i="2"/>
  <c r="AK559" i="2"/>
  <c r="AH560" i="2"/>
  <c r="AI560" i="2"/>
  <c r="AJ560" i="2"/>
  <c r="AK560" i="2"/>
  <c r="AH561" i="2"/>
  <c r="AI561" i="2"/>
  <c r="AJ561" i="2"/>
  <c r="AK561" i="2"/>
  <c r="AH562" i="2"/>
  <c r="AI562" i="2"/>
  <c r="AJ562" i="2"/>
  <c r="AK562" i="2"/>
  <c r="AH563" i="2"/>
  <c r="AI563" i="2"/>
  <c r="AJ563" i="2"/>
  <c r="AK563" i="2"/>
  <c r="AH564" i="2"/>
  <c r="AI564" i="2"/>
  <c r="AJ564" i="2"/>
  <c r="AK564" i="2"/>
  <c r="AH565" i="2"/>
  <c r="AI565" i="2"/>
  <c r="AJ565" i="2"/>
  <c r="AK565" i="2"/>
  <c r="AH566" i="2"/>
  <c r="AI566" i="2"/>
  <c r="AJ566" i="2"/>
  <c r="AK566" i="2"/>
  <c r="AH567" i="2"/>
  <c r="AI567" i="2"/>
  <c r="AJ567" i="2"/>
  <c r="AK567" i="2"/>
  <c r="AH568" i="2"/>
  <c r="AI568" i="2"/>
  <c r="AJ568" i="2"/>
  <c r="AK568" i="2"/>
  <c r="AH569" i="2"/>
  <c r="AI569" i="2"/>
  <c r="AJ569" i="2"/>
  <c r="AK569" i="2"/>
  <c r="AH570" i="2"/>
  <c r="AI570" i="2"/>
  <c r="AJ570" i="2"/>
  <c r="AK570" i="2"/>
  <c r="AH571" i="2"/>
  <c r="AI571" i="2"/>
  <c r="AJ571" i="2"/>
  <c r="AK571" i="2"/>
  <c r="AH572" i="2"/>
  <c r="AI572" i="2"/>
  <c r="AJ572" i="2"/>
  <c r="AK572" i="2"/>
  <c r="AH573" i="2"/>
  <c r="AI573" i="2"/>
  <c r="AJ573" i="2"/>
  <c r="AK573" i="2"/>
  <c r="AH574" i="2"/>
  <c r="AI574" i="2"/>
  <c r="AJ574" i="2"/>
  <c r="AK574" i="2"/>
  <c r="AH575" i="2"/>
  <c r="AI575" i="2"/>
  <c r="AJ575" i="2"/>
  <c r="AK575" i="2"/>
  <c r="AH576" i="2"/>
  <c r="AI576" i="2"/>
  <c r="AJ576" i="2"/>
  <c r="AK576" i="2"/>
  <c r="AH577" i="2"/>
  <c r="AI577" i="2"/>
  <c r="AJ577" i="2"/>
  <c r="AK577" i="2"/>
  <c r="AH578" i="2"/>
  <c r="AI578" i="2"/>
  <c r="AJ578" i="2"/>
  <c r="AK578" i="2"/>
  <c r="AH579" i="2"/>
  <c r="AI579" i="2"/>
  <c r="AJ579" i="2"/>
  <c r="AK579" i="2"/>
  <c r="AH580" i="2"/>
  <c r="AI580" i="2"/>
  <c r="AJ580" i="2"/>
  <c r="AK580" i="2"/>
  <c r="AH581" i="2"/>
  <c r="AI581" i="2"/>
  <c r="AJ581" i="2"/>
  <c r="AK581" i="2"/>
  <c r="AH582" i="2"/>
  <c r="AI582" i="2"/>
  <c r="AJ582" i="2"/>
  <c r="AK582" i="2"/>
  <c r="AH583" i="2"/>
  <c r="AI583" i="2"/>
  <c r="AJ583" i="2"/>
  <c r="AK583" i="2"/>
  <c r="AH584" i="2"/>
  <c r="AI584" i="2"/>
  <c r="AJ584" i="2"/>
  <c r="AK584" i="2"/>
  <c r="AH585" i="2"/>
  <c r="AI585" i="2"/>
  <c r="AJ585" i="2"/>
  <c r="AK585" i="2"/>
  <c r="AH586" i="2"/>
  <c r="AI586" i="2"/>
  <c r="AJ586" i="2"/>
  <c r="AK586" i="2"/>
  <c r="AH587" i="2"/>
  <c r="AI587" i="2"/>
  <c r="AJ587" i="2"/>
  <c r="AK587" i="2"/>
  <c r="AH588" i="2"/>
  <c r="AI588" i="2"/>
  <c r="AJ588" i="2"/>
  <c r="AK588" i="2"/>
  <c r="AH589" i="2"/>
  <c r="AI589" i="2"/>
  <c r="AJ589" i="2"/>
  <c r="AK589" i="2"/>
  <c r="AH590" i="2"/>
  <c r="AI590" i="2"/>
  <c r="AJ590" i="2"/>
  <c r="AK590" i="2"/>
  <c r="AH591" i="2"/>
  <c r="AI591" i="2"/>
  <c r="AJ591" i="2"/>
  <c r="AK591" i="2"/>
  <c r="AH592" i="2"/>
  <c r="AI592" i="2"/>
  <c r="AJ592" i="2"/>
  <c r="AK592" i="2"/>
  <c r="AH593" i="2"/>
  <c r="AI593" i="2"/>
  <c r="AJ593" i="2"/>
  <c r="AK593" i="2"/>
  <c r="AH594" i="2"/>
  <c r="AI594" i="2"/>
  <c r="AJ594" i="2"/>
  <c r="AK594" i="2"/>
  <c r="AH595" i="2"/>
  <c r="AI595" i="2"/>
  <c r="AJ595" i="2"/>
  <c r="AK595" i="2"/>
  <c r="AH596" i="2"/>
  <c r="AI596" i="2"/>
  <c r="AJ596" i="2"/>
  <c r="AK596" i="2"/>
  <c r="AH597" i="2"/>
  <c r="AI597" i="2"/>
  <c r="AJ597" i="2"/>
  <c r="AK597" i="2"/>
  <c r="AH598" i="2"/>
  <c r="AI598" i="2"/>
  <c r="AJ598" i="2"/>
  <c r="AK598" i="2"/>
  <c r="AH599" i="2"/>
  <c r="AI599" i="2"/>
  <c r="AJ599" i="2"/>
  <c r="AK599" i="2"/>
  <c r="AH600" i="2"/>
  <c r="AI600" i="2"/>
  <c r="AJ600" i="2"/>
  <c r="AK600" i="2"/>
  <c r="AH601" i="2"/>
  <c r="AI601" i="2"/>
  <c r="AJ601" i="2"/>
  <c r="AK601" i="2"/>
  <c r="AH602" i="2"/>
  <c r="AI602" i="2"/>
  <c r="AJ602" i="2"/>
  <c r="AK602" i="2"/>
  <c r="AH603" i="2"/>
  <c r="AI603" i="2"/>
  <c r="AJ603" i="2"/>
  <c r="AK603" i="2"/>
  <c r="AH604" i="2"/>
  <c r="AI604" i="2"/>
  <c r="AJ604" i="2"/>
  <c r="AK604" i="2"/>
  <c r="AH605" i="2"/>
  <c r="AI605" i="2"/>
  <c r="AJ605" i="2"/>
  <c r="AK605" i="2"/>
  <c r="AH606" i="2"/>
  <c r="AI606" i="2"/>
  <c r="AJ606" i="2"/>
  <c r="AK606" i="2"/>
  <c r="AH607" i="2"/>
  <c r="AI607" i="2"/>
  <c r="AJ607" i="2"/>
  <c r="AK607" i="2"/>
  <c r="AH608" i="2"/>
  <c r="AI608" i="2"/>
  <c r="AJ608" i="2"/>
  <c r="AK608" i="2"/>
  <c r="AH609" i="2"/>
  <c r="AI609" i="2"/>
  <c r="AJ609" i="2"/>
  <c r="AK609" i="2"/>
  <c r="AH610" i="2"/>
  <c r="AI610" i="2"/>
  <c r="AJ610" i="2"/>
  <c r="AK610" i="2"/>
  <c r="AH611" i="2"/>
  <c r="AI611" i="2"/>
  <c r="AJ611" i="2"/>
  <c r="AK611" i="2"/>
  <c r="AH612" i="2"/>
  <c r="AI612" i="2"/>
  <c r="AJ612" i="2"/>
  <c r="AK612" i="2"/>
  <c r="AH613" i="2"/>
  <c r="AI613" i="2"/>
  <c r="AJ613" i="2"/>
  <c r="AK613" i="2"/>
  <c r="AH614" i="2"/>
  <c r="AI614" i="2"/>
  <c r="AJ614" i="2"/>
  <c r="AK614" i="2"/>
  <c r="AH615" i="2"/>
  <c r="AI615" i="2"/>
  <c r="AJ615" i="2"/>
  <c r="AK615" i="2"/>
  <c r="AH616" i="2"/>
  <c r="AI616" i="2"/>
  <c r="AJ616" i="2"/>
  <c r="AK616" i="2"/>
  <c r="AH617" i="2"/>
  <c r="AI617" i="2"/>
  <c r="AJ617" i="2"/>
  <c r="AK617" i="2"/>
  <c r="AH618" i="2"/>
  <c r="AI618" i="2"/>
  <c r="AJ618" i="2"/>
  <c r="AK618" i="2"/>
  <c r="AH619" i="2"/>
  <c r="AI619" i="2"/>
  <c r="AJ619" i="2"/>
  <c r="AK619" i="2"/>
  <c r="AH620" i="2"/>
  <c r="AI620" i="2"/>
  <c r="AJ620" i="2"/>
  <c r="AK620" i="2"/>
  <c r="AH621" i="2"/>
  <c r="AI621" i="2"/>
  <c r="AJ621" i="2"/>
  <c r="AK621" i="2"/>
  <c r="AH622" i="2"/>
  <c r="AI622" i="2"/>
  <c r="AJ622" i="2"/>
  <c r="AK622" i="2"/>
  <c r="AH623" i="2"/>
  <c r="AI623" i="2"/>
  <c r="AJ623" i="2"/>
  <c r="AK623" i="2"/>
  <c r="AH624" i="2"/>
  <c r="AI624" i="2"/>
  <c r="AJ624" i="2"/>
  <c r="AK624" i="2"/>
  <c r="AH625" i="2"/>
  <c r="AI625" i="2"/>
  <c r="AJ625" i="2"/>
  <c r="AK625" i="2"/>
  <c r="AH626" i="2"/>
  <c r="AI626" i="2"/>
  <c r="AJ626" i="2"/>
  <c r="AK626" i="2"/>
  <c r="AH627" i="2"/>
  <c r="AI627" i="2"/>
  <c r="AJ627" i="2"/>
  <c r="AK627" i="2"/>
  <c r="AH628" i="2"/>
  <c r="AI628" i="2"/>
  <c r="AJ628" i="2"/>
  <c r="AK628" i="2"/>
  <c r="AH629" i="2"/>
  <c r="AI629" i="2"/>
  <c r="AJ629" i="2"/>
  <c r="AK629" i="2"/>
  <c r="AH630" i="2"/>
  <c r="AI630" i="2"/>
  <c r="AJ630" i="2"/>
  <c r="AK630" i="2"/>
  <c r="AH631" i="2"/>
  <c r="AI631" i="2"/>
  <c r="AJ631" i="2"/>
  <c r="AK631" i="2"/>
  <c r="AH632" i="2"/>
  <c r="AI632" i="2"/>
  <c r="AJ632" i="2"/>
  <c r="AK632" i="2"/>
  <c r="AH633" i="2"/>
  <c r="AI633" i="2"/>
  <c r="AJ633" i="2"/>
  <c r="AK633" i="2"/>
  <c r="AH634" i="2"/>
  <c r="AI634" i="2"/>
  <c r="AJ634" i="2"/>
  <c r="AK634" i="2"/>
  <c r="AH635" i="2"/>
  <c r="AI635" i="2"/>
  <c r="AJ635" i="2"/>
  <c r="AK635" i="2"/>
  <c r="AH636" i="2"/>
  <c r="AI636" i="2"/>
  <c r="AJ636" i="2"/>
  <c r="AK636" i="2"/>
  <c r="AH637" i="2"/>
  <c r="AI637" i="2"/>
  <c r="AJ637" i="2"/>
  <c r="AK637" i="2"/>
  <c r="AH638" i="2"/>
  <c r="AI638" i="2"/>
  <c r="AJ638" i="2"/>
  <c r="AK638" i="2"/>
  <c r="AH639" i="2"/>
  <c r="AI639" i="2"/>
  <c r="AJ639" i="2"/>
  <c r="AK639" i="2"/>
  <c r="AH640" i="2"/>
  <c r="AI640" i="2"/>
  <c r="AJ640" i="2"/>
  <c r="AK640" i="2"/>
  <c r="AH641" i="2"/>
  <c r="AI641" i="2"/>
  <c r="AJ641" i="2"/>
  <c r="AK641" i="2"/>
  <c r="AH642" i="2"/>
  <c r="AI642" i="2"/>
  <c r="AJ642" i="2"/>
  <c r="AK642" i="2"/>
  <c r="AH643" i="2"/>
  <c r="AI643" i="2"/>
  <c r="AJ643" i="2"/>
  <c r="AK643" i="2"/>
  <c r="AH644" i="2"/>
  <c r="AI644" i="2"/>
  <c r="AJ644" i="2"/>
  <c r="AK644" i="2"/>
  <c r="AH645" i="2"/>
  <c r="AI645" i="2"/>
  <c r="AJ645" i="2"/>
  <c r="AK645" i="2"/>
  <c r="AH646" i="2"/>
  <c r="AI646" i="2"/>
  <c r="AJ646" i="2"/>
  <c r="AK646" i="2"/>
  <c r="AH647" i="2"/>
  <c r="AI647" i="2"/>
  <c r="AJ647" i="2"/>
  <c r="AK647" i="2"/>
  <c r="AH648" i="2"/>
  <c r="AI648" i="2"/>
  <c r="AJ648" i="2"/>
  <c r="AK648" i="2"/>
  <c r="AH649" i="2"/>
  <c r="AI649" i="2"/>
  <c r="AJ649" i="2"/>
  <c r="AK649" i="2"/>
  <c r="AH650" i="2"/>
  <c r="AI650" i="2"/>
  <c r="AJ650" i="2"/>
  <c r="AK650" i="2"/>
  <c r="AH651" i="2"/>
  <c r="AI651" i="2"/>
  <c r="AJ651" i="2"/>
  <c r="AK651" i="2"/>
  <c r="AH652" i="2"/>
  <c r="AI652" i="2"/>
  <c r="AJ652" i="2"/>
  <c r="AK652" i="2"/>
  <c r="AH653" i="2"/>
  <c r="AI653" i="2"/>
  <c r="AJ653" i="2"/>
  <c r="AK653" i="2"/>
  <c r="AH654" i="2"/>
  <c r="AI654" i="2"/>
  <c r="AJ654" i="2"/>
  <c r="AK654" i="2"/>
  <c r="AH655" i="2"/>
  <c r="AI655" i="2"/>
  <c r="AJ655" i="2"/>
  <c r="AK655" i="2"/>
  <c r="AH656" i="2"/>
  <c r="AI656" i="2"/>
  <c r="AJ656" i="2"/>
  <c r="AK656" i="2"/>
  <c r="AH657" i="2"/>
  <c r="AI657" i="2"/>
  <c r="AJ657" i="2"/>
  <c r="AK657" i="2"/>
  <c r="AH658" i="2"/>
  <c r="AI658" i="2"/>
  <c r="AJ658" i="2"/>
  <c r="AK658" i="2"/>
  <c r="AH659" i="2"/>
  <c r="AI659" i="2"/>
  <c r="AJ659" i="2"/>
  <c r="AK659" i="2"/>
  <c r="AH660" i="2"/>
  <c r="AI660" i="2"/>
  <c r="AJ660" i="2"/>
  <c r="AK660" i="2"/>
  <c r="AH661" i="2"/>
  <c r="AI661" i="2"/>
  <c r="AJ661" i="2"/>
  <c r="AK661" i="2"/>
  <c r="AH662" i="2"/>
  <c r="AI662" i="2"/>
  <c r="AJ662" i="2"/>
  <c r="AK662" i="2"/>
  <c r="AH663" i="2"/>
  <c r="AI663" i="2"/>
  <c r="AJ663" i="2"/>
  <c r="AK663" i="2"/>
  <c r="AH664" i="2"/>
  <c r="AI664" i="2"/>
  <c r="AJ664" i="2"/>
  <c r="AK664" i="2"/>
  <c r="AH665" i="2"/>
  <c r="AI665" i="2"/>
  <c r="AJ665" i="2"/>
  <c r="AK665" i="2"/>
  <c r="AH666" i="2"/>
  <c r="AI666" i="2"/>
  <c r="AJ666" i="2"/>
  <c r="AK666" i="2"/>
  <c r="AH667" i="2"/>
  <c r="AI667" i="2"/>
  <c r="AJ667" i="2"/>
  <c r="AK667" i="2"/>
  <c r="AH668" i="2"/>
  <c r="AI668" i="2"/>
  <c r="AJ668" i="2"/>
  <c r="AK668" i="2"/>
  <c r="AH669" i="2"/>
  <c r="AI669" i="2"/>
  <c r="AJ669" i="2"/>
  <c r="AK669" i="2"/>
  <c r="AH670" i="2"/>
  <c r="AI670" i="2"/>
  <c r="AJ670" i="2"/>
  <c r="AK670" i="2"/>
  <c r="AH671" i="2"/>
  <c r="AI671" i="2"/>
  <c r="AJ671" i="2"/>
  <c r="AK671" i="2"/>
  <c r="AH672" i="2"/>
  <c r="AI672" i="2"/>
  <c r="AJ672" i="2"/>
  <c r="AK672" i="2"/>
  <c r="AH673" i="2"/>
  <c r="AI673" i="2"/>
  <c r="AJ673" i="2"/>
  <c r="AK673" i="2"/>
  <c r="AH674" i="2"/>
  <c r="AI674" i="2"/>
  <c r="AJ674" i="2"/>
  <c r="AK674" i="2"/>
  <c r="AH675" i="2"/>
  <c r="AI675" i="2"/>
  <c r="AJ675" i="2"/>
  <c r="AK675" i="2"/>
  <c r="AH676" i="2"/>
  <c r="AI676" i="2"/>
  <c r="AJ676" i="2"/>
  <c r="AK676" i="2"/>
  <c r="AH677" i="2"/>
  <c r="AI677" i="2"/>
  <c r="AJ677" i="2"/>
  <c r="AK677" i="2"/>
  <c r="AH678" i="2"/>
  <c r="AI678" i="2"/>
  <c r="AJ678" i="2"/>
  <c r="AK678" i="2"/>
  <c r="AH679" i="2"/>
  <c r="AI679" i="2"/>
  <c r="AJ679" i="2"/>
  <c r="AK679" i="2"/>
  <c r="AH680" i="2"/>
  <c r="AI680" i="2"/>
  <c r="AJ680" i="2"/>
  <c r="AK680" i="2"/>
  <c r="AH681" i="2"/>
  <c r="AI681" i="2"/>
  <c r="AJ681" i="2"/>
  <c r="AK681" i="2"/>
  <c r="AH682" i="2"/>
  <c r="AI682" i="2"/>
  <c r="AJ682" i="2"/>
  <c r="AK682" i="2"/>
  <c r="AH683" i="2"/>
  <c r="AI683" i="2"/>
  <c r="AJ683" i="2"/>
  <c r="AK683" i="2"/>
  <c r="AH684" i="2"/>
  <c r="AI684" i="2"/>
  <c r="AJ684" i="2"/>
  <c r="AK684" i="2"/>
  <c r="AH685" i="2"/>
  <c r="AI685" i="2"/>
  <c r="AJ685" i="2"/>
  <c r="AK685" i="2"/>
  <c r="AH686" i="2"/>
  <c r="AI686" i="2"/>
  <c r="AJ686" i="2"/>
  <c r="AK686" i="2"/>
  <c r="AH687" i="2"/>
  <c r="AI687" i="2"/>
  <c r="AJ687" i="2"/>
  <c r="AK687" i="2"/>
  <c r="AH688" i="2"/>
  <c r="AI688" i="2"/>
  <c r="AJ688" i="2"/>
  <c r="AK688" i="2"/>
  <c r="AH689" i="2"/>
  <c r="AI689" i="2"/>
  <c r="AJ689" i="2"/>
  <c r="AK689" i="2"/>
  <c r="AH690" i="2"/>
  <c r="AI690" i="2"/>
  <c r="AJ690" i="2"/>
  <c r="AK690" i="2"/>
  <c r="AH691" i="2"/>
  <c r="AI691" i="2"/>
  <c r="AJ691" i="2"/>
  <c r="AK691" i="2"/>
  <c r="AH692" i="2"/>
  <c r="AI692" i="2"/>
  <c r="AJ692" i="2"/>
  <c r="AK692" i="2"/>
  <c r="AH693" i="2"/>
  <c r="AI693" i="2"/>
  <c r="AJ693" i="2"/>
  <c r="AK693" i="2"/>
  <c r="AH694" i="2"/>
  <c r="AI694" i="2"/>
  <c r="AJ694" i="2"/>
  <c r="AK694" i="2"/>
  <c r="AH695" i="2"/>
  <c r="AI695" i="2"/>
  <c r="AJ695" i="2"/>
  <c r="AK695" i="2"/>
  <c r="AH696" i="2"/>
  <c r="AI696" i="2"/>
  <c r="AJ696" i="2"/>
  <c r="AK696" i="2"/>
  <c r="AH697" i="2"/>
  <c r="AI697" i="2"/>
  <c r="AJ697" i="2"/>
  <c r="AK697" i="2"/>
  <c r="AH698" i="2"/>
  <c r="AI698" i="2"/>
  <c r="AJ698" i="2"/>
  <c r="AK698" i="2"/>
  <c r="AH699" i="2"/>
  <c r="AI699" i="2"/>
  <c r="AJ699" i="2"/>
  <c r="AK699" i="2"/>
  <c r="AH700" i="2"/>
  <c r="AI700" i="2"/>
  <c r="AJ700" i="2"/>
  <c r="AK700" i="2"/>
  <c r="AH701" i="2"/>
  <c r="AI701" i="2"/>
  <c r="AJ701" i="2"/>
  <c r="AK701" i="2"/>
  <c r="AH702" i="2"/>
  <c r="AI702" i="2"/>
  <c r="AJ702" i="2"/>
  <c r="AK702" i="2"/>
  <c r="AH703" i="2"/>
  <c r="AI703" i="2"/>
  <c r="AJ703" i="2"/>
  <c r="AK703" i="2"/>
  <c r="AH704" i="2"/>
  <c r="AI704" i="2"/>
  <c r="AJ704" i="2"/>
  <c r="AK704" i="2"/>
  <c r="AH705" i="2"/>
  <c r="AI705" i="2"/>
  <c r="AJ705" i="2"/>
  <c r="AK705" i="2"/>
  <c r="AH706" i="2"/>
  <c r="AI706" i="2"/>
  <c r="AJ706" i="2"/>
  <c r="AK706" i="2"/>
  <c r="AH707" i="2"/>
  <c r="AI707" i="2"/>
  <c r="AJ707" i="2"/>
  <c r="AK707" i="2"/>
  <c r="AH708" i="2"/>
  <c r="AI708" i="2"/>
  <c r="AJ708" i="2"/>
  <c r="AK708" i="2"/>
  <c r="AH709" i="2"/>
  <c r="AI709" i="2"/>
  <c r="AJ709" i="2"/>
  <c r="AK709" i="2"/>
  <c r="AH710" i="2"/>
  <c r="AI710" i="2"/>
  <c r="AJ710" i="2"/>
  <c r="AK710" i="2"/>
  <c r="AH711" i="2"/>
  <c r="AI711" i="2"/>
  <c r="AJ711" i="2"/>
  <c r="AK711" i="2"/>
  <c r="AH712" i="2"/>
  <c r="AI712" i="2"/>
  <c r="AJ712" i="2"/>
  <c r="AK712" i="2"/>
  <c r="AH713" i="2"/>
  <c r="AI713" i="2"/>
  <c r="AJ713" i="2"/>
  <c r="AK713" i="2"/>
  <c r="AH714" i="2"/>
  <c r="AI714" i="2"/>
  <c r="AJ714" i="2"/>
  <c r="AK714" i="2"/>
  <c r="AH715" i="2"/>
  <c r="AI715" i="2"/>
  <c r="AJ715" i="2"/>
  <c r="AK715" i="2"/>
  <c r="AH716" i="2"/>
  <c r="AI716" i="2"/>
  <c r="AJ716" i="2"/>
  <c r="AK716" i="2"/>
  <c r="AH717" i="2"/>
  <c r="AI717" i="2"/>
  <c r="AJ717" i="2"/>
  <c r="AK717" i="2"/>
  <c r="AH718" i="2"/>
  <c r="AI718" i="2"/>
  <c r="AJ718" i="2"/>
  <c r="AK718" i="2"/>
  <c r="AH719" i="2"/>
  <c r="AI719" i="2"/>
  <c r="AJ719" i="2"/>
  <c r="AK719" i="2"/>
  <c r="AH720" i="2"/>
  <c r="AI720" i="2"/>
  <c r="AJ720" i="2"/>
  <c r="AK720" i="2"/>
  <c r="AH721" i="2"/>
  <c r="AI721" i="2"/>
  <c r="AJ721" i="2"/>
  <c r="AK721" i="2"/>
  <c r="AH722" i="2"/>
  <c r="AI722" i="2"/>
  <c r="AJ722" i="2"/>
  <c r="AK722" i="2"/>
  <c r="AH723" i="2"/>
  <c r="AI723" i="2"/>
  <c r="AJ723" i="2"/>
  <c r="AK723" i="2"/>
  <c r="AH724" i="2"/>
  <c r="AI724" i="2"/>
  <c r="AJ724" i="2"/>
  <c r="AK724" i="2"/>
  <c r="AH725" i="2"/>
  <c r="AI725" i="2"/>
  <c r="AJ725" i="2"/>
  <c r="AK725" i="2"/>
  <c r="AH726" i="2"/>
  <c r="AI726" i="2"/>
  <c r="AJ726" i="2"/>
  <c r="AK726" i="2"/>
  <c r="AH727" i="2"/>
  <c r="AI727" i="2"/>
  <c r="AJ727" i="2"/>
  <c r="AK727" i="2"/>
  <c r="AH728" i="2"/>
  <c r="AI728" i="2"/>
  <c r="AJ728" i="2"/>
  <c r="AK728" i="2"/>
  <c r="AH729" i="2"/>
  <c r="AI729" i="2"/>
  <c r="AJ729" i="2"/>
  <c r="AK729" i="2"/>
  <c r="AH730" i="2"/>
  <c r="AI730" i="2"/>
  <c r="AJ730" i="2"/>
  <c r="AK730" i="2"/>
  <c r="AH731" i="2"/>
  <c r="AI731" i="2"/>
  <c r="AJ731" i="2"/>
  <c r="AK731" i="2"/>
  <c r="AH732" i="2"/>
  <c r="AI732" i="2"/>
  <c r="AJ732" i="2"/>
  <c r="AK732" i="2"/>
  <c r="AH733" i="2"/>
  <c r="AI733" i="2"/>
  <c r="AJ733" i="2"/>
  <c r="AK733" i="2"/>
  <c r="AH734" i="2"/>
  <c r="AI734" i="2"/>
  <c r="AJ734" i="2"/>
  <c r="AK734" i="2"/>
  <c r="AH735" i="2"/>
  <c r="AI735" i="2"/>
  <c r="AJ735" i="2"/>
  <c r="AK735" i="2"/>
  <c r="AH736" i="2"/>
  <c r="AI736" i="2"/>
  <c r="AJ736" i="2"/>
  <c r="AK736" i="2"/>
  <c r="AH737" i="2"/>
  <c r="AI737" i="2"/>
  <c r="AJ737" i="2"/>
  <c r="AK737" i="2"/>
  <c r="AE738" i="2"/>
  <c r="O738" i="2"/>
  <c r="I738" i="2"/>
  <c r="V738" i="2"/>
  <c r="R738" i="2"/>
  <c r="Q738" i="2"/>
  <c r="AS405" i="2"/>
  <c r="AS406" i="2" s="1"/>
  <c r="AS407" i="2" s="1"/>
  <c r="AS408" i="2" s="1"/>
  <c r="AS409" i="2" s="1"/>
  <c r="AS410" i="2" s="1"/>
  <c r="AS411" i="2" s="1"/>
  <c r="AS412" i="2" s="1"/>
  <c r="AS413" i="2" s="1"/>
  <c r="AS414" i="2" s="1"/>
  <c r="AS415" i="2" s="1"/>
  <c r="AS416" i="2" s="1"/>
  <c r="AS417" i="2" s="1"/>
  <c r="AS418" i="2" s="1"/>
  <c r="AS419" i="2" s="1"/>
  <c r="AS420" i="2" s="1"/>
  <c r="AS421" i="2" s="1"/>
  <c r="AS422" i="2" s="1"/>
  <c r="AS423" i="2" s="1"/>
  <c r="AS424" i="2" s="1"/>
  <c r="AS425" i="2" s="1"/>
  <c r="AS426" i="2" s="1"/>
  <c r="AS427" i="2" s="1"/>
  <c r="AS428" i="2" s="1"/>
  <c r="AS429" i="2" s="1"/>
  <c r="AS430" i="2" s="1"/>
  <c r="AS431" i="2" s="1"/>
  <c r="AS432" i="2" s="1"/>
  <c r="AS433" i="2" s="1"/>
  <c r="AS434" i="2" s="1"/>
  <c r="AS435" i="2" s="1"/>
  <c r="AS436" i="2" s="1"/>
  <c r="AS437" i="2" s="1"/>
  <c r="AS438" i="2" s="1"/>
  <c r="AS439" i="2" s="1"/>
  <c r="AS440" i="2" s="1"/>
  <c r="AS441" i="2" s="1"/>
  <c r="AS442" i="2" s="1"/>
  <c r="AS443" i="2" s="1"/>
  <c r="AS444" i="2" s="1"/>
  <c r="AS445" i="2" s="1"/>
  <c r="AS446" i="2" s="1"/>
  <c r="AS447" i="2" s="1"/>
  <c r="AS448" i="2" s="1"/>
  <c r="AS449" i="2" s="1"/>
  <c r="AS450" i="2" s="1"/>
  <c r="AS451" i="2" s="1"/>
  <c r="AS452" i="2" s="1"/>
  <c r="AS453" i="2" s="1"/>
  <c r="AS454" i="2" s="1"/>
  <c r="AS455" i="2" s="1"/>
  <c r="AS456" i="2" s="1"/>
  <c r="AS457" i="2" s="1"/>
  <c r="AS458" i="2" s="1"/>
  <c r="AS459" i="2" s="1"/>
  <c r="AS460" i="2" s="1"/>
  <c r="AS461" i="2" s="1"/>
  <c r="AS462" i="2" s="1"/>
  <c r="AS463" i="2" s="1"/>
  <c r="AS464" i="2" s="1"/>
  <c r="AS465" i="2" s="1"/>
  <c r="AS466" i="2" s="1"/>
  <c r="AS467" i="2" s="1"/>
  <c r="AS468" i="2" s="1"/>
  <c r="AS469" i="2" s="1"/>
  <c r="AS470" i="2" s="1"/>
  <c r="AS471" i="2" s="1"/>
  <c r="AS472" i="2" s="1"/>
  <c r="AS473" i="2" s="1"/>
  <c r="AS474" i="2" s="1"/>
  <c r="AS475" i="2" s="1"/>
  <c r="AS476" i="2" s="1"/>
  <c r="AS477" i="2" s="1"/>
  <c r="AS478" i="2" s="1"/>
  <c r="AS479" i="2" s="1"/>
  <c r="AS480" i="2" s="1"/>
  <c r="AS481" i="2" s="1"/>
  <c r="AS482" i="2" s="1"/>
  <c r="AS483" i="2" s="1"/>
  <c r="AS484" i="2" s="1"/>
  <c r="AS485" i="2" s="1"/>
  <c r="AS486" i="2" s="1"/>
  <c r="AS487" i="2" s="1"/>
  <c r="AS488" i="2" s="1"/>
  <c r="AS489" i="2" s="1"/>
  <c r="AS490" i="2" s="1"/>
  <c r="AS491" i="2" s="1"/>
  <c r="AS492" i="2" s="1"/>
  <c r="AS493" i="2" s="1"/>
  <c r="AS494" i="2" s="1"/>
  <c r="AS495" i="2" s="1"/>
  <c r="AS496" i="2" s="1"/>
  <c r="AS497" i="2" s="1"/>
  <c r="AS498" i="2" s="1"/>
  <c r="AS499" i="2" s="1"/>
  <c r="AS500" i="2" s="1"/>
  <c r="AS501" i="2" s="1"/>
  <c r="AS502" i="2" s="1"/>
  <c r="AS503" i="2" s="1"/>
  <c r="AS504" i="2" s="1"/>
  <c r="AS505" i="2" s="1"/>
  <c r="AS506" i="2" s="1"/>
  <c r="AS507" i="2" s="1"/>
  <c r="AS508" i="2" s="1"/>
  <c r="AS509" i="2" s="1"/>
  <c r="AS510" i="2" s="1"/>
  <c r="AS511" i="2" s="1"/>
  <c r="AS512" i="2" s="1"/>
  <c r="AS513" i="2" s="1"/>
  <c r="AS514" i="2" s="1"/>
  <c r="AS515" i="2" s="1"/>
  <c r="AS516" i="2" s="1"/>
  <c r="AS517" i="2" s="1"/>
  <c r="AS518" i="2" s="1"/>
  <c r="AS519" i="2" s="1"/>
  <c r="AS520" i="2" s="1"/>
  <c r="AS521" i="2" s="1"/>
  <c r="AS522" i="2" s="1"/>
  <c r="AS523" i="2" s="1"/>
  <c r="AS524" i="2" s="1"/>
  <c r="AS525" i="2" s="1"/>
  <c r="AS526" i="2" s="1"/>
  <c r="AS527" i="2" s="1"/>
  <c r="AS528" i="2" s="1"/>
  <c r="AS529" i="2" s="1"/>
  <c r="AS530" i="2" s="1"/>
  <c r="AS531" i="2" s="1"/>
  <c r="AS532" i="2" s="1"/>
  <c r="AS533" i="2" s="1"/>
  <c r="AS534" i="2" s="1"/>
  <c r="AS535" i="2" s="1"/>
  <c r="AS536" i="2" s="1"/>
  <c r="AS537" i="2" s="1"/>
  <c r="AS538" i="2" s="1"/>
  <c r="AS539" i="2" s="1"/>
  <c r="AS540" i="2" s="1"/>
  <c r="AS541" i="2" s="1"/>
  <c r="AS542" i="2" s="1"/>
  <c r="AS543" i="2" s="1"/>
  <c r="AS544" i="2" s="1"/>
  <c r="AS545" i="2" s="1"/>
  <c r="AS546" i="2" s="1"/>
  <c r="AS547" i="2" s="1"/>
  <c r="AS548" i="2" s="1"/>
  <c r="AS549" i="2" s="1"/>
  <c r="AS550" i="2" s="1"/>
  <c r="AS551" i="2" s="1"/>
  <c r="AS552" i="2" s="1"/>
  <c r="AS553" i="2" s="1"/>
  <c r="AS554" i="2" s="1"/>
  <c r="AS555" i="2" s="1"/>
  <c r="AS556" i="2" s="1"/>
  <c r="AS557" i="2" s="1"/>
  <c r="AS558" i="2" s="1"/>
  <c r="AS559" i="2" s="1"/>
  <c r="AS560" i="2" s="1"/>
  <c r="AS561" i="2" s="1"/>
  <c r="AS562" i="2" s="1"/>
  <c r="AS563" i="2" s="1"/>
  <c r="AS564" i="2" s="1"/>
  <c r="AS565" i="2" s="1"/>
  <c r="AS566" i="2" s="1"/>
  <c r="AS567" i="2" s="1"/>
  <c r="AS568" i="2" s="1"/>
  <c r="AS569" i="2" s="1"/>
  <c r="AS570" i="2" s="1"/>
  <c r="AS571" i="2" s="1"/>
  <c r="AS572" i="2" s="1"/>
  <c r="AS573" i="2" s="1"/>
  <c r="AS574" i="2" s="1"/>
  <c r="AS575" i="2" s="1"/>
  <c r="AS576" i="2" s="1"/>
  <c r="AS577" i="2" s="1"/>
  <c r="AS578" i="2" s="1"/>
  <c r="AS579" i="2" s="1"/>
  <c r="AS580" i="2" s="1"/>
  <c r="AS581" i="2" s="1"/>
  <c r="AS582" i="2" s="1"/>
  <c r="AS583" i="2" s="1"/>
  <c r="AS584" i="2" s="1"/>
  <c r="AS585" i="2" s="1"/>
  <c r="AS586" i="2" s="1"/>
  <c r="AS587" i="2" s="1"/>
  <c r="AS588" i="2" s="1"/>
  <c r="AS589" i="2" s="1"/>
  <c r="AS590" i="2" s="1"/>
  <c r="AS591" i="2" s="1"/>
  <c r="AS592" i="2" s="1"/>
  <c r="AS593" i="2" s="1"/>
  <c r="AS594" i="2" s="1"/>
  <c r="AS595" i="2" s="1"/>
  <c r="AS596" i="2" s="1"/>
  <c r="AS597" i="2" s="1"/>
  <c r="AS598" i="2" s="1"/>
  <c r="AS599" i="2" s="1"/>
  <c r="AS600" i="2" s="1"/>
  <c r="AS601" i="2" s="1"/>
  <c r="AS602" i="2" s="1"/>
  <c r="AS603" i="2" s="1"/>
  <c r="AS604" i="2" s="1"/>
  <c r="AS605" i="2" s="1"/>
  <c r="AS606" i="2" s="1"/>
  <c r="AS607" i="2" s="1"/>
  <c r="AS608" i="2" s="1"/>
  <c r="AS609" i="2" s="1"/>
  <c r="AS610" i="2" s="1"/>
  <c r="AS611" i="2" s="1"/>
  <c r="AS612" i="2" s="1"/>
  <c r="AS613" i="2" s="1"/>
  <c r="AS614" i="2" s="1"/>
  <c r="AS615" i="2" s="1"/>
  <c r="AS616" i="2" s="1"/>
  <c r="AS617" i="2" s="1"/>
  <c r="AS618" i="2" s="1"/>
  <c r="AS619" i="2" s="1"/>
  <c r="AS620" i="2" s="1"/>
  <c r="AS621" i="2" s="1"/>
  <c r="AS622" i="2" s="1"/>
  <c r="AS623" i="2" s="1"/>
  <c r="AS624" i="2" s="1"/>
  <c r="AS625" i="2" s="1"/>
  <c r="AS626" i="2" s="1"/>
  <c r="AS627" i="2" s="1"/>
  <c r="AS628" i="2" s="1"/>
  <c r="AS629" i="2" s="1"/>
  <c r="AS630" i="2" s="1"/>
  <c r="AS631" i="2" s="1"/>
  <c r="AS632" i="2" s="1"/>
  <c r="AS633" i="2" s="1"/>
  <c r="AS634" i="2" s="1"/>
  <c r="AS635" i="2" s="1"/>
  <c r="AS636" i="2" s="1"/>
  <c r="AS637" i="2" s="1"/>
  <c r="AS638" i="2" s="1"/>
  <c r="AS639" i="2" s="1"/>
  <c r="AS640" i="2" s="1"/>
  <c r="AS641" i="2" s="1"/>
  <c r="AS642" i="2" s="1"/>
  <c r="AS643" i="2" s="1"/>
  <c r="AS644" i="2" s="1"/>
  <c r="AS645" i="2" s="1"/>
  <c r="AS646" i="2" s="1"/>
  <c r="AS647" i="2" s="1"/>
  <c r="AS648" i="2" s="1"/>
  <c r="AS649" i="2" s="1"/>
  <c r="AS650" i="2" s="1"/>
  <c r="AS651" i="2" s="1"/>
  <c r="AS652" i="2" s="1"/>
  <c r="AS653" i="2" s="1"/>
  <c r="AS654" i="2" s="1"/>
  <c r="AS655" i="2" s="1"/>
  <c r="AS656" i="2" s="1"/>
  <c r="AS657" i="2" s="1"/>
  <c r="AS658" i="2" s="1"/>
  <c r="AS659" i="2" s="1"/>
  <c r="AS660" i="2" s="1"/>
  <c r="AS661" i="2" s="1"/>
  <c r="AS662" i="2" s="1"/>
  <c r="AS663" i="2" s="1"/>
  <c r="AS664" i="2" s="1"/>
  <c r="AS665" i="2" s="1"/>
  <c r="AS666" i="2" s="1"/>
  <c r="AS667" i="2" s="1"/>
  <c r="AS668" i="2" s="1"/>
  <c r="AS669" i="2" s="1"/>
  <c r="AS670" i="2" s="1"/>
  <c r="AS671" i="2" s="1"/>
  <c r="AS672" i="2" s="1"/>
  <c r="AS673" i="2" s="1"/>
  <c r="AS674" i="2" s="1"/>
  <c r="AS675" i="2" s="1"/>
  <c r="AS676" i="2" s="1"/>
  <c r="AS677" i="2" s="1"/>
  <c r="AS678" i="2" s="1"/>
  <c r="AS679" i="2" s="1"/>
  <c r="AS680" i="2" s="1"/>
  <c r="AS681" i="2" s="1"/>
  <c r="AS682" i="2" s="1"/>
  <c r="AS683" i="2" s="1"/>
  <c r="AS684" i="2" s="1"/>
  <c r="AS685" i="2" s="1"/>
  <c r="AS686" i="2" s="1"/>
  <c r="AS687" i="2" s="1"/>
  <c r="AS688" i="2" s="1"/>
  <c r="AS689" i="2" s="1"/>
  <c r="AS690" i="2" s="1"/>
  <c r="AS691" i="2" s="1"/>
  <c r="AS692" i="2" s="1"/>
  <c r="AS693" i="2" s="1"/>
  <c r="AS694" i="2" s="1"/>
  <c r="AS695" i="2" s="1"/>
  <c r="AS696" i="2" s="1"/>
  <c r="AS697" i="2" s="1"/>
  <c r="AS698" i="2" s="1"/>
  <c r="AS699" i="2" s="1"/>
  <c r="AS700" i="2" s="1"/>
  <c r="AS701" i="2" s="1"/>
  <c r="AS702" i="2" s="1"/>
  <c r="AS703" i="2" s="1"/>
  <c r="AS704" i="2" s="1"/>
  <c r="AS705" i="2" s="1"/>
  <c r="AS706" i="2" s="1"/>
  <c r="AS707" i="2" s="1"/>
  <c r="AS708" i="2" s="1"/>
  <c r="AS709" i="2" s="1"/>
  <c r="AS710" i="2" s="1"/>
  <c r="AS711" i="2" s="1"/>
  <c r="AS712" i="2" s="1"/>
  <c r="AS713" i="2" s="1"/>
  <c r="AS714" i="2" s="1"/>
  <c r="AS715" i="2" s="1"/>
  <c r="AS716" i="2" s="1"/>
  <c r="AS717" i="2" s="1"/>
  <c r="AS718" i="2" s="1"/>
  <c r="AS719" i="2" s="1"/>
  <c r="AS720" i="2" s="1"/>
  <c r="AS721" i="2" s="1"/>
  <c r="AS722" i="2" s="1"/>
  <c r="AS723" i="2" s="1"/>
  <c r="AS724" i="2" s="1"/>
  <c r="AS725" i="2" s="1"/>
  <c r="AS726" i="2" s="1"/>
  <c r="AS727" i="2" s="1"/>
  <c r="AS728" i="2" s="1"/>
  <c r="AS729" i="2" s="1"/>
  <c r="AS730" i="2" s="1"/>
  <c r="AS731" i="2" s="1"/>
  <c r="AS732" i="2" s="1"/>
  <c r="AS733" i="2" s="1"/>
  <c r="AS734" i="2" s="1"/>
  <c r="AS735" i="2" s="1"/>
  <c r="AS736" i="2" s="1"/>
  <c r="AS737" i="2" s="1"/>
  <c r="D108" i="19"/>
  <c r="D6" i="32" s="1"/>
  <c r="B89" i="19"/>
  <c r="A89" i="19"/>
  <c r="M89" i="19" s="1"/>
  <c r="A39" i="19"/>
  <c r="B54" i="19"/>
  <c r="D40" i="19"/>
  <c r="B40" i="19"/>
  <c r="B41" i="19" s="1"/>
  <c r="D26" i="19"/>
  <c r="D27" i="19" s="1"/>
  <c r="B26" i="19"/>
  <c r="AS373" i="2"/>
  <c r="AS374" i="2" s="1"/>
  <c r="AS375" i="2" s="1"/>
  <c r="AS376" i="2" s="1"/>
  <c r="AS377" i="2" s="1"/>
  <c r="AS378" i="2" s="1"/>
  <c r="AS379" i="2" s="1"/>
  <c r="AS380" i="2" s="1"/>
  <c r="AS381" i="2" s="1"/>
  <c r="AS382" i="2" s="1"/>
  <c r="AS383" i="2" s="1"/>
  <c r="AS384" i="2" s="1"/>
  <c r="AS385" i="2" s="1"/>
  <c r="AS386" i="2" s="1"/>
  <c r="AS387" i="2" s="1"/>
  <c r="AS388" i="2" s="1"/>
  <c r="AS389" i="2" s="1"/>
  <c r="AS390" i="2" s="1"/>
  <c r="AS391" i="2" s="1"/>
  <c r="AS392" i="2" s="1"/>
  <c r="AS393" i="2" s="1"/>
  <c r="AS394" i="2" s="1"/>
  <c r="AS395" i="2" s="1"/>
  <c r="AS396" i="2" s="1"/>
  <c r="AS397" i="2" s="1"/>
  <c r="AS398" i="2" s="1"/>
  <c r="AS399" i="2" s="1"/>
  <c r="AS400" i="2" s="1"/>
  <c r="AS401" i="2" s="1"/>
  <c r="AS402" i="2" s="1"/>
  <c r="AS403" i="2" s="1"/>
  <c r="AS404" i="2" s="1"/>
  <c r="B6" i="32" l="1"/>
  <c r="A6" i="32"/>
  <c r="M39" i="19"/>
  <c r="K39" i="19"/>
  <c r="K51" i="19" s="1"/>
  <c r="D109" i="19"/>
  <c r="D7" i="32" s="1"/>
  <c r="B42" i="19"/>
  <c r="I41" i="19"/>
  <c r="J41" i="19"/>
  <c r="A40" i="19"/>
  <c r="D41" i="19"/>
  <c r="B27" i="19"/>
  <c r="J26" i="19"/>
  <c r="I26" i="19"/>
  <c r="A27" i="19"/>
  <c r="D28" i="19"/>
  <c r="J40" i="19"/>
  <c r="I40" i="19"/>
  <c r="O5" i="2"/>
  <c r="P5" i="2" s="1"/>
  <c r="J5" i="2"/>
  <c r="K5" i="2" s="1"/>
  <c r="D53" i="19"/>
  <c r="B7" i="32" l="1"/>
  <c r="A7" i="32"/>
  <c r="M40" i="19"/>
  <c r="K40" i="19"/>
  <c r="K27" i="19"/>
  <c r="M27" i="19"/>
  <c r="D110" i="19"/>
  <c r="D8" i="32" s="1"/>
  <c r="A41" i="19"/>
  <c r="D42" i="19"/>
  <c r="B43" i="19"/>
  <c r="I42" i="19"/>
  <c r="J42" i="19"/>
  <c r="D29" i="19"/>
  <c r="A28" i="19"/>
  <c r="B28" i="19"/>
  <c r="J27" i="19"/>
  <c r="I27" i="19"/>
  <c r="A53" i="19"/>
  <c r="D54" i="19"/>
  <c r="R5" i="2"/>
  <c r="Q5" i="2"/>
  <c r="P758" i="11"/>
  <c r="P759" i="11" s="1"/>
  <c r="P760" i="11" s="1"/>
  <c r="P761" i="11" s="1"/>
  <c r="P762" i="11" s="1"/>
  <c r="P763" i="11" s="1"/>
  <c r="P764" i="11" s="1"/>
  <c r="P765" i="11" s="1"/>
  <c r="P766" i="11" s="1"/>
  <c r="Q758" i="11"/>
  <c r="Q759" i="11" s="1"/>
  <c r="Q760" i="11" s="1"/>
  <c r="Q761" i="11" s="1"/>
  <c r="Q762" i="11" s="1"/>
  <c r="Q763" i="11" s="1"/>
  <c r="Q764" i="11" s="1"/>
  <c r="Q765" i="11" s="1"/>
  <c r="Q766" i="11" s="1"/>
  <c r="R758" i="11"/>
  <c r="R759" i="11" s="1"/>
  <c r="R760" i="11" s="1"/>
  <c r="R761" i="11" s="1"/>
  <c r="R762" i="11" s="1"/>
  <c r="R763" i="11" s="1"/>
  <c r="R764" i="11" s="1"/>
  <c r="R765" i="11" s="1"/>
  <c r="R766" i="11" s="1"/>
  <c r="P736" i="11"/>
  <c r="P737" i="11" s="1"/>
  <c r="Q736" i="11"/>
  <c r="Q737" i="11" s="1"/>
  <c r="R736" i="11"/>
  <c r="R737" i="11" s="1"/>
  <c r="U736" i="11"/>
  <c r="X736" i="11"/>
  <c r="U737" i="11" s="1"/>
  <c r="X737" i="11" s="1"/>
  <c r="U738" i="11" s="1"/>
  <c r="X738" i="11" s="1"/>
  <c r="U739" i="11" s="1"/>
  <c r="X739" i="11" s="1"/>
  <c r="U740" i="11" s="1"/>
  <c r="X740" i="11" s="1"/>
  <c r="U741" i="11" s="1"/>
  <c r="X741" i="11" s="1"/>
  <c r="U742" i="11" s="1"/>
  <c r="X742" i="11" s="1"/>
  <c r="U743" i="11" s="1"/>
  <c r="X743" i="11" s="1"/>
  <c r="U744" i="11" s="1"/>
  <c r="X744" i="11" s="1"/>
  <c r="U745" i="11" s="1"/>
  <c r="X745" i="11" s="1"/>
  <c r="U746" i="11" s="1"/>
  <c r="X746" i="11" s="1"/>
  <c r="U747" i="11" s="1"/>
  <c r="X747" i="11" s="1"/>
  <c r="U748" i="11" s="1"/>
  <c r="X748" i="11" s="1"/>
  <c r="U749" i="11" s="1"/>
  <c r="X749" i="11" s="1"/>
  <c r="U750" i="11" s="1"/>
  <c r="X750" i="11" s="1"/>
  <c r="U751" i="11" s="1"/>
  <c r="X751" i="11" s="1"/>
  <c r="U752" i="11" s="1"/>
  <c r="X752" i="11" s="1"/>
  <c r="U753" i="11" s="1"/>
  <c r="X753" i="11" s="1"/>
  <c r="U754" i="11" s="1"/>
  <c r="X754" i="11" s="1"/>
  <c r="U755" i="11" s="1"/>
  <c r="X755" i="11" s="1"/>
  <c r="U756" i="11" s="1"/>
  <c r="X756" i="11" s="1"/>
  <c r="U757" i="11" s="1"/>
  <c r="X757" i="11" s="1"/>
  <c r="U758" i="11" s="1"/>
  <c r="X758" i="11" s="1"/>
  <c r="U759" i="11" s="1"/>
  <c r="X759" i="11" s="1"/>
  <c r="U760" i="11" s="1"/>
  <c r="X760" i="11" s="1"/>
  <c r="U761" i="11" s="1"/>
  <c r="X761" i="11" s="1"/>
  <c r="U762" i="11" s="1"/>
  <c r="X762" i="11" s="1"/>
  <c r="U763" i="11" s="1"/>
  <c r="X763" i="11" s="1"/>
  <c r="U764" i="11" s="1"/>
  <c r="X764" i="11" s="1"/>
  <c r="U765" i="11" s="1"/>
  <c r="X765" i="11" s="1"/>
  <c r="U766" i="11" s="1"/>
  <c r="X766" i="11" s="1"/>
  <c r="Y736" i="11"/>
  <c r="Y737" i="11" s="1"/>
  <c r="Y738" i="11" s="1"/>
  <c r="Y739" i="11" s="1"/>
  <c r="Y740" i="11" s="1"/>
  <c r="Y741" i="11" s="1"/>
  <c r="Y742" i="11" s="1"/>
  <c r="Y743" i="11" s="1"/>
  <c r="Y744" i="11" s="1"/>
  <c r="Y745" i="11" s="1"/>
  <c r="Y746" i="11" s="1"/>
  <c r="Y747" i="11" s="1"/>
  <c r="Y748" i="11" s="1"/>
  <c r="Y749" i="11" s="1"/>
  <c r="Y750" i="11" s="1"/>
  <c r="Y751" i="11" s="1"/>
  <c r="Y752" i="11" s="1"/>
  <c r="Y753" i="11" s="1"/>
  <c r="Y754" i="11" s="1"/>
  <c r="Y755" i="11" s="1"/>
  <c r="Y756" i="11" s="1"/>
  <c r="Y757" i="11" s="1"/>
  <c r="Y758" i="11" s="1"/>
  <c r="Y759" i="11" s="1"/>
  <c r="Y760" i="11" s="1"/>
  <c r="Y761" i="11" s="1"/>
  <c r="Y762" i="11" s="1"/>
  <c r="Y763" i="11" s="1"/>
  <c r="Y764" i="11" s="1"/>
  <c r="Y765" i="11" s="1"/>
  <c r="Y766" i="11" s="1"/>
  <c r="P738" i="11"/>
  <c r="P739" i="11" s="1"/>
  <c r="P740" i="11" s="1"/>
  <c r="P741" i="11" s="1"/>
  <c r="P742" i="11" s="1"/>
  <c r="P743" i="11" s="1"/>
  <c r="P744" i="11" s="1"/>
  <c r="P745" i="11" s="1"/>
  <c r="P746" i="11" s="1"/>
  <c r="P747" i="11" s="1"/>
  <c r="P748" i="11" s="1"/>
  <c r="P749" i="11" s="1"/>
  <c r="P750" i="11" s="1"/>
  <c r="P751" i="11" s="1"/>
  <c r="P752" i="11" s="1"/>
  <c r="P753" i="11" s="1"/>
  <c r="P754" i="11" s="1"/>
  <c r="P755" i="11" s="1"/>
  <c r="P756" i="11" s="1"/>
  <c r="P757" i="11" s="1"/>
  <c r="Q738" i="11"/>
  <c r="Q739" i="11" s="1"/>
  <c r="Q740" i="11" s="1"/>
  <c r="Q741" i="11" s="1"/>
  <c r="Q742" i="11" s="1"/>
  <c r="Q743" i="11" s="1"/>
  <c r="Q744" i="11" s="1"/>
  <c r="Q745" i="11" s="1"/>
  <c r="Q746" i="11" s="1"/>
  <c r="Q747" i="11" s="1"/>
  <c r="Q748" i="11" s="1"/>
  <c r="Q749" i="11" s="1"/>
  <c r="Q750" i="11" s="1"/>
  <c r="Q751" i="11" s="1"/>
  <c r="Q752" i="11" s="1"/>
  <c r="Q753" i="11" s="1"/>
  <c r="Q754" i="11" s="1"/>
  <c r="Q755" i="11" s="1"/>
  <c r="Q756" i="11" s="1"/>
  <c r="Q757" i="11" s="1"/>
  <c r="R738" i="11"/>
  <c r="R739" i="11" s="1"/>
  <c r="R740" i="11" s="1"/>
  <c r="R741" i="11" s="1"/>
  <c r="R742" i="11" s="1"/>
  <c r="R743" i="11" s="1"/>
  <c r="R744" i="11" s="1"/>
  <c r="R745" i="11" s="1"/>
  <c r="R746" i="11" s="1"/>
  <c r="R747" i="11" s="1"/>
  <c r="R748" i="11" s="1"/>
  <c r="R749" i="11" s="1"/>
  <c r="R750" i="11" s="1"/>
  <c r="R751" i="11" s="1"/>
  <c r="R752" i="11" s="1"/>
  <c r="R753" i="11" s="1"/>
  <c r="R754" i="11" s="1"/>
  <c r="R755" i="11" s="1"/>
  <c r="R756" i="11" s="1"/>
  <c r="R757" i="11" s="1"/>
  <c r="F733" i="11"/>
  <c r="B8" i="32" l="1"/>
  <c r="A8" i="32"/>
  <c r="K41" i="19"/>
  <c r="M41" i="19"/>
  <c r="K28" i="19"/>
  <c r="M28" i="19"/>
  <c r="D111" i="19"/>
  <c r="D9" i="32" s="1"/>
  <c r="B44" i="19"/>
  <c r="I43" i="19"/>
  <c r="J43" i="19"/>
  <c r="A42" i="19"/>
  <c r="D43" i="19"/>
  <c r="B29" i="19"/>
  <c r="J28" i="19"/>
  <c r="I28" i="19"/>
  <c r="A29" i="19"/>
  <c r="D30" i="19"/>
  <c r="B9" i="32" l="1"/>
  <c r="A9" i="32"/>
  <c r="K42" i="19"/>
  <c r="M42" i="19"/>
  <c r="M29" i="19"/>
  <c r="K29" i="19"/>
  <c r="D112" i="19"/>
  <c r="D10" i="32" s="1"/>
  <c r="A43" i="19"/>
  <c r="D44" i="19"/>
  <c r="B45" i="19"/>
  <c r="J44" i="19"/>
  <c r="I44" i="19"/>
  <c r="B30" i="19"/>
  <c r="J29" i="19"/>
  <c r="I29" i="19"/>
  <c r="D31" i="19"/>
  <c r="A30" i="19"/>
  <c r="B10" i="32" l="1"/>
  <c r="A10" i="32"/>
  <c r="M43" i="19"/>
  <c r="K43" i="19"/>
  <c r="M30" i="19"/>
  <c r="K30" i="19"/>
  <c r="D113" i="19"/>
  <c r="D11" i="32" s="1"/>
  <c r="B46" i="19"/>
  <c r="J45" i="19"/>
  <c r="I45" i="19"/>
  <c r="D45" i="19"/>
  <c r="A44" i="19"/>
  <c r="A31" i="19"/>
  <c r="D32" i="19"/>
  <c r="B31" i="19"/>
  <c r="J30" i="19"/>
  <c r="I30" i="19"/>
  <c r="C723" i="11"/>
  <c r="O373" i="2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A11" i="32" l="1"/>
  <c r="B11" i="32"/>
  <c r="K31" i="19"/>
  <c r="M31" i="19"/>
  <c r="M44" i="19"/>
  <c r="K44" i="19"/>
  <c r="D114" i="19"/>
  <c r="D12" i="32" s="1"/>
  <c r="D46" i="19"/>
  <c r="A45" i="19"/>
  <c r="B47" i="19"/>
  <c r="I46" i="19"/>
  <c r="J46" i="19"/>
  <c r="B32" i="19"/>
  <c r="I31" i="19"/>
  <c r="J31" i="19"/>
  <c r="D33" i="19"/>
  <c r="A32" i="19"/>
  <c r="B12" i="32" l="1"/>
  <c r="A12" i="32"/>
  <c r="M32" i="19"/>
  <c r="K32" i="19"/>
  <c r="M45" i="19"/>
  <c r="K45" i="19"/>
  <c r="D115" i="19"/>
  <c r="D13" i="32" s="1"/>
  <c r="B48" i="19"/>
  <c r="J47" i="19"/>
  <c r="I47" i="19"/>
  <c r="D47" i="19"/>
  <c r="A46" i="19"/>
  <c r="A33" i="19"/>
  <c r="D34" i="19"/>
  <c r="B33" i="19"/>
  <c r="J32" i="19"/>
  <c r="I32" i="19"/>
  <c r="L39" i="20"/>
  <c r="L35" i="20"/>
  <c r="L31" i="20"/>
  <c r="L27" i="20"/>
  <c r="B13" i="32" l="1"/>
  <c r="A13" i="32"/>
  <c r="M46" i="19"/>
  <c r="K46" i="19"/>
  <c r="M33" i="19"/>
  <c r="K33" i="19"/>
  <c r="D116" i="19"/>
  <c r="D14" i="32" s="1"/>
  <c r="B49" i="19"/>
  <c r="I48" i="19"/>
  <c r="J48" i="19"/>
  <c r="D48" i="19"/>
  <c r="A47" i="19"/>
  <c r="B34" i="19"/>
  <c r="J33" i="19"/>
  <c r="I33" i="19"/>
  <c r="A34" i="19"/>
  <c r="D35" i="19"/>
  <c r="L55" i="19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Y345" i="5"/>
  <c r="AY346" i="5"/>
  <c r="AY347" i="5"/>
  <c r="AY348" i="5"/>
  <c r="AY349" i="5"/>
  <c r="AY350" i="5"/>
  <c r="AY6" i="5"/>
  <c r="AY5" i="5"/>
  <c r="B14" i="32" l="1"/>
  <c r="A14" i="32"/>
  <c r="M47" i="19"/>
  <c r="K47" i="19"/>
  <c r="M34" i="19"/>
  <c r="K34" i="19"/>
  <c r="D117" i="19"/>
  <c r="D15" i="32" s="1"/>
  <c r="A48" i="19"/>
  <c r="D49" i="19"/>
  <c r="B50" i="19"/>
  <c r="J49" i="19"/>
  <c r="I49" i="19"/>
  <c r="A35" i="19"/>
  <c r="D36" i="19"/>
  <c r="A36" i="19" s="1"/>
  <c r="B35" i="19"/>
  <c r="J34" i="19"/>
  <c r="I34" i="19"/>
  <c r="BA350" i="5"/>
  <c r="AW351" i="5"/>
  <c r="B15" i="32" l="1"/>
  <c r="A15" i="32"/>
  <c r="K48" i="19"/>
  <c r="M48" i="19"/>
  <c r="K36" i="19"/>
  <c r="M36" i="19"/>
  <c r="K35" i="19"/>
  <c r="M35" i="19"/>
  <c r="AY351" i="5"/>
  <c r="AW352" i="5"/>
  <c r="D118" i="19"/>
  <c r="D16" i="32" s="1"/>
  <c r="J50" i="19"/>
  <c r="I50" i="19"/>
  <c r="D50" i="19"/>
  <c r="A49" i="19"/>
  <c r="B36" i="19"/>
  <c r="J35" i="19"/>
  <c r="I35" i="19"/>
  <c r="A16" i="32" l="1"/>
  <c r="B16" i="32"/>
  <c r="K49" i="19"/>
  <c r="M49" i="19"/>
  <c r="AY352" i="5"/>
  <c r="AW353" i="5"/>
  <c r="A50" i="19"/>
  <c r="J36" i="19"/>
  <c r="I36" i="19"/>
  <c r="Z374" i="26"/>
  <c r="Z373" i="26"/>
  <c r="Z375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K50" i="19" l="1"/>
  <c r="M50" i="19"/>
  <c r="AW354" i="5"/>
  <c r="AY353" i="5"/>
  <c r="E712" i="11"/>
  <c r="F712" i="11"/>
  <c r="AW355" i="5" l="1"/>
  <c r="AY354" i="5"/>
  <c r="AD340" i="29"/>
  <c r="BR340" i="5" s="1"/>
  <c r="W340" i="29"/>
  <c r="BM340" i="5" s="1"/>
  <c r="N340" i="29"/>
  <c r="N341" i="29" s="1"/>
  <c r="W341" i="29" l="1"/>
  <c r="N342" i="29"/>
  <c r="BH341" i="5"/>
  <c r="W342" i="29"/>
  <c r="BM341" i="5"/>
  <c r="AD341" i="29"/>
  <c r="AW356" i="5"/>
  <c r="AY355" i="5"/>
  <c r="W343" i="29" l="1"/>
  <c r="BM342" i="5"/>
  <c r="AD342" i="29"/>
  <c r="BR341" i="5"/>
  <c r="N343" i="29"/>
  <c r="BH342" i="5"/>
  <c r="AW357" i="5"/>
  <c r="AY356" i="5"/>
  <c r="N344" i="29" l="1"/>
  <c r="BH343" i="5"/>
  <c r="AD343" i="29"/>
  <c r="BR342" i="5"/>
  <c r="W344" i="29"/>
  <c r="BM343" i="5"/>
  <c r="AW358" i="5"/>
  <c r="AY357" i="5"/>
  <c r="AD344" i="29" l="1"/>
  <c r="BR343" i="5"/>
  <c r="W345" i="29"/>
  <c r="BM344" i="5"/>
  <c r="N345" i="29"/>
  <c r="BH344" i="5"/>
  <c r="AW359" i="5"/>
  <c r="AY358" i="5"/>
  <c r="AD345" i="29" l="1"/>
  <c r="BR344" i="5"/>
  <c r="N346" i="29"/>
  <c r="BH345" i="5"/>
  <c r="W346" i="29"/>
  <c r="BM345" i="5"/>
  <c r="AW360" i="5"/>
  <c r="AY359" i="5"/>
  <c r="N347" i="29" l="1"/>
  <c r="BH346" i="5"/>
  <c r="AD346" i="29"/>
  <c r="BR345" i="5"/>
  <c r="W347" i="29"/>
  <c r="BM346" i="5"/>
  <c r="AW361" i="5"/>
  <c r="AY360" i="5"/>
  <c r="W348" i="29" l="1"/>
  <c r="BM347" i="5"/>
  <c r="AD347" i="29"/>
  <c r="BR346" i="5"/>
  <c r="N348" i="29"/>
  <c r="BH347" i="5"/>
  <c r="AW362" i="5"/>
  <c r="AY361" i="5"/>
  <c r="AD348" i="29" l="1"/>
  <c r="BR347" i="5"/>
  <c r="N349" i="29"/>
  <c r="BH348" i="5"/>
  <c r="W349" i="29"/>
  <c r="BM348" i="5"/>
  <c r="AW363" i="5"/>
  <c r="AY362" i="5"/>
  <c r="W350" i="29" l="1"/>
  <c r="BM349" i="5"/>
  <c r="N350" i="29"/>
  <c r="BH349" i="5"/>
  <c r="AD349" i="29"/>
  <c r="BR348" i="5"/>
  <c r="AW364" i="5"/>
  <c r="AY363" i="5"/>
  <c r="N351" i="29" l="1"/>
  <c r="BH350" i="5"/>
  <c r="AD350" i="29"/>
  <c r="BR349" i="5"/>
  <c r="W351" i="29"/>
  <c r="BM350" i="5"/>
  <c r="AW365" i="5"/>
  <c r="AY364" i="5"/>
  <c r="AD351" i="29" l="1"/>
  <c r="BR350" i="5"/>
  <c r="W352" i="29"/>
  <c r="BM351" i="5"/>
  <c r="N352" i="29"/>
  <c r="BH351" i="5"/>
  <c r="AW366" i="5"/>
  <c r="AY365" i="5"/>
  <c r="N353" i="29" l="1"/>
  <c r="BH352" i="5"/>
  <c r="W353" i="29"/>
  <c r="BM352" i="5"/>
  <c r="AD352" i="29"/>
  <c r="BR351" i="5"/>
  <c r="AW367" i="5"/>
  <c r="AY366" i="5"/>
  <c r="AD353" i="29" l="1"/>
  <c r="BR352" i="5"/>
  <c r="W354" i="29"/>
  <c r="BM353" i="5"/>
  <c r="N354" i="29"/>
  <c r="BH353" i="5"/>
  <c r="AW368" i="5"/>
  <c r="AY367" i="5"/>
  <c r="N355" i="29" l="1"/>
  <c r="BH354" i="5"/>
  <c r="W355" i="29"/>
  <c r="BM354" i="5"/>
  <c r="AD354" i="29"/>
  <c r="BR353" i="5"/>
  <c r="AW369" i="5"/>
  <c r="AY368" i="5"/>
  <c r="AD355" i="29" l="1"/>
  <c r="BR354" i="5"/>
  <c r="W356" i="29"/>
  <c r="BM355" i="5"/>
  <c r="N356" i="29"/>
  <c r="BH355" i="5"/>
  <c r="AY369" i="5"/>
  <c r="AW373" i="5"/>
  <c r="W357" i="29" l="1"/>
  <c r="BM356" i="5"/>
  <c r="N357" i="29"/>
  <c r="BH356" i="5"/>
  <c r="AD356" i="29"/>
  <c r="BR355" i="5"/>
  <c r="AY373" i="5"/>
  <c r="AD357" i="29" l="1"/>
  <c r="BR356" i="5"/>
  <c r="N358" i="29"/>
  <c r="BH357" i="5"/>
  <c r="W358" i="29"/>
  <c r="BM357" i="5"/>
  <c r="V359" i="24"/>
  <c r="T278" i="24"/>
  <c r="W359" i="24" s="1"/>
  <c r="W359" i="29" l="1"/>
  <c r="BM358" i="5"/>
  <c r="N359" i="29"/>
  <c r="BH358" i="5"/>
  <c r="AD358" i="29"/>
  <c r="BR357" i="5"/>
  <c r="U278" i="24"/>
  <c r="X359" i="24"/>
  <c r="W360" i="29" l="1"/>
  <c r="BM359" i="5"/>
  <c r="AD359" i="29"/>
  <c r="BR358" i="5"/>
  <c r="N360" i="29"/>
  <c r="BH359" i="5"/>
  <c r="M358" i="25"/>
  <c r="N361" i="29" l="1"/>
  <c r="BH360" i="5"/>
  <c r="AD360" i="29"/>
  <c r="BR359" i="5"/>
  <c r="W361" i="29"/>
  <c r="BM360" i="5"/>
  <c r="W362" i="29" l="1"/>
  <c r="BM361" i="5"/>
  <c r="AD361" i="29"/>
  <c r="BR360" i="5"/>
  <c r="N362" i="29"/>
  <c r="BH361" i="5"/>
  <c r="N363" i="29" l="1"/>
  <c r="BH362" i="5"/>
  <c r="AD362" i="29"/>
  <c r="BR361" i="5"/>
  <c r="W363" i="29"/>
  <c r="BM362" i="5"/>
  <c r="AQ404" i="5"/>
  <c r="AP404" i="5"/>
  <c r="AO404" i="5"/>
  <c r="AN404" i="5"/>
  <c r="AD363" i="29" l="1"/>
  <c r="BR362" i="5"/>
  <c r="W364" i="29"/>
  <c r="BM363" i="5"/>
  <c r="N364" i="29"/>
  <c r="BH363" i="5"/>
  <c r="H29" i="23"/>
  <c r="G28" i="23"/>
  <c r="H28" i="23" s="1"/>
  <c r="G27" i="23"/>
  <c r="H27" i="23" s="1"/>
  <c r="G26" i="23"/>
  <c r="H26" i="23" s="1"/>
  <c r="H30" i="23" s="1"/>
  <c r="W365" i="29" l="1"/>
  <c r="BM364" i="5"/>
  <c r="N365" i="29"/>
  <c r="BH364" i="5"/>
  <c r="AD364" i="29"/>
  <c r="BR363" i="5"/>
  <c r="G30" i="23"/>
  <c r="F30" i="23" s="1"/>
  <c r="AD365" i="29" l="1"/>
  <c r="BR364" i="5"/>
  <c r="N366" i="29"/>
  <c r="BH365" i="5"/>
  <c r="W366" i="29"/>
  <c r="BM365" i="5"/>
  <c r="B30" i="20"/>
  <c r="G30" i="20"/>
  <c r="G34" i="20" s="1"/>
  <c r="G38" i="20" s="1"/>
  <c r="D26" i="20"/>
  <c r="A26" i="20" s="1"/>
  <c r="K26" i="20" s="1"/>
  <c r="M26" i="20" l="1"/>
  <c r="B34" i="20"/>
  <c r="B38" i="20" s="1"/>
  <c r="J30" i="20"/>
  <c r="I30" i="20"/>
  <c r="N367" i="29"/>
  <c r="BH366" i="5"/>
  <c r="W367" i="29"/>
  <c r="BM366" i="5"/>
  <c r="AD366" i="29"/>
  <c r="BR365" i="5"/>
  <c r="D30" i="20"/>
  <c r="J38" i="20" l="1"/>
  <c r="I38" i="20"/>
  <c r="J34" i="20"/>
  <c r="I34" i="20"/>
  <c r="AD367" i="29"/>
  <c r="BR366" i="5"/>
  <c r="W368" i="29"/>
  <c r="BM367" i="5"/>
  <c r="N368" i="29"/>
  <c r="BH367" i="5"/>
  <c r="D34" i="20"/>
  <c r="A30" i="20"/>
  <c r="K30" i="20" s="1"/>
  <c r="M30" i="20" l="1"/>
  <c r="N369" i="29"/>
  <c r="BH368" i="5"/>
  <c r="W369" i="29"/>
  <c r="BM368" i="5"/>
  <c r="AD368" i="29"/>
  <c r="BR367" i="5"/>
  <c r="D38" i="20"/>
  <c r="A38" i="20" s="1"/>
  <c r="K38" i="20" s="1"/>
  <c r="A34" i="20"/>
  <c r="K34" i="20" s="1"/>
  <c r="M34" i="20" l="1"/>
  <c r="M38" i="20"/>
  <c r="AD369" i="29"/>
  <c r="AD373" i="29" s="1"/>
  <c r="BR368" i="5"/>
  <c r="W373" i="29"/>
  <c r="W374" i="29" s="1"/>
  <c r="BM369" i="5"/>
  <c r="N373" i="29"/>
  <c r="N374" i="29" s="1"/>
  <c r="BH369" i="5"/>
  <c r="AQ403" i="5"/>
  <c r="AP403" i="5"/>
  <c r="AO403" i="5"/>
  <c r="AN403" i="5"/>
  <c r="AQ402" i="5"/>
  <c r="AP402" i="5"/>
  <c r="AO402" i="5"/>
  <c r="AN402" i="5"/>
  <c r="AQ401" i="5"/>
  <c r="AP401" i="5"/>
  <c r="AO401" i="5"/>
  <c r="AN401" i="5"/>
  <c r="AQ400" i="5"/>
  <c r="AP400" i="5"/>
  <c r="AO400" i="5"/>
  <c r="AN400" i="5"/>
  <c r="AQ399" i="5"/>
  <c r="AP399" i="5"/>
  <c r="AO399" i="5"/>
  <c r="AN399" i="5"/>
  <c r="AQ398" i="5"/>
  <c r="AP398" i="5"/>
  <c r="AO398" i="5"/>
  <c r="AN398" i="5"/>
  <c r="AQ397" i="5"/>
  <c r="AP397" i="5"/>
  <c r="AO397" i="5"/>
  <c r="AN397" i="5"/>
  <c r="AQ396" i="5"/>
  <c r="AP396" i="5"/>
  <c r="AO396" i="5"/>
  <c r="AN396" i="5"/>
  <c r="AQ395" i="5"/>
  <c r="AP395" i="5"/>
  <c r="AO395" i="5"/>
  <c r="AN395" i="5"/>
  <c r="AQ394" i="5"/>
  <c r="AP394" i="5"/>
  <c r="AO394" i="5"/>
  <c r="AN394" i="5"/>
  <c r="AQ393" i="5"/>
  <c r="AP393" i="5"/>
  <c r="AO393" i="5"/>
  <c r="AN393" i="5"/>
  <c r="AQ392" i="5"/>
  <c r="AP392" i="5"/>
  <c r="AO392" i="5"/>
  <c r="AN392" i="5"/>
  <c r="AQ391" i="5"/>
  <c r="AP391" i="5"/>
  <c r="AO391" i="5"/>
  <c r="AN391" i="5"/>
  <c r="AQ390" i="5"/>
  <c r="AP390" i="5"/>
  <c r="AO390" i="5"/>
  <c r="AN390" i="5"/>
  <c r="AQ389" i="5"/>
  <c r="AP389" i="5"/>
  <c r="AO389" i="5"/>
  <c r="AN389" i="5"/>
  <c r="AQ388" i="5"/>
  <c r="AP388" i="5"/>
  <c r="AO388" i="5"/>
  <c r="AN388" i="5"/>
  <c r="AQ387" i="5"/>
  <c r="AP387" i="5"/>
  <c r="AO387" i="5"/>
  <c r="AN387" i="5"/>
  <c r="AQ386" i="5"/>
  <c r="AP386" i="5"/>
  <c r="AO386" i="5"/>
  <c r="AN386" i="5"/>
  <c r="BX385" i="5"/>
  <c r="BX386" i="5" s="1"/>
  <c r="BX387" i="5" s="1"/>
  <c r="BX388" i="5" s="1"/>
  <c r="BX389" i="5" s="1"/>
  <c r="BX390" i="5" s="1"/>
  <c r="BX391" i="5" s="1"/>
  <c r="BX392" i="5" s="1"/>
  <c r="BX393" i="5" s="1"/>
  <c r="BX394" i="5" s="1"/>
  <c r="BX395" i="5" s="1"/>
  <c r="BX396" i="5" s="1"/>
  <c r="BX397" i="5" s="1"/>
  <c r="BX398" i="5" s="1"/>
  <c r="BX399" i="5" s="1"/>
  <c r="BX400" i="5" s="1"/>
  <c r="BX401" i="5" s="1"/>
  <c r="BX402" i="5" s="1"/>
  <c r="BX403" i="5" s="1"/>
  <c r="BX404" i="5" s="1"/>
  <c r="BX405" i="5" s="1"/>
  <c r="BX406" i="5" s="1"/>
  <c r="BX407" i="5" s="1"/>
  <c r="BX408" i="5" s="1"/>
  <c r="BX409" i="5" s="1"/>
  <c r="BX410" i="5" s="1"/>
  <c r="BX411" i="5" s="1"/>
  <c r="BX412" i="5" s="1"/>
  <c r="BX413" i="5" s="1"/>
  <c r="BX414" i="5" s="1"/>
  <c r="BX415" i="5" s="1"/>
  <c r="BX416" i="5" s="1"/>
  <c r="BX417" i="5" s="1"/>
  <c r="BX418" i="5" s="1"/>
  <c r="BX419" i="5" s="1"/>
  <c r="BX420" i="5" s="1"/>
  <c r="BX421" i="5" s="1"/>
  <c r="BX422" i="5" s="1"/>
  <c r="BX423" i="5" s="1"/>
  <c r="BX424" i="5" s="1"/>
  <c r="BX425" i="5" s="1"/>
  <c r="BX426" i="5" s="1"/>
  <c r="BX427" i="5" s="1"/>
  <c r="BX428" i="5" s="1"/>
  <c r="BX429" i="5" s="1"/>
  <c r="BX430" i="5" s="1"/>
  <c r="BX431" i="5" s="1"/>
  <c r="BX432" i="5" s="1"/>
  <c r="BX433" i="5" s="1"/>
  <c r="BX434" i="5" s="1"/>
  <c r="BX435" i="5" s="1"/>
  <c r="BX436" i="5" s="1"/>
  <c r="BX437" i="5" s="1"/>
  <c r="BX438" i="5" s="1"/>
  <c r="BX439" i="5" s="1"/>
  <c r="BX440" i="5" s="1"/>
  <c r="BX441" i="5" s="1"/>
  <c r="BX442" i="5" s="1"/>
  <c r="BX443" i="5" s="1"/>
  <c r="BX444" i="5" s="1"/>
  <c r="BX445" i="5" s="1"/>
  <c r="BX446" i="5" s="1"/>
  <c r="BX447" i="5" s="1"/>
  <c r="BX448" i="5" s="1"/>
  <c r="BX449" i="5" s="1"/>
  <c r="BX450" i="5" s="1"/>
  <c r="BX451" i="5" s="1"/>
  <c r="BX452" i="5" s="1"/>
  <c r="BX453" i="5" s="1"/>
  <c r="BX454" i="5" s="1"/>
  <c r="BX455" i="5" s="1"/>
  <c r="BX456" i="5" s="1"/>
  <c r="BX457" i="5" s="1"/>
  <c r="BX458" i="5" s="1"/>
  <c r="BX459" i="5" s="1"/>
  <c r="BX460" i="5" s="1"/>
  <c r="BX461" i="5" s="1"/>
  <c r="BX462" i="5" s="1"/>
  <c r="BX463" i="5" s="1"/>
  <c r="BX464" i="5" s="1"/>
  <c r="BX465" i="5" s="1"/>
  <c r="BX466" i="5" s="1"/>
  <c r="BX467" i="5" s="1"/>
  <c r="BX468" i="5" s="1"/>
  <c r="BX469" i="5" s="1"/>
  <c r="BX470" i="5" s="1"/>
  <c r="BX471" i="5" s="1"/>
  <c r="BX472" i="5" s="1"/>
  <c r="BX473" i="5" s="1"/>
  <c r="BX474" i="5" s="1"/>
  <c r="BX475" i="5" s="1"/>
  <c r="BX476" i="5" s="1"/>
  <c r="BX477" i="5" s="1"/>
  <c r="BX478" i="5" s="1"/>
  <c r="BX479" i="5" s="1"/>
  <c r="BX480" i="5" s="1"/>
  <c r="BX481" i="5" s="1"/>
  <c r="BX482" i="5" s="1"/>
  <c r="BX483" i="5" s="1"/>
  <c r="BX484" i="5" s="1"/>
  <c r="BX485" i="5" s="1"/>
  <c r="BX486" i="5" s="1"/>
  <c r="BX487" i="5" s="1"/>
  <c r="BX488" i="5" s="1"/>
  <c r="BX489" i="5" s="1"/>
  <c r="BX490" i="5" s="1"/>
  <c r="BX491" i="5" s="1"/>
  <c r="BX492" i="5" s="1"/>
  <c r="BX493" i="5" s="1"/>
  <c r="BX494" i="5" s="1"/>
  <c r="BX495" i="5" s="1"/>
  <c r="BX496" i="5" s="1"/>
  <c r="BX497" i="5" s="1"/>
  <c r="BX498" i="5" s="1"/>
  <c r="BX499" i="5" s="1"/>
  <c r="BX500" i="5" s="1"/>
  <c r="BX501" i="5" s="1"/>
  <c r="BX502" i="5" s="1"/>
  <c r="BX503" i="5" s="1"/>
  <c r="BX504" i="5" s="1"/>
  <c r="BX505" i="5" s="1"/>
  <c r="BX506" i="5" s="1"/>
  <c r="BX507" i="5" s="1"/>
  <c r="BX508" i="5" s="1"/>
  <c r="BX509" i="5" s="1"/>
  <c r="BX510" i="5" s="1"/>
  <c r="BX511" i="5" s="1"/>
  <c r="BX512" i="5" s="1"/>
  <c r="BX513" i="5" s="1"/>
  <c r="BX514" i="5" s="1"/>
  <c r="BX515" i="5" s="1"/>
  <c r="BX516" i="5" s="1"/>
  <c r="BX517" i="5" s="1"/>
  <c r="BX518" i="5" s="1"/>
  <c r="BX519" i="5" s="1"/>
  <c r="BX520" i="5" s="1"/>
  <c r="BX521" i="5" s="1"/>
  <c r="BX522" i="5" s="1"/>
  <c r="BX523" i="5" s="1"/>
  <c r="BX524" i="5" s="1"/>
  <c r="BX525" i="5" s="1"/>
  <c r="BX526" i="5" s="1"/>
  <c r="BX527" i="5" s="1"/>
  <c r="BX528" i="5" s="1"/>
  <c r="BX529" i="5" s="1"/>
  <c r="BX530" i="5" s="1"/>
  <c r="BX531" i="5" s="1"/>
  <c r="BX532" i="5" s="1"/>
  <c r="BX533" i="5" s="1"/>
  <c r="BX534" i="5" s="1"/>
  <c r="BX535" i="5" s="1"/>
  <c r="BX536" i="5" s="1"/>
  <c r="BX537" i="5" s="1"/>
  <c r="BX538" i="5" s="1"/>
  <c r="BX539" i="5" s="1"/>
  <c r="BX540" i="5" s="1"/>
  <c r="BX541" i="5" s="1"/>
  <c r="BX542" i="5" s="1"/>
  <c r="BX543" i="5" s="1"/>
  <c r="BX544" i="5" s="1"/>
  <c r="BX545" i="5" s="1"/>
  <c r="BX546" i="5" s="1"/>
  <c r="BX547" i="5" s="1"/>
  <c r="BX548" i="5" s="1"/>
  <c r="BX549" i="5" s="1"/>
  <c r="BX550" i="5" s="1"/>
  <c r="BX551" i="5" s="1"/>
  <c r="BX552" i="5" s="1"/>
  <c r="BX553" i="5" s="1"/>
  <c r="BX554" i="5" s="1"/>
  <c r="BX555" i="5" s="1"/>
  <c r="BX556" i="5" s="1"/>
  <c r="BX557" i="5" s="1"/>
  <c r="BX558" i="5" s="1"/>
  <c r="BX559" i="5" s="1"/>
  <c r="BX560" i="5" s="1"/>
  <c r="BX561" i="5" s="1"/>
  <c r="BX562" i="5" s="1"/>
  <c r="BX563" i="5" s="1"/>
  <c r="BX564" i="5" s="1"/>
  <c r="BX565" i="5" s="1"/>
  <c r="BX566" i="5" s="1"/>
  <c r="BX567" i="5" s="1"/>
  <c r="BX568" i="5" s="1"/>
  <c r="BX569" i="5" s="1"/>
  <c r="BX570" i="5" s="1"/>
  <c r="BX571" i="5" s="1"/>
  <c r="BX572" i="5" s="1"/>
  <c r="BX573" i="5" s="1"/>
  <c r="BX574" i="5" s="1"/>
  <c r="BX575" i="5" s="1"/>
  <c r="BX576" i="5" s="1"/>
  <c r="BX577" i="5" s="1"/>
  <c r="BX578" i="5" s="1"/>
  <c r="BX579" i="5" s="1"/>
  <c r="BX580" i="5" s="1"/>
  <c r="BX581" i="5" s="1"/>
  <c r="BX582" i="5" s="1"/>
  <c r="BX583" i="5" s="1"/>
  <c r="BX584" i="5" s="1"/>
  <c r="BX585" i="5" s="1"/>
  <c r="BX586" i="5" s="1"/>
  <c r="BX587" i="5" s="1"/>
  <c r="BX588" i="5" s="1"/>
  <c r="BX589" i="5" s="1"/>
  <c r="BX590" i="5" s="1"/>
  <c r="BX591" i="5" s="1"/>
  <c r="BX592" i="5" s="1"/>
  <c r="BX593" i="5" s="1"/>
  <c r="BX594" i="5" s="1"/>
  <c r="BX595" i="5" s="1"/>
  <c r="BX596" i="5" s="1"/>
  <c r="BX597" i="5" s="1"/>
  <c r="BX598" i="5" s="1"/>
  <c r="BX599" i="5" s="1"/>
  <c r="BX600" i="5" s="1"/>
  <c r="BX601" i="5" s="1"/>
  <c r="BX602" i="5" s="1"/>
  <c r="BX603" i="5" s="1"/>
  <c r="BX604" i="5" s="1"/>
  <c r="BX605" i="5" s="1"/>
  <c r="BX606" i="5" s="1"/>
  <c r="BX607" i="5" s="1"/>
  <c r="BX608" i="5" s="1"/>
  <c r="BX609" i="5" s="1"/>
  <c r="BX610" i="5" s="1"/>
  <c r="BX611" i="5" s="1"/>
  <c r="BX612" i="5" s="1"/>
  <c r="BX613" i="5" s="1"/>
  <c r="BX614" i="5" s="1"/>
  <c r="BX615" i="5" s="1"/>
  <c r="BX616" i="5" s="1"/>
  <c r="BX617" i="5" s="1"/>
  <c r="BX618" i="5" s="1"/>
  <c r="BX619" i="5" s="1"/>
  <c r="BX620" i="5" s="1"/>
  <c r="BX621" i="5" s="1"/>
  <c r="BX622" i="5" s="1"/>
  <c r="BX623" i="5" s="1"/>
  <c r="BX624" i="5" s="1"/>
  <c r="BX625" i="5" s="1"/>
  <c r="BX626" i="5" s="1"/>
  <c r="BX627" i="5" s="1"/>
  <c r="BX628" i="5" s="1"/>
  <c r="BX629" i="5" s="1"/>
  <c r="BX630" i="5" s="1"/>
  <c r="BX631" i="5" s="1"/>
  <c r="BX632" i="5" s="1"/>
  <c r="BX633" i="5" s="1"/>
  <c r="BX634" i="5" s="1"/>
  <c r="BX635" i="5" s="1"/>
  <c r="BX636" i="5" s="1"/>
  <c r="BX637" i="5" s="1"/>
  <c r="BX638" i="5" s="1"/>
  <c r="BX639" i="5" s="1"/>
  <c r="BX640" i="5" s="1"/>
  <c r="BX641" i="5" s="1"/>
  <c r="BX642" i="5" s="1"/>
  <c r="BX643" i="5" s="1"/>
  <c r="BX644" i="5" s="1"/>
  <c r="BX645" i="5" s="1"/>
  <c r="BX646" i="5" s="1"/>
  <c r="BX647" i="5" s="1"/>
  <c r="BX648" i="5" s="1"/>
  <c r="BX649" i="5" s="1"/>
  <c r="BX650" i="5" s="1"/>
  <c r="BX651" i="5" s="1"/>
  <c r="BX652" i="5" s="1"/>
  <c r="BX653" i="5" s="1"/>
  <c r="BX654" i="5" s="1"/>
  <c r="BX655" i="5" s="1"/>
  <c r="BX656" i="5" s="1"/>
  <c r="BX657" i="5" s="1"/>
  <c r="BX658" i="5" s="1"/>
  <c r="BX659" i="5" s="1"/>
  <c r="BX660" i="5" s="1"/>
  <c r="BX661" i="5" s="1"/>
  <c r="BX662" i="5" s="1"/>
  <c r="BX663" i="5" s="1"/>
  <c r="BX664" i="5" s="1"/>
  <c r="BX665" i="5" s="1"/>
  <c r="BX666" i="5" s="1"/>
  <c r="BX667" i="5" s="1"/>
  <c r="BX668" i="5" s="1"/>
  <c r="BX669" i="5" s="1"/>
  <c r="BX670" i="5" s="1"/>
  <c r="BX671" i="5" s="1"/>
  <c r="BX672" i="5" s="1"/>
  <c r="BX673" i="5" s="1"/>
  <c r="BX674" i="5" s="1"/>
  <c r="BX675" i="5" s="1"/>
  <c r="BX676" i="5" s="1"/>
  <c r="BX677" i="5" s="1"/>
  <c r="BX678" i="5" s="1"/>
  <c r="BX679" i="5" s="1"/>
  <c r="BX680" i="5" s="1"/>
  <c r="BX681" i="5" s="1"/>
  <c r="BX682" i="5" s="1"/>
  <c r="BX683" i="5" s="1"/>
  <c r="BX684" i="5" s="1"/>
  <c r="BX685" i="5" s="1"/>
  <c r="BX686" i="5" s="1"/>
  <c r="BX687" i="5" s="1"/>
  <c r="BX688" i="5" s="1"/>
  <c r="BX689" i="5" s="1"/>
  <c r="BX690" i="5" s="1"/>
  <c r="BX691" i="5" s="1"/>
  <c r="BX692" i="5" s="1"/>
  <c r="BX693" i="5" s="1"/>
  <c r="BX694" i="5" s="1"/>
  <c r="BX695" i="5" s="1"/>
  <c r="BX696" i="5" s="1"/>
  <c r="BX697" i="5" s="1"/>
  <c r="BX698" i="5" s="1"/>
  <c r="BX699" i="5" s="1"/>
  <c r="BX700" i="5" s="1"/>
  <c r="BX701" i="5" s="1"/>
  <c r="BX702" i="5" s="1"/>
  <c r="BX703" i="5" s="1"/>
  <c r="BX704" i="5" s="1"/>
  <c r="BX705" i="5" s="1"/>
  <c r="BX706" i="5" s="1"/>
  <c r="BX707" i="5" s="1"/>
  <c r="BX708" i="5" s="1"/>
  <c r="BX709" i="5" s="1"/>
  <c r="BX710" i="5" s="1"/>
  <c r="BX711" i="5" s="1"/>
  <c r="BX712" i="5" s="1"/>
  <c r="BX713" i="5" s="1"/>
  <c r="BX714" i="5" s="1"/>
  <c r="BX715" i="5" s="1"/>
  <c r="BX716" i="5" s="1"/>
  <c r="BX717" i="5" s="1"/>
  <c r="BX718" i="5" s="1"/>
  <c r="BX719" i="5" s="1"/>
  <c r="BX720" i="5" s="1"/>
  <c r="BX721" i="5" s="1"/>
  <c r="BX722" i="5" s="1"/>
  <c r="BX723" i="5" s="1"/>
  <c r="BX724" i="5" s="1"/>
  <c r="BX725" i="5" s="1"/>
  <c r="BX726" i="5" s="1"/>
  <c r="BX727" i="5" s="1"/>
  <c r="BX728" i="5" s="1"/>
  <c r="BX729" i="5" s="1"/>
  <c r="BX730" i="5" s="1"/>
  <c r="BX731" i="5" s="1"/>
  <c r="BX732" i="5" s="1"/>
  <c r="BX733" i="5" s="1"/>
  <c r="BX734" i="5" s="1"/>
  <c r="BX735" i="5" s="1"/>
  <c r="BX736" i="5" s="1"/>
  <c r="BX737" i="5" s="1"/>
  <c r="BX741" i="5" s="1"/>
  <c r="BX742" i="5" s="1"/>
  <c r="BX743" i="5" s="1"/>
  <c r="BX744" i="5" s="1"/>
  <c r="BX745" i="5" s="1"/>
  <c r="BX746" i="5" s="1"/>
  <c r="BX747" i="5" s="1"/>
  <c r="BX748" i="5" s="1"/>
  <c r="BX749" i="5" s="1"/>
  <c r="BX750" i="5" s="1"/>
  <c r="BX751" i="5" s="1"/>
  <c r="BX752" i="5" s="1"/>
  <c r="BX753" i="5" s="1"/>
  <c r="AQ385" i="5"/>
  <c r="AP385" i="5"/>
  <c r="AO385" i="5"/>
  <c r="AN385" i="5"/>
  <c r="AQ384" i="5"/>
  <c r="AP384" i="5"/>
  <c r="AO384" i="5"/>
  <c r="AN384" i="5"/>
  <c r="AQ383" i="5"/>
  <c r="AP383" i="5"/>
  <c r="AO383" i="5"/>
  <c r="AN383" i="5"/>
  <c r="AQ382" i="5"/>
  <c r="AP382" i="5"/>
  <c r="AO382" i="5"/>
  <c r="AN382" i="5"/>
  <c r="AQ381" i="5"/>
  <c r="AP381" i="5"/>
  <c r="AO381" i="5"/>
  <c r="AN381" i="5"/>
  <c r="AQ380" i="5"/>
  <c r="AP380" i="5"/>
  <c r="AO380" i="5"/>
  <c r="AN380" i="5"/>
  <c r="AQ379" i="5"/>
  <c r="AP379" i="5"/>
  <c r="AO379" i="5"/>
  <c r="AN379" i="5"/>
  <c r="AQ378" i="5"/>
  <c r="AP378" i="5"/>
  <c r="AO378" i="5"/>
  <c r="AN378" i="5"/>
  <c r="AQ377" i="5"/>
  <c r="AP377" i="5"/>
  <c r="AO377" i="5"/>
  <c r="AN377" i="5"/>
  <c r="AQ376" i="5"/>
  <c r="AP376" i="5"/>
  <c r="AO376" i="5"/>
  <c r="AN376" i="5"/>
  <c r="AQ375" i="5"/>
  <c r="AP375" i="5"/>
  <c r="AO375" i="5"/>
  <c r="AN375" i="5"/>
  <c r="AO374" i="5"/>
  <c r="AN374" i="5"/>
  <c r="F708" i="11"/>
  <c r="W375" i="29" l="1"/>
  <c r="BM374" i="5"/>
  <c r="AG704" i="11" s="1"/>
  <c r="T373" i="29"/>
  <c r="AD374" i="29"/>
  <c r="BM373" i="5"/>
  <c r="BH373" i="5"/>
  <c r="BR373" i="5"/>
  <c r="BR369" i="5"/>
  <c r="E694" i="11"/>
  <c r="C695" i="11"/>
  <c r="F694" i="11"/>
  <c r="AD375" i="29" l="1"/>
  <c r="BR374" i="5"/>
  <c r="AH704" i="11" s="1"/>
  <c r="N375" i="29"/>
  <c r="BH374" i="5"/>
  <c r="AF704" i="11" s="1"/>
  <c r="BM375" i="5"/>
  <c r="AG705" i="11" s="1"/>
  <c r="W376" i="29"/>
  <c r="BR317" i="5"/>
  <c r="BR318" i="5"/>
  <c r="BR319" i="5"/>
  <c r="BR320" i="5"/>
  <c r="BR321" i="5"/>
  <c r="BR322" i="5"/>
  <c r="BR323" i="5"/>
  <c r="BR324" i="5"/>
  <c r="BR325" i="5"/>
  <c r="BR326" i="5"/>
  <c r="BR327" i="5"/>
  <c r="BR328" i="5"/>
  <c r="BR329" i="5"/>
  <c r="BR330" i="5"/>
  <c r="BR331" i="5"/>
  <c r="BR332" i="5"/>
  <c r="BR333" i="5"/>
  <c r="BR334" i="5"/>
  <c r="BR335" i="5"/>
  <c r="BR336" i="5"/>
  <c r="BR337" i="5"/>
  <c r="BR338" i="5"/>
  <c r="BR339" i="5"/>
  <c r="BR316" i="5"/>
  <c r="BM317" i="5"/>
  <c r="BM318" i="5"/>
  <c r="BM319" i="5"/>
  <c r="BM320" i="5"/>
  <c r="BM321" i="5"/>
  <c r="BM322" i="5"/>
  <c r="BM323" i="5"/>
  <c r="BM324" i="5"/>
  <c r="BM325" i="5"/>
  <c r="BM326" i="5"/>
  <c r="BM327" i="5"/>
  <c r="BM328" i="5"/>
  <c r="BM329" i="5"/>
  <c r="BM330" i="5"/>
  <c r="BM331" i="5"/>
  <c r="BM332" i="5"/>
  <c r="BM333" i="5"/>
  <c r="BM334" i="5"/>
  <c r="BM335" i="5"/>
  <c r="BM336" i="5"/>
  <c r="BM337" i="5"/>
  <c r="BM338" i="5"/>
  <c r="BM339" i="5"/>
  <c r="BM316" i="5"/>
  <c r="BM2" i="5"/>
  <c r="BH2" i="5"/>
  <c r="BC2" i="5"/>
  <c r="BH317" i="5"/>
  <c r="BH318" i="5"/>
  <c r="BH319" i="5"/>
  <c r="BH320" i="5"/>
  <c r="BH321" i="5"/>
  <c r="BH322" i="5"/>
  <c r="BH323" i="5"/>
  <c r="BH324" i="5"/>
  <c r="BH325" i="5"/>
  <c r="BH326" i="5"/>
  <c r="BH327" i="5"/>
  <c r="BH328" i="5"/>
  <c r="BH329" i="5"/>
  <c r="BH330" i="5"/>
  <c r="BH331" i="5"/>
  <c r="BH332" i="5"/>
  <c r="BH333" i="5"/>
  <c r="BH334" i="5"/>
  <c r="BH335" i="5"/>
  <c r="BH336" i="5"/>
  <c r="BH337" i="5"/>
  <c r="BH338" i="5"/>
  <c r="BH339" i="5"/>
  <c r="BH340" i="5"/>
  <c r="BH316" i="5"/>
  <c r="BC317" i="5"/>
  <c r="BC318" i="5"/>
  <c r="BC319" i="5"/>
  <c r="BC320" i="5"/>
  <c r="BC321" i="5"/>
  <c r="BC322" i="5"/>
  <c r="BC323" i="5"/>
  <c r="BC324" i="5"/>
  <c r="BC325" i="5"/>
  <c r="BC326" i="5"/>
  <c r="BC327" i="5"/>
  <c r="BC328" i="5"/>
  <c r="BC329" i="5"/>
  <c r="BC330" i="5"/>
  <c r="BC331" i="5"/>
  <c r="BC332" i="5"/>
  <c r="BC333" i="5"/>
  <c r="BC334" i="5"/>
  <c r="BC335" i="5"/>
  <c r="BC336" i="5"/>
  <c r="BC337" i="5"/>
  <c r="BC338" i="5"/>
  <c r="BC339" i="5"/>
  <c r="BC316" i="5"/>
  <c r="BM376" i="5" l="1"/>
  <c r="AG706" i="11" s="1"/>
  <c r="W377" i="29"/>
  <c r="N376" i="29"/>
  <c r="BH375" i="5"/>
  <c r="AF705" i="11" s="1"/>
  <c r="BR375" i="5"/>
  <c r="AH705" i="11" s="1"/>
  <c r="AD376" i="29"/>
  <c r="K339" i="29"/>
  <c r="G340" i="29"/>
  <c r="AA674" i="11"/>
  <c r="AA675" i="11"/>
  <c r="AA676" i="11" s="1"/>
  <c r="AA677" i="11" s="1"/>
  <c r="AA678" i="11" s="1"/>
  <c r="AA679" i="11" s="1"/>
  <c r="AA680" i="11" s="1"/>
  <c r="AA681" i="11" s="1"/>
  <c r="AA682" i="11" s="1"/>
  <c r="AA683" i="11" s="1"/>
  <c r="AA684" i="11" s="1"/>
  <c r="AA685" i="11" s="1"/>
  <c r="AA686" i="11" s="1"/>
  <c r="AA687" i="11" s="1"/>
  <c r="AA688" i="11" s="1"/>
  <c r="AA689" i="11" s="1"/>
  <c r="AA690" i="11" s="1"/>
  <c r="AA691" i="11" s="1"/>
  <c r="AA692" i="11" s="1"/>
  <c r="AA693" i="11" s="1"/>
  <c r="AA694" i="11" s="1"/>
  <c r="AA695" i="11" s="1"/>
  <c r="AA696" i="11" s="1"/>
  <c r="AA697" i="11" s="1"/>
  <c r="AA698" i="11" s="1"/>
  <c r="AA699" i="11" s="1"/>
  <c r="AA700" i="11" s="1"/>
  <c r="AA701" i="11" s="1"/>
  <c r="AA702" i="11" s="1"/>
  <c r="AA703" i="11" s="1"/>
  <c r="AA673" i="11"/>
  <c r="N377" i="29" l="1"/>
  <c r="BH376" i="5"/>
  <c r="AF706" i="11" s="1"/>
  <c r="BR376" i="5"/>
  <c r="AH706" i="11" s="1"/>
  <c r="AD377" i="29"/>
  <c r="W378" i="29"/>
  <c r="BM377" i="5"/>
  <c r="AG707" i="11" s="1"/>
  <c r="BC340" i="5"/>
  <c r="G341" i="29"/>
  <c r="F680" i="11"/>
  <c r="AN287" i="2"/>
  <c r="W379" i="29" l="1"/>
  <c r="BM378" i="5"/>
  <c r="AG708" i="11" s="1"/>
  <c r="AD378" i="29"/>
  <c r="BR377" i="5"/>
  <c r="AH707" i="11" s="1"/>
  <c r="N378" i="29"/>
  <c r="BH377" i="5"/>
  <c r="AF707" i="11" s="1"/>
  <c r="BC341" i="5"/>
  <c r="G342" i="29"/>
  <c r="U314" i="25"/>
  <c r="T314" i="25"/>
  <c r="N379" i="29" l="1"/>
  <c r="BH378" i="5"/>
  <c r="AF708" i="11" s="1"/>
  <c r="AD379" i="29"/>
  <c r="BR378" i="5"/>
  <c r="AH708" i="11" s="1"/>
  <c r="BM379" i="5"/>
  <c r="AG709" i="11" s="1"/>
  <c r="W380" i="29"/>
  <c r="BC342" i="5"/>
  <c r="G343" i="29"/>
  <c r="V314" i="25"/>
  <c r="BM380" i="5" l="1"/>
  <c r="AG710" i="11" s="1"/>
  <c r="W381" i="29"/>
  <c r="AD380" i="29"/>
  <c r="BR379" i="5"/>
  <c r="AH709" i="11" s="1"/>
  <c r="N380" i="29"/>
  <c r="N381" i="29" s="1"/>
  <c r="BH379" i="5"/>
  <c r="AF709" i="11" s="1"/>
  <c r="G344" i="29"/>
  <c r="BC343" i="5"/>
  <c r="Z338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9" i="26"/>
  <c r="Z340" i="26"/>
  <c r="Z341" i="26"/>
  <c r="AD381" i="29" l="1"/>
  <c r="BR380" i="5"/>
  <c r="AH710" i="11" s="1"/>
  <c r="BM381" i="5"/>
  <c r="AG711" i="11" s="1"/>
  <c r="W382" i="29"/>
  <c r="BH380" i="5"/>
  <c r="AF710" i="11" s="1"/>
  <c r="G345" i="29"/>
  <c r="BC344" i="5"/>
  <c r="AI314" i="5"/>
  <c r="AI315" i="5" s="1"/>
  <c r="AI316" i="5" s="1"/>
  <c r="AI317" i="5" s="1"/>
  <c r="AI318" i="5" s="1"/>
  <c r="AI319" i="5" s="1"/>
  <c r="AI320" i="5" s="1"/>
  <c r="AI321" i="5" s="1"/>
  <c r="AI322" i="5" s="1"/>
  <c r="AI323" i="5" s="1"/>
  <c r="AI324" i="5" s="1"/>
  <c r="AI325" i="5" s="1"/>
  <c r="AI326" i="5" s="1"/>
  <c r="AI327" i="5" s="1"/>
  <c r="AI328" i="5" s="1"/>
  <c r="AI329" i="5" s="1"/>
  <c r="AI330" i="5" s="1"/>
  <c r="AI331" i="5" s="1"/>
  <c r="AI332" i="5" s="1"/>
  <c r="AI333" i="5" s="1"/>
  <c r="AI334" i="5" s="1"/>
  <c r="AI335" i="5" s="1"/>
  <c r="AI336" i="5" s="1"/>
  <c r="AI337" i="5" s="1"/>
  <c r="AI338" i="5" s="1"/>
  <c r="AI339" i="5" s="1"/>
  <c r="AI340" i="5" s="1"/>
  <c r="AI341" i="5" s="1"/>
  <c r="AI342" i="5" s="1"/>
  <c r="AI343" i="5" s="1"/>
  <c r="AI344" i="5" s="1"/>
  <c r="AI345" i="5" s="1"/>
  <c r="AI346" i="5" s="1"/>
  <c r="AI347" i="5" s="1"/>
  <c r="AI348" i="5" s="1"/>
  <c r="AI349" i="5" s="1"/>
  <c r="AI350" i="5" s="1"/>
  <c r="AI351" i="5" s="1"/>
  <c r="AI352" i="5" s="1"/>
  <c r="AI353" i="5" s="1"/>
  <c r="AI354" i="5" s="1"/>
  <c r="AI355" i="5" s="1"/>
  <c r="AI356" i="5" s="1"/>
  <c r="AI357" i="5" s="1"/>
  <c r="AI358" i="5" s="1"/>
  <c r="AI359" i="5" s="1"/>
  <c r="AI360" i="5" s="1"/>
  <c r="AI361" i="5" s="1"/>
  <c r="AI362" i="5" s="1"/>
  <c r="AI363" i="5" s="1"/>
  <c r="AI364" i="5" s="1"/>
  <c r="AI365" i="5" s="1"/>
  <c r="AI366" i="5" s="1"/>
  <c r="AI367" i="5" s="1"/>
  <c r="AI368" i="5" s="1"/>
  <c r="AI369" i="5" s="1"/>
  <c r="AI373" i="5" s="1"/>
  <c r="AI374" i="5" s="1"/>
  <c r="AI375" i="5" s="1"/>
  <c r="AI376" i="5" s="1"/>
  <c r="AI377" i="5" s="1"/>
  <c r="AI378" i="5" s="1"/>
  <c r="AI379" i="5" s="1"/>
  <c r="AI380" i="5" s="1"/>
  <c r="AI381" i="5" s="1"/>
  <c r="AI382" i="5" s="1"/>
  <c r="AI383" i="5" s="1"/>
  <c r="AI384" i="5" s="1"/>
  <c r="AI385" i="5" s="1"/>
  <c r="AI386" i="5" s="1"/>
  <c r="AI387" i="5" s="1"/>
  <c r="AI388" i="5" s="1"/>
  <c r="AI389" i="5" s="1"/>
  <c r="AI390" i="5" s="1"/>
  <c r="AI391" i="5" s="1"/>
  <c r="AI392" i="5" s="1"/>
  <c r="AI393" i="5" s="1"/>
  <c r="AI394" i="5" s="1"/>
  <c r="AI395" i="5" s="1"/>
  <c r="AI396" i="5" s="1"/>
  <c r="AI397" i="5" s="1"/>
  <c r="AI398" i="5" s="1"/>
  <c r="AI399" i="5" s="1"/>
  <c r="AI400" i="5" s="1"/>
  <c r="AI401" i="5" s="1"/>
  <c r="AI402" i="5" s="1"/>
  <c r="AI403" i="5" s="1"/>
  <c r="AI404" i="5" s="1"/>
  <c r="AI405" i="5" s="1"/>
  <c r="AI406" i="5" s="1"/>
  <c r="AI407" i="5" s="1"/>
  <c r="AH314" i="5"/>
  <c r="AH315" i="5" s="1"/>
  <c r="AB314" i="5"/>
  <c r="AB315" i="5" s="1"/>
  <c r="AB316" i="5" s="1"/>
  <c r="AB317" i="5" s="1"/>
  <c r="AB318" i="5" s="1"/>
  <c r="AB319" i="5" s="1"/>
  <c r="AB320" i="5" s="1"/>
  <c r="AB321" i="5" s="1"/>
  <c r="AB322" i="5" s="1"/>
  <c r="AB323" i="5" s="1"/>
  <c r="AB324" i="5" s="1"/>
  <c r="AB325" i="5" s="1"/>
  <c r="AB326" i="5" s="1"/>
  <c r="AB327" i="5" s="1"/>
  <c r="AB328" i="5" s="1"/>
  <c r="AB329" i="5" s="1"/>
  <c r="AB330" i="5" s="1"/>
  <c r="AB331" i="5" s="1"/>
  <c r="AB332" i="5" s="1"/>
  <c r="AB333" i="5" s="1"/>
  <c r="AB334" i="5" s="1"/>
  <c r="AB335" i="5" s="1"/>
  <c r="AB336" i="5" s="1"/>
  <c r="AB337" i="5" s="1"/>
  <c r="AB338" i="5" s="1"/>
  <c r="AB339" i="5" s="1"/>
  <c r="AB340" i="5" s="1"/>
  <c r="AB341" i="5" s="1"/>
  <c r="AB342" i="5" s="1"/>
  <c r="AB343" i="5" s="1"/>
  <c r="AB344" i="5" s="1"/>
  <c r="AB345" i="5" s="1"/>
  <c r="AB346" i="5" s="1"/>
  <c r="AB347" i="5" s="1"/>
  <c r="AB348" i="5" s="1"/>
  <c r="AB349" i="5" s="1"/>
  <c r="AB350" i="5" s="1"/>
  <c r="AB351" i="5" s="1"/>
  <c r="AB352" i="5" s="1"/>
  <c r="AB353" i="5" s="1"/>
  <c r="AB354" i="5" s="1"/>
  <c r="AB355" i="5" s="1"/>
  <c r="AB356" i="5" s="1"/>
  <c r="AB357" i="5" s="1"/>
  <c r="AB358" i="5" s="1"/>
  <c r="AB359" i="5" s="1"/>
  <c r="AB360" i="5" s="1"/>
  <c r="AB361" i="5" s="1"/>
  <c r="AB362" i="5" s="1"/>
  <c r="AB363" i="5" s="1"/>
  <c r="AB364" i="5" s="1"/>
  <c r="AB365" i="5" s="1"/>
  <c r="AB366" i="5" s="1"/>
  <c r="AB367" i="5" s="1"/>
  <c r="AB368" i="5" s="1"/>
  <c r="AB369" i="5" s="1"/>
  <c r="AB373" i="5" s="1"/>
  <c r="AB374" i="5" s="1"/>
  <c r="AB375" i="5" s="1"/>
  <c r="AB376" i="5" s="1"/>
  <c r="AB377" i="5" s="1"/>
  <c r="AB378" i="5" s="1"/>
  <c r="AB379" i="5" s="1"/>
  <c r="AB380" i="5" s="1"/>
  <c r="AB381" i="5" s="1"/>
  <c r="AB382" i="5" s="1"/>
  <c r="AB383" i="5" s="1"/>
  <c r="AB384" i="5" s="1"/>
  <c r="AB385" i="5" s="1"/>
  <c r="AB386" i="5" s="1"/>
  <c r="AB387" i="5" s="1"/>
  <c r="AB388" i="5" s="1"/>
  <c r="AB389" i="5" s="1"/>
  <c r="AB390" i="5" s="1"/>
  <c r="AB391" i="5" s="1"/>
  <c r="AB392" i="5" s="1"/>
  <c r="AB393" i="5" s="1"/>
  <c r="AB394" i="5" s="1"/>
  <c r="AB395" i="5" s="1"/>
  <c r="AB396" i="5" s="1"/>
  <c r="AB397" i="5" s="1"/>
  <c r="AB398" i="5" s="1"/>
  <c r="AB399" i="5" s="1"/>
  <c r="AB400" i="5" s="1"/>
  <c r="AB401" i="5" s="1"/>
  <c r="AB402" i="5" s="1"/>
  <c r="AB403" i="5" s="1"/>
  <c r="AB404" i="5" s="1"/>
  <c r="AB405" i="5" s="1"/>
  <c r="AB406" i="5" s="1"/>
  <c r="AB407" i="5" s="1"/>
  <c r="AB408" i="5" s="1"/>
  <c r="AB409" i="5" s="1"/>
  <c r="AB410" i="5" s="1"/>
  <c r="AB411" i="5" s="1"/>
  <c r="AB412" i="5" s="1"/>
  <c r="AB413" i="5" s="1"/>
  <c r="AB414" i="5" s="1"/>
  <c r="AB415" i="5" s="1"/>
  <c r="AB416" i="5" s="1"/>
  <c r="AB417" i="5" s="1"/>
  <c r="AB418" i="5" s="1"/>
  <c r="AB419" i="5" s="1"/>
  <c r="AB420" i="5" s="1"/>
  <c r="AB421" i="5" s="1"/>
  <c r="AB422" i="5" s="1"/>
  <c r="AB423" i="5" s="1"/>
  <c r="AB424" i="5" s="1"/>
  <c r="AB425" i="5" s="1"/>
  <c r="AB426" i="5" s="1"/>
  <c r="AB427" i="5" s="1"/>
  <c r="AB428" i="5" s="1"/>
  <c r="AB429" i="5" s="1"/>
  <c r="AB430" i="5" s="1"/>
  <c r="AB431" i="5" s="1"/>
  <c r="AB432" i="5" s="1"/>
  <c r="AB433" i="5" s="1"/>
  <c r="AB434" i="5" s="1"/>
  <c r="AB435" i="5" s="1"/>
  <c r="AB436" i="5" s="1"/>
  <c r="AB437" i="5" s="1"/>
  <c r="AB438" i="5" s="1"/>
  <c r="AB439" i="5" s="1"/>
  <c r="AB440" i="5" s="1"/>
  <c r="AB441" i="5" s="1"/>
  <c r="AB442" i="5" s="1"/>
  <c r="AB443" i="5" s="1"/>
  <c r="AB444" i="5" s="1"/>
  <c r="AB445" i="5" s="1"/>
  <c r="AB446" i="5" s="1"/>
  <c r="AB447" i="5" s="1"/>
  <c r="AB448" i="5" s="1"/>
  <c r="AB449" i="5" s="1"/>
  <c r="AB450" i="5" s="1"/>
  <c r="AB451" i="5" s="1"/>
  <c r="AB452" i="5" s="1"/>
  <c r="AB453" i="5" s="1"/>
  <c r="AB454" i="5" s="1"/>
  <c r="AB455" i="5" s="1"/>
  <c r="AB456" i="5" s="1"/>
  <c r="AB457" i="5" s="1"/>
  <c r="AB458" i="5" s="1"/>
  <c r="AB459" i="5" s="1"/>
  <c r="AB460" i="5" s="1"/>
  <c r="AB461" i="5" s="1"/>
  <c r="AB462" i="5" s="1"/>
  <c r="AB463" i="5" s="1"/>
  <c r="AB464" i="5" s="1"/>
  <c r="AB465" i="5" s="1"/>
  <c r="AB466" i="5" s="1"/>
  <c r="AB467" i="5" s="1"/>
  <c r="AB468" i="5" s="1"/>
  <c r="AB469" i="5" s="1"/>
  <c r="AB470" i="5" s="1"/>
  <c r="AB471" i="5" s="1"/>
  <c r="AB472" i="5" s="1"/>
  <c r="AB473" i="5" s="1"/>
  <c r="AB474" i="5" s="1"/>
  <c r="AB475" i="5" s="1"/>
  <c r="AB476" i="5" s="1"/>
  <c r="AB477" i="5" s="1"/>
  <c r="AB478" i="5" s="1"/>
  <c r="AB479" i="5" s="1"/>
  <c r="AB480" i="5" s="1"/>
  <c r="AB481" i="5" s="1"/>
  <c r="AB482" i="5" s="1"/>
  <c r="AB483" i="5" s="1"/>
  <c r="AB484" i="5" s="1"/>
  <c r="AB485" i="5" s="1"/>
  <c r="AB486" i="5" s="1"/>
  <c r="AB487" i="5" s="1"/>
  <c r="AB488" i="5" s="1"/>
  <c r="AB489" i="5" s="1"/>
  <c r="AB490" i="5" s="1"/>
  <c r="AB491" i="5" s="1"/>
  <c r="AB492" i="5" s="1"/>
  <c r="AB493" i="5" s="1"/>
  <c r="AB494" i="5" s="1"/>
  <c r="AB495" i="5" s="1"/>
  <c r="AB496" i="5" s="1"/>
  <c r="AB497" i="5" s="1"/>
  <c r="AB498" i="5" s="1"/>
  <c r="AB499" i="5" s="1"/>
  <c r="AB500" i="5" s="1"/>
  <c r="AB501" i="5" s="1"/>
  <c r="AB502" i="5" s="1"/>
  <c r="AB503" i="5" s="1"/>
  <c r="AB504" i="5" s="1"/>
  <c r="AB505" i="5" s="1"/>
  <c r="AB506" i="5" s="1"/>
  <c r="AB507" i="5" s="1"/>
  <c r="AB508" i="5" s="1"/>
  <c r="AB509" i="5" s="1"/>
  <c r="AB510" i="5" s="1"/>
  <c r="AB511" i="5" s="1"/>
  <c r="AB512" i="5" s="1"/>
  <c r="AB513" i="5" s="1"/>
  <c r="AB514" i="5" s="1"/>
  <c r="AB515" i="5" s="1"/>
  <c r="AB516" i="5" s="1"/>
  <c r="AB517" i="5" s="1"/>
  <c r="AB518" i="5" s="1"/>
  <c r="AB519" i="5" s="1"/>
  <c r="AB520" i="5" s="1"/>
  <c r="AB521" i="5" s="1"/>
  <c r="AB522" i="5" s="1"/>
  <c r="AB523" i="5" s="1"/>
  <c r="AB524" i="5" s="1"/>
  <c r="AB525" i="5" s="1"/>
  <c r="AB526" i="5" s="1"/>
  <c r="AB527" i="5" s="1"/>
  <c r="AB528" i="5" s="1"/>
  <c r="AB529" i="5" s="1"/>
  <c r="AB530" i="5" s="1"/>
  <c r="AB531" i="5" s="1"/>
  <c r="AB532" i="5" s="1"/>
  <c r="AB533" i="5" s="1"/>
  <c r="AB534" i="5" s="1"/>
  <c r="AB535" i="5" s="1"/>
  <c r="AB536" i="5" s="1"/>
  <c r="AB537" i="5" s="1"/>
  <c r="AB538" i="5" s="1"/>
  <c r="AB539" i="5" s="1"/>
  <c r="AB540" i="5" s="1"/>
  <c r="AB541" i="5" s="1"/>
  <c r="AB542" i="5" s="1"/>
  <c r="AB543" i="5" s="1"/>
  <c r="AB544" i="5" s="1"/>
  <c r="AB545" i="5" s="1"/>
  <c r="AB546" i="5" s="1"/>
  <c r="AB547" i="5" s="1"/>
  <c r="AB548" i="5" s="1"/>
  <c r="AB549" i="5" s="1"/>
  <c r="AB550" i="5" s="1"/>
  <c r="AB551" i="5" s="1"/>
  <c r="AB552" i="5" s="1"/>
  <c r="AB553" i="5" s="1"/>
  <c r="AB554" i="5" s="1"/>
  <c r="AB555" i="5" s="1"/>
  <c r="AB556" i="5" s="1"/>
  <c r="AB557" i="5" s="1"/>
  <c r="AB558" i="5" s="1"/>
  <c r="AB559" i="5" s="1"/>
  <c r="AB560" i="5" s="1"/>
  <c r="AB561" i="5" s="1"/>
  <c r="AB562" i="5" s="1"/>
  <c r="AB563" i="5" s="1"/>
  <c r="AB564" i="5" s="1"/>
  <c r="AB565" i="5" s="1"/>
  <c r="AB566" i="5" s="1"/>
  <c r="AB567" i="5" s="1"/>
  <c r="AB568" i="5" s="1"/>
  <c r="AB569" i="5" s="1"/>
  <c r="AB570" i="5" s="1"/>
  <c r="AB571" i="5" s="1"/>
  <c r="AB572" i="5" s="1"/>
  <c r="AB573" i="5" s="1"/>
  <c r="AB574" i="5" s="1"/>
  <c r="AB575" i="5" s="1"/>
  <c r="AB576" i="5" s="1"/>
  <c r="AB577" i="5" s="1"/>
  <c r="AB578" i="5" s="1"/>
  <c r="AB579" i="5" s="1"/>
  <c r="AB580" i="5" s="1"/>
  <c r="AB581" i="5" s="1"/>
  <c r="AB582" i="5" s="1"/>
  <c r="AB583" i="5" s="1"/>
  <c r="AB584" i="5" s="1"/>
  <c r="AB585" i="5" s="1"/>
  <c r="AB586" i="5" s="1"/>
  <c r="AB587" i="5" s="1"/>
  <c r="AB588" i="5" s="1"/>
  <c r="AB741" i="5" s="1"/>
  <c r="AB742" i="5" s="1"/>
  <c r="AB743" i="5" s="1"/>
  <c r="AB744" i="5" s="1"/>
  <c r="AB745" i="5" s="1"/>
  <c r="AB746" i="5" s="1"/>
  <c r="AB747" i="5" s="1"/>
  <c r="AB748" i="5" s="1"/>
  <c r="AB749" i="5" s="1"/>
  <c r="AB750" i="5" s="1"/>
  <c r="AB751" i="5" s="1"/>
  <c r="AB752" i="5" s="1"/>
  <c r="AB753" i="5" s="1"/>
  <c r="AA314" i="5"/>
  <c r="AA315" i="5" s="1"/>
  <c r="U314" i="5"/>
  <c r="U315" i="5" s="1"/>
  <c r="U316" i="5" s="1"/>
  <c r="U317" i="5" s="1"/>
  <c r="U318" i="5" s="1"/>
  <c r="U319" i="5" s="1"/>
  <c r="U320" i="5" s="1"/>
  <c r="U321" i="5" s="1"/>
  <c r="U322" i="5" s="1"/>
  <c r="U323" i="5" s="1"/>
  <c r="U324" i="5" s="1"/>
  <c r="U325" i="5" s="1"/>
  <c r="U326" i="5" s="1"/>
  <c r="U327" i="5" s="1"/>
  <c r="U328" i="5" s="1"/>
  <c r="U329" i="5" s="1"/>
  <c r="U330" i="5" s="1"/>
  <c r="U331" i="5" s="1"/>
  <c r="U332" i="5" s="1"/>
  <c r="U333" i="5" s="1"/>
  <c r="U334" i="5" s="1"/>
  <c r="U335" i="5" s="1"/>
  <c r="U336" i="5" s="1"/>
  <c r="U337" i="5" s="1"/>
  <c r="U338" i="5" s="1"/>
  <c r="U339" i="5" s="1"/>
  <c r="U340" i="5" s="1"/>
  <c r="U341" i="5" s="1"/>
  <c r="U342" i="5" s="1"/>
  <c r="U343" i="5" s="1"/>
  <c r="U344" i="5" s="1"/>
  <c r="U345" i="5" s="1"/>
  <c r="U346" i="5" s="1"/>
  <c r="U347" i="5" s="1"/>
  <c r="U348" i="5" s="1"/>
  <c r="U349" i="5" s="1"/>
  <c r="U350" i="5" s="1"/>
  <c r="U351" i="5" s="1"/>
  <c r="U352" i="5" s="1"/>
  <c r="U353" i="5" s="1"/>
  <c r="U354" i="5" s="1"/>
  <c r="U355" i="5" s="1"/>
  <c r="U356" i="5" s="1"/>
  <c r="U357" i="5" s="1"/>
  <c r="U358" i="5" s="1"/>
  <c r="U359" i="5" s="1"/>
  <c r="U360" i="5" s="1"/>
  <c r="U361" i="5" s="1"/>
  <c r="U362" i="5" s="1"/>
  <c r="U363" i="5" s="1"/>
  <c r="U364" i="5" s="1"/>
  <c r="U365" i="5" s="1"/>
  <c r="U366" i="5" s="1"/>
  <c r="U367" i="5" s="1"/>
  <c r="U368" i="5" s="1"/>
  <c r="U369" i="5" s="1"/>
  <c r="U373" i="5" s="1"/>
  <c r="U374" i="5" s="1"/>
  <c r="U375" i="5" s="1"/>
  <c r="U376" i="5" s="1"/>
  <c r="U377" i="5" s="1"/>
  <c r="U378" i="5" s="1"/>
  <c r="U379" i="5" s="1"/>
  <c r="U380" i="5" s="1"/>
  <c r="U381" i="5" s="1"/>
  <c r="U382" i="5" s="1"/>
  <c r="U383" i="5" s="1"/>
  <c r="U384" i="5" s="1"/>
  <c r="U385" i="5" s="1"/>
  <c r="U386" i="5" s="1"/>
  <c r="U387" i="5" s="1"/>
  <c r="U388" i="5" s="1"/>
  <c r="U389" i="5" s="1"/>
  <c r="U390" i="5" s="1"/>
  <c r="U391" i="5" s="1"/>
  <c r="U392" i="5" s="1"/>
  <c r="U393" i="5" s="1"/>
  <c r="U394" i="5" s="1"/>
  <c r="U395" i="5" s="1"/>
  <c r="U396" i="5" s="1"/>
  <c r="U397" i="5" s="1"/>
  <c r="U398" i="5" s="1"/>
  <c r="U399" i="5" s="1"/>
  <c r="U400" i="5" s="1"/>
  <c r="U401" i="5" s="1"/>
  <c r="U402" i="5" s="1"/>
  <c r="U403" i="5" s="1"/>
  <c r="U404" i="5" s="1"/>
  <c r="U405" i="5" s="1"/>
  <c r="U406" i="5" s="1"/>
  <c r="U407" i="5" s="1"/>
  <c r="U408" i="5" s="1"/>
  <c r="U409" i="5" s="1"/>
  <c r="U410" i="5" s="1"/>
  <c r="U411" i="5" s="1"/>
  <c r="U412" i="5" s="1"/>
  <c r="U413" i="5" s="1"/>
  <c r="U414" i="5" s="1"/>
  <c r="U415" i="5" s="1"/>
  <c r="U416" i="5" s="1"/>
  <c r="U417" i="5" s="1"/>
  <c r="U418" i="5" s="1"/>
  <c r="U419" i="5" s="1"/>
  <c r="U420" i="5" s="1"/>
  <c r="U421" i="5" s="1"/>
  <c r="U422" i="5" s="1"/>
  <c r="U423" i="5" s="1"/>
  <c r="U424" i="5" s="1"/>
  <c r="U425" i="5" s="1"/>
  <c r="U426" i="5" s="1"/>
  <c r="U427" i="5" s="1"/>
  <c r="U428" i="5" s="1"/>
  <c r="U429" i="5" s="1"/>
  <c r="U430" i="5" s="1"/>
  <c r="U431" i="5" s="1"/>
  <c r="U432" i="5" s="1"/>
  <c r="U433" i="5" s="1"/>
  <c r="U434" i="5" s="1"/>
  <c r="U435" i="5" s="1"/>
  <c r="U436" i="5" s="1"/>
  <c r="U437" i="5" s="1"/>
  <c r="U438" i="5" s="1"/>
  <c r="U439" i="5" s="1"/>
  <c r="U440" i="5" s="1"/>
  <c r="U441" i="5" s="1"/>
  <c r="U442" i="5" s="1"/>
  <c r="U443" i="5" s="1"/>
  <c r="U444" i="5" s="1"/>
  <c r="U445" i="5" s="1"/>
  <c r="U446" i="5" s="1"/>
  <c r="U447" i="5" s="1"/>
  <c r="U448" i="5" s="1"/>
  <c r="U449" i="5" s="1"/>
  <c r="U450" i="5" s="1"/>
  <c r="U451" i="5" s="1"/>
  <c r="U452" i="5" s="1"/>
  <c r="U453" i="5" s="1"/>
  <c r="U454" i="5" s="1"/>
  <c r="U455" i="5" s="1"/>
  <c r="U456" i="5" s="1"/>
  <c r="U457" i="5" s="1"/>
  <c r="U458" i="5" s="1"/>
  <c r="U459" i="5" s="1"/>
  <c r="U460" i="5" s="1"/>
  <c r="U461" i="5" s="1"/>
  <c r="U462" i="5" s="1"/>
  <c r="U463" i="5" s="1"/>
  <c r="U464" i="5" s="1"/>
  <c r="U465" i="5" s="1"/>
  <c r="U466" i="5" s="1"/>
  <c r="U467" i="5" s="1"/>
  <c r="U468" i="5" s="1"/>
  <c r="U469" i="5" s="1"/>
  <c r="U470" i="5" s="1"/>
  <c r="U471" i="5" s="1"/>
  <c r="U472" i="5" s="1"/>
  <c r="U473" i="5" s="1"/>
  <c r="U474" i="5" s="1"/>
  <c r="U475" i="5" s="1"/>
  <c r="U476" i="5" s="1"/>
  <c r="U477" i="5" s="1"/>
  <c r="U478" i="5" s="1"/>
  <c r="U479" i="5" s="1"/>
  <c r="U480" i="5" s="1"/>
  <c r="U481" i="5" s="1"/>
  <c r="U482" i="5" s="1"/>
  <c r="U483" i="5" s="1"/>
  <c r="U484" i="5" s="1"/>
  <c r="U485" i="5" s="1"/>
  <c r="U486" i="5" s="1"/>
  <c r="U487" i="5" s="1"/>
  <c r="U488" i="5" s="1"/>
  <c r="U489" i="5" s="1"/>
  <c r="U490" i="5" s="1"/>
  <c r="U491" i="5" s="1"/>
  <c r="U492" i="5" s="1"/>
  <c r="U493" i="5" s="1"/>
  <c r="U494" i="5" s="1"/>
  <c r="U495" i="5" s="1"/>
  <c r="U496" i="5" s="1"/>
  <c r="U741" i="5" s="1"/>
  <c r="U742" i="5" s="1"/>
  <c r="U743" i="5" s="1"/>
  <c r="U744" i="5" s="1"/>
  <c r="U745" i="5" s="1"/>
  <c r="U746" i="5" s="1"/>
  <c r="U747" i="5" s="1"/>
  <c r="U748" i="5" s="1"/>
  <c r="U749" i="5" s="1"/>
  <c r="U750" i="5" s="1"/>
  <c r="U751" i="5" s="1"/>
  <c r="U752" i="5" s="1"/>
  <c r="U753" i="5" s="1"/>
  <c r="T314" i="5"/>
  <c r="T315" i="5" s="1"/>
  <c r="N314" i="5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741" i="5" s="1"/>
  <c r="N742" i="5" s="1"/>
  <c r="N743" i="5" s="1"/>
  <c r="N744" i="5" s="1"/>
  <c r="N745" i="5" s="1"/>
  <c r="N746" i="5" s="1"/>
  <c r="N747" i="5" s="1"/>
  <c r="N748" i="5" s="1"/>
  <c r="N749" i="5" s="1"/>
  <c r="N750" i="5" s="1"/>
  <c r="N751" i="5" s="1"/>
  <c r="N752" i="5" s="1"/>
  <c r="N753" i="5" s="1"/>
  <c r="M314" i="5"/>
  <c r="M315" i="5" s="1"/>
  <c r="M316" i="5" s="1"/>
  <c r="G29" i="20"/>
  <c r="G33" i="20" s="1"/>
  <c r="G37" i="20" s="1"/>
  <c r="D25" i="20"/>
  <c r="A25" i="20" s="1"/>
  <c r="K25" i="20" s="1"/>
  <c r="B29" i="20"/>
  <c r="F90" i="19"/>
  <c r="F91" i="19" s="1"/>
  <c r="F92" i="19" s="1"/>
  <c r="F93" i="19" s="1"/>
  <c r="F94" i="19" s="1"/>
  <c r="F95" i="19" s="1"/>
  <c r="F96" i="19" s="1"/>
  <c r="F97" i="19" s="1"/>
  <c r="E90" i="19"/>
  <c r="E91" i="19" s="1"/>
  <c r="E92" i="19" s="1"/>
  <c r="E93" i="19" s="1"/>
  <c r="E94" i="19" s="1"/>
  <c r="E95" i="19" s="1"/>
  <c r="E96" i="19" s="1"/>
  <c r="E97" i="19" s="1"/>
  <c r="AC314" i="2"/>
  <c r="AC315" i="2"/>
  <c r="AC316" i="2" s="1"/>
  <c r="AB315" i="2"/>
  <c r="AB316" i="2" s="1"/>
  <c r="AB317" i="2" s="1"/>
  <c r="AB318" i="2" s="1"/>
  <c r="AB319" i="2" s="1"/>
  <c r="AB320" i="2" s="1"/>
  <c r="AB321" i="2" s="1"/>
  <c r="AB322" i="2" s="1"/>
  <c r="AB323" i="2" s="1"/>
  <c r="AB324" i="2" s="1"/>
  <c r="AB325" i="2" s="1"/>
  <c r="AB326" i="2" s="1"/>
  <c r="AB327" i="2" s="1"/>
  <c r="AB328" i="2" s="1"/>
  <c r="AB329" i="2" s="1"/>
  <c r="AB330" i="2" s="1"/>
  <c r="AB331" i="2" s="1"/>
  <c r="AB332" i="2" s="1"/>
  <c r="AB333" i="2" s="1"/>
  <c r="AB334" i="2" s="1"/>
  <c r="AB335" i="2" s="1"/>
  <c r="AB336" i="2" s="1"/>
  <c r="AB337" i="2" s="1"/>
  <c r="AB338" i="2" s="1"/>
  <c r="AB339" i="2" s="1"/>
  <c r="AB340" i="2" s="1"/>
  <c r="AB341" i="2" s="1"/>
  <c r="AB342" i="2" s="1"/>
  <c r="AB343" i="2" s="1"/>
  <c r="AB344" i="2" s="1"/>
  <c r="AB345" i="2" s="1"/>
  <c r="AB346" i="2" s="1"/>
  <c r="AB347" i="2" s="1"/>
  <c r="AB348" i="2" s="1"/>
  <c r="AB349" i="2" s="1"/>
  <c r="AB350" i="2" s="1"/>
  <c r="AB351" i="2" s="1"/>
  <c r="AB352" i="2" s="1"/>
  <c r="AB353" i="2" s="1"/>
  <c r="AB354" i="2" s="1"/>
  <c r="AB355" i="2" s="1"/>
  <c r="AB356" i="2" s="1"/>
  <c r="AB357" i="2" s="1"/>
  <c r="AB358" i="2" s="1"/>
  <c r="AB359" i="2" s="1"/>
  <c r="AB360" i="2" s="1"/>
  <c r="AB361" i="2" s="1"/>
  <c r="AB362" i="2" s="1"/>
  <c r="AB363" i="2" s="1"/>
  <c r="AB364" i="2" s="1"/>
  <c r="AB365" i="2" s="1"/>
  <c r="AB366" i="2" s="1"/>
  <c r="AB367" i="2" s="1"/>
  <c r="AB368" i="2" s="1"/>
  <c r="AB369" i="2" s="1"/>
  <c r="AB373" i="2" s="1"/>
  <c r="AE370" i="2"/>
  <c r="N382" i="29" l="1"/>
  <c r="BH381" i="5"/>
  <c r="AF711" i="11" s="1"/>
  <c r="W383" i="29"/>
  <c r="BM382" i="5"/>
  <c r="AG712" i="11" s="1"/>
  <c r="BR381" i="5"/>
  <c r="AH711" i="11" s="1"/>
  <c r="AD382" i="29"/>
  <c r="J29" i="20"/>
  <c r="I29" i="20"/>
  <c r="M25" i="20"/>
  <c r="G346" i="29"/>
  <c r="BC345" i="5"/>
  <c r="AI408" i="5"/>
  <c r="AI409" i="5" s="1"/>
  <c r="AI410" i="5" s="1"/>
  <c r="AI411" i="5" s="1"/>
  <c r="AI412" i="5" s="1"/>
  <c r="AI413" i="5" s="1"/>
  <c r="AI414" i="5" s="1"/>
  <c r="AI415" i="5" s="1"/>
  <c r="AI416" i="5" s="1"/>
  <c r="AI417" i="5" s="1"/>
  <c r="AI418" i="5" s="1"/>
  <c r="AI419" i="5" s="1"/>
  <c r="AI420" i="5" s="1"/>
  <c r="AI421" i="5" s="1"/>
  <c r="AI422" i="5" s="1"/>
  <c r="AI423" i="5" s="1"/>
  <c r="AI424" i="5" s="1"/>
  <c r="AI425" i="5" s="1"/>
  <c r="AI426" i="5" s="1"/>
  <c r="AI427" i="5" s="1"/>
  <c r="AB374" i="2"/>
  <c r="AC317" i="2"/>
  <c r="AC318" i="2" s="1"/>
  <c r="AC319" i="2" s="1"/>
  <c r="D29" i="20"/>
  <c r="B33" i="20"/>
  <c r="AH316" i="5"/>
  <c r="AA316" i="5"/>
  <c r="T316" i="5"/>
  <c r="M317" i="5"/>
  <c r="AD383" i="29" l="1"/>
  <c r="BR382" i="5"/>
  <c r="AH712" i="11" s="1"/>
  <c r="W384" i="29"/>
  <c r="BM383" i="5"/>
  <c r="AG713" i="11" s="1"/>
  <c r="BH382" i="5"/>
  <c r="AF712" i="11" s="1"/>
  <c r="N383" i="29"/>
  <c r="I33" i="20"/>
  <c r="J33" i="20"/>
  <c r="G347" i="29"/>
  <c r="BC346" i="5"/>
  <c r="AI428" i="5"/>
  <c r="AI429" i="5" s="1"/>
  <c r="AI430" i="5" s="1"/>
  <c r="AI431" i="5" s="1"/>
  <c r="AI432" i="5" s="1"/>
  <c r="AI433" i="5" s="1"/>
  <c r="AI434" i="5" s="1"/>
  <c r="AI435" i="5" s="1"/>
  <c r="AI436" i="5" s="1"/>
  <c r="AI437" i="5" s="1"/>
  <c r="AI438" i="5" s="1"/>
  <c r="AI439" i="5" s="1"/>
  <c r="AI440" i="5" s="1"/>
  <c r="AI441" i="5" s="1"/>
  <c r="AI442" i="5" s="1"/>
  <c r="AI443" i="5" s="1"/>
  <c r="AB375" i="2"/>
  <c r="B37" i="20"/>
  <c r="D33" i="20"/>
  <c r="A29" i="20"/>
  <c r="K29" i="20" s="1"/>
  <c r="AH317" i="5"/>
  <c r="AA317" i="5"/>
  <c r="T317" i="5"/>
  <c r="M318" i="5"/>
  <c r="AC320" i="2"/>
  <c r="BH383" i="5" l="1"/>
  <c r="AF713" i="11" s="1"/>
  <c r="N384" i="29"/>
  <c r="BM384" i="5"/>
  <c r="AG714" i="11" s="1"/>
  <c r="W385" i="29"/>
  <c r="AD384" i="29"/>
  <c r="BR383" i="5"/>
  <c r="AH713" i="11" s="1"/>
  <c r="M29" i="20"/>
  <c r="J37" i="20"/>
  <c r="I37" i="20"/>
  <c r="G348" i="29"/>
  <c r="BC347" i="5"/>
  <c r="AI444" i="5"/>
  <c r="AB376" i="2"/>
  <c r="A33" i="20"/>
  <c r="K33" i="20" s="1"/>
  <c r="D37" i="20"/>
  <c r="A37" i="20" s="1"/>
  <c r="K37" i="20" s="1"/>
  <c r="AH318" i="5"/>
  <c r="AA318" i="5"/>
  <c r="T318" i="5"/>
  <c r="M319" i="5"/>
  <c r="AC321" i="2"/>
  <c r="N385" i="29" l="1"/>
  <c r="BH384" i="5"/>
  <c r="AF714" i="11" s="1"/>
  <c r="AD385" i="29"/>
  <c r="BR384" i="5"/>
  <c r="AH714" i="11" s="1"/>
  <c r="W386" i="29"/>
  <c r="BM385" i="5"/>
  <c r="AG715" i="11" s="1"/>
  <c r="M33" i="20"/>
  <c r="M37" i="20"/>
  <c r="G349" i="29"/>
  <c r="BC348" i="5"/>
  <c r="AI445" i="5"/>
  <c r="AI446" i="5" s="1"/>
  <c r="AI447" i="5" s="1"/>
  <c r="AI448" i="5" s="1"/>
  <c r="AI449" i="5" s="1"/>
  <c r="AI450" i="5" s="1"/>
  <c r="AI451" i="5" s="1"/>
  <c r="AI452" i="5" s="1"/>
  <c r="AI453" i="5" s="1"/>
  <c r="AI454" i="5" s="1"/>
  <c r="AI455" i="5" s="1"/>
  <c r="AI456" i="5" s="1"/>
  <c r="AI457" i="5" s="1"/>
  <c r="AI458" i="5" s="1"/>
  <c r="AI459" i="5" s="1"/>
  <c r="AI460" i="5" s="1"/>
  <c r="AI461" i="5" s="1"/>
  <c r="AI462" i="5" s="1"/>
  <c r="AI463" i="5" s="1"/>
  <c r="AI464" i="5" s="1"/>
  <c r="AI465" i="5" s="1"/>
  <c r="AI466" i="5" s="1"/>
  <c r="AI467" i="5" s="1"/>
  <c r="AI468" i="5" s="1"/>
  <c r="AI469" i="5" s="1"/>
  <c r="AI470" i="5" s="1"/>
  <c r="AI471" i="5" s="1"/>
  <c r="AI472" i="5" s="1"/>
  <c r="AI473" i="5" s="1"/>
  <c r="AI474" i="5" s="1"/>
  <c r="AI475" i="5" s="1"/>
  <c r="AI476" i="5" s="1"/>
  <c r="AI477" i="5" s="1"/>
  <c r="AI478" i="5" s="1"/>
  <c r="AI479" i="5" s="1"/>
  <c r="AI480" i="5" s="1"/>
  <c r="AI481" i="5" s="1"/>
  <c r="AI482" i="5" s="1"/>
  <c r="AI483" i="5" s="1"/>
  <c r="AI484" i="5" s="1"/>
  <c r="AI485" i="5" s="1"/>
  <c r="AI486" i="5" s="1"/>
  <c r="AI487" i="5" s="1"/>
  <c r="AI488" i="5" s="1"/>
  <c r="AI489" i="5" s="1"/>
  <c r="AI490" i="5" s="1"/>
  <c r="AI491" i="5" s="1"/>
  <c r="AI492" i="5" s="1"/>
  <c r="AI493" i="5" s="1"/>
  <c r="AI494" i="5" s="1"/>
  <c r="AI495" i="5" s="1"/>
  <c r="AI496" i="5" s="1"/>
  <c r="AI497" i="5" s="1"/>
  <c r="AI498" i="5" s="1"/>
  <c r="AI499" i="5" s="1"/>
  <c r="AI500" i="5" s="1"/>
  <c r="AI501" i="5" s="1"/>
  <c r="AB377" i="2"/>
  <c r="AH319" i="5"/>
  <c r="AA319" i="5"/>
  <c r="T319" i="5"/>
  <c r="M320" i="5"/>
  <c r="AC322" i="2"/>
  <c r="W387" i="29" l="1"/>
  <c r="BM386" i="5"/>
  <c r="AG716" i="11" s="1"/>
  <c r="AD386" i="29"/>
  <c r="BR385" i="5"/>
  <c r="AH715" i="11" s="1"/>
  <c r="N386" i="29"/>
  <c r="BH385" i="5"/>
  <c r="AF715" i="11" s="1"/>
  <c r="G350" i="29"/>
  <c r="BC349" i="5"/>
  <c r="AI502" i="5"/>
  <c r="AI503" i="5" s="1"/>
  <c r="AI504" i="5" s="1"/>
  <c r="AI505" i="5" s="1"/>
  <c r="AB378" i="2"/>
  <c r="AH320" i="5"/>
  <c r="AA320" i="5"/>
  <c r="T320" i="5"/>
  <c r="M321" i="5"/>
  <c r="AC323" i="2"/>
  <c r="AD387" i="29" l="1"/>
  <c r="BR386" i="5"/>
  <c r="AH716" i="11" s="1"/>
  <c r="BH386" i="5"/>
  <c r="AF716" i="11" s="1"/>
  <c r="N387" i="29"/>
  <c r="BM387" i="5"/>
  <c r="AG717" i="11" s="1"/>
  <c r="W388" i="29"/>
  <c r="G351" i="29"/>
  <c r="BC350" i="5"/>
  <c r="AI506" i="5"/>
  <c r="AI507" i="5" s="1"/>
  <c r="AI508" i="5" s="1"/>
  <c r="AI509" i="5" s="1"/>
  <c r="AI510" i="5" s="1"/>
  <c r="AI511" i="5" s="1"/>
  <c r="AI512" i="5" s="1"/>
  <c r="AI513" i="5" s="1"/>
  <c r="AI514" i="5" s="1"/>
  <c r="AI515" i="5" s="1"/>
  <c r="AI516" i="5" s="1"/>
  <c r="AI517" i="5" s="1"/>
  <c r="AI518" i="5" s="1"/>
  <c r="AI519" i="5" s="1"/>
  <c r="AI520" i="5" s="1"/>
  <c r="AI521" i="5" s="1"/>
  <c r="AI522" i="5" s="1"/>
  <c r="AB379" i="2"/>
  <c r="AH321" i="5"/>
  <c r="AA321" i="5"/>
  <c r="T321" i="5"/>
  <c r="M322" i="5"/>
  <c r="AC324" i="2"/>
  <c r="W389" i="29" l="1"/>
  <c r="BM388" i="5"/>
  <c r="AG718" i="11" s="1"/>
  <c r="BH387" i="5"/>
  <c r="AF717" i="11" s="1"/>
  <c r="N388" i="29"/>
  <c r="AD388" i="29"/>
  <c r="BR387" i="5"/>
  <c r="AH717" i="11" s="1"/>
  <c r="G352" i="29"/>
  <c r="BC351" i="5"/>
  <c r="AI523" i="5"/>
  <c r="AB380" i="2"/>
  <c r="AH322" i="5"/>
  <c r="AA322" i="5"/>
  <c r="T322" i="5"/>
  <c r="M323" i="5"/>
  <c r="AC325" i="2"/>
  <c r="AD389" i="29" l="1"/>
  <c r="BR388" i="5"/>
  <c r="AH718" i="11" s="1"/>
  <c r="N389" i="29"/>
  <c r="BH388" i="5"/>
  <c r="AF718" i="11" s="1"/>
  <c r="W390" i="29"/>
  <c r="BM389" i="5"/>
  <c r="AG719" i="11" s="1"/>
  <c r="G353" i="29"/>
  <c r="BC352" i="5"/>
  <c r="AI524" i="5"/>
  <c r="AB381" i="2"/>
  <c r="AH323" i="5"/>
  <c r="AA323" i="5"/>
  <c r="T323" i="5"/>
  <c r="M324" i="5"/>
  <c r="AC326" i="2"/>
  <c r="W391" i="29" l="1"/>
  <c r="BM390" i="5"/>
  <c r="AG720" i="11" s="1"/>
  <c r="BH389" i="5"/>
  <c r="AF719" i="11" s="1"/>
  <c r="N390" i="29"/>
  <c r="AD390" i="29"/>
  <c r="BR389" i="5"/>
  <c r="AH719" i="11" s="1"/>
  <c r="G354" i="29"/>
  <c r="BC353" i="5"/>
  <c r="AI525" i="5"/>
  <c r="AB382" i="2"/>
  <c r="AH324" i="5"/>
  <c r="AA324" i="5"/>
  <c r="T324" i="5"/>
  <c r="M325" i="5"/>
  <c r="AC327" i="2"/>
  <c r="AD391" i="29" l="1"/>
  <c r="BR390" i="5"/>
  <c r="AH720" i="11" s="1"/>
  <c r="BH390" i="5"/>
  <c r="AF720" i="11" s="1"/>
  <c r="N391" i="29"/>
  <c r="W392" i="29"/>
  <c r="BM391" i="5"/>
  <c r="AG721" i="11" s="1"/>
  <c r="G355" i="29"/>
  <c r="BC354" i="5"/>
  <c r="AI526" i="5"/>
  <c r="AB383" i="2"/>
  <c r="AH325" i="5"/>
  <c r="AA325" i="5"/>
  <c r="T325" i="5"/>
  <c r="M326" i="5"/>
  <c r="AC328" i="2"/>
  <c r="W393" i="29" l="1"/>
  <c r="BM392" i="5"/>
  <c r="AG722" i="11" s="1"/>
  <c r="N392" i="29"/>
  <c r="BH391" i="5"/>
  <c r="AF721" i="11" s="1"/>
  <c r="BR391" i="5"/>
  <c r="AH721" i="11" s="1"/>
  <c r="AD392" i="29"/>
  <c r="G356" i="29"/>
  <c r="BC355" i="5"/>
  <c r="AI527" i="5"/>
  <c r="AB384" i="2"/>
  <c r="AH326" i="5"/>
  <c r="AA326" i="5"/>
  <c r="T326" i="5"/>
  <c r="M327" i="5"/>
  <c r="AC329" i="2"/>
  <c r="BR392" i="5" l="1"/>
  <c r="AH722" i="11" s="1"/>
  <c r="AD393" i="29"/>
  <c r="BH392" i="5"/>
  <c r="AF722" i="11" s="1"/>
  <c r="N393" i="29"/>
  <c r="W394" i="29"/>
  <c r="BM393" i="5"/>
  <c r="AG723" i="11" s="1"/>
  <c r="G357" i="29"/>
  <c r="BC356" i="5"/>
  <c r="AI528" i="5"/>
  <c r="AB385" i="2"/>
  <c r="AH327" i="5"/>
  <c r="AA327" i="5"/>
  <c r="T327" i="5"/>
  <c r="M328" i="5"/>
  <c r="AC330" i="2"/>
  <c r="W395" i="29" l="1"/>
  <c r="BM394" i="5"/>
  <c r="AG724" i="11" s="1"/>
  <c r="BR393" i="5"/>
  <c r="AH723" i="11" s="1"/>
  <c r="AD394" i="29"/>
  <c r="N394" i="29"/>
  <c r="BH393" i="5"/>
  <c r="AF723" i="11" s="1"/>
  <c r="G358" i="29"/>
  <c r="BC357" i="5"/>
  <c r="AI529" i="5"/>
  <c r="AB386" i="2"/>
  <c r="AH328" i="5"/>
  <c r="AA328" i="5"/>
  <c r="T328" i="5"/>
  <c r="M329" i="5"/>
  <c r="AC331" i="2"/>
  <c r="AD395" i="29" l="1"/>
  <c r="BR394" i="5"/>
  <c r="AH724" i="11" s="1"/>
  <c r="N395" i="29"/>
  <c r="BH394" i="5"/>
  <c r="AF724" i="11" s="1"/>
  <c r="W396" i="29"/>
  <c r="BM395" i="5"/>
  <c r="AG725" i="11" s="1"/>
  <c r="G359" i="29"/>
  <c r="BC358" i="5"/>
  <c r="AI530" i="5"/>
  <c r="AB387" i="2"/>
  <c r="AH329" i="5"/>
  <c r="AA329" i="5"/>
  <c r="T329" i="5"/>
  <c r="M330" i="5"/>
  <c r="AC332" i="2"/>
  <c r="W397" i="29" l="1"/>
  <c r="BM396" i="5"/>
  <c r="AG726" i="11" s="1"/>
  <c r="N396" i="29"/>
  <c r="BH395" i="5"/>
  <c r="AF725" i="11" s="1"/>
  <c r="BR395" i="5"/>
  <c r="AH725" i="11" s="1"/>
  <c r="AD396" i="29"/>
  <c r="G360" i="29"/>
  <c r="BC359" i="5"/>
  <c r="AI531" i="5"/>
  <c r="AB388" i="2"/>
  <c r="AH330" i="5"/>
  <c r="AA330" i="5"/>
  <c r="T330" i="5"/>
  <c r="M331" i="5"/>
  <c r="AC333" i="2"/>
  <c r="AD397" i="29" l="1"/>
  <c r="BR396" i="5"/>
  <c r="AH726" i="11" s="1"/>
  <c r="BH396" i="5"/>
  <c r="AF726" i="11" s="1"/>
  <c r="N397" i="29"/>
  <c r="W398" i="29"/>
  <c r="BM397" i="5"/>
  <c r="AG727" i="11" s="1"/>
  <c r="G361" i="29"/>
  <c r="BC360" i="5"/>
  <c r="AI532" i="5"/>
  <c r="AB389" i="2"/>
  <c r="AH331" i="5"/>
  <c r="AA331" i="5"/>
  <c r="T331" i="5"/>
  <c r="M332" i="5"/>
  <c r="AC334" i="2"/>
  <c r="N398" i="29" l="1"/>
  <c r="BH397" i="5"/>
  <c r="AF727" i="11" s="1"/>
  <c r="W399" i="29"/>
  <c r="BM398" i="5"/>
  <c r="AG728" i="11" s="1"/>
  <c r="AD398" i="29"/>
  <c r="BR397" i="5"/>
  <c r="AH727" i="11" s="1"/>
  <c r="G362" i="29"/>
  <c r="BC361" i="5"/>
  <c r="AI533" i="5"/>
  <c r="AB390" i="2"/>
  <c r="AH332" i="5"/>
  <c r="AA332" i="5"/>
  <c r="T332" i="5"/>
  <c r="M333" i="5"/>
  <c r="AC335" i="2"/>
  <c r="AD399" i="29" l="1"/>
  <c r="BR398" i="5"/>
  <c r="AH728" i="11" s="1"/>
  <c r="W400" i="29"/>
  <c r="BM399" i="5"/>
  <c r="AG729" i="11" s="1"/>
  <c r="BH398" i="5"/>
  <c r="AF728" i="11" s="1"/>
  <c r="N399" i="29"/>
  <c r="G363" i="29"/>
  <c r="BC362" i="5"/>
  <c r="AI534" i="5"/>
  <c r="AB391" i="2"/>
  <c r="AH333" i="5"/>
  <c r="AA333" i="5"/>
  <c r="T333" i="5"/>
  <c r="M334" i="5"/>
  <c r="AC336" i="2"/>
  <c r="AA648" i="11"/>
  <c r="AA649" i="11" s="1"/>
  <c r="AA650" i="11" s="1"/>
  <c r="AA651" i="11" s="1"/>
  <c r="AA652" i="11" s="1"/>
  <c r="AA653" i="11" s="1"/>
  <c r="AA654" i="11" s="1"/>
  <c r="AA655" i="11" s="1"/>
  <c r="AA656" i="11" s="1"/>
  <c r="AA657" i="11" s="1"/>
  <c r="AA658" i="11" s="1"/>
  <c r="AA659" i="11" s="1"/>
  <c r="AA660" i="11" s="1"/>
  <c r="AA661" i="11" s="1"/>
  <c r="AA662" i="11" s="1"/>
  <c r="AA663" i="11" s="1"/>
  <c r="AA664" i="11" s="1"/>
  <c r="AA665" i="11" s="1"/>
  <c r="AA666" i="11" s="1"/>
  <c r="AA667" i="11" s="1"/>
  <c r="AA668" i="11" s="1"/>
  <c r="AA669" i="11" s="1"/>
  <c r="AA670" i="11" s="1"/>
  <c r="AA671" i="11" s="1"/>
  <c r="AA672" i="11" s="1"/>
  <c r="AA647" i="11"/>
  <c r="AE654" i="11"/>
  <c r="AF654" i="11"/>
  <c r="AG654" i="11"/>
  <c r="AH654" i="11"/>
  <c r="AE655" i="11"/>
  <c r="AE656" i="11" s="1"/>
  <c r="AE657" i="11" s="1"/>
  <c r="AE658" i="11" s="1"/>
  <c r="AE659" i="11" s="1"/>
  <c r="AE660" i="11" s="1"/>
  <c r="AE661" i="11" s="1"/>
  <c r="AE662" i="11" s="1"/>
  <c r="AE663" i="11" s="1"/>
  <c r="AE664" i="11" s="1"/>
  <c r="AE665" i="11" s="1"/>
  <c r="AE666" i="11" s="1"/>
  <c r="AE667" i="11" s="1"/>
  <c r="AE668" i="11" s="1"/>
  <c r="AE669" i="11" s="1"/>
  <c r="AE670" i="11" s="1"/>
  <c r="AE671" i="11" s="1"/>
  <c r="AE672" i="11" s="1"/>
  <c r="AE673" i="11" s="1"/>
  <c r="AE674" i="11" s="1"/>
  <c r="AE675" i="11" s="1"/>
  <c r="AE676" i="11" s="1"/>
  <c r="AE677" i="11" s="1"/>
  <c r="AE678" i="11" s="1"/>
  <c r="AE679" i="11" s="1"/>
  <c r="AE680" i="11" s="1"/>
  <c r="AE681" i="11" s="1"/>
  <c r="AE682" i="11" s="1"/>
  <c r="AE683" i="11" s="1"/>
  <c r="AE684" i="11" s="1"/>
  <c r="AE685" i="11" s="1"/>
  <c r="AE686" i="11" s="1"/>
  <c r="AE687" i="11" s="1"/>
  <c r="AE688" i="11" s="1"/>
  <c r="AE689" i="11" s="1"/>
  <c r="AE690" i="11" s="1"/>
  <c r="AE691" i="11" s="1"/>
  <c r="AE692" i="11" s="1"/>
  <c r="AE693" i="11" s="1"/>
  <c r="AE694" i="11" s="1"/>
  <c r="AE695" i="11" s="1"/>
  <c r="AE696" i="11" s="1"/>
  <c r="AE697" i="11" s="1"/>
  <c r="AE698" i="11" s="1"/>
  <c r="AE699" i="11" s="1"/>
  <c r="AE700" i="11" s="1"/>
  <c r="AE701" i="11" s="1"/>
  <c r="AE702" i="11" s="1"/>
  <c r="AE703" i="11" s="1"/>
  <c r="AF655" i="11"/>
  <c r="AF656" i="11" s="1"/>
  <c r="AF657" i="11" s="1"/>
  <c r="AF658" i="11" s="1"/>
  <c r="AF659" i="11" s="1"/>
  <c r="AF660" i="11" s="1"/>
  <c r="AF661" i="11" s="1"/>
  <c r="AF662" i="11" s="1"/>
  <c r="AF663" i="11" s="1"/>
  <c r="AF664" i="11" s="1"/>
  <c r="AF665" i="11" s="1"/>
  <c r="AF666" i="11" s="1"/>
  <c r="AF667" i="11" s="1"/>
  <c r="AF668" i="11" s="1"/>
  <c r="AF669" i="11" s="1"/>
  <c r="AF670" i="11" s="1"/>
  <c r="AF671" i="11" s="1"/>
  <c r="AF672" i="11" s="1"/>
  <c r="AF673" i="11" s="1"/>
  <c r="AF674" i="11" s="1"/>
  <c r="AF675" i="11" s="1"/>
  <c r="AF676" i="11" s="1"/>
  <c r="AF677" i="11" s="1"/>
  <c r="AF678" i="11" s="1"/>
  <c r="AF679" i="11" s="1"/>
  <c r="AF680" i="11" s="1"/>
  <c r="AF681" i="11" s="1"/>
  <c r="AF682" i="11" s="1"/>
  <c r="AF683" i="11" s="1"/>
  <c r="AF684" i="11" s="1"/>
  <c r="AF685" i="11" s="1"/>
  <c r="AF686" i="11" s="1"/>
  <c r="AF687" i="11" s="1"/>
  <c r="AF688" i="11" s="1"/>
  <c r="AF689" i="11" s="1"/>
  <c r="AF690" i="11" s="1"/>
  <c r="AF691" i="11" s="1"/>
  <c r="AF692" i="11" s="1"/>
  <c r="AF693" i="11" s="1"/>
  <c r="AF694" i="11" s="1"/>
  <c r="AF695" i="11" s="1"/>
  <c r="AF696" i="11" s="1"/>
  <c r="AF697" i="11" s="1"/>
  <c r="AF698" i="11" s="1"/>
  <c r="AF699" i="11" s="1"/>
  <c r="AF700" i="11" s="1"/>
  <c r="AF701" i="11" s="1"/>
  <c r="AF702" i="11" s="1"/>
  <c r="AF703" i="11" s="1"/>
  <c r="AG655" i="11"/>
  <c r="AG656" i="11" s="1"/>
  <c r="AG657" i="11" s="1"/>
  <c r="AG658" i="11" s="1"/>
  <c r="AG659" i="11" s="1"/>
  <c r="AG660" i="11" s="1"/>
  <c r="AG661" i="11" s="1"/>
  <c r="AG662" i="11" s="1"/>
  <c r="AG663" i="11" s="1"/>
  <c r="AG664" i="11" s="1"/>
  <c r="AG665" i="11" s="1"/>
  <c r="AG666" i="11" s="1"/>
  <c r="AG667" i="11" s="1"/>
  <c r="AG668" i="11" s="1"/>
  <c r="AG669" i="11" s="1"/>
  <c r="AG670" i="11" s="1"/>
  <c r="AG671" i="11" s="1"/>
  <c r="AG672" i="11" s="1"/>
  <c r="AG673" i="11" s="1"/>
  <c r="AG674" i="11" s="1"/>
  <c r="AG675" i="11" s="1"/>
  <c r="AG676" i="11" s="1"/>
  <c r="AG677" i="11" s="1"/>
  <c r="AG678" i="11" s="1"/>
  <c r="AG679" i="11" s="1"/>
  <c r="AG680" i="11" s="1"/>
  <c r="AG681" i="11" s="1"/>
  <c r="AG682" i="11" s="1"/>
  <c r="AG683" i="11" s="1"/>
  <c r="AG684" i="11" s="1"/>
  <c r="AG685" i="11" s="1"/>
  <c r="AG686" i="11" s="1"/>
  <c r="AG687" i="11" s="1"/>
  <c r="AG688" i="11" s="1"/>
  <c r="AG689" i="11" s="1"/>
  <c r="AG690" i="11" s="1"/>
  <c r="AG691" i="11" s="1"/>
  <c r="AG692" i="11" s="1"/>
  <c r="AG693" i="11" s="1"/>
  <c r="AG694" i="11" s="1"/>
  <c r="AG695" i="11" s="1"/>
  <c r="AG696" i="11" s="1"/>
  <c r="AG697" i="11" s="1"/>
  <c r="AG698" i="11" s="1"/>
  <c r="AG699" i="11" s="1"/>
  <c r="AG700" i="11" s="1"/>
  <c r="AG701" i="11" s="1"/>
  <c r="AG702" i="11" s="1"/>
  <c r="AG703" i="11" s="1"/>
  <c r="AH655" i="11"/>
  <c r="AH656" i="11" s="1"/>
  <c r="AH657" i="11" s="1"/>
  <c r="AH658" i="11" s="1"/>
  <c r="AH659" i="11" s="1"/>
  <c r="AH660" i="11" s="1"/>
  <c r="AH661" i="11" s="1"/>
  <c r="AH662" i="11" s="1"/>
  <c r="AH663" i="11" s="1"/>
  <c r="AH664" i="11" s="1"/>
  <c r="AH665" i="11" s="1"/>
  <c r="AH666" i="11" s="1"/>
  <c r="AH667" i="11" s="1"/>
  <c r="AH668" i="11" s="1"/>
  <c r="AH669" i="11" s="1"/>
  <c r="AH670" i="11" s="1"/>
  <c r="AH671" i="11" s="1"/>
  <c r="AH672" i="11" s="1"/>
  <c r="AH673" i="11" s="1"/>
  <c r="AH674" i="11" s="1"/>
  <c r="AH675" i="11" s="1"/>
  <c r="AH676" i="11" s="1"/>
  <c r="AH677" i="11" s="1"/>
  <c r="AH678" i="11" s="1"/>
  <c r="AH679" i="11" s="1"/>
  <c r="AH680" i="11" s="1"/>
  <c r="AH681" i="11" s="1"/>
  <c r="AH682" i="11" s="1"/>
  <c r="AH683" i="11" s="1"/>
  <c r="AH684" i="11" s="1"/>
  <c r="AH685" i="11" s="1"/>
  <c r="AH686" i="11" s="1"/>
  <c r="AH687" i="11" s="1"/>
  <c r="AH688" i="11" s="1"/>
  <c r="AH689" i="11" s="1"/>
  <c r="AH690" i="11" s="1"/>
  <c r="AH691" i="11" s="1"/>
  <c r="AH692" i="11" s="1"/>
  <c r="AH693" i="11" s="1"/>
  <c r="AH694" i="11" s="1"/>
  <c r="AH695" i="11" s="1"/>
  <c r="AH696" i="11" s="1"/>
  <c r="AH697" i="11" s="1"/>
  <c r="AH698" i="11" s="1"/>
  <c r="AH699" i="11" s="1"/>
  <c r="AH700" i="11" s="1"/>
  <c r="AH701" i="11" s="1"/>
  <c r="AH702" i="11" s="1"/>
  <c r="AH703" i="11" s="1"/>
  <c r="AH653" i="11"/>
  <c r="AG653" i="11"/>
  <c r="AF653" i="11"/>
  <c r="AE653" i="11"/>
  <c r="AH652" i="11"/>
  <c r="AG652" i="11"/>
  <c r="AF652" i="11"/>
  <c r="AE652" i="11"/>
  <c r="AH651" i="11"/>
  <c r="AG651" i="11"/>
  <c r="AF651" i="11"/>
  <c r="AE651" i="11"/>
  <c r="AH650" i="11"/>
  <c r="AG650" i="11"/>
  <c r="AF650" i="11"/>
  <c r="AE650" i="11"/>
  <c r="AD649" i="11"/>
  <c r="M648" i="11"/>
  <c r="M649" i="11" s="1"/>
  <c r="M650" i="11" s="1"/>
  <c r="M651" i="11" s="1"/>
  <c r="M652" i="11" s="1"/>
  <c r="M653" i="11" s="1"/>
  <c r="M654" i="11" s="1"/>
  <c r="M655" i="11" s="1"/>
  <c r="M656" i="11" s="1"/>
  <c r="M657" i="11" s="1"/>
  <c r="M658" i="11" s="1"/>
  <c r="M659" i="11" s="1"/>
  <c r="M660" i="11" s="1"/>
  <c r="M661" i="11" s="1"/>
  <c r="M662" i="11" s="1"/>
  <c r="M663" i="11" s="1"/>
  <c r="M664" i="11" s="1"/>
  <c r="M665" i="11" s="1"/>
  <c r="M666" i="11" s="1"/>
  <c r="M667" i="11" s="1"/>
  <c r="M668" i="11" s="1"/>
  <c r="M669" i="11" s="1"/>
  <c r="M670" i="11" s="1"/>
  <c r="M671" i="11" s="1"/>
  <c r="M672" i="11" s="1"/>
  <c r="M673" i="11" s="1"/>
  <c r="M674" i="11" s="1"/>
  <c r="M675" i="11" s="1"/>
  <c r="M676" i="11" s="1"/>
  <c r="M677" i="11" s="1"/>
  <c r="M678" i="11" s="1"/>
  <c r="M679" i="11" s="1"/>
  <c r="M680" i="11" s="1"/>
  <c r="M681" i="11" s="1"/>
  <c r="M682" i="11" s="1"/>
  <c r="M683" i="11" s="1"/>
  <c r="M684" i="11" s="1"/>
  <c r="M685" i="11" s="1"/>
  <c r="M686" i="11" s="1"/>
  <c r="M687" i="11" s="1"/>
  <c r="M688" i="11" s="1"/>
  <c r="M689" i="11" s="1"/>
  <c r="M690" i="11" s="1"/>
  <c r="M691" i="11" s="1"/>
  <c r="M692" i="11" s="1"/>
  <c r="M693" i="11" s="1"/>
  <c r="M694" i="11" s="1"/>
  <c r="M695" i="11" s="1"/>
  <c r="M696" i="11" s="1"/>
  <c r="M697" i="11" s="1"/>
  <c r="M698" i="11" s="1"/>
  <c r="M699" i="11" s="1"/>
  <c r="M700" i="11" s="1"/>
  <c r="M701" i="11" s="1"/>
  <c r="M702" i="11" s="1"/>
  <c r="M703" i="11" s="1"/>
  <c r="M704" i="11" s="1"/>
  <c r="M705" i="11" s="1"/>
  <c r="M706" i="11" s="1"/>
  <c r="M707" i="11" s="1"/>
  <c r="M708" i="11" s="1"/>
  <c r="M709" i="11" s="1"/>
  <c r="M710" i="11" s="1"/>
  <c r="M711" i="11" s="1"/>
  <c r="M712" i="11" s="1"/>
  <c r="M713" i="11" s="1"/>
  <c r="M714" i="11" s="1"/>
  <c r="M715" i="11" s="1"/>
  <c r="M716" i="11" s="1"/>
  <c r="M717" i="11" s="1"/>
  <c r="M718" i="11" s="1"/>
  <c r="M719" i="11" s="1"/>
  <c r="M720" i="11" s="1"/>
  <c r="M721" i="11" s="1"/>
  <c r="M722" i="11" s="1"/>
  <c r="M723" i="11" s="1"/>
  <c r="M724" i="11" s="1"/>
  <c r="M725" i="11" s="1"/>
  <c r="M726" i="11" s="1"/>
  <c r="M727" i="11" s="1"/>
  <c r="M728" i="11" s="1"/>
  <c r="M729" i="11" s="1"/>
  <c r="M730" i="11" s="1"/>
  <c r="M731" i="11" s="1"/>
  <c r="M732" i="11" s="1"/>
  <c r="M733" i="11" s="1"/>
  <c r="M734" i="11" s="1"/>
  <c r="N400" i="29" l="1"/>
  <c r="BH399" i="5"/>
  <c r="AF729" i="11" s="1"/>
  <c r="W401" i="29"/>
  <c r="BM400" i="5"/>
  <c r="AG730" i="11" s="1"/>
  <c r="AD400" i="29"/>
  <c r="BR399" i="5"/>
  <c r="AH729" i="11" s="1"/>
  <c r="G364" i="29"/>
  <c r="BC363" i="5"/>
  <c r="AI535" i="5"/>
  <c r="AB392" i="2"/>
  <c r="AH334" i="5"/>
  <c r="AA334" i="5"/>
  <c r="T334" i="5"/>
  <c r="M335" i="5"/>
  <c r="AC337" i="2"/>
  <c r="AD401" i="29" l="1"/>
  <c r="BR400" i="5"/>
  <c r="AH730" i="11" s="1"/>
  <c r="BM401" i="5"/>
  <c r="AG731" i="11" s="1"/>
  <c r="W402" i="29"/>
  <c r="N401" i="29"/>
  <c r="BH400" i="5"/>
  <c r="AF730" i="11" s="1"/>
  <c r="G365" i="29"/>
  <c r="BC364" i="5"/>
  <c r="AI536" i="5"/>
  <c r="AB393" i="2"/>
  <c r="AH335" i="5"/>
  <c r="AA335" i="5"/>
  <c r="T335" i="5"/>
  <c r="M336" i="5"/>
  <c r="AC338" i="2"/>
  <c r="N402" i="29" l="1"/>
  <c r="BH401" i="5"/>
  <c r="AF731" i="11" s="1"/>
  <c r="BM402" i="5"/>
  <c r="AG732" i="11" s="1"/>
  <c r="W403" i="29"/>
  <c r="BR401" i="5"/>
  <c r="AH731" i="11" s="1"/>
  <c r="AD402" i="29"/>
  <c r="G366" i="29"/>
  <c r="BC365" i="5"/>
  <c r="AI537" i="5"/>
  <c r="AB394" i="2"/>
  <c r="AH336" i="5"/>
  <c r="AA336" i="5"/>
  <c r="T336" i="5"/>
  <c r="M337" i="5"/>
  <c r="AC339" i="2"/>
  <c r="AD403" i="29" l="1"/>
  <c r="BR402" i="5"/>
  <c r="AH732" i="11" s="1"/>
  <c r="BM403" i="5"/>
  <c r="AG733" i="11" s="1"/>
  <c r="W404" i="29"/>
  <c r="W405" i="29" s="1"/>
  <c r="BH402" i="5"/>
  <c r="AF732" i="11" s="1"/>
  <c r="N403" i="29"/>
  <c r="G367" i="29"/>
  <c r="BC366" i="5"/>
  <c r="AI538" i="5"/>
  <c r="AB395" i="2"/>
  <c r="AH337" i="5"/>
  <c r="AA337" i="5"/>
  <c r="T337" i="5"/>
  <c r="M338" i="5"/>
  <c r="AC340" i="2"/>
  <c r="N404" i="29" l="1"/>
  <c r="BH403" i="5"/>
  <c r="AF733" i="11" s="1"/>
  <c r="BM404" i="5"/>
  <c r="AG734" i="11" s="1"/>
  <c r="AA404" i="29"/>
  <c r="AD404" i="29"/>
  <c r="AD405" i="29" s="1"/>
  <c r="BR403" i="5"/>
  <c r="AH733" i="11" s="1"/>
  <c r="G368" i="29"/>
  <c r="BC367" i="5"/>
  <c r="AI539" i="5"/>
  <c r="AB396" i="2"/>
  <c r="AH338" i="5"/>
  <c r="AA338" i="5"/>
  <c r="T338" i="5"/>
  <c r="M339" i="5"/>
  <c r="AC341" i="2"/>
  <c r="AH404" i="29" l="1"/>
  <c r="AE404" i="29" s="1"/>
  <c r="BR404" i="5"/>
  <c r="AH734" i="11" s="1"/>
  <c r="BM406" i="5"/>
  <c r="AG736" i="11" s="1"/>
  <c r="BM405" i="5"/>
  <c r="AG735" i="11" s="1"/>
  <c r="N405" i="29"/>
  <c r="BH405" i="5" s="1"/>
  <c r="AF735" i="11" s="1"/>
  <c r="T404" i="29"/>
  <c r="V403" i="29" s="1"/>
  <c r="BH404" i="5"/>
  <c r="AF734" i="11" s="1"/>
  <c r="G369" i="29"/>
  <c r="BC368" i="5"/>
  <c r="AI540" i="5"/>
  <c r="AB397" i="2"/>
  <c r="AH339" i="5"/>
  <c r="AA339" i="5"/>
  <c r="T339" i="5"/>
  <c r="M340" i="5"/>
  <c r="AC342" i="2"/>
  <c r="BR406" i="5" l="1"/>
  <c r="AH736" i="11" s="1"/>
  <c r="BR405" i="5"/>
  <c r="AH735" i="11" s="1"/>
  <c r="BS404" i="5"/>
  <c r="AE403" i="29"/>
  <c r="BC369" i="5"/>
  <c r="G373" i="29"/>
  <c r="G375" i="29" s="1"/>
  <c r="AI541" i="5"/>
  <c r="AB398" i="2"/>
  <c r="AH340" i="5"/>
  <c r="AA340" i="5"/>
  <c r="T340" i="5"/>
  <c r="M341" i="5"/>
  <c r="AC343" i="2"/>
  <c r="G374" i="29" l="1"/>
  <c r="BC375" i="5"/>
  <c r="AE705" i="11" s="1"/>
  <c r="G376" i="29"/>
  <c r="AE402" i="29"/>
  <c r="BS403" i="5"/>
  <c r="BI404" i="5"/>
  <c r="P403" i="29"/>
  <c r="K373" i="29"/>
  <c r="BC373" i="5"/>
  <c r="AI542" i="5"/>
  <c r="AB399" i="2"/>
  <c r="AH341" i="5"/>
  <c r="AA341" i="5"/>
  <c r="T341" i="5"/>
  <c r="M342" i="5"/>
  <c r="AC344" i="2"/>
  <c r="G377" i="29" l="1"/>
  <c r="BC376" i="5"/>
  <c r="AE706" i="11" s="1"/>
  <c r="P402" i="29"/>
  <c r="BI403" i="5"/>
  <c r="AE401" i="29"/>
  <c r="BS402" i="5"/>
  <c r="BC374" i="5"/>
  <c r="AE704" i="11" s="1"/>
  <c r="AI543" i="5"/>
  <c r="AB400" i="2"/>
  <c r="AH342" i="5"/>
  <c r="AA342" i="5"/>
  <c r="T342" i="5"/>
  <c r="M343" i="5"/>
  <c r="AC345" i="2"/>
  <c r="AE400" i="29" l="1"/>
  <c r="BS401" i="5"/>
  <c r="P401" i="29"/>
  <c r="BI402" i="5"/>
  <c r="G378" i="29"/>
  <c r="BC377" i="5"/>
  <c r="AE707" i="11" s="1"/>
  <c r="AI544" i="5"/>
  <c r="AB401" i="2"/>
  <c r="AH343" i="5"/>
  <c r="AA343" i="5"/>
  <c r="T343" i="5"/>
  <c r="M344" i="5"/>
  <c r="AC346" i="2"/>
  <c r="G379" i="29" l="1"/>
  <c r="BC378" i="5"/>
  <c r="AE708" i="11" s="1"/>
  <c r="P400" i="29"/>
  <c r="BI401" i="5"/>
  <c r="AE399" i="29"/>
  <c r="BS400" i="5"/>
  <c r="AI545" i="5"/>
  <c r="AB402" i="2"/>
  <c r="AH344" i="5"/>
  <c r="AA344" i="5"/>
  <c r="T344" i="5"/>
  <c r="M345" i="5"/>
  <c r="AC347" i="2"/>
  <c r="AE398" i="29" l="1"/>
  <c r="BS399" i="5"/>
  <c r="P399" i="29"/>
  <c r="BI400" i="5"/>
  <c r="G380" i="29"/>
  <c r="BC379" i="5"/>
  <c r="AE709" i="11" s="1"/>
  <c r="AI546" i="5"/>
  <c r="AB403" i="2"/>
  <c r="AH345" i="5"/>
  <c r="AA345" i="5"/>
  <c r="T345" i="5"/>
  <c r="M346" i="5"/>
  <c r="AC348" i="2"/>
  <c r="G381" i="29" l="1"/>
  <c r="BC380" i="5"/>
  <c r="AE710" i="11" s="1"/>
  <c r="P398" i="29"/>
  <c r="BI399" i="5"/>
  <c r="AE397" i="29"/>
  <c r="BS398" i="5"/>
  <c r="AI547" i="5"/>
  <c r="AB404" i="2"/>
  <c r="AB405" i="2" s="1"/>
  <c r="AH346" i="5"/>
  <c r="AA346" i="5"/>
  <c r="T346" i="5"/>
  <c r="M347" i="5"/>
  <c r="AC349" i="2"/>
  <c r="P397" i="29" l="1"/>
  <c r="BI398" i="5"/>
  <c r="AE396" i="29"/>
  <c r="BS397" i="5"/>
  <c r="G382" i="29"/>
  <c r="BC381" i="5"/>
  <c r="AE711" i="11" s="1"/>
  <c r="AI548" i="5"/>
  <c r="AB406" i="2"/>
  <c r="AB407" i="2" s="1"/>
  <c r="AH347" i="5"/>
  <c r="AA347" i="5"/>
  <c r="T347" i="5"/>
  <c r="M348" i="5"/>
  <c r="AC350" i="2"/>
  <c r="G383" i="29" l="1"/>
  <c r="BC382" i="5"/>
  <c r="AE712" i="11" s="1"/>
  <c r="AE395" i="29"/>
  <c r="BS396" i="5"/>
  <c r="P396" i="29"/>
  <c r="BI397" i="5"/>
  <c r="AI549" i="5"/>
  <c r="AB408" i="2"/>
  <c r="AB409" i="2" s="1"/>
  <c r="AH348" i="5"/>
  <c r="AA348" i="5"/>
  <c r="T348" i="5"/>
  <c r="M349" i="5"/>
  <c r="AC351" i="2"/>
  <c r="AE394" i="29" l="1"/>
  <c r="BS395" i="5"/>
  <c r="P395" i="29"/>
  <c r="BI396" i="5"/>
  <c r="G384" i="29"/>
  <c r="BC383" i="5"/>
  <c r="AE713" i="11" s="1"/>
  <c r="AI550" i="5"/>
  <c r="AB410" i="2"/>
  <c r="AB411" i="2" s="1"/>
  <c r="AB412" i="2" s="1"/>
  <c r="AB413" i="2" s="1"/>
  <c r="AH349" i="5"/>
  <c r="AA349" i="5"/>
  <c r="T349" i="5"/>
  <c r="M350" i="5"/>
  <c r="AC352" i="2"/>
  <c r="G385" i="29" l="1"/>
  <c r="BC384" i="5"/>
  <c r="AE714" i="11" s="1"/>
  <c r="P394" i="29"/>
  <c r="BI395" i="5"/>
  <c r="AE393" i="29"/>
  <c r="BS394" i="5"/>
  <c r="AI551" i="5"/>
  <c r="AB414" i="2"/>
  <c r="AB415" i="2" s="1"/>
  <c r="AB416" i="2" s="1"/>
  <c r="AB417" i="2" s="1"/>
  <c r="AH350" i="5"/>
  <c r="AA350" i="5"/>
  <c r="T350" i="5"/>
  <c r="M351" i="5"/>
  <c r="AC353" i="2"/>
  <c r="AE392" i="29" l="1"/>
  <c r="BS393" i="5"/>
  <c r="P393" i="29"/>
  <c r="BI394" i="5"/>
  <c r="G386" i="29"/>
  <c r="BC385" i="5"/>
  <c r="AE715" i="11" s="1"/>
  <c r="AI552" i="5"/>
  <c r="AB418" i="2"/>
  <c r="AH351" i="5"/>
  <c r="AA351" i="5"/>
  <c r="T351" i="5"/>
  <c r="M352" i="5"/>
  <c r="AC354" i="2"/>
  <c r="G387" i="29" l="1"/>
  <c r="BC386" i="5"/>
  <c r="AE716" i="11" s="1"/>
  <c r="P392" i="29"/>
  <c r="BI393" i="5"/>
  <c r="AE391" i="29"/>
  <c r="BS392" i="5"/>
  <c r="AI553" i="5"/>
  <c r="AB419" i="2"/>
  <c r="AB420" i="2" s="1"/>
  <c r="AH352" i="5"/>
  <c r="AA352" i="5"/>
  <c r="T352" i="5"/>
  <c r="M353" i="5"/>
  <c r="AC355" i="2"/>
  <c r="P391" i="29" l="1"/>
  <c r="BI392" i="5"/>
  <c r="AE390" i="29"/>
  <c r="BS391" i="5"/>
  <c r="G388" i="29"/>
  <c r="BC387" i="5"/>
  <c r="AE717" i="11" s="1"/>
  <c r="AI554" i="5"/>
  <c r="AB421" i="2"/>
  <c r="AH353" i="5"/>
  <c r="AA353" i="5"/>
  <c r="T353" i="5"/>
  <c r="M354" i="5"/>
  <c r="AC356" i="2"/>
  <c r="G389" i="29" l="1"/>
  <c r="BC388" i="5"/>
  <c r="AE718" i="11" s="1"/>
  <c r="AE389" i="29"/>
  <c r="BS390" i="5"/>
  <c r="P390" i="29"/>
  <c r="BI391" i="5"/>
  <c r="AI555" i="5"/>
  <c r="AB422" i="2"/>
  <c r="AH354" i="5"/>
  <c r="AA354" i="5"/>
  <c r="T354" i="5"/>
  <c r="M355" i="5"/>
  <c r="AC357" i="2"/>
  <c r="AE388" i="29" l="1"/>
  <c r="BS389" i="5"/>
  <c r="P389" i="29"/>
  <c r="BI390" i="5"/>
  <c r="G390" i="29"/>
  <c r="BC389" i="5"/>
  <c r="AE719" i="11" s="1"/>
  <c r="AI556" i="5"/>
  <c r="AB423" i="2"/>
  <c r="AH355" i="5"/>
  <c r="AA355" i="5"/>
  <c r="T355" i="5"/>
  <c r="M356" i="5"/>
  <c r="AC358" i="2"/>
  <c r="G391" i="29" l="1"/>
  <c r="BC390" i="5"/>
  <c r="AE720" i="11" s="1"/>
  <c r="P388" i="29"/>
  <c r="BI389" i="5"/>
  <c r="AE387" i="29"/>
  <c r="BS388" i="5"/>
  <c r="AI557" i="5"/>
  <c r="AB424" i="2"/>
  <c r="AH356" i="5"/>
  <c r="AA356" i="5"/>
  <c r="T356" i="5"/>
  <c r="M357" i="5"/>
  <c r="AC359" i="2"/>
  <c r="AE386" i="29" l="1"/>
  <c r="BS387" i="5"/>
  <c r="P387" i="29"/>
  <c r="BI388" i="5"/>
  <c r="G392" i="29"/>
  <c r="BC391" i="5"/>
  <c r="AE721" i="11" s="1"/>
  <c r="AI558" i="5"/>
  <c r="AB425" i="2"/>
  <c r="AH357" i="5"/>
  <c r="AA357" i="5"/>
  <c r="T357" i="5"/>
  <c r="M358" i="5"/>
  <c r="AC360" i="2"/>
  <c r="G393" i="29" l="1"/>
  <c r="BC392" i="5"/>
  <c r="AE722" i="11" s="1"/>
  <c r="P386" i="29"/>
  <c r="BI387" i="5"/>
  <c r="AE385" i="29"/>
  <c r="BS386" i="5"/>
  <c r="AI559" i="5"/>
  <c r="AB426" i="2"/>
  <c r="AH358" i="5"/>
  <c r="AA358" i="5"/>
  <c r="T358" i="5"/>
  <c r="M359" i="5"/>
  <c r="AC361" i="2"/>
  <c r="P385" i="29" l="1"/>
  <c r="BI386" i="5"/>
  <c r="AE384" i="29"/>
  <c r="BS385" i="5"/>
  <c r="G394" i="29"/>
  <c r="BC393" i="5"/>
  <c r="AE723" i="11" s="1"/>
  <c r="AI560" i="5"/>
  <c r="AB427" i="2"/>
  <c r="AH359" i="5"/>
  <c r="AA359" i="5"/>
  <c r="T359" i="5"/>
  <c r="M360" i="5"/>
  <c r="AC362" i="2"/>
  <c r="G395" i="29" l="1"/>
  <c r="BC394" i="5"/>
  <c r="AE724" i="11" s="1"/>
  <c r="AE383" i="29"/>
  <c r="BS384" i="5"/>
  <c r="P384" i="29"/>
  <c r="BI385" i="5"/>
  <c r="AI561" i="5"/>
  <c r="AB428" i="2"/>
  <c r="AH360" i="5"/>
  <c r="AA360" i="5"/>
  <c r="T360" i="5"/>
  <c r="M361" i="5"/>
  <c r="AC363" i="2"/>
  <c r="P383" i="29" l="1"/>
  <c r="BI384" i="5"/>
  <c r="AE382" i="29"/>
  <c r="BS383" i="5"/>
  <c r="G396" i="29"/>
  <c r="BC395" i="5"/>
  <c r="AE725" i="11" s="1"/>
  <c r="AI562" i="5"/>
  <c r="AB429" i="2"/>
  <c r="AB430" i="2" s="1"/>
  <c r="AH361" i="5"/>
  <c r="AA361" i="5"/>
  <c r="T361" i="5"/>
  <c r="M362" i="5"/>
  <c r="AC364" i="2"/>
  <c r="G397" i="29" l="1"/>
  <c r="BC396" i="5"/>
  <c r="AE726" i="11" s="1"/>
  <c r="AE381" i="29"/>
  <c r="BS382" i="5"/>
  <c r="P382" i="29"/>
  <c r="BI383" i="5"/>
  <c r="AI563" i="5"/>
  <c r="AB431" i="2"/>
  <c r="AH362" i="5"/>
  <c r="AA362" i="5"/>
  <c r="T362" i="5"/>
  <c r="M363" i="5"/>
  <c r="AC365" i="2"/>
  <c r="P381" i="29" l="1"/>
  <c r="BI382" i="5"/>
  <c r="AE380" i="29"/>
  <c r="BS381" i="5"/>
  <c r="G398" i="29"/>
  <c r="BC397" i="5"/>
  <c r="AE727" i="11" s="1"/>
  <c r="AI564" i="5"/>
  <c r="AB432" i="2"/>
  <c r="AH363" i="5"/>
  <c r="AA363" i="5"/>
  <c r="T363" i="5"/>
  <c r="M364" i="5"/>
  <c r="AC366" i="2"/>
  <c r="G399" i="29" l="1"/>
  <c r="BC398" i="5"/>
  <c r="AE728" i="11" s="1"/>
  <c r="AE379" i="29"/>
  <c r="BS380" i="5"/>
  <c r="P380" i="29"/>
  <c r="BI381" i="5"/>
  <c r="AI565" i="5"/>
  <c r="AB433" i="2"/>
  <c r="AH364" i="5"/>
  <c r="AA364" i="5"/>
  <c r="T364" i="5"/>
  <c r="M365" i="5"/>
  <c r="AC367" i="2"/>
  <c r="AE378" i="29" l="1"/>
  <c r="BS379" i="5"/>
  <c r="P379" i="29"/>
  <c r="BI380" i="5"/>
  <c r="G400" i="29"/>
  <c r="BC399" i="5"/>
  <c r="AE729" i="11" s="1"/>
  <c r="AI566" i="5"/>
  <c r="AB434" i="2"/>
  <c r="AH365" i="5"/>
  <c r="AA365" i="5"/>
  <c r="T365" i="5"/>
  <c r="M366" i="5"/>
  <c r="AC368" i="2"/>
  <c r="G401" i="29" l="1"/>
  <c r="BC400" i="5"/>
  <c r="AE730" i="11" s="1"/>
  <c r="P378" i="29"/>
  <c r="BI379" i="5"/>
  <c r="AE377" i="29"/>
  <c r="BS378" i="5"/>
  <c r="AI567" i="5"/>
  <c r="AB435" i="2"/>
  <c r="AH366" i="5"/>
  <c r="AA366" i="5"/>
  <c r="T366" i="5"/>
  <c r="M367" i="5"/>
  <c r="AC369" i="2"/>
  <c r="AC373" i="2" s="1"/>
  <c r="AE376" i="29" l="1"/>
  <c r="BS377" i="5"/>
  <c r="P377" i="29"/>
  <c r="BI378" i="5"/>
  <c r="G402" i="29"/>
  <c r="BC401" i="5"/>
  <c r="AE731" i="11" s="1"/>
  <c r="AI568" i="5"/>
  <c r="AB436" i="2"/>
  <c r="AC374" i="2"/>
  <c r="AH367" i="5"/>
  <c r="AA367" i="5"/>
  <c r="T367" i="5"/>
  <c r="M368" i="5"/>
  <c r="AC370" i="2"/>
  <c r="G403" i="29" l="1"/>
  <c r="BC402" i="5"/>
  <c r="AE732" i="11" s="1"/>
  <c r="P376" i="29"/>
  <c r="BI377" i="5"/>
  <c r="AE375" i="29"/>
  <c r="BS376" i="5"/>
  <c r="AI569" i="5"/>
  <c r="AB437" i="2"/>
  <c r="AC375" i="2"/>
  <c r="AH368" i="5"/>
  <c r="AA368" i="5"/>
  <c r="T368" i="5"/>
  <c r="M369" i="5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M388" i="5" s="1"/>
  <c r="M389" i="5" s="1"/>
  <c r="M390" i="5" s="1"/>
  <c r="M391" i="5" s="1"/>
  <c r="M392" i="5" s="1"/>
  <c r="M393" i="5" s="1"/>
  <c r="M394" i="5" s="1"/>
  <c r="M395" i="5" s="1"/>
  <c r="M396" i="5" s="1"/>
  <c r="M397" i="5" s="1"/>
  <c r="M398" i="5" s="1"/>
  <c r="M399" i="5" s="1"/>
  <c r="M400" i="5" s="1"/>
  <c r="M401" i="5" s="1"/>
  <c r="M402" i="5" s="1"/>
  <c r="M403" i="5" s="1"/>
  <c r="M404" i="5" s="1"/>
  <c r="M405" i="5" s="1"/>
  <c r="AE374" i="29" l="1"/>
  <c r="BS375" i="5"/>
  <c r="P375" i="29"/>
  <c r="BI376" i="5"/>
  <c r="G404" i="29"/>
  <c r="G405" i="29" s="1"/>
  <c r="BC403" i="5"/>
  <c r="AE733" i="11" s="1"/>
  <c r="AL733" i="11" s="1"/>
  <c r="M406" i="5"/>
  <c r="AI570" i="5"/>
  <c r="AB438" i="2"/>
  <c r="AB439" i="2" s="1"/>
  <c r="AC376" i="2"/>
  <c r="AH369" i="5"/>
  <c r="AH373" i="5" s="1"/>
  <c r="AH374" i="5" s="1"/>
  <c r="AH375" i="5" s="1"/>
  <c r="AH376" i="5" s="1"/>
  <c r="AH377" i="5" s="1"/>
  <c r="AH378" i="5" s="1"/>
  <c r="AH379" i="5" s="1"/>
  <c r="AH380" i="5" s="1"/>
  <c r="AH381" i="5" s="1"/>
  <c r="AH382" i="5" s="1"/>
  <c r="AH383" i="5" s="1"/>
  <c r="AH384" i="5" s="1"/>
  <c r="AH385" i="5" s="1"/>
  <c r="AH386" i="5" s="1"/>
  <c r="AH387" i="5" s="1"/>
  <c r="AH388" i="5" s="1"/>
  <c r="AH389" i="5" s="1"/>
  <c r="AH390" i="5" s="1"/>
  <c r="AH391" i="5" s="1"/>
  <c r="AH392" i="5" s="1"/>
  <c r="AH393" i="5" s="1"/>
  <c r="AH394" i="5" s="1"/>
  <c r="AH395" i="5" s="1"/>
  <c r="AH396" i="5" s="1"/>
  <c r="AH397" i="5" s="1"/>
  <c r="AH398" i="5" s="1"/>
  <c r="AH399" i="5" s="1"/>
  <c r="AH400" i="5" s="1"/>
  <c r="AH401" i="5" s="1"/>
  <c r="AH402" i="5" s="1"/>
  <c r="AH403" i="5" s="1"/>
  <c r="AH404" i="5" s="1"/>
  <c r="AH405" i="5" s="1"/>
  <c r="AA369" i="5"/>
  <c r="AA373" i="5" s="1"/>
  <c r="AA374" i="5" s="1"/>
  <c r="AA375" i="5" s="1"/>
  <c r="AA376" i="5" s="1"/>
  <c r="AA377" i="5" s="1"/>
  <c r="AA378" i="5" s="1"/>
  <c r="AA379" i="5" s="1"/>
  <c r="AA380" i="5" s="1"/>
  <c r="AA381" i="5" s="1"/>
  <c r="AA382" i="5" s="1"/>
  <c r="AA383" i="5" s="1"/>
  <c r="AA384" i="5" s="1"/>
  <c r="AA385" i="5" s="1"/>
  <c r="AA386" i="5" s="1"/>
  <c r="AA387" i="5" s="1"/>
  <c r="AA388" i="5" s="1"/>
  <c r="AA389" i="5" s="1"/>
  <c r="AA390" i="5" s="1"/>
  <c r="AA391" i="5" s="1"/>
  <c r="AA392" i="5" s="1"/>
  <c r="AA393" i="5" s="1"/>
  <c r="AA394" i="5" s="1"/>
  <c r="AA395" i="5" s="1"/>
  <c r="AA396" i="5" s="1"/>
  <c r="AA397" i="5" s="1"/>
  <c r="AA398" i="5" s="1"/>
  <c r="AA399" i="5" s="1"/>
  <c r="AA400" i="5" s="1"/>
  <c r="AA401" i="5" s="1"/>
  <c r="AA402" i="5" s="1"/>
  <c r="AA403" i="5" s="1"/>
  <c r="AA404" i="5" s="1"/>
  <c r="AA405" i="5" s="1"/>
  <c r="T369" i="5"/>
  <c r="T373" i="5" s="1"/>
  <c r="T374" i="5" s="1"/>
  <c r="T375" i="5" s="1"/>
  <c r="T376" i="5" s="1"/>
  <c r="T377" i="5" s="1"/>
  <c r="T378" i="5" s="1"/>
  <c r="T379" i="5" s="1"/>
  <c r="T380" i="5" s="1"/>
  <c r="T381" i="5" s="1"/>
  <c r="T382" i="5" s="1"/>
  <c r="T383" i="5" s="1"/>
  <c r="T384" i="5" s="1"/>
  <c r="T385" i="5" s="1"/>
  <c r="T386" i="5" s="1"/>
  <c r="T387" i="5" s="1"/>
  <c r="T388" i="5" s="1"/>
  <c r="T389" i="5" s="1"/>
  <c r="T390" i="5" s="1"/>
  <c r="T391" i="5" s="1"/>
  <c r="T392" i="5" s="1"/>
  <c r="T393" i="5" s="1"/>
  <c r="T394" i="5" s="1"/>
  <c r="T395" i="5" s="1"/>
  <c r="T396" i="5" s="1"/>
  <c r="T397" i="5" s="1"/>
  <c r="T398" i="5" s="1"/>
  <c r="T399" i="5" s="1"/>
  <c r="T400" i="5" s="1"/>
  <c r="T401" i="5" s="1"/>
  <c r="T402" i="5" s="1"/>
  <c r="T403" i="5" s="1"/>
  <c r="T404" i="5" s="1"/>
  <c r="T405" i="5" s="1"/>
  <c r="P374" i="29" l="1"/>
  <c r="BI375" i="5"/>
  <c r="BC404" i="5"/>
  <c r="AE734" i="11" s="1"/>
  <c r="K404" i="29"/>
  <c r="H404" i="29" s="1"/>
  <c r="BS374" i="5"/>
  <c r="T406" i="5"/>
  <c r="AA406" i="5"/>
  <c r="AA407" i="5" s="1"/>
  <c r="AH406" i="5"/>
  <c r="M407" i="5"/>
  <c r="AI571" i="5"/>
  <c r="AB440" i="2"/>
  <c r="AC377" i="2"/>
  <c r="F672" i="11"/>
  <c r="H403" i="29" l="1"/>
  <c r="BD404" i="5"/>
  <c r="BC406" i="5"/>
  <c r="AE736" i="11" s="1"/>
  <c r="BC405" i="5"/>
  <c r="AE735" i="11" s="1"/>
  <c r="BI374" i="5"/>
  <c r="AH407" i="5"/>
  <c r="AA408" i="5"/>
  <c r="T407" i="5"/>
  <c r="AI572" i="5"/>
  <c r="AB441" i="2"/>
  <c r="AC378" i="2"/>
  <c r="F660" i="11"/>
  <c r="AD643" i="11"/>
  <c r="AD644" i="11" s="1"/>
  <c r="AD645" i="11" s="1"/>
  <c r="AD646" i="11" s="1"/>
  <c r="AD647" i="11" s="1"/>
  <c r="AD648" i="11" s="1"/>
  <c r="AD650" i="11" s="1"/>
  <c r="AD651" i="11" s="1"/>
  <c r="AD652" i="11" s="1"/>
  <c r="AD653" i="11" s="1"/>
  <c r="AD654" i="11" s="1"/>
  <c r="AD655" i="11" s="1"/>
  <c r="AD656" i="11" s="1"/>
  <c r="AD657" i="11" s="1"/>
  <c r="AD658" i="11" s="1"/>
  <c r="AD659" i="11" s="1"/>
  <c r="AD660" i="11" s="1"/>
  <c r="AD661" i="11" s="1"/>
  <c r="AD662" i="11" s="1"/>
  <c r="AD663" i="11" s="1"/>
  <c r="AD664" i="11" s="1"/>
  <c r="AD665" i="11" s="1"/>
  <c r="AD666" i="11" s="1"/>
  <c r="AD667" i="11" s="1"/>
  <c r="AD668" i="11" s="1"/>
  <c r="AD669" i="11" s="1"/>
  <c r="AD670" i="11" s="1"/>
  <c r="AD671" i="11" s="1"/>
  <c r="AD672" i="11" s="1"/>
  <c r="AD673" i="11" s="1"/>
  <c r="AD674" i="11" s="1"/>
  <c r="AD675" i="11" s="1"/>
  <c r="AD676" i="11" s="1"/>
  <c r="AD677" i="11" s="1"/>
  <c r="AD678" i="11" s="1"/>
  <c r="AD679" i="11" s="1"/>
  <c r="AD680" i="11" s="1"/>
  <c r="AD681" i="11" s="1"/>
  <c r="AD682" i="11" s="1"/>
  <c r="AD683" i="11" s="1"/>
  <c r="AD684" i="11" s="1"/>
  <c r="AD685" i="11" s="1"/>
  <c r="AD686" i="11" s="1"/>
  <c r="AD687" i="11" s="1"/>
  <c r="AD688" i="11" s="1"/>
  <c r="AD689" i="11" s="1"/>
  <c r="AD690" i="11" s="1"/>
  <c r="AD691" i="11" s="1"/>
  <c r="AD692" i="11" s="1"/>
  <c r="AD693" i="11" s="1"/>
  <c r="AD694" i="11" s="1"/>
  <c r="AD695" i="11" s="1"/>
  <c r="AD696" i="11" s="1"/>
  <c r="AD697" i="11" s="1"/>
  <c r="AD698" i="11" s="1"/>
  <c r="AD699" i="11" s="1"/>
  <c r="AD700" i="11" s="1"/>
  <c r="AD701" i="11" s="1"/>
  <c r="AD702" i="11" s="1"/>
  <c r="AD703" i="11" s="1"/>
  <c r="H402" i="29" l="1"/>
  <c r="BD403" i="5"/>
  <c r="AH408" i="5"/>
  <c r="T408" i="5"/>
  <c r="AA409" i="5"/>
  <c r="AI573" i="5"/>
  <c r="AB442" i="2"/>
  <c r="AC379" i="2"/>
  <c r="H401" i="29" l="1"/>
  <c r="BD402" i="5"/>
  <c r="AA410" i="5"/>
  <c r="T409" i="5"/>
  <c r="AH409" i="5"/>
  <c r="AI574" i="5"/>
  <c r="AB443" i="2"/>
  <c r="AC380" i="2"/>
  <c r="BA308" i="5"/>
  <c r="H400" i="29" l="1"/>
  <c r="BD401" i="5"/>
  <c r="AH410" i="5"/>
  <c r="AA411" i="5"/>
  <c r="T410" i="5"/>
  <c r="AI575" i="5"/>
  <c r="AB444" i="2"/>
  <c r="AC381" i="2"/>
  <c r="W314" i="24"/>
  <c r="V314" i="24"/>
  <c r="H399" i="29" l="1"/>
  <c r="BD400" i="5"/>
  <c r="T411" i="5"/>
  <c r="AA412" i="5"/>
  <c r="AH411" i="5"/>
  <c r="AI576" i="5"/>
  <c r="AB445" i="2"/>
  <c r="AC382" i="2"/>
  <c r="X314" i="24"/>
  <c r="H398" i="29" l="1"/>
  <c r="BD399" i="5"/>
  <c r="AH412" i="5"/>
  <c r="AA413" i="5"/>
  <c r="T412" i="5"/>
  <c r="AI577" i="5"/>
  <c r="AB446" i="2"/>
  <c r="AC383" i="2"/>
  <c r="H397" i="29" l="1"/>
  <c r="BD398" i="5"/>
  <c r="T413" i="5"/>
  <c r="AA414" i="5"/>
  <c r="AH413" i="5"/>
  <c r="AI578" i="5"/>
  <c r="AB447" i="2"/>
  <c r="AC384" i="2"/>
  <c r="H396" i="29" l="1"/>
  <c r="BD397" i="5"/>
  <c r="AH414" i="5"/>
  <c r="AA415" i="5"/>
  <c r="T414" i="5"/>
  <c r="AI579" i="5"/>
  <c r="AB448" i="2"/>
  <c r="AC385" i="2"/>
  <c r="H395" i="29" l="1"/>
  <c r="BD396" i="5"/>
  <c r="AA416" i="5"/>
  <c r="AH415" i="5"/>
  <c r="T415" i="5"/>
  <c r="AI580" i="5"/>
  <c r="AB449" i="2"/>
  <c r="AB450" i="2" s="1"/>
  <c r="AC386" i="2"/>
  <c r="H394" i="29" l="1"/>
  <c r="BD395" i="5"/>
  <c r="T416" i="5"/>
  <c r="AA417" i="5"/>
  <c r="AH416" i="5"/>
  <c r="AI581" i="5"/>
  <c r="AB451" i="2"/>
  <c r="AC387" i="2"/>
  <c r="H393" i="29" l="1"/>
  <c r="BD394" i="5"/>
  <c r="AA418" i="5"/>
  <c r="T417" i="5"/>
  <c r="AH417" i="5"/>
  <c r="AI582" i="5"/>
  <c r="AB452" i="2"/>
  <c r="AC388" i="2"/>
  <c r="H392" i="29" l="1"/>
  <c r="BD393" i="5"/>
  <c r="AA419" i="5"/>
  <c r="AH418" i="5"/>
  <c r="T418" i="5"/>
  <c r="AI583" i="5"/>
  <c r="AB453" i="2"/>
  <c r="AC389" i="2"/>
  <c r="H391" i="29" l="1"/>
  <c r="BD392" i="5"/>
  <c r="AH419" i="5"/>
  <c r="T419" i="5"/>
  <c r="AA420" i="5"/>
  <c r="AI584" i="5"/>
  <c r="AB454" i="2"/>
  <c r="AC390" i="2"/>
  <c r="H390" i="29" l="1"/>
  <c r="BD391" i="5"/>
  <c r="T420" i="5"/>
  <c r="AH420" i="5"/>
  <c r="AA421" i="5"/>
  <c r="AI585" i="5"/>
  <c r="AB455" i="2"/>
  <c r="AB456" i="2" s="1"/>
  <c r="AC391" i="2"/>
  <c r="J643" i="11"/>
  <c r="J644" i="11" s="1"/>
  <c r="J645" i="11" s="1"/>
  <c r="J646" i="11" s="1"/>
  <c r="J647" i="11" s="1"/>
  <c r="J648" i="11" s="1"/>
  <c r="J649" i="11" s="1"/>
  <c r="J650" i="11" s="1"/>
  <c r="J651" i="11" s="1"/>
  <c r="J652" i="11" s="1"/>
  <c r="J654" i="11" s="1"/>
  <c r="J655" i="11" s="1"/>
  <c r="J656" i="11" s="1"/>
  <c r="J657" i="11" s="1"/>
  <c r="J658" i="11" s="1"/>
  <c r="J659" i="11" s="1"/>
  <c r="J660" i="11" s="1"/>
  <c r="J661" i="11" s="1"/>
  <c r="J662" i="11" s="1"/>
  <c r="J663" i="11" s="1"/>
  <c r="J664" i="11" s="1"/>
  <c r="J665" i="11" s="1"/>
  <c r="J666" i="11" s="1"/>
  <c r="J667" i="11" s="1"/>
  <c r="J668" i="11" s="1"/>
  <c r="J669" i="11" s="1"/>
  <c r="J670" i="11" s="1"/>
  <c r="J671" i="11" s="1"/>
  <c r="J672" i="11" s="1"/>
  <c r="J673" i="11" s="1"/>
  <c r="J674" i="11" s="1"/>
  <c r="J675" i="11" s="1"/>
  <c r="J676" i="11" s="1"/>
  <c r="J677" i="11" s="1"/>
  <c r="J678" i="11" s="1"/>
  <c r="J679" i="11" s="1"/>
  <c r="J680" i="11" s="1"/>
  <c r="J681" i="11" s="1"/>
  <c r="J682" i="11" s="1"/>
  <c r="J684" i="11" s="1"/>
  <c r="J685" i="11" s="1"/>
  <c r="J686" i="11" s="1"/>
  <c r="J687" i="11" s="1"/>
  <c r="J688" i="11" s="1"/>
  <c r="J689" i="11" s="1"/>
  <c r="J690" i="11" s="1"/>
  <c r="J691" i="11" s="1"/>
  <c r="J692" i="11" s="1"/>
  <c r="J693" i="11" s="1"/>
  <c r="J694" i="11" s="1"/>
  <c r="J695" i="11" s="1"/>
  <c r="J696" i="11" s="1"/>
  <c r="J697" i="11" s="1"/>
  <c r="J698" i="11" s="1"/>
  <c r="J699" i="11" s="1"/>
  <c r="J700" i="11" s="1"/>
  <c r="J701" i="11" s="1"/>
  <c r="J702" i="11" s="1"/>
  <c r="J703" i="11" s="1"/>
  <c r="J704" i="11" s="1"/>
  <c r="J705" i="11" s="1"/>
  <c r="J706" i="11" s="1"/>
  <c r="J707" i="11" s="1"/>
  <c r="J708" i="11" s="1"/>
  <c r="J709" i="11" s="1"/>
  <c r="J710" i="11" s="1"/>
  <c r="J711" i="11" s="1"/>
  <c r="J712" i="11" s="1"/>
  <c r="J713" i="11" s="1"/>
  <c r="J714" i="11" s="1"/>
  <c r="J715" i="11" s="1"/>
  <c r="J716" i="11" s="1"/>
  <c r="J717" i="11" s="1"/>
  <c r="J718" i="11" s="1"/>
  <c r="J719" i="11" s="1"/>
  <c r="J720" i="11" s="1"/>
  <c r="J721" i="11" s="1"/>
  <c r="J722" i="11" s="1"/>
  <c r="J723" i="11" s="1"/>
  <c r="J724" i="11" s="1"/>
  <c r="J725" i="11" s="1"/>
  <c r="J726" i="11" s="1"/>
  <c r="J727" i="11" s="1"/>
  <c r="J728" i="11" s="1"/>
  <c r="J729" i="11" s="1"/>
  <c r="J730" i="11" s="1"/>
  <c r="J731" i="11" s="1"/>
  <c r="J732" i="11" s="1"/>
  <c r="J733" i="11" s="1"/>
  <c r="J734" i="11" s="1"/>
  <c r="H389" i="29" l="1"/>
  <c r="BD390" i="5"/>
  <c r="AA422" i="5"/>
  <c r="AH421" i="5"/>
  <c r="T421" i="5"/>
  <c r="AI586" i="5"/>
  <c r="AB457" i="2"/>
  <c r="AB458" i="2" s="1"/>
  <c r="AB459" i="2" s="1"/>
  <c r="AC392" i="2"/>
  <c r="AM287" i="2"/>
  <c r="AO287" i="2"/>
  <c r="AP287" i="2"/>
  <c r="AP288" i="2"/>
  <c r="H388" i="29" l="1"/>
  <c r="BD389" i="5"/>
  <c r="T422" i="5"/>
  <c r="AH422" i="5"/>
  <c r="AA423" i="5"/>
  <c r="AI587" i="5"/>
  <c r="AB460" i="2"/>
  <c r="AB461" i="2" s="1"/>
  <c r="AC393" i="2"/>
  <c r="Z313" i="26"/>
  <c r="U310" i="26"/>
  <c r="U311" i="26" s="1"/>
  <c r="U312" i="26" s="1"/>
  <c r="U313" i="26" s="1"/>
  <c r="U314" i="26" s="1"/>
  <c r="U315" i="26" s="1"/>
  <c r="U316" i="26" s="1"/>
  <c r="U317" i="26" s="1"/>
  <c r="U318" i="26" s="1"/>
  <c r="U319" i="26" s="1"/>
  <c r="U320" i="26" s="1"/>
  <c r="U321" i="26" s="1"/>
  <c r="U322" i="26" s="1"/>
  <c r="U323" i="26" s="1"/>
  <c r="U324" i="26" s="1"/>
  <c r="U325" i="26" s="1"/>
  <c r="U326" i="26" s="1"/>
  <c r="U327" i="26" s="1"/>
  <c r="U328" i="26" s="1"/>
  <c r="U329" i="26" s="1"/>
  <c r="U330" i="26" s="1"/>
  <c r="U331" i="26" s="1"/>
  <c r="U332" i="26" s="1"/>
  <c r="U333" i="26" s="1"/>
  <c r="U334" i="26" s="1"/>
  <c r="U335" i="26" s="1"/>
  <c r="U336" i="26" s="1"/>
  <c r="U337" i="26" s="1"/>
  <c r="U338" i="26" s="1"/>
  <c r="U339" i="26" s="1"/>
  <c r="U340" i="26" s="1"/>
  <c r="T310" i="26"/>
  <c r="T311" i="26" s="1"/>
  <c r="G310" i="26"/>
  <c r="G311" i="26" s="1"/>
  <c r="G312" i="26" s="1"/>
  <c r="G313" i="26" s="1"/>
  <c r="G314" i="26" s="1"/>
  <c r="G315" i="26" s="1"/>
  <c r="G316" i="26" s="1"/>
  <c r="G317" i="26" s="1"/>
  <c r="G318" i="26" s="1"/>
  <c r="G319" i="26" s="1"/>
  <c r="G320" i="26" s="1"/>
  <c r="G321" i="26" s="1"/>
  <c r="G322" i="26" s="1"/>
  <c r="G323" i="26" s="1"/>
  <c r="G324" i="26" s="1"/>
  <c r="G325" i="26" s="1"/>
  <c r="G326" i="26" s="1"/>
  <c r="G327" i="26" s="1"/>
  <c r="G328" i="26" s="1"/>
  <c r="G329" i="26" s="1"/>
  <c r="G330" i="26" s="1"/>
  <c r="G331" i="26" s="1"/>
  <c r="G332" i="26" s="1"/>
  <c r="G333" i="26" s="1"/>
  <c r="G334" i="26" s="1"/>
  <c r="G335" i="26" s="1"/>
  <c r="G336" i="26" s="1"/>
  <c r="G337" i="26" s="1"/>
  <c r="G338" i="26" s="1"/>
  <c r="G339" i="26" s="1"/>
  <c r="G340" i="26" s="1"/>
  <c r="G341" i="26" s="1"/>
  <c r="G342" i="26" s="1"/>
  <c r="G343" i="26" s="1"/>
  <c r="G344" i="26" s="1"/>
  <c r="G345" i="26" s="1"/>
  <c r="G346" i="26" s="1"/>
  <c r="G347" i="26" s="1"/>
  <c r="G348" i="26" s="1"/>
  <c r="G349" i="26" s="1"/>
  <c r="G350" i="26" s="1"/>
  <c r="G351" i="26" s="1"/>
  <c r="G352" i="26" s="1"/>
  <c r="G353" i="26" s="1"/>
  <c r="G354" i="26" s="1"/>
  <c r="G355" i="26" s="1"/>
  <c r="G356" i="26" s="1"/>
  <c r="G357" i="26" s="1"/>
  <c r="G358" i="26" s="1"/>
  <c r="G359" i="26" s="1"/>
  <c r="G360" i="26" s="1"/>
  <c r="G361" i="26" s="1"/>
  <c r="G362" i="26" s="1"/>
  <c r="G363" i="26" s="1"/>
  <c r="G364" i="26" s="1"/>
  <c r="G365" i="26" s="1"/>
  <c r="G366" i="26" s="1"/>
  <c r="G367" i="26" s="1"/>
  <c r="G368" i="26" s="1"/>
  <c r="G369" i="26" s="1"/>
  <c r="H387" i="29" l="1"/>
  <c r="BD388" i="5"/>
  <c r="AH423" i="5"/>
  <c r="AA424" i="5"/>
  <c r="T423" i="5"/>
  <c r="AI588" i="5"/>
  <c r="AB462" i="2"/>
  <c r="AC394" i="2"/>
  <c r="U341" i="26"/>
  <c r="U342" i="26" s="1"/>
  <c r="U343" i="26" s="1"/>
  <c r="U344" i="26" s="1"/>
  <c r="U345" i="26" s="1"/>
  <c r="U346" i="26" s="1"/>
  <c r="U347" i="26" s="1"/>
  <c r="U348" i="26" s="1"/>
  <c r="U349" i="26" s="1"/>
  <c r="U350" i="26" s="1"/>
  <c r="U351" i="26" s="1"/>
  <c r="U352" i="26" s="1"/>
  <c r="U353" i="26" s="1"/>
  <c r="U354" i="26" s="1"/>
  <c r="U355" i="26" s="1"/>
  <c r="U356" i="26" s="1"/>
  <c r="U357" i="26" s="1"/>
  <c r="U358" i="26" s="1"/>
  <c r="U359" i="26" s="1"/>
  <c r="U360" i="26" s="1"/>
  <c r="U361" i="26" s="1"/>
  <c r="U362" i="26" s="1"/>
  <c r="U363" i="26" s="1"/>
  <c r="U364" i="26" s="1"/>
  <c r="U365" i="26" s="1"/>
  <c r="U366" i="26" s="1"/>
  <c r="U367" i="26" s="1"/>
  <c r="U368" i="26" s="1"/>
  <c r="U369" i="26" s="1"/>
  <c r="U373" i="26" s="1"/>
  <c r="U374" i="26" s="1"/>
  <c r="U375" i="26" s="1"/>
  <c r="T312" i="26"/>
  <c r="H386" i="29" l="1"/>
  <c r="BD387" i="5"/>
  <c r="AH424" i="5"/>
  <c r="T424" i="5"/>
  <c r="AA425" i="5"/>
  <c r="AI589" i="5"/>
  <c r="AB463" i="2"/>
  <c r="AB464" i="2" s="1"/>
  <c r="AC395" i="2"/>
  <c r="T313" i="26"/>
  <c r="X312" i="26"/>
  <c r="H385" i="29" l="1"/>
  <c r="BD386" i="5"/>
  <c r="AA426" i="5"/>
  <c r="T425" i="5"/>
  <c r="AH425" i="5"/>
  <c r="AI590" i="5"/>
  <c r="AB465" i="2"/>
  <c r="AB466" i="2" s="1"/>
  <c r="AC396" i="2"/>
  <c r="V312" i="26"/>
  <c r="AH312" i="2"/>
  <c r="T314" i="26"/>
  <c r="X313" i="26"/>
  <c r="H384" i="29" l="1"/>
  <c r="BD385" i="5"/>
  <c r="AH426" i="5"/>
  <c r="AA427" i="5"/>
  <c r="T426" i="5"/>
  <c r="AI591" i="5"/>
  <c r="AB467" i="2"/>
  <c r="AC397" i="2"/>
  <c r="V313" i="26"/>
  <c r="W313" i="26" s="1"/>
  <c r="AJ313" i="2" s="1"/>
  <c r="O642" i="11"/>
  <c r="AH313" i="2"/>
  <c r="T315" i="26"/>
  <c r="X314" i="26"/>
  <c r="H383" i="29" l="1"/>
  <c r="BD384" i="5"/>
  <c r="T427" i="5"/>
  <c r="AA428" i="5"/>
  <c r="AH427" i="5"/>
  <c r="AI592" i="5"/>
  <c r="AB468" i="2"/>
  <c r="AC398" i="2"/>
  <c r="AH314" i="2"/>
  <c r="V314" i="26"/>
  <c r="W314" i="26" s="1"/>
  <c r="T316" i="26"/>
  <c r="X315" i="26"/>
  <c r="H382" i="29" l="1"/>
  <c r="BD383" i="5"/>
  <c r="AH428" i="5"/>
  <c r="AA429" i="5"/>
  <c r="T428" i="5"/>
  <c r="AI593" i="5"/>
  <c r="AB469" i="2"/>
  <c r="AB470" i="2" s="1"/>
  <c r="AC399" i="2"/>
  <c r="AJ314" i="2"/>
  <c r="AH315" i="2"/>
  <c r="V315" i="26"/>
  <c r="W315" i="26" s="1"/>
  <c r="T317" i="26"/>
  <c r="X316" i="26"/>
  <c r="H381" i="29" l="1"/>
  <c r="BD382" i="5"/>
  <c r="AA430" i="5"/>
  <c r="T429" i="5"/>
  <c r="AH429" i="5"/>
  <c r="AI594" i="5"/>
  <c r="AB471" i="2"/>
  <c r="AB472" i="2" s="1"/>
  <c r="AC400" i="2"/>
  <c r="T318" i="26"/>
  <c r="X317" i="26"/>
  <c r="AJ315" i="2"/>
  <c r="AH316" i="2"/>
  <c r="V316" i="26"/>
  <c r="W316" i="26" s="1"/>
  <c r="Z310" i="26"/>
  <c r="X310" i="26"/>
  <c r="Z97" i="26"/>
  <c r="X97" i="26"/>
  <c r="V97" i="26" s="1"/>
  <c r="X98" i="26"/>
  <c r="V98" i="26" s="1"/>
  <c r="X99" i="26"/>
  <c r="V99" i="26" s="1"/>
  <c r="Z301" i="26"/>
  <c r="Z299" i="26"/>
  <c r="Z289" i="26"/>
  <c r="Z287" i="26"/>
  <c r="Z281" i="26"/>
  <c r="AA280" i="26"/>
  <c r="Z280" i="26"/>
  <c r="Z279" i="26"/>
  <c r="Z278" i="26"/>
  <c r="Z277" i="26"/>
  <c r="Z276" i="26"/>
  <c r="Z275" i="26"/>
  <c r="Z274" i="26"/>
  <c r="Z273" i="26"/>
  <c r="Z272" i="26"/>
  <c r="Z271" i="26"/>
  <c r="Z270" i="26"/>
  <c r="Z269" i="26"/>
  <c r="Z268" i="26"/>
  <c r="Z267" i="26"/>
  <c r="Z266" i="26"/>
  <c r="Z265" i="26"/>
  <c r="Z264" i="26"/>
  <c r="Z263" i="26"/>
  <c r="Z262" i="26"/>
  <c r="Z261" i="26"/>
  <c r="Z260" i="26"/>
  <c r="Z259" i="26"/>
  <c r="Z258" i="26"/>
  <c r="Z257" i="26"/>
  <c r="Z256" i="26"/>
  <c r="Z255" i="26"/>
  <c r="Z254" i="26"/>
  <c r="Z253" i="26"/>
  <c r="Z252" i="26"/>
  <c r="Z251" i="26"/>
  <c r="AA250" i="26"/>
  <c r="Z250" i="26"/>
  <c r="Z249" i="26"/>
  <c r="Z248" i="26"/>
  <c r="Z247" i="26"/>
  <c r="Z246" i="26"/>
  <c r="Z245" i="26"/>
  <c r="Z244" i="26"/>
  <c r="Z243" i="26"/>
  <c r="Z242" i="26"/>
  <c r="Z241" i="26"/>
  <c r="Z240" i="26"/>
  <c r="Z239" i="26"/>
  <c r="Z238" i="26"/>
  <c r="Z237" i="26"/>
  <c r="Z236" i="26"/>
  <c r="Z235" i="26"/>
  <c r="Z234" i="26"/>
  <c r="Z233" i="26"/>
  <c r="Z232" i="26"/>
  <c r="Z231" i="26"/>
  <c r="Z230" i="26"/>
  <c r="Z229" i="26"/>
  <c r="Z228" i="26"/>
  <c r="Z227" i="26"/>
  <c r="Z226" i="26"/>
  <c r="Z225" i="26"/>
  <c r="Z224" i="26"/>
  <c r="Z223" i="26"/>
  <c r="Z222" i="26"/>
  <c r="AA221" i="26"/>
  <c r="Z221" i="26"/>
  <c r="Z220" i="26"/>
  <c r="Z219" i="26"/>
  <c r="Z218" i="26"/>
  <c r="Z217" i="26"/>
  <c r="Z216" i="26"/>
  <c r="Z215" i="26"/>
  <c r="Z214" i="26"/>
  <c r="Z213" i="26"/>
  <c r="Z212" i="26"/>
  <c r="Z211" i="26"/>
  <c r="Z210" i="26"/>
  <c r="Z209" i="26"/>
  <c r="Z208" i="26"/>
  <c r="Z207" i="26"/>
  <c r="Z206" i="26"/>
  <c r="Z205" i="26"/>
  <c r="Z204" i="26"/>
  <c r="Z203" i="26"/>
  <c r="Z202" i="26"/>
  <c r="Z201" i="26"/>
  <c r="Z200" i="26"/>
  <c r="Z199" i="26"/>
  <c r="Z198" i="26"/>
  <c r="Z197" i="26"/>
  <c r="Z196" i="26"/>
  <c r="Z195" i="26"/>
  <c r="Z194" i="26"/>
  <c r="Z193" i="26"/>
  <c r="Z192" i="26"/>
  <c r="Z191" i="26"/>
  <c r="Z190" i="26"/>
  <c r="Z189" i="26"/>
  <c r="AA188" i="26"/>
  <c r="Z188" i="26"/>
  <c r="Z187" i="26"/>
  <c r="Z186" i="26"/>
  <c r="Z185" i="26"/>
  <c r="Z184" i="26"/>
  <c r="Z183" i="26"/>
  <c r="Z182" i="26"/>
  <c r="Z181" i="26"/>
  <c r="Z180" i="26"/>
  <c r="Z179" i="26"/>
  <c r="Z178" i="26"/>
  <c r="Z177" i="26"/>
  <c r="Z176" i="26"/>
  <c r="Z175" i="26"/>
  <c r="Z174" i="26"/>
  <c r="Z173" i="26"/>
  <c r="Z172" i="26"/>
  <c r="Z171" i="26"/>
  <c r="Z170" i="26"/>
  <c r="Z169" i="26"/>
  <c r="Z168" i="26"/>
  <c r="Z167" i="26"/>
  <c r="Z166" i="26"/>
  <c r="Z165" i="26"/>
  <c r="Z164" i="26"/>
  <c r="Z163" i="26"/>
  <c r="Z162" i="26"/>
  <c r="Z161" i="26"/>
  <c r="Z160" i="26"/>
  <c r="AA159" i="26"/>
  <c r="Z159" i="26"/>
  <c r="Z158" i="26"/>
  <c r="Z157" i="26"/>
  <c r="Z156" i="26"/>
  <c r="Z155" i="26"/>
  <c r="Z154" i="26"/>
  <c r="Z153" i="26"/>
  <c r="Z152" i="26"/>
  <c r="Z151" i="26"/>
  <c r="Z150" i="26"/>
  <c r="Z149" i="26"/>
  <c r="Z148" i="26"/>
  <c r="Z147" i="26"/>
  <c r="Z146" i="26"/>
  <c r="Z145" i="26"/>
  <c r="Z144" i="26"/>
  <c r="Z143" i="26"/>
  <c r="Z142" i="26"/>
  <c r="Z141" i="26"/>
  <c r="Z140" i="26"/>
  <c r="Z139" i="26"/>
  <c r="Z138" i="26"/>
  <c r="Z137" i="26"/>
  <c r="Z136" i="26"/>
  <c r="Z135" i="26"/>
  <c r="Z134" i="26"/>
  <c r="Z133" i="26"/>
  <c r="Z132" i="26"/>
  <c r="Z131" i="26"/>
  <c r="AA130" i="26"/>
  <c r="Z130" i="26"/>
  <c r="Z129" i="26"/>
  <c r="Z128" i="26"/>
  <c r="Z127" i="26"/>
  <c r="Z126" i="26"/>
  <c r="Z125" i="26"/>
  <c r="Z124" i="26"/>
  <c r="Z123" i="26"/>
  <c r="Z122" i="26"/>
  <c r="Z121" i="26"/>
  <c r="Z120" i="26"/>
  <c r="Z119" i="26"/>
  <c r="Z118" i="26"/>
  <c r="Z117" i="26"/>
  <c r="Z116" i="26"/>
  <c r="Z115" i="26"/>
  <c r="Z114" i="26"/>
  <c r="Z113" i="26"/>
  <c r="Z112" i="26"/>
  <c r="Z111" i="26"/>
  <c r="Z110" i="26"/>
  <c r="Z109" i="26"/>
  <c r="Z108" i="26"/>
  <c r="Z107" i="26"/>
  <c r="Z106" i="26"/>
  <c r="Z105" i="26"/>
  <c r="Z104" i="26"/>
  <c r="Z103" i="26"/>
  <c r="Z102" i="26"/>
  <c r="Z101" i="26"/>
  <c r="Z100" i="26"/>
  <c r="Z99" i="26"/>
  <c r="Z98" i="26"/>
  <c r="Z96" i="26"/>
  <c r="Z95" i="26"/>
  <c r="Z94" i="26"/>
  <c r="Z93" i="26"/>
  <c r="Z92" i="26"/>
  <c r="Z91" i="26"/>
  <c r="Z90" i="26"/>
  <c r="Z89" i="26"/>
  <c r="Z88" i="26"/>
  <c r="Z87" i="26"/>
  <c r="Z86" i="26"/>
  <c r="Z85" i="26"/>
  <c r="Z84" i="26"/>
  <c r="Z83" i="26"/>
  <c r="Z82" i="26"/>
  <c r="Z81" i="26"/>
  <c r="Z80" i="26"/>
  <c r="Z79" i="26"/>
  <c r="Z78" i="26"/>
  <c r="Z77" i="26"/>
  <c r="X76" i="26"/>
  <c r="V76" i="26" s="1"/>
  <c r="W76" i="26" s="1"/>
  <c r="H380" i="29" l="1"/>
  <c r="BD381" i="5"/>
  <c r="AH430" i="5"/>
  <c r="T430" i="5"/>
  <c r="AA431" i="5"/>
  <c r="AI595" i="5"/>
  <c r="AB473" i="2"/>
  <c r="AB474" i="2" s="1"/>
  <c r="AC401" i="2"/>
  <c r="AJ316" i="2"/>
  <c r="V317" i="26"/>
  <c r="W317" i="26" s="1"/>
  <c r="AH317" i="2"/>
  <c r="T319" i="26"/>
  <c r="X318" i="26"/>
  <c r="V310" i="26"/>
  <c r="AH310" i="2"/>
  <c r="X311" i="26"/>
  <c r="Z311" i="26"/>
  <c r="Z312" i="26"/>
  <c r="W99" i="26"/>
  <c r="W98" i="26"/>
  <c r="Z296" i="26"/>
  <c r="Z293" i="26"/>
  <c r="Z306" i="26"/>
  <c r="Z307" i="26"/>
  <c r="Z283" i="26"/>
  <c r="Z284" i="26"/>
  <c r="Z285" i="26"/>
  <c r="Z295" i="26"/>
  <c r="Z290" i="26"/>
  <c r="Z292" i="26"/>
  <c r="Z291" i="26"/>
  <c r="Z282" i="26"/>
  <c r="Z297" i="26"/>
  <c r="Z294" i="26"/>
  <c r="Z286" i="26"/>
  <c r="Z300" i="26"/>
  <c r="Z288" i="26"/>
  <c r="Z302" i="26"/>
  <c r="Z303" i="26"/>
  <c r="Z298" i="26"/>
  <c r="Z304" i="26"/>
  <c r="Z305" i="26"/>
  <c r="H379" i="29" l="1"/>
  <c r="BD380" i="5"/>
  <c r="T431" i="5"/>
  <c r="AA432" i="5"/>
  <c r="AH431" i="5"/>
  <c r="AI596" i="5"/>
  <c r="AB475" i="2"/>
  <c r="AC402" i="2"/>
  <c r="T320" i="26"/>
  <c r="X319" i="26"/>
  <c r="AJ317" i="2"/>
  <c r="V318" i="26"/>
  <c r="W318" i="26" s="1"/>
  <c r="AH318" i="2"/>
  <c r="V311" i="26"/>
  <c r="W312" i="26" s="1"/>
  <c r="AH311" i="2"/>
  <c r="AJ312" i="2"/>
  <c r="X77" i="26"/>
  <c r="H378" i="29" l="1"/>
  <c r="BD379" i="5"/>
  <c r="AH432" i="5"/>
  <c r="AA433" i="5"/>
  <c r="T432" i="5"/>
  <c r="AI597" i="5"/>
  <c r="W311" i="26"/>
  <c r="AJ311" i="2" s="1"/>
  <c r="AB476" i="2"/>
  <c r="AC403" i="2"/>
  <c r="AJ318" i="2"/>
  <c r="V319" i="26"/>
  <c r="W319" i="26" s="1"/>
  <c r="AH319" i="2"/>
  <c r="T321" i="26"/>
  <c r="X320" i="26"/>
  <c r="V77" i="26"/>
  <c r="W77" i="26" s="1"/>
  <c r="X78" i="26"/>
  <c r="H377" i="29" l="1"/>
  <c r="BD378" i="5"/>
  <c r="AA434" i="5"/>
  <c r="T433" i="5"/>
  <c r="AH433" i="5"/>
  <c r="AI598" i="5"/>
  <c r="AB477" i="2"/>
  <c r="AB478" i="2" s="1"/>
  <c r="AC404" i="2"/>
  <c r="AC405" i="2" s="1"/>
  <c r="AJ319" i="2"/>
  <c r="V320" i="26"/>
  <c r="W320" i="26" s="1"/>
  <c r="AH320" i="2"/>
  <c r="T322" i="26"/>
  <c r="X321" i="26"/>
  <c r="V78" i="26"/>
  <c r="W78" i="26" s="1"/>
  <c r="X79" i="26"/>
  <c r="H376" i="29" l="1"/>
  <c r="BD377" i="5"/>
  <c r="T434" i="5"/>
  <c r="AH434" i="5"/>
  <c r="AA435" i="5"/>
  <c r="AI599" i="5"/>
  <c r="AC406" i="2"/>
  <c r="AC407" i="2" s="1"/>
  <c r="AB479" i="2"/>
  <c r="V321" i="26"/>
  <c r="W321" i="26" s="1"/>
  <c r="AH321" i="2"/>
  <c r="T323" i="26"/>
  <c r="X322" i="26"/>
  <c r="AJ320" i="2"/>
  <c r="X80" i="26"/>
  <c r="V79" i="26"/>
  <c r="W79" i="26" s="1"/>
  <c r="H375" i="29" l="1"/>
  <c r="BD376" i="5"/>
  <c r="AA436" i="5"/>
  <c r="AH435" i="5"/>
  <c r="T435" i="5"/>
  <c r="AI600" i="5"/>
  <c r="AB480" i="2"/>
  <c r="AB481" i="2" s="1"/>
  <c r="AC408" i="2"/>
  <c r="AC409" i="2" s="1"/>
  <c r="V322" i="26"/>
  <c r="W322" i="26" s="1"/>
  <c r="AH322" i="2"/>
  <c r="T324" i="26"/>
  <c r="X323" i="26"/>
  <c r="AJ321" i="2"/>
  <c r="X81" i="26"/>
  <c r="V80" i="26"/>
  <c r="W80" i="26" s="1"/>
  <c r="H374" i="29" l="1"/>
  <c r="BD375" i="5"/>
  <c r="AH436" i="5"/>
  <c r="T436" i="5"/>
  <c r="AA437" i="5"/>
  <c r="AI601" i="5"/>
  <c r="AC410" i="2"/>
  <c r="AC411" i="2" s="1"/>
  <c r="AC412" i="2" s="1"/>
  <c r="AC413" i="2" s="1"/>
  <c r="AB482" i="2"/>
  <c r="AB483" i="2" s="1"/>
  <c r="V323" i="26"/>
  <c r="W323" i="26" s="1"/>
  <c r="AH323" i="2"/>
  <c r="T325" i="26"/>
  <c r="X324" i="26"/>
  <c r="AJ322" i="2"/>
  <c r="V81" i="26"/>
  <c r="W81" i="26" s="1"/>
  <c r="X82" i="26"/>
  <c r="BD374" i="5" l="1"/>
  <c r="AA438" i="5"/>
  <c r="T437" i="5"/>
  <c r="AH437" i="5"/>
  <c r="AI602" i="5"/>
  <c r="AB484" i="2"/>
  <c r="AB485" i="2" s="1"/>
  <c r="AC414" i="2"/>
  <c r="AC415" i="2" s="1"/>
  <c r="AC416" i="2" s="1"/>
  <c r="AC417" i="2" s="1"/>
  <c r="V324" i="26"/>
  <c r="W324" i="26" s="1"/>
  <c r="AH324" i="2"/>
  <c r="T326" i="26"/>
  <c r="X325" i="26"/>
  <c r="AJ323" i="2"/>
  <c r="V82" i="26"/>
  <c r="W82" i="26" s="1"/>
  <c r="X83" i="26"/>
  <c r="T438" i="5" l="1"/>
  <c r="AA439" i="5"/>
  <c r="AH438" i="5"/>
  <c r="AI603" i="5"/>
  <c r="AC418" i="2"/>
  <c r="AB486" i="2"/>
  <c r="V325" i="26"/>
  <c r="W325" i="26" s="1"/>
  <c r="AH325" i="2"/>
  <c r="T327" i="26"/>
  <c r="X326" i="26"/>
  <c r="AJ324" i="2"/>
  <c r="V83" i="26"/>
  <c r="W83" i="26" s="1"/>
  <c r="X84" i="26"/>
  <c r="T439" i="5" l="1"/>
  <c r="AH439" i="5"/>
  <c r="AA440" i="5"/>
  <c r="AI604" i="5"/>
  <c r="AB487" i="2"/>
  <c r="AB488" i="2" s="1"/>
  <c r="AC419" i="2"/>
  <c r="AC420" i="2" s="1"/>
  <c r="V326" i="26"/>
  <c r="W326" i="26" s="1"/>
  <c r="AH326" i="2"/>
  <c r="AJ325" i="2"/>
  <c r="T328" i="26"/>
  <c r="X327" i="26"/>
  <c r="V84" i="26"/>
  <c r="W84" i="26" s="1"/>
  <c r="X85" i="26"/>
  <c r="AH440" i="5" l="1"/>
  <c r="AA441" i="5"/>
  <c r="T440" i="5"/>
  <c r="AI605" i="5"/>
  <c r="AC421" i="2"/>
  <c r="AB489" i="2"/>
  <c r="AB490" i="2" s="1"/>
  <c r="V327" i="26"/>
  <c r="W327" i="26" s="1"/>
  <c r="AH327" i="2"/>
  <c r="T329" i="26"/>
  <c r="X328" i="26"/>
  <c r="AJ326" i="2"/>
  <c r="V85" i="26"/>
  <c r="W85" i="26" s="1"/>
  <c r="X86" i="26"/>
  <c r="AA442" i="5" l="1"/>
  <c r="T441" i="5"/>
  <c r="AH441" i="5"/>
  <c r="AI606" i="5"/>
  <c r="AB491" i="2"/>
  <c r="AB492" i="2" s="1"/>
  <c r="AC422" i="2"/>
  <c r="V328" i="26"/>
  <c r="W328" i="26" s="1"/>
  <c r="AH328" i="2"/>
  <c r="T330" i="26"/>
  <c r="X329" i="26"/>
  <c r="AJ327" i="2"/>
  <c r="V86" i="26"/>
  <c r="W86" i="26" s="1"/>
  <c r="X87" i="26"/>
  <c r="T442" i="5" l="1"/>
  <c r="AH442" i="5"/>
  <c r="AA443" i="5"/>
  <c r="AI607" i="5"/>
  <c r="AC423" i="2"/>
  <c r="AB493" i="2"/>
  <c r="V329" i="26"/>
  <c r="W329" i="26" s="1"/>
  <c r="AH329" i="2"/>
  <c r="T331" i="26"/>
  <c r="X330" i="26"/>
  <c r="AJ328" i="2"/>
  <c r="X88" i="26"/>
  <c r="V87" i="26"/>
  <c r="W87" i="26" s="1"/>
  <c r="AA444" i="5" l="1"/>
  <c r="AH443" i="5"/>
  <c r="T443" i="5"/>
  <c r="AI608" i="5"/>
  <c r="AB494" i="2"/>
  <c r="AB495" i="2" s="1"/>
  <c r="AC424" i="2"/>
  <c r="V330" i="26"/>
  <c r="W330" i="26" s="1"/>
  <c r="AH330" i="2"/>
  <c r="T332" i="26"/>
  <c r="X331" i="26"/>
  <c r="AJ329" i="2"/>
  <c r="V88" i="26"/>
  <c r="W88" i="26" s="1"/>
  <c r="X89" i="26"/>
  <c r="AH444" i="5" l="1"/>
  <c r="AA445" i="5"/>
  <c r="T444" i="5"/>
  <c r="AI609" i="5"/>
  <c r="AC425" i="2"/>
  <c r="AB496" i="2"/>
  <c r="V331" i="26"/>
  <c r="W331" i="26" s="1"/>
  <c r="AH331" i="2"/>
  <c r="T333" i="26"/>
  <c r="X332" i="26"/>
  <c r="AJ330" i="2"/>
  <c r="X90" i="26"/>
  <c r="V89" i="26"/>
  <c r="W89" i="26" s="1"/>
  <c r="AA446" i="5" l="1"/>
  <c r="T445" i="5"/>
  <c r="AH445" i="5"/>
  <c r="AI610" i="5"/>
  <c r="AB497" i="2"/>
  <c r="AC426" i="2"/>
  <c r="V332" i="26"/>
  <c r="W332" i="26" s="1"/>
  <c r="AH332" i="2"/>
  <c r="T334" i="26"/>
  <c r="X333" i="26"/>
  <c r="AJ331" i="2"/>
  <c r="X91" i="26"/>
  <c r="V90" i="26"/>
  <c r="W90" i="26" s="1"/>
  <c r="T446" i="5" l="1"/>
  <c r="AH446" i="5"/>
  <c r="AA447" i="5"/>
  <c r="AI611" i="5"/>
  <c r="AC427" i="2"/>
  <c r="AB498" i="2"/>
  <c r="V333" i="26"/>
  <c r="W333" i="26" s="1"/>
  <c r="AH333" i="2"/>
  <c r="T335" i="26"/>
  <c r="X334" i="26"/>
  <c r="AJ332" i="2"/>
  <c r="X92" i="26"/>
  <c r="V91" i="26"/>
  <c r="W91" i="26" s="1"/>
  <c r="AH447" i="5" l="1"/>
  <c r="T447" i="5"/>
  <c r="AA448" i="5"/>
  <c r="AI612" i="5"/>
  <c r="AB499" i="2"/>
  <c r="AC428" i="2"/>
  <c r="V334" i="26"/>
  <c r="W334" i="26" s="1"/>
  <c r="AH334" i="2"/>
  <c r="T336" i="26"/>
  <c r="X335" i="26"/>
  <c r="AJ333" i="2"/>
  <c r="V92" i="26"/>
  <c r="W92" i="26" s="1"/>
  <c r="X93" i="26"/>
  <c r="T448" i="5" l="1"/>
  <c r="AA449" i="5"/>
  <c r="AH448" i="5"/>
  <c r="AI613" i="5"/>
  <c r="AC429" i="2"/>
  <c r="AC430" i="2" s="1"/>
  <c r="AB500" i="2"/>
  <c r="AB501" i="2" s="1"/>
  <c r="AB502" i="2" s="1"/>
  <c r="V335" i="26"/>
  <c r="W335" i="26" s="1"/>
  <c r="AH335" i="2"/>
  <c r="T337" i="26"/>
  <c r="X336" i="26"/>
  <c r="AJ334" i="2"/>
  <c r="X94" i="26"/>
  <c r="V93" i="26"/>
  <c r="W93" i="26" s="1"/>
  <c r="AH449" i="5" l="1"/>
  <c r="T449" i="5"/>
  <c r="AA450" i="5"/>
  <c r="AI614" i="5"/>
  <c r="AB503" i="2"/>
  <c r="AB504" i="2" s="1"/>
  <c r="AC431" i="2"/>
  <c r="V336" i="26"/>
  <c r="W336" i="26" s="1"/>
  <c r="AH336" i="2"/>
  <c r="T338" i="26"/>
  <c r="X337" i="26"/>
  <c r="AJ335" i="2"/>
  <c r="X95" i="26"/>
  <c r="V94" i="26"/>
  <c r="W94" i="26" s="1"/>
  <c r="T450" i="5" l="1"/>
  <c r="AA451" i="5"/>
  <c r="AH450" i="5"/>
  <c r="AI615" i="5"/>
  <c r="AC432" i="2"/>
  <c r="AB505" i="2"/>
  <c r="V337" i="26"/>
  <c r="W337" i="26" s="1"/>
  <c r="AH337" i="2"/>
  <c r="T339" i="26"/>
  <c r="X338" i="26"/>
  <c r="AJ336" i="2"/>
  <c r="V95" i="26"/>
  <c r="W95" i="26" s="1"/>
  <c r="X96" i="26"/>
  <c r="AH451" i="5" l="1"/>
  <c r="AA452" i="5"/>
  <c r="T451" i="5"/>
  <c r="AI616" i="5"/>
  <c r="AB506" i="2"/>
  <c r="AC433" i="2"/>
  <c r="V338" i="26"/>
  <c r="W338" i="26" s="1"/>
  <c r="AH338" i="2"/>
  <c r="AJ337" i="2"/>
  <c r="T340" i="26"/>
  <c r="X339" i="26"/>
  <c r="V96" i="26"/>
  <c r="AA453" i="5" l="1"/>
  <c r="T452" i="5"/>
  <c r="AH452" i="5"/>
  <c r="AI617" i="5"/>
  <c r="AJ338" i="2"/>
  <c r="AC434" i="2"/>
  <c r="AB507" i="2"/>
  <c r="V339" i="26"/>
  <c r="W339" i="26" s="1"/>
  <c r="AJ339" i="2" s="1"/>
  <c r="AH339" i="2"/>
  <c r="T341" i="26"/>
  <c r="X341" i="26" s="1"/>
  <c r="X340" i="26"/>
  <c r="W96" i="26"/>
  <c r="W97" i="26"/>
  <c r="AH453" i="5" l="1"/>
  <c r="T453" i="5"/>
  <c r="AA454" i="5"/>
  <c r="AI618" i="5"/>
  <c r="AB508" i="2"/>
  <c r="AC435" i="2"/>
  <c r="V341" i="26"/>
  <c r="AH341" i="2"/>
  <c r="V340" i="26"/>
  <c r="W340" i="26" s="1"/>
  <c r="AJ340" i="2" s="1"/>
  <c r="AH340" i="2"/>
  <c r="T342" i="26"/>
  <c r="AA455" i="5" l="1"/>
  <c r="T454" i="5"/>
  <c r="AH454" i="5"/>
  <c r="AI619" i="5"/>
  <c r="AC436" i="2"/>
  <c r="AB509" i="2"/>
  <c r="AB510" i="2" s="1"/>
  <c r="AB511" i="2" s="1"/>
  <c r="AB512" i="2" s="1"/>
  <c r="T343" i="26"/>
  <c r="X342" i="26"/>
  <c r="W341" i="26"/>
  <c r="AJ341" i="2" s="1"/>
  <c r="X100" i="26"/>
  <c r="AH455" i="5" l="1"/>
  <c r="T455" i="5"/>
  <c r="AA456" i="5"/>
  <c r="AI620" i="5"/>
  <c r="AB513" i="2"/>
  <c r="AB514" i="2" s="1"/>
  <c r="AC437" i="2"/>
  <c r="V342" i="26"/>
  <c r="W342" i="26" s="1"/>
  <c r="AJ342" i="2" s="1"/>
  <c r="AH342" i="2"/>
  <c r="T344" i="26"/>
  <c r="X343" i="26"/>
  <c r="V100" i="26"/>
  <c r="W100" i="26" s="1"/>
  <c r="X101" i="26"/>
  <c r="T456" i="5" l="1"/>
  <c r="AA457" i="5"/>
  <c r="AH456" i="5"/>
  <c r="AI621" i="5"/>
  <c r="AC438" i="2"/>
  <c r="AC439" i="2" s="1"/>
  <c r="AB515" i="2"/>
  <c r="V343" i="26"/>
  <c r="W343" i="26" s="1"/>
  <c r="AJ343" i="2" s="1"/>
  <c r="AH343" i="2"/>
  <c r="T345" i="26"/>
  <c r="X344" i="26"/>
  <c r="X102" i="26"/>
  <c r="V101" i="26"/>
  <c r="W101" i="26" s="1"/>
  <c r="AH457" i="5" l="1"/>
  <c r="T457" i="5"/>
  <c r="AA458" i="5"/>
  <c r="AI622" i="5"/>
  <c r="AB516" i="2"/>
  <c r="AC440" i="2"/>
  <c r="T346" i="26"/>
  <c r="X345" i="26"/>
  <c r="V344" i="26"/>
  <c r="W344" i="26" s="1"/>
  <c r="AJ344" i="2" s="1"/>
  <c r="AH344" i="2"/>
  <c r="V102" i="26"/>
  <c r="W102" i="26" s="1"/>
  <c r="X103" i="26"/>
  <c r="AA459" i="5" l="1"/>
  <c r="T458" i="5"/>
  <c r="AH458" i="5"/>
  <c r="AI623" i="5"/>
  <c r="AC441" i="2"/>
  <c r="AB517" i="2"/>
  <c r="V345" i="26"/>
  <c r="W345" i="26" s="1"/>
  <c r="AJ345" i="2" s="1"/>
  <c r="AH345" i="2"/>
  <c r="T347" i="26"/>
  <c r="X346" i="26"/>
  <c r="X104" i="26"/>
  <c r="V103" i="26"/>
  <c r="W103" i="26" s="1"/>
  <c r="AA460" i="5" l="1"/>
  <c r="T459" i="5"/>
  <c r="AH459" i="5"/>
  <c r="AI624" i="5"/>
  <c r="AB518" i="2"/>
  <c r="AB519" i="2" s="1"/>
  <c r="AC442" i="2"/>
  <c r="V346" i="26"/>
  <c r="W346" i="26" s="1"/>
  <c r="AJ346" i="2" s="1"/>
  <c r="AH346" i="2"/>
  <c r="T348" i="26"/>
  <c r="X347" i="26"/>
  <c r="V104" i="26"/>
  <c r="W104" i="26" s="1"/>
  <c r="X105" i="26"/>
  <c r="T460" i="5" l="1"/>
  <c r="AH460" i="5"/>
  <c r="AA461" i="5"/>
  <c r="AI625" i="5"/>
  <c r="AC443" i="2"/>
  <c r="AB520" i="2"/>
  <c r="T349" i="26"/>
  <c r="X348" i="26"/>
  <c r="V347" i="26"/>
  <c r="W347" i="26" s="1"/>
  <c r="AJ347" i="2" s="1"/>
  <c r="AH347" i="2"/>
  <c r="V105" i="26"/>
  <c r="W105" i="26" s="1"/>
  <c r="X106" i="26"/>
  <c r="AH461" i="5" l="1"/>
  <c r="AA462" i="5"/>
  <c r="T461" i="5"/>
  <c r="AI626" i="5"/>
  <c r="AB521" i="2"/>
  <c r="AB522" i="2" s="1"/>
  <c r="AC444" i="2"/>
  <c r="V348" i="26"/>
  <c r="W348" i="26" s="1"/>
  <c r="AJ348" i="2" s="1"/>
  <c r="AH348" i="2"/>
  <c r="T350" i="26"/>
  <c r="X349" i="26"/>
  <c r="X107" i="26"/>
  <c r="V106" i="26"/>
  <c r="W106" i="26" s="1"/>
  <c r="AA463" i="5" l="1"/>
  <c r="T462" i="5"/>
  <c r="AH462" i="5"/>
  <c r="AI627" i="5"/>
  <c r="AC445" i="2"/>
  <c r="AB523" i="2"/>
  <c r="AB524" i="2" s="1"/>
  <c r="AB525" i="2" s="1"/>
  <c r="AB526" i="2" s="1"/>
  <c r="V349" i="26"/>
  <c r="W349" i="26" s="1"/>
  <c r="AJ349" i="2" s="1"/>
  <c r="AH349" i="2"/>
  <c r="T351" i="26"/>
  <c r="X350" i="26"/>
  <c r="X108" i="26"/>
  <c r="V107" i="26"/>
  <c r="W107" i="26" s="1"/>
  <c r="T463" i="5" l="1"/>
  <c r="AA464" i="5"/>
  <c r="AH463" i="5"/>
  <c r="AI628" i="5"/>
  <c r="AB527" i="2"/>
  <c r="AC446" i="2"/>
  <c r="V350" i="26"/>
  <c r="W350" i="26" s="1"/>
  <c r="AJ350" i="2" s="1"/>
  <c r="AH350" i="2"/>
  <c r="T352" i="26"/>
  <c r="X351" i="26"/>
  <c r="V108" i="26"/>
  <c r="W108" i="26" s="1"/>
  <c r="X109" i="26"/>
  <c r="AH464" i="5" l="1"/>
  <c r="AA465" i="5"/>
  <c r="T464" i="5"/>
  <c r="AI629" i="5"/>
  <c r="AC447" i="2"/>
  <c r="AB528" i="2"/>
  <c r="AB529" i="2" s="1"/>
  <c r="AB530" i="2" s="1"/>
  <c r="AB531" i="2" s="1"/>
  <c r="AB532" i="2" s="1"/>
  <c r="AB533" i="2" s="1"/>
  <c r="AB534" i="2" s="1"/>
  <c r="V351" i="26"/>
  <c r="W351" i="26" s="1"/>
  <c r="AJ351" i="2" s="1"/>
  <c r="AH351" i="2"/>
  <c r="T353" i="26"/>
  <c r="X352" i="26"/>
  <c r="V109" i="26"/>
  <c r="W109" i="26" s="1"/>
  <c r="X110" i="26"/>
  <c r="T465" i="5" l="1"/>
  <c r="AH465" i="5"/>
  <c r="AA466" i="5"/>
  <c r="AI630" i="5"/>
  <c r="AB535" i="2"/>
  <c r="AC448" i="2"/>
  <c r="V352" i="26"/>
  <c r="W352" i="26" s="1"/>
  <c r="AJ352" i="2" s="1"/>
  <c r="AH352" i="2"/>
  <c r="T354" i="26"/>
  <c r="X353" i="26"/>
  <c r="V110" i="26"/>
  <c r="W110" i="26" s="1"/>
  <c r="X111" i="26"/>
  <c r="AA467" i="5" l="1"/>
  <c r="AH466" i="5"/>
  <c r="T466" i="5"/>
  <c r="AI631" i="5"/>
  <c r="AC449" i="2"/>
  <c r="AC450" i="2" s="1"/>
  <c r="AB536" i="2"/>
  <c r="T355" i="26"/>
  <c r="X354" i="26"/>
  <c r="V353" i="26"/>
  <c r="W353" i="26" s="1"/>
  <c r="AJ353" i="2" s="1"/>
  <c r="AH353" i="2"/>
  <c r="X112" i="26"/>
  <c r="V111" i="26"/>
  <c r="W111" i="26" s="1"/>
  <c r="AH467" i="5" l="1"/>
  <c r="T467" i="5"/>
  <c r="AA468" i="5"/>
  <c r="AI632" i="5"/>
  <c r="AB537" i="2"/>
  <c r="AC451" i="2"/>
  <c r="V354" i="26"/>
  <c r="W354" i="26" s="1"/>
  <c r="AJ354" i="2" s="1"/>
  <c r="AH354" i="2"/>
  <c r="T356" i="26"/>
  <c r="X355" i="26"/>
  <c r="X113" i="26"/>
  <c r="V112" i="26"/>
  <c r="W112" i="26" s="1"/>
  <c r="AA469" i="5" l="1"/>
  <c r="T468" i="5"/>
  <c r="AH468" i="5"/>
  <c r="AI633" i="5"/>
  <c r="AC452" i="2"/>
  <c r="AB538" i="2"/>
  <c r="V355" i="26"/>
  <c r="W355" i="26" s="1"/>
  <c r="AJ355" i="2" s="1"/>
  <c r="AH355" i="2"/>
  <c r="T357" i="26"/>
  <c r="X356" i="26"/>
  <c r="X114" i="26"/>
  <c r="V113" i="26"/>
  <c r="W113" i="26" s="1"/>
  <c r="AA470" i="5" l="1"/>
  <c r="T469" i="5"/>
  <c r="AH469" i="5"/>
  <c r="AI634" i="5"/>
  <c r="AB539" i="2"/>
  <c r="AC453" i="2"/>
  <c r="V356" i="26"/>
  <c r="W356" i="26" s="1"/>
  <c r="AJ356" i="2" s="1"/>
  <c r="AH356" i="2"/>
  <c r="T358" i="26"/>
  <c r="X357" i="26"/>
  <c r="X115" i="26"/>
  <c r="V114" i="26"/>
  <c r="W114" i="26" s="1"/>
  <c r="T470" i="5" l="1"/>
  <c r="AA471" i="5"/>
  <c r="AH470" i="5"/>
  <c r="AI635" i="5"/>
  <c r="AC454" i="2"/>
  <c r="AB540" i="2"/>
  <c r="V357" i="26"/>
  <c r="W357" i="26" s="1"/>
  <c r="AJ357" i="2" s="1"/>
  <c r="AH357" i="2"/>
  <c r="T359" i="26"/>
  <c r="X358" i="26"/>
  <c r="X116" i="26"/>
  <c r="V115" i="26"/>
  <c r="W115" i="26" s="1"/>
  <c r="AH471" i="5" l="1"/>
  <c r="AA472" i="5"/>
  <c r="T471" i="5"/>
  <c r="AI636" i="5"/>
  <c r="AB541" i="2"/>
  <c r="AC455" i="2"/>
  <c r="AC456" i="2" s="1"/>
  <c r="V358" i="26"/>
  <c r="W358" i="26" s="1"/>
  <c r="AJ358" i="2" s="1"/>
  <c r="AH358" i="2"/>
  <c r="T360" i="26"/>
  <c r="X359" i="26"/>
  <c r="V116" i="26"/>
  <c r="W116" i="26" s="1"/>
  <c r="X117" i="26"/>
  <c r="AA473" i="5" l="1"/>
  <c r="AH472" i="5"/>
  <c r="T472" i="5"/>
  <c r="AI637" i="5"/>
  <c r="AC457" i="2"/>
  <c r="AC458" i="2" s="1"/>
  <c r="AC459" i="2" s="1"/>
  <c r="AB542" i="2"/>
  <c r="V359" i="26"/>
  <c r="W359" i="26" s="1"/>
  <c r="AJ359" i="2" s="1"/>
  <c r="AH359" i="2"/>
  <c r="T361" i="26"/>
  <c r="X360" i="26"/>
  <c r="X118" i="26"/>
  <c r="V117" i="26"/>
  <c r="W117" i="26" s="1"/>
  <c r="T473" i="5" l="1"/>
  <c r="AH473" i="5"/>
  <c r="AA474" i="5"/>
  <c r="AI638" i="5"/>
  <c r="AB543" i="2"/>
  <c r="AC460" i="2"/>
  <c r="AC461" i="2" s="1"/>
  <c r="V360" i="26"/>
  <c r="W360" i="26" s="1"/>
  <c r="AJ360" i="2" s="1"/>
  <c r="AH360" i="2"/>
  <c r="T362" i="26"/>
  <c r="X361" i="26"/>
  <c r="V118" i="26"/>
  <c r="W118" i="26" s="1"/>
  <c r="X119" i="26"/>
  <c r="AA475" i="5" l="1"/>
  <c r="AH474" i="5"/>
  <c r="T474" i="5"/>
  <c r="AI639" i="5"/>
  <c r="AC462" i="2"/>
  <c r="AB544" i="2"/>
  <c r="V361" i="26"/>
  <c r="W361" i="26" s="1"/>
  <c r="AJ361" i="2" s="1"/>
  <c r="AH361" i="2"/>
  <c r="T363" i="26"/>
  <c r="X362" i="26"/>
  <c r="X120" i="26"/>
  <c r="V119" i="26"/>
  <c r="W119" i="26" s="1"/>
  <c r="AH475" i="5" l="1"/>
  <c r="T475" i="5"/>
  <c r="AA476" i="5"/>
  <c r="AI640" i="5"/>
  <c r="AB545" i="2"/>
  <c r="AC463" i="2"/>
  <c r="AC464" i="2" s="1"/>
  <c r="V362" i="26"/>
  <c r="W362" i="26" s="1"/>
  <c r="AJ362" i="2" s="1"/>
  <c r="AH362" i="2"/>
  <c r="T364" i="26"/>
  <c r="X363" i="26"/>
  <c r="V120" i="26"/>
  <c r="W120" i="26" s="1"/>
  <c r="X121" i="26"/>
  <c r="AA477" i="5" l="1"/>
  <c r="T476" i="5"/>
  <c r="AH476" i="5"/>
  <c r="AI641" i="5"/>
  <c r="AC465" i="2"/>
  <c r="AC466" i="2" s="1"/>
  <c r="AB546" i="2"/>
  <c r="AB547" i="2" s="1"/>
  <c r="AB548" i="2" s="1"/>
  <c r="V363" i="26"/>
  <c r="W363" i="26" s="1"/>
  <c r="AJ363" i="2" s="1"/>
  <c r="AH363" i="2"/>
  <c r="T365" i="26"/>
  <c r="X364" i="26"/>
  <c r="V121" i="26"/>
  <c r="W121" i="26" s="1"/>
  <c r="X122" i="26"/>
  <c r="AH477" i="5" l="1"/>
  <c r="AA478" i="5"/>
  <c r="T477" i="5"/>
  <c r="AI642" i="5"/>
  <c r="AB549" i="2"/>
  <c r="AB550" i="2" s="1"/>
  <c r="AC467" i="2"/>
  <c r="V364" i="26"/>
  <c r="W364" i="26" s="1"/>
  <c r="AJ364" i="2" s="1"/>
  <c r="AH364" i="2"/>
  <c r="T366" i="26"/>
  <c r="X365" i="26"/>
  <c r="X123" i="26"/>
  <c r="V122" i="26"/>
  <c r="W122" i="26" s="1"/>
  <c r="T478" i="5" l="1"/>
  <c r="AH478" i="5"/>
  <c r="AA479" i="5"/>
  <c r="AI643" i="5"/>
  <c r="AC468" i="2"/>
  <c r="AB551" i="2"/>
  <c r="V365" i="26"/>
  <c r="W365" i="26" s="1"/>
  <c r="AJ365" i="2" s="1"/>
  <c r="AH365" i="2"/>
  <c r="T367" i="26"/>
  <c r="X366" i="26"/>
  <c r="X124" i="26"/>
  <c r="V123" i="26"/>
  <c r="W123" i="26" s="1"/>
  <c r="AH479" i="5" l="1"/>
  <c r="AA480" i="5"/>
  <c r="T479" i="5"/>
  <c r="AI644" i="5"/>
  <c r="AB552" i="2"/>
  <c r="AC469" i="2"/>
  <c r="AC470" i="2" s="1"/>
  <c r="V366" i="26"/>
  <c r="W366" i="26" s="1"/>
  <c r="AJ366" i="2" s="1"/>
  <c r="AH366" i="2"/>
  <c r="T368" i="26"/>
  <c r="X367" i="26"/>
  <c r="X125" i="26"/>
  <c r="V124" i="26"/>
  <c r="W124" i="26" s="1"/>
  <c r="T480" i="5" l="1"/>
  <c r="AA481" i="5"/>
  <c r="AH480" i="5"/>
  <c r="AI645" i="5"/>
  <c r="AC471" i="2"/>
  <c r="AC472" i="2" s="1"/>
  <c r="AB553" i="2"/>
  <c r="T369" i="26"/>
  <c r="X368" i="26"/>
  <c r="V367" i="26"/>
  <c r="W367" i="26" s="1"/>
  <c r="AJ367" i="2" s="1"/>
  <c r="AH367" i="2"/>
  <c r="X126" i="26"/>
  <c r="V125" i="26"/>
  <c r="W125" i="26" s="1"/>
  <c r="AA482" i="5" l="1"/>
  <c r="T481" i="5"/>
  <c r="AH481" i="5"/>
  <c r="AI646" i="5"/>
  <c r="AB554" i="2"/>
  <c r="AB555" i="2" s="1"/>
  <c r="AC473" i="2"/>
  <c r="AC474" i="2" s="1"/>
  <c r="V368" i="26"/>
  <c r="W368" i="26" s="1"/>
  <c r="AJ368" i="2" s="1"/>
  <c r="AH368" i="2"/>
  <c r="T373" i="26"/>
  <c r="X369" i="26"/>
  <c r="AH369" i="2" s="1"/>
  <c r="V126" i="26"/>
  <c r="W126" i="26" s="1"/>
  <c r="X127" i="26"/>
  <c r="T482" i="5" l="1"/>
  <c r="AA483" i="5"/>
  <c r="AH482" i="5"/>
  <c r="AI647" i="5"/>
  <c r="AC475" i="2"/>
  <c r="AB556" i="2"/>
  <c r="V369" i="26"/>
  <c r="W369" i="26" s="1"/>
  <c r="AJ369" i="2" s="1"/>
  <c r="T374" i="26"/>
  <c r="X373" i="26"/>
  <c r="V127" i="26"/>
  <c r="W127" i="26" s="1"/>
  <c r="X128" i="26"/>
  <c r="AH483" i="5" l="1"/>
  <c r="T483" i="5"/>
  <c r="AA484" i="5"/>
  <c r="AI648" i="5"/>
  <c r="V373" i="26"/>
  <c r="W373" i="26" s="1"/>
  <c r="AJ373" i="2" s="1"/>
  <c r="AH373" i="2"/>
  <c r="AB557" i="2"/>
  <c r="AB558" i="2" s="1"/>
  <c r="AC476" i="2"/>
  <c r="X374" i="26"/>
  <c r="T375" i="26"/>
  <c r="X129" i="26"/>
  <c r="V128" i="26"/>
  <c r="W128" i="26" s="1"/>
  <c r="T484" i="5" l="1"/>
  <c r="AA485" i="5"/>
  <c r="AH484" i="5"/>
  <c r="AI649" i="5"/>
  <c r="V374" i="26"/>
  <c r="W374" i="26" s="1"/>
  <c r="AJ374" i="2" s="1"/>
  <c r="AH374" i="2"/>
  <c r="AC477" i="2"/>
  <c r="AC478" i="2" s="1"/>
  <c r="AB559" i="2"/>
  <c r="AB560" i="2" s="1"/>
  <c r="X375" i="26"/>
  <c r="AH375" i="2" s="1"/>
  <c r="X130" i="26"/>
  <c r="V129" i="26"/>
  <c r="W129" i="26" s="1"/>
  <c r="AH485" i="5" l="1"/>
  <c r="AA486" i="5"/>
  <c r="T485" i="5"/>
  <c r="AI650" i="5"/>
  <c r="V375" i="26"/>
  <c r="W375" i="26" s="1"/>
  <c r="AB561" i="2"/>
  <c r="AC479" i="2"/>
  <c r="V130" i="26"/>
  <c r="W130" i="26" s="1"/>
  <c r="X131" i="26"/>
  <c r="T486" i="5" l="1"/>
  <c r="AA487" i="5"/>
  <c r="AH486" i="5"/>
  <c r="AI651" i="5"/>
  <c r="AJ375" i="2"/>
  <c r="AC480" i="2"/>
  <c r="AC481" i="2" s="1"/>
  <c r="AB562" i="2"/>
  <c r="X132" i="26"/>
  <c r="V131" i="26"/>
  <c r="W131" i="26" s="1"/>
  <c r="AA488" i="5" l="1"/>
  <c r="T487" i="5"/>
  <c r="AH487" i="5"/>
  <c r="AI652" i="5"/>
  <c r="AB563" i="2"/>
  <c r="AB564" i="2" s="1"/>
  <c r="AB565" i="2" s="1"/>
  <c r="AC482" i="2"/>
  <c r="AC483" i="2" s="1"/>
  <c r="X133" i="26"/>
  <c r="V132" i="26"/>
  <c r="W132" i="26" s="1"/>
  <c r="T488" i="5" l="1"/>
  <c r="AH488" i="5"/>
  <c r="AA489" i="5"/>
  <c r="AI653" i="5"/>
  <c r="AC484" i="2"/>
  <c r="AC485" i="2" s="1"/>
  <c r="AB566" i="2"/>
  <c r="AB567" i="2" s="1"/>
  <c r="AB568" i="2" s="1"/>
  <c r="V133" i="26"/>
  <c r="W133" i="26" s="1"/>
  <c r="X134" i="26"/>
  <c r="AH489" i="5" l="1"/>
  <c r="AA490" i="5"/>
  <c r="T489" i="5"/>
  <c r="AI654" i="5"/>
  <c r="AB569" i="2"/>
  <c r="AB570" i="2" s="1"/>
  <c r="AC486" i="2"/>
  <c r="X135" i="26"/>
  <c r="V134" i="26"/>
  <c r="W134" i="26" s="1"/>
  <c r="T490" i="5" l="1"/>
  <c r="AA491" i="5"/>
  <c r="AH490" i="5"/>
  <c r="AI655" i="5"/>
  <c r="AC487" i="2"/>
  <c r="AC488" i="2" s="1"/>
  <c r="AB571" i="2"/>
  <c r="AB572" i="2" s="1"/>
  <c r="V135" i="26"/>
  <c r="W135" i="26" s="1"/>
  <c r="X136" i="26"/>
  <c r="AH491" i="5" l="1"/>
  <c r="AA492" i="5"/>
  <c r="T491" i="5"/>
  <c r="AI656" i="5"/>
  <c r="AB573" i="2"/>
  <c r="AB574" i="2" s="1"/>
  <c r="AC489" i="2"/>
  <c r="AC490" i="2" s="1"/>
  <c r="V136" i="26"/>
  <c r="W136" i="26" s="1"/>
  <c r="X137" i="26"/>
  <c r="T492" i="5" l="1"/>
  <c r="AA493" i="5"/>
  <c r="AH492" i="5"/>
  <c r="AI657" i="5"/>
  <c r="AC491" i="2"/>
  <c r="AC492" i="2" s="1"/>
  <c r="AB575" i="2"/>
  <c r="V137" i="26"/>
  <c r="W137" i="26" s="1"/>
  <c r="X138" i="26"/>
  <c r="AH493" i="5" l="1"/>
  <c r="AA494" i="5"/>
  <c r="T493" i="5"/>
  <c r="AI658" i="5"/>
  <c r="AB576" i="2"/>
  <c r="AB577" i="2" s="1"/>
  <c r="AC493" i="2"/>
  <c r="V138" i="26"/>
  <c r="W138" i="26" s="1"/>
  <c r="X139" i="26"/>
  <c r="T494" i="5" l="1"/>
  <c r="AA495" i="5"/>
  <c r="AH494" i="5"/>
  <c r="AI659" i="5"/>
  <c r="AC494" i="2"/>
  <c r="AC495" i="2" s="1"/>
  <c r="AB578" i="2"/>
  <c r="V139" i="26"/>
  <c r="W139" i="26" s="1"/>
  <c r="X140" i="26"/>
  <c r="AH495" i="5" l="1"/>
  <c r="AA496" i="5"/>
  <c r="T495" i="5"/>
  <c r="AI660" i="5"/>
  <c r="AB579" i="2"/>
  <c r="AC496" i="2"/>
  <c r="V140" i="26"/>
  <c r="W140" i="26" s="1"/>
  <c r="X141" i="26"/>
  <c r="T496" i="5" l="1"/>
  <c r="AA497" i="5"/>
  <c r="AH496" i="5"/>
  <c r="AI661" i="5"/>
  <c r="AC497" i="2"/>
  <c r="AB580" i="2"/>
  <c r="V141" i="26"/>
  <c r="W141" i="26" s="1"/>
  <c r="X142" i="26"/>
  <c r="AA498" i="5" l="1"/>
  <c r="AH497" i="5"/>
  <c r="T497" i="5"/>
  <c r="AI662" i="5"/>
  <c r="AB581" i="2"/>
  <c r="AB582" i="2" s="1"/>
  <c r="AC498" i="2"/>
  <c r="X143" i="26"/>
  <c r="V142" i="26"/>
  <c r="W142" i="26" s="1"/>
  <c r="AH498" i="5" l="1"/>
  <c r="AA499" i="5"/>
  <c r="AI663" i="5"/>
  <c r="AC499" i="2"/>
  <c r="AB583" i="2"/>
  <c r="AB584" i="2" s="1"/>
  <c r="V143" i="26"/>
  <c r="W143" i="26" s="1"/>
  <c r="X144" i="26"/>
  <c r="AA500" i="5" l="1"/>
  <c r="AH499" i="5"/>
  <c r="AI664" i="5"/>
  <c r="AB585" i="2"/>
  <c r="AC500" i="2"/>
  <c r="AC501" i="2" s="1"/>
  <c r="AC502" i="2" s="1"/>
  <c r="V144" i="26"/>
  <c r="W144" i="26" s="1"/>
  <c r="X145" i="26"/>
  <c r="AH500" i="5" l="1"/>
  <c r="AA501" i="5"/>
  <c r="AI665" i="5"/>
  <c r="AC503" i="2"/>
  <c r="AC504" i="2" s="1"/>
  <c r="AB586" i="2"/>
  <c r="V145" i="26"/>
  <c r="W145" i="26" s="1"/>
  <c r="X146" i="26"/>
  <c r="AA502" i="5" l="1"/>
  <c r="AH501" i="5"/>
  <c r="AI666" i="5"/>
  <c r="AB587" i="2"/>
  <c r="AB588" i="2" s="1"/>
  <c r="AC505" i="2"/>
  <c r="V146" i="26"/>
  <c r="W146" i="26" s="1"/>
  <c r="X147" i="26"/>
  <c r="AH502" i="5" l="1"/>
  <c r="AA503" i="5"/>
  <c r="AI667" i="5"/>
  <c r="AC506" i="2"/>
  <c r="AB589" i="2"/>
  <c r="V147" i="26"/>
  <c r="W147" i="26" s="1"/>
  <c r="X148" i="26"/>
  <c r="AA504" i="5" l="1"/>
  <c r="AH503" i="5"/>
  <c r="AI668" i="5"/>
  <c r="AB590" i="2"/>
  <c r="AB591" i="2" s="1"/>
  <c r="AB592" i="2" s="1"/>
  <c r="AC507" i="2"/>
  <c r="V148" i="26"/>
  <c r="W148" i="26" s="1"/>
  <c r="X149" i="26"/>
  <c r="AH504" i="5" l="1"/>
  <c r="AA505" i="5"/>
  <c r="AI669" i="5"/>
  <c r="AC508" i="2"/>
  <c r="AB593" i="2"/>
  <c r="X150" i="26"/>
  <c r="V149" i="26"/>
  <c r="W149" i="26" s="1"/>
  <c r="AA506" i="5" l="1"/>
  <c r="AH505" i="5"/>
  <c r="AI670" i="5"/>
  <c r="AB594" i="2"/>
  <c r="AB595" i="2" s="1"/>
  <c r="AB596" i="2" s="1"/>
  <c r="AC509" i="2"/>
  <c r="AC510" i="2" s="1"/>
  <c r="AC511" i="2" s="1"/>
  <c r="AC512" i="2" s="1"/>
  <c r="X151" i="26"/>
  <c r="V150" i="26"/>
  <c r="W150" i="26" s="1"/>
  <c r="AH506" i="5" l="1"/>
  <c r="AA507" i="5"/>
  <c r="AI671" i="5"/>
  <c r="AC513" i="2"/>
  <c r="AC514" i="2" s="1"/>
  <c r="AB597" i="2"/>
  <c r="AB598" i="2" s="1"/>
  <c r="X152" i="26"/>
  <c r="V151" i="26"/>
  <c r="W151" i="26" s="1"/>
  <c r="AH507" i="5" l="1"/>
  <c r="AA508" i="5"/>
  <c r="AI672" i="5"/>
  <c r="AB599" i="2"/>
  <c r="AC515" i="2"/>
  <c r="X153" i="26"/>
  <c r="V152" i="26"/>
  <c r="W152" i="26" s="1"/>
  <c r="AA509" i="5" l="1"/>
  <c r="AH508" i="5"/>
  <c r="AI673" i="5"/>
  <c r="AC516" i="2"/>
  <c r="AB600" i="2"/>
  <c r="V153" i="26"/>
  <c r="W153" i="26" s="1"/>
  <c r="X154" i="26"/>
  <c r="AA510" i="5" l="1"/>
  <c r="AH509" i="5"/>
  <c r="AI674" i="5"/>
  <c r="AB601" i="2"/>
  <c r="AC517" i="2"/>
  <c r="V154" i="26"/>
  <c r="W154" i="26" s="1"/>
  <c r="X155" i="26"/>
  <c r="AH510" i="5" l="1"/>
  <c r="AA511" i="5"/>
  <c r="AI675" i="5"/>
  <c r="AC518" i="2"/>
  <c r="AC519" i="2" s="1"/>
  <c r="AB602" i="2"/>
  <c r="AB603" i="2" s="1"/>
  <c r="V155" i="26"/>
  <c r="W155" i="26" s="1"/>
  <c r="X156" i="26"/>
  <c r="AA512" i="5" l="1"/>
  <c r="AH511" i="5"/>
  <c r="AI676" i="5"/>
  <c r="AB604" i="2"/>
  <c r="AC520" i="2"/>
  <c r="V156" i="26"/>
  <c r="W156" i="26" s="1"/>
  <c r="X157" i="26"/>
  <c r="AH512" i="5" l="1"/>
  <c r="AA513" i="5"/>
  <c r="AI677" i="5"/>
  <c r="AC521" i="2"/>
  <c r="AC522" i="2" s="1"/>
  <c r="AB605" i="2"/>
  <c r="AB606" i="2" s="1"/>
  <c r="AB607" i="2" s="1"/>
  <c r="AB608" i="2" s="1"/>
  <c r="X158" i="26"/>
  <c r="V157" i="26"/>
  <c r="W157" i="26" s="1"/>
  <c r="AH513" i="5" l="1"/>
  <c r="AA514" i="5"/>
  <c r="AI678" i="5"/>
  <c r="AB609" i="2"/>
  <c r="AC523" i="2"/>
  <c r="AC524" i="2" s="1"/>
  <c r="AC525" i="2" s="1"/>
  <c r="AC526" i="2" s="1"/>
  <c r="X159" i="26"/>
  <c r="V158" i="26"/>
  <c r="W158" i="26" s="1"/>
  <c r="AA515" i="5" l="1"/>
  <c r="AH514" i="5"/>
  <c r="AI679" i="5"/>
  <c r="AC527" i="2"/>
  <c r="AB610" i="2"/>
  <c r="V159" i="26"/>
  <c r="W159" i="26" s="1"/>
  <c r="X160" i="26"/>
  <c r="AH515" i="5" l="1"/>
  <c r="AA516" i="5"/>
  <c r="AI680" i="5"/>
  <c r="AB611" i="2"/>
  <c r="AC528" i="2"/>
  <c r="AC529" i="2" s="1"/>
  <c r="AC530" i="2" s="1"/>
  <c r="AC531" i="2" s="1"/>
  <c r="AC532" i="2" s="1"/>
  <c r="AC533" i="2" s="1"/>
  <c r="AC534" i="2" s="1"/>
  <c r="V160" i="26"/>
  <c r="W160" i="26" s="1"/>
  <c r="X161" i="26"/>
  <c r="AA517" i="5" l="1"/>
  <c r="AH516" i="5"/>
  <c r="AC535" i="2"/>
  <c r="AB612" i="2"/>
  <c r="AB613" i="2" s="1"/>
  <c r="X162" i="26"/>
  <c r="V161" i="26"/>
  <c r="W161" i="26" s="1"/>
  <c r="AH517" i="5" l="1"/>
  <c r="AA518" i="5"/>
  <c r="AB614" i="2"/>
  <c r="AC536" i="2"/>
  <c r="V162" i="26"/>
  <c r="W162" i="26" s="1"/>
  <c r="X163" i="26"/>
  <c r="AA519" i="5" l="1"/>
  <c r="AH518" i="5"/>
  <c r="AC537" i="2"/>
  <c r="AB615" i="2"/>
  <c r="V163" i="26"/>
  <c r="W163" i="26" s="1"/>
  <c r="X164" i="26"/>
  <c r="AH519" i="5" l="1"/>
  <c r="AA520" i="5"/>
  <c r="AB616" i="2"/>
  <c r="AC538" i="2"/>
  <c r="V164" i="26"/>
  <c r="W164" i="26" s="1"/>
  <c r="X165" i="26"/>
  <c r="AA521" i="5" l="1"/>
  <c r="AH520" i="5"/>
  <c r="AC539" i="2"/>
  <c r="AB617" i="2"/>
  <c r="AB618" i="2" s="1"/>
  <c r="V165" i="26"/>
  <c r="W165" i="26" s="1"/>
  <c r="X166" i="26"/>
  <c r="AH521" i="5" l="1"/>
  <c r="AA522" i="5"/>
  <c r="AB619" i="2"/>
  <c r="AC540" i="2"/>
  <c r="V166" i="26"/>
  <c r="W166" i="26" s="1"/>
  <c r="X167" i="26"/>
  <c r="AA523" i="5" l="1"/>
  <c r="AH522" i="5"/>
  <c r="AC541" i="2"/>
  <c r="AB620" i="2"/>
  <c r="V167" i="26"/>
  <c r="W167" i="26" s="1"/>
  <c r="X168" i="26"/>
  <c r="AH523" i="5" l="1"/>
  <c r="AA524" i="5"/>
  <c r="AB621" i="2"/>
  <c r="AC542" i="2"/>
  <c r="V168" i="26"/>
  <c r="W168" i="26" s="1"/>
  <c r="X169" i="26"/>
  <c r="AA525" i="5" l="1"/>
  <c r="AH524" i="5"/>
  <c r="AC543" i="2"/>
  <c r="AB622" i="2"/>
  <c r="X170" i="26"/>
  <c r="V169" i="26"/>
  <c r="W169" i="26" s="1"/>
  <c r="AH525" i="5" l="1"/>
  <c r="AA526" i="5"/>
  <c r="AB623" i="2"/>
  <c r="AC544" i="2"/>
  <c r="V170" i="26"/>
  <c r="W170" i="26" s="1"/>
  <c r="X171" i="26"/>
  <c r="AA527" i="5" l="1"/>
  <c r="AH526" i="5"/>
  <c r="AC545" i="2"/>
  <c r="AB624" i="2"/>
  <c r="X172" i="26"/>
  <c r="V171" i="26"/>
  <c r="W171" i="26" s="1"/>
  <c r="AH527" i="5" l="1"/>
  <c r="AA528" i="5"/>
  <c r="AB625" i="2"/>
  <c r="AC546" i="2"/>
  <c r="AC547" i="2" s="1"/>
  <c r="AC548" i="2" s="1"/>
  <c r="V172" i="26"/>
  <c r="W172" i="26" s="1"/>
  <c r="X173" i="26"/>
  <c r="AA529" i="5" l="1"/>
  <c r="AH528" i="5"/>
  <c r="AC549" i="2"/>
  <c r="AC550" i="2" s="1"/>
  <c r="AB626" i="2"/>
  <c r="AB627" i="2" s="1"/>
  <c r="V173" i="26"/>
  <c r="W173" i="26" s="1"/>
  <c r="X174" i="26"/>
  <c r="AH529" i="5" l="1"/>
  <c r="AA530" i="5"/>
  <c r="AB628" i="2"/>
  <c r="AB629" i="2" s="1"/>
  <c r="AB630" i="2" s="1"/>
  <c r="AC551" i="2"/>
  <c r="V174" i="26"/>
  <c r="W174" i="26" s="1"/>
  <c r="X175" i="26"/>
  <c r="AA531" i="5" l="1"/>
  <c r="AH530" i="5"/>
  <c r="AC552" i="2"/>
  <c r="AB631" i="2"/>
  <c r="V175" i="26"/>
  <c r="W175" i="26" s="1"/>
  <c r="X176" i="26"/>
  <c r="AH531" i="5" l="1"/>
  <c r="AA532" i="5"/>
  <c r="AB632" i="2"/>
  <c r="AC553" i="2"/>
  <c r="V176" i="26"/>
  <c r="W176" i="26" s="1"/>
  <c r="X177" i="26"/>
  <c r="AA533" i="5" l="1"/>
  <c r="AH532" i="5"/>
  <c r="AC554" i="2"/>
  <c r="AC555" i="2" s="1"/>
  <c r="AB633" i="2"/>
  <c r="V177" i="26"/>
  <c r="W177" i="26" s="1"/>
  <c r="X178" i="26"/>
  <c r="AH533" i="5" l="1"/>
  <c r="AA534" i="5"/>
  <c r="AB634" i="2"/>
  <c r="AC556" i="2"/>
  <c r="X179" i="26"/>
  <c r="V178" i="26"/>
  <c r="W178" i="26" s="1"/>
  <c r="AA535" i="5" l="1"/>
  <c r="AH534" i="5"/>
  <c r="AC557" i="2"/>
  <c r="AC558" i="2" s="1"/>
  <c r="AB635" i="2"/>
  <c r="AB636" i="2" s="1"/>
  <c r="AB637" i="2" s="1"/>
  <c r="AB638" i="2" s="1"/>
  <c r="X180" i="26"/>
  <c r="V179" i="26"/>
  <c r="W179" i="26" s="1"/>
  <c r="AH535" i="5" l="1"/>
  <c r="AA536" i="5"/>
  <c r="AB639" i="2"/>
  <c r="AC559" i="2"/>
  <c r="AC560" i="2" s="1"/>
  <c r="V180" i="26"/>
  <c r="W180" i="26" s="1"/>
  <c r="X181" i="26"/>
  <c r="AA537" i="5" l="1"/>
  <c r="AH536" i="5"/>
  <c r="AC561" i="2"/>
  <c r="AB640" i="2"/>
  <c r="AB641" i="2" s="1"/>
  <c r="X182" i="26"/>
  <c r="V181" i="26"/>
  <c r="W181" i="26" s="1"/>
  <c r="AH537" i="5" l="1"/>
  <c r="AA538" i="5"/>
  <c r="AB642" i="2"/>
  <c r="AC562" i="2"/>
  <c r="X183" i="26"/>
  <c r="V182" i="26"/>
  <c r="W182" i="26" s="1"/>
  <c r="AA539" i="5" l="1"/>
  <c r="AH538" i="5"/>
  <c r="AC563" i="2"/>
  <c r="AC564" i="2" s="1"/>
  <c r="AC565" i="2" s="1"/>
  <c r="AB643" i="2"/>
  <c r="V183" i="26"/>
  <c r="W183" i="26" s="1"/>
  <c r="X184" i="26"/>
  <c r="AH539" i="5" l="1"/>
  <c r="AA540" i="5"/>
  <c r="AB644" i="2"/>
  <c r="AC566" i="2"/>
  <c r="AC567" i="2" s="1"/>
  <c r="AC568" i="2" s="1"/>
  <c r="V184" i="26"/>
  <c r="W184" i="26" s="1"/>
  <c r="X185" i="26"/>
  <c r="AA541" i="5" l="1"/>
  <c r="AH540" i="5"/>
  <c r="AC569" i="2"/>
  <c r="AC570" i="2" s="1"/>
  <c r="AB645" i="2"/>
  <c r="AB646" i="2" s="1"/>
  <c r="V185" i="26"/>
  <c r="W185" i="26" s="1"/>
  <c r="X186" i="26"/>
  <c r="AH541" i="5" l="1"/>
  <c r="AA542" i="5"/>
  <c r="AB647" i="2"/>
  <c r="AC571" i="2"/>
  <c r="AC572" i="2" s="1"/>
  <c r="X187" i="26"/>
  <c r="V186" i="26"/>
  <c r="W186" i="26" s="1"/>
  <c r="AA543" i="5" l="1"/>
  <c r="AH542" i="5"/>
  <c r="AC573" i="2"/>
  <c r="AC574" i="2" s="1"/>
  <c r="AB648" i="2"/>
  <c r="AB649" i="2" s="1"/>
  <c r="V187" i="26"/>
  <c r="W187" i="26" s="1"/>
  <c r="X188" i="26"/>
  <c r="AH543" i="5" l="1"/>
  <c r="AA544" i="5"/>
  <c r="AB650" i="2"/>
  <c r="AB651" i="2" s="1"/>
  <c r="AC575" i="2"/>
  <c r="V188" i="26"/>
  <c r="W188" i="26" s="1"/>
  <c r="X189" i="26"/>
  <c r="AA545" i="5" l="1"/>
  <c r="AH544" i="5"/>
  <c r="AC576" i="2"/>
  <c r="AC577" i="2" s="1"/>
  <c r="AB652" i="2"/>
  <c r="AB653" i="2" s="1"/>
  <c r="V189" i="26"/>
  <c r="W189" i="26" s="1"/>
  <c r="X190" i="26"/>
  <c r="AH545" i="5" l="1"/>
  <c r="AA546" i="5"/>
  <c r="AB654" i="2"/>
  <c r="AC578" i="2"/>
  <c r="X191" i="26"/>
  <c r="V190" i="26"/>
  <c r="W190" i="26" s="1"/>
  <c r="AA547" i="5" l="1"/>
  <c r="AH546" i="5"/>
  <c r="AB655" i="2"/>
  <c r="AC579" i="2"/>
  <c r="X192" i="26"/>
  <c r="V191" i="26"/>
  <c r="W191" i="26" s="1"/>
  <c r="AH547" i="5" l="1"/>
  <c r="AA548" i="5"/>
  <c r="AC580" i="2"/>
  <c r="AB656" i="2"/>
  <c r="X193" i="26"/>
  <c r="V192" i="26"/>
  <c r="W192" i="26" s="1"/>
  <c r="AA549" i="5" l="1"/>
  <c r="AH548" i="5"/>
  <c r="AB657" i="2"/>
  <c r="AC581" i="2"/>
  <c r="AC582" i="2" s="1"/>
  <c r="V193" i="26"/>
  <c r="W193" i="26" s="1"/>
  <c r="X194" i="26"/>
  <c r="AH549" i="5" l="1"/>
  <c r="AA550" i="5"/>
  <c r="AC583" i="2"/>
  <c r="AC584" i="2" s="1"/>
  <c r="AB658" i="2"/>
  <c r="V194" i="26"/>
  <c r="W194" i="26" s="1"/>
  <c r="X195" i="26"/>
  <c r="AA551" i="5" l="1"/>
  <c r="AH550" i="5"/>
  <c r="AB659" i="2"/>
  <c r="AB660" i="2" s="1"/>
  <c r="AC585" i="2"/>
  <c r="X196" i="26"/>
  <c r="V195" i="26"/>
  <c r="W195" i="26" s="1"/>
  <c r="AH551" i="5" l="1"/>
  <c r="AA552" i="5"/>
  <c r="AC586" i="2"/>
  <c r="AB661" i="2"/>
  <c r="V196" i="26"/>
  <c r="W196" i="26" s="1"/>
  <c r="X197" i="26"/>
  <c r="AA553" i="5" l="1"/>
  <c r="AH552" i="5"/>
  <c r="AB662" i="2"/>
  <c r="AB663" i="2" s="1"/>
  <c r="AB664" i="2" s="1"/>
  <c r="AC587" i="2"/>
  <c r="AC588" i="2" s="1"/>
  <c r="V197" i="26"/>
  <c r="W197" i="26" s="1"/>
  <c r="X198" i="26"/>
  <c r="AH553" i="5" l="1"/>
  <c r="AA554" i="5"/>
  <c r="AC589" i="2"/>
  <c r="AB665" i="2"/>
  <c r="V198" i="26"/>
  <c r="W198" i="26" s="1"/>
  <c r="X199" i="26"/>
  <c r="AA555" i="5" l="1"/>
  <c r="AH554" i="5"/>
  <c r="AB666" i="2"/>
  <c r="AC590" i="2"/>
  <c r="AC591" i="2" s="1"/>
  <c r="AC592" i="2" s="1"/>
  <c r="X200" i="26"/>
  <c r="V199" i="26"/>
  <c r="W199" i="26" s="1"/>
  <c r="AH555" i="5" l="1"/>
  <c r="AA556" i="5"/>
  <c r="AC593" i="2"/>
  <c r="AB667" i="2"/>
  <c r="V200" i="26"/>
  <c r="W200" i="26" s="1"/>
  <c r="X201" i="26"/>
  <c r="AA557" i="5" l="1"/>
  <c r="AH556" i="5"/>
  <c r="AB668" i="2"/>
  <c r="AC594" i="2"/>
  <c r="AC595" i="2" s="1"/>
  <c r="AC596" i="2" s="1"/>
  <c r="X202" i="26"/>
  <c r="V201" i="26"/>
  <c r="W201" i="26" s="1"/>
  <c r="AH557" i="5" l="1"/>
  <c r="AA558" i="5"/>
  <c r="AC597" i="2"/>
  <c r="AC598" i="2" s="1"/>
  <c r="AB669" i="2"/>
  <c r="V202" i="26"/>
  <c r="W202" i="26" s="1"/>
  <c r="X203" i="26"/>
  <c r="AA559" i="5" l="1"/>
  <c r="AH558" i="5"/>
  <c r="AB670" i="2"/>
  <c r="AC599" i="2"/>
  <c r="X204" i="26"/>
  <c r="V203" i="26"/>
  <c r="W203" i="26" s="1"/>
  <c r="AH559" i="5" l="1"/>
  <c r="AA560" i="5"/>
  <c r="AB671" i="2"/>
  <c r="AC600" i="2"/>
  <c r="X205" i="26"/>
  <c r="V204" i="26"/>
  <c r="W204" i="26" s="1"/>
  <c r="AA561" i="5" l="1"/>
  <c r="AH560" i="5"/>
  <c r="AB672" i="2"/>
  <c r="AB673" i="2" s="1"/>
  <c r="AC601" i="2"/>
  <c r="X206" i="26"/>
  <c r="V205" i="26"/>
  <c r="W205" i="26" s="1"/>
  <c r="AH561" i="5" l="1"/>
  <c r="AA562" i="5"/>
  <c r="AC602" i="2"/>
  <c r="AC603" i="2" s="1"/>
  <c r="AB674" i="2"/>
  <c r="AB675" i="2" s="1"/>
  <c r="V206" i="26"/>
  <c r="W206" i="26" s="1"/>
  <c r="X207" i="26"/>
  <c r="AA563" i="5" l="1"/>
  <c r="AH562" i="5"/>
  <c r="AB676" i="2"/>
  <c r="AB677" i="2" s="1"/>
  <c r="AC604" i="2"/>
  <c r="V207" i="26"/>
  <c r="W207" i="26" s="1"/>
  <c r="X208" i="26"/>
  <c r="AH563" i="5" l="1"/>
  <c r="AA564" i="5"/>
  <c r="AC605" i="2"/>
  <c r="AC606" i="2" s="1"/>
  <c r="AC607" i="2" s="1"/>
  <c r="AC608" i="2" s="1"/>
  <c r="AB678" i="2"/>
  <c r="AB679" i="2" s="1"/>
  <c r="X209" i="26"/>
  <c r="V208" i="26"/>
  <c r="W208" i="26" s="1"/>
  <c r="AA565" i="5" l="1"/>
  <c r="AH564" i="5"/>
  <c r="AB680" i="2"/>
  <c r="AC609" i="2"/>
  <c r="V209" i="26"/>
  <c r="W209" i="26" s="1"/>
  <c r="X210" i="26"/>
  <c r="AA566" i="5" l="1"/>
  <c r="AH565" i="5"/>
  <c r="AC610" i="2"/>
  <c r="AB681" i="2"/>
  <c r="AB682" i="2" s="1"/>
  <c r="X211" i="26"/>
  <c r="V210" i="26"/>
  <c r="W210" i="26" s="1"/>
  <c r="AH566" i="5" l="1"/>
  <c r="AA567" i="5"/>
  <c r="AC611" i="2"/>
  <c r="X212" i="26"/>
  <c r="V211" i="26"/>
  <c r="W211" i="26" s="1"/>
  <c r="AA568" i="5" l="1"/>
  <c r="AH567" i="5"/>
  <c r="AC612" i="2"/>
  <c r="AC613" i="2" s="1"/>
  <c r="V212" i="26"/>
  <c r="W212" i="26" s="1"/>
  <c r="X213" i="26"/>
  <c r="AH568" i="5" l="1"/>
  <c r="AA569" i="5"/>
  <c r="AC614" i="2"/>
  <c r="X214" i="26"/>
  <c r="V213" i="26"/>
  <c r="W213" i="26" s="1"/>
  <c r="AA570" i="5" l="1"/>
  <c r="AH569" i="5"/>
  <c r="AC615" i="2"/>
  <c r="X215" i="26"/>
  <c r="V214" i="26"/>
  <c r="W214" i="26" s="1"/>
  <c r="AH570" i="5" l="1"/>
  <c r="AA571" i="5"/>
  <c r="AC616" i="2"/>
  <c r="V215" i="26"/>
  <c r="W215" i="26" s="1"/>
  <c r="X216" i="26"/>
  <c r="D90" i="19"/>
  <c r="AA572" i="5" l="1"/>
  <c r="AH571" i="5"/>
  <c r="M741" i="5"/>
  <c r="AC617" i="2"/>
  <c r="AC618" i="2" s="1"/>
  <c r="A90" i="19"/>
  <c r="D91" i="19"/>
  <c r="X217" i="26"/>
  <c r="V216" i="26"/>
  <c r="W216" i="26" s="1"/>
  <c r="E647" i="11"/>
  <c r="C647" i="11"/>
  <c r="AA573" i="5" l="1"/>
  <c r="AH572" i="5"/>
  <c r="M742" i="5"/>
  <c r="A91" i="19"/>
  <c r="D92" i="19"/>
  <c r="AC619" i="2"/>
  <c r="V217" i="26"/>
  <c r="W217" i="26" s="1"/>
  <c r="X218" i="26"/>
  <c r="F646" i="11"/>
  <c r="T646" i="11"/>
  <c r="Q268" i="24"/>
  <c r="S268" i="24" s="1"/>
  <c r="U268" i="24" s="1"/>
  <c r="AH573" i="5" l="1"/>
  <c r="AA574" i="5"/>
  <c r="M743" i="5"/>
  <c r="AI741" i="5"/>
  <c r="D93" i="19"/>
  <c r="A92" i="19"/>
  <c r="AC620" i="2"/>
  <c r="V218" i="26"/>
  <c r="W218" i="26" s="1"/>
  <c r="X219" i="26"/>
  <c r="T309" i="25"/>
  <c r="U309" i="25"/>
  <c r="O288" i="25"/>
  <c r="Q288" i="25" s="1"/>
  <c r="AA575" i="5" l="1"/>
  <c r="AH574" i="5"/>
  <c r="AI742" i="5"/>
  <c r="M744" i="5"/>
  <c r="D94" i="19"/>
  <c r="A93" i="19"/>
  <c r="V309" i="25"/>
  <c r="AC621" i="2"/>
  <c r="V219" i="26"/>
  <c r="W219" i="26" s="1"/>
  <c r="X220" i="26"/>
  <c r="AH575" i="5" l="1"/>
  <c r="AA576" i="5"/>
  <c r="AI743" i="5"/>
  <c r="M745" i="5"/>
  <c r="D95" i="19"/>
  <c r="A94" i="19"/>
  <c r="AC622" i="2"/>
  <c r="X221" i="26"/>
  <c r="V220" i="26"/>
  <c r="W220" i="26" s="1"/>
  <c r="W299" i="24"/>
  <c r="AA577" i="5" l="1"/>
  <c r="AH576" i="5"/>
  <c r="AI744" i="5"/>
  <c r="M746" i="5"/>
  <c r="D96" i="19"/>
  <c r="A95" i="19"/>
  <c r="AC623" i="2"/>
  <c r="V221" i="26"/>
  <c r="W221" i="26" s="1"/>
  <c r="X222" i="26"/>
  <c r="V299" i="24"/>
  <c r="X299" i="24" s="1"/>
  <c r="AH577" i="5" l="1"/>
  <c r="AA578" i="5"/>
  <c r="M747" i="5"/>
  <c r="AI745" i="5"/>
  <c r="D97" i="19"/>
  <c r="A97" i="19" s="1"/>
  <c r="A96" i="19"/>
  <c r="AC624" i="2"/>
  <c r="V222" i="26"/>
  <c r="W222" i="26" s="1"/>
  <c r="X223" i="26"/>
  <c r="X288" i="25"/>
  <c r="M288" i="25"/>
  <c r="Y288" i="25" s="1"/>
  <c r="Y289" i="25" s="1"/>
  <c r="Y290" i="25" s="1"/>
  <c r="Y291" i="25" s="1"/>
  <c r="Y292" i="25" s="1"/>
  <c r="Y293" i="25" s="1"/>
  <c r="Y294" i="25" s="1"/>
  <c r="Y295" i="25" s="1"/>
  <c r="Y296" i="25" s="1"/>
  <c r="Y297" i="25" s="1"/>
  <c r="Y298" i="25" s="1"/>
  <c r="Y299" i="25" s="1"/>
  <c r="Y300" i="25" s="1"/>
  <c r="Y301" i="25" s="1"/>
  <c r="Y302" i="25" s="1"/>
  <c r="Y303" i="25" s="1"/>
  <c r="Y304" i="25" s="1"/>
  <c r="Y305" i="25" s="1"/>
  <c r="Y306" i="25" s="1"/>
  <c r="Y307" i="25" s="1"/>
  <c r="Y308" i="25" s="1"/>
  <c r="Y309" i="25" s="1"/>
  <c r="Y310" i="25" s="1"/>
  <c r="Y311" i="25" s="1"/>
  <c r="Y312" i="25" s="1"/>
  <c r="Y313" i="25" s="1"/>
  <c r="AA579" i="5" l="1"/>
  <c r="AH578" i="5"/>
  <c r="M748" i="5"/>
  <c r="AI746" i="5"/>
  <c r="Y314" i="25"/>
  <c r="Y315" i="25" s="1"/>
  <c r="Y316" i="25" s="1"/>
  <c r="Y317" i="25" s="1"/>
  <c r="Y318" i="25" s="1"/>
  <c r="Y319" i="25" s="1"/>
  <c r="Y320" i="25" s="1"/>
  <c r="Y321" i="25" s="1"/>
  <c r="Y322" i="25" s="1"/>
  <c r="Y323" i="25" s="1"/>
  <c r="Y324" i="25" s="1"/>
  <c r="Y325" i="25" s="1"/>
  <c r="Y326" i="25" s="1"/>
  <c r="Y327" i="25" s="1"/>
  <c r="Y328" i="25" s="1"/>
  <c r="Y329" i="25" s="1"/>
  <c r="Y330" i="25" s="1"/>
  <c r="Y331" i="25" s="1"/>
  <c r="Y332" i="25" s="1"/>
  <c r="Y333" i="25" s="1"/>
  <c r="Y334" i="25" s="1"/>
  <c r="Y335" i="25" s="1"/>
  <c r="Y336" i="25" s="1"/>
  <c r="Y337" i="25" s="1"/>
  <c r="Y338" i="25" s="1"/>
  <c r="Y339" i="25" s="1"/>
  <c r="Y340" i="25" s="1"/>
  <c r="Y341" i="25" s="1"/>
  <c r="Y342" i="25" s="1"/>
  <c r="Y343" i="25" s="1"/>
  <c r="Y344" i="25" s="1"/>
  <c r="Y345" i="25" s="1"/>
  <c r="Y346" i="25" s="1"/>
  <c r="Y347" i="25" s="1"/>
  <c r="Y348" i="25" s="1"/>
  <c r="Y349" i="25" s="1"/>
  <c r="Y350" i="25" s="1"/>
  <c r="Y351" i="25" s="1"/>
  <c r="Y352" i="25" s="1"/>
  <c r="Y353" i="25" s="1"/>
  <c r="Y354" i="25" s="1"/>
  <c r="Y355" i="25" s="1"/>
  <c r="Y356" i="25" s="1"/>
  <c r="Y357" i="25" s="1"/>
  <c r="Y358" i="25" s="1"/>
  <c r="AC625" i="2"/>
  <c r="V223" i="26"/>
  <c r="W223" i="26" s="1"/>
  <c r="X224" i="26"/>
  <c r="Z288" i="25"/>
  <c r="AM288" i="2" s="1"/>
  <c r="X289" i="25"/>
  <c r="T631" i="11"/>
  <c r="F13" i="23"/>
  <c r="AA580" i="5" l="1"/>
  <c r="AH579" i="5"/>
  <c r="M749" i="5"/>
  <c r="AI747" i="5"/>
  <c r="Y359" i="25"/>
  <c r="Y360" i="25" s="1"/>
  <c r="Y361" i="25" s="1"/>
  <c r="Y362" i="25" s="1"/>
  <c r="Y363" i="25" s="1"/>
  <c r="Y364" i="25" s="1"/>
  <c r="Y365" i="25" s="1"/>
  <c r="Y366" i="25" s="1"/>
  <c r="Y367" i="25" s="1"/>
  <c r="Y368" i="25" s="1"/>
  <c r="Y369" i="25" s="1"/>
  <c r="Y373" i="25" s="1"/>
  <c r="AC626" i="2"/>
  <c r="AC627" i="2" s="1"/>
  <c r="X225" i="26"/>
  <c r="V224" i="26"/>
  <c r="W224" i="26" s="1"/>
  <c r="X290" i="25"/>
  <c r="Z289" i="25"/>
  <c r="AM289" i="2" s="1"/>
  <c r="AB288" i="25"/>
  <c r="AC288" i="25"/>
  <c r="AO288" i="2" s="1"/>
  <c r="B75" i="19"/>
  <c r="A75" i="19"/>
  <c r="M75" i="19" s="1"/>
  <c r="M87" i="19" s="1"/>
  <c r="D76" i="19"/>
  <c r="AA581" i="5" l="1"/>
  <c r="AH580" i="5"/>
  <c r="M750" i="5"/>
  <c r="AI748" i="5"/>
  <c r="D77" i="19"/>
  <c r="AC628" i="2"/>
  <c r="AC629" i="2" s="1"/>
  <c r="AC630" i="2" s="1"/>
  <c r="V225" i="26"/>
  <c r="W225" i="26" s="1"/>
  <c r="X226" i="26"/>
  <c r="AB289" i="25"/>
  <c r="AC289" i="25"/>
  <c r="AO289" i="2" s="1"/>
  <c r="X291" i="25"/>
  <c r="Z290" i="25"/>
  <c r="AM290" i="2" s="1"/>
  <c r="A76" i="19"/>
  <c r="B76" i="19"/>
  <c r="C624" i="11"/>
  <c r="AH581" i="5" l="1"/>
  <c r="AA582" i="5"/>
  <c r="M751" i="5"/>
  <c r="AI749" i="5"/>
  <c r="A77" i="19"/>
  <c r="D78" i="19"/>
  <c r="AC631" i="2"/>
  <c r="B77" i="19"/>
  <c r="B78" i="19" s="1"/>
  <c r="B79" i="19" s="1"/>
  <c r="B80" i="19" s="1"/>
  <c r="B81" i="19" s="1"/>
  <c r="B82" i="19" s="1"/>
  <c r="B83" i="19" s="1"/>
  <c r="B84" i="19" s="1"/>
  <c r="B85" i="19" s="1"/>
  <c r="B86" i="19" s="1"/>
  <c r="V226" i="26"/>
  <c r="W226" i="26" s="1"/>
  <c r="X227" i="26"/>
  <c r="AC290" i="25"/>
  <c r="AO290" i="2" s="1"/>
  <c r="AB290" i="25"/>
  <c r="X292" i="25"/>
  <c r="Z291" i="25"/>
  <c r="AM291" i="2" s="1"/>
  <c r="AA583" i="5" l="1"/>
  <c r="AH582" i="5"/>
  <c r="M752" i="5"/>
  <c r="AI750" i="5"/>
  <c r="D79" i="19"/>
  <c r="A78" i="19"/>
  <c r="AC632" i="2"/>
  <c r="V227" i="26"/>
  <c r="W227" i="26" s="1"/>
  <c r="X228" i="26"/>
  <c r="AB291" i="25"/>
  <c r="AC291" i="25"/>
  <c r="AO291" i="2" s="1"/>
  <c r="X293" i="25"/>
  <c r="Z292" i="25"/>
  <c r="AM292" i="2" s="1"/>
  <c r="AH583" i="5" l="1"/>
  <c r="AA584" i="5"/>
  <c r="M753" i="5"/>
  <c r="AI751" i="5"/>
  <c r="D80" i="19"/>
  <c r="A79" i="19"/>
  <c r="AC633" i="2"/>
  <c r="V228" i="26"/>
  <c r="W228" i="26" s="1"/>
  <c r="X229" i="26"/>
  <c r="AB292" i="25"/>
  <c r="AC292" i="25"/>
  <c r="AO292" i="2" s="1"/>
  <c r="X294" i="25"/>
  <c r="Z293" i="25"/>
  <c r="AM293" i="2" s="1"/>
  <c r="AA585" i="5" l="1"/>
  <c r="AH584" i="5"/>
  <c r="AI752" i="5"/>
  <c r="D81" i="19"/>
  <c r="A80" i="19"/>
  <c r="AC634" i="2"/>
  <c r="X230" i="26"/>
  <c r="V229" i="26"/>
  <c r="W229" i="26" s="1"/>
  <c r="AB293" i="25"/>
  <c r="AC293" i="25"/>
  <c r="AO293" i="2" s="1"/>
  <c r="X295" i="25"/>
  <c r="Z294" i="25"/>
  <c r="AM294" i="2" s="1"/>
  <c r="C617" i="11"/>
  <c r="AH585" i="5" l="1"/>
  <c r="AA586" i="5"/>
  <c r="AI753" i="5"/>
  <c r="D82" i="19"/>
  <c r="A81" i="19"/>
  <c r="AC635" i="2"/>
  <c r="AC636" i="2" s="1"/>
  <c r="AC637" i="2" s="1"/>
  <c r="AC638" i="2" s="1"/>
  <c r="X231" i="26"/>
  <c r="V230" i="26"/>
  <c r="W230" i="26" s="1"/>
  <c r="AC294" i="25"/>
  <c r="AO294" i="2" s="1"/>
  <c r="AB294" i="25"/>
  <c r="X296" i="25"/>
  <c r="Z295" i="25"/>
  <c r="AM295" i="2" s="1"/>
  <c r="AA587" i="5" l="1"/>
  <c r="AH586" i="5"/>
  <c r="D83" i="19"/>
  <c r="A82" i="19"/>
  <c r="AC639" i="2"/>
  <c r="X232" i="26"/>
  <c r="V231" i="26"/>
  <c r="W231" i="26" s="1"/>
  <c r="AB295" i="25"/>
  <c r="AC295" i="25"/>
  <c r="AO295" i="2" s="1"/>
  <c r="X297" i="25"/>
  <c r="Z296" i="25"/>
  <c r="AM296" i="2" s="1"/>
  <c r="AH587" i="5" l="1"/>
  <c r="AA588" i="5"/>
  <c r="D84" i="19"/>
  <c r="A83" i="19"/>
  <c r="AC640" i="2"/>
  <c r="AC641" i="2" s="1"/>
  <c r="X233" i="26"/>
  <c r="V232" i="26"/>
  <c r="W232" i="26" s="1"/>
  <c r="X298" i="25"/>
  <c r="Z297" i="25"/>
  <c r="AM297" i="2" s="1"/>
  <c r="AB296" i="25"/>
  <c r="AC296" i="25"/>
  <c r="AO296" i="2" s="1"/>
  <c r="AA589" i="5" l="1"/>
  <c r="AH588" i="5"/>
  <c r="D85" i="19"/>
  <c r="A84" i="19"/>
  <c r="AC642" i="2"/>
  <c r="X234" i="26"/>
  <c r="V233" i="26"/>
  <c r="W233" i="26" s="1"/>
  <c r="AB297" i="25"/>
  <c r="AC297" i="25"/>
  <c r="AO297" i="2" s="1"/>
  <c r="X299" i="25"/>
  <c r="Z298" i="25"/>
  <c r="AM298" i="2" s="1"/>
  <c r="AH589" i="5" l="1"/>
  <c r="D86" i="19"/>
  <c r="A85" i="19"/>
  <c r="AC643" i="2"/>
  <c r="V234" i="26"/>
  <c r="W234" i="26" s="1"/>
  <c r="X235" i="26"/>
  <c r="AC298" i="25"/>
  <c r="AO298" i="2" s="1"/>
  <c r="AB298" i="25"/>
  <c r="X300" i="25"/>
  <c r="Z299" i="25"/>
  <c r="AM299" i="2" s="1"/>
  <c r="AH590" i="5" l="1"/>
  <c r="A86" i="19"/>
  <c r="AC644" i="2"/>
  <c r="V235" i="26"/>
  <c r="W235" i="26" s="1"/>
  <c r="X236" i="26"/>
  <c r="AB299" i="25"/>
  <c r="AC299" i="25"/>
  <c r="AO299" i="2" s="1"/>
  <c r="X301" i="25"/>
  <c r="Z300" i="25"/>
  <c r="AM300" i="2" s="1"/>
  <c r="BX267" i="5"/>
  <c r="AH591" i="5" l="1"/>
  <c r="BX268" i="5"/>
  <c r="BX269" i="5" s="1"/>
  <c r="BX270" i="5" s="1"/>
  <c r="BX271" i="5" s="1"/>
  <c r="BX272" i="5" s="1"/>
  <c r="BX273" i="5" s="1"/>
  <c r="BX274" i="5" s="1"/>
  <c r="BX275" i="5" s="1"/>
  <c r="BX276" i="5" s="1"/>
  <c r="BX277" i="5" s="1"/>
  <c r="BX278" i="5" s="1"/>
  <c r="BX279" i="5" s="1"/>
  <c r="BX280" i="5" s="1"/>
  <c r="BX281" i="5" s="1"/>
  <c r="BX282" i="5" s="1"/>
  <c r="BX283" i="5" s="1"/>
  <c r="BX284" i="5" s="1"/>
  <c r="BX285" i="5" s="1"/>
  <c r="BX286" i="5" s="1"/>
  <c r="BX287" i="5" s="1"/>
  <c r="BX288" i="5" s="1"/>
  <c r="BX289" i="5" s="1"/>
  <c r="BX290" i="5" s="1"/>
  <c r="BX291" i="5" s="1"/>
  <c r="BX292" i="5" s="1"/>
  <c r="BX293" i="5" s="1"/>
  <c r="BX294" i="5" s="1"/>
  <c r="BX295" i="5" s="1"/>
  <c r="BX296" i="5" s="1"/>
  <c r="BX297" i="5" s="1"/>
  <c r="BX298" i="5" s="1"/>
  <c r="BX299" i="5" s="1"/>
  <c r="BX300" i="5" s="1"/>
  <c r="BX301" i="5" s="1"/>
  <c r="BX302" i="5" s="1"/>
  <c r="BX303" i="5" s="1"/>
  <c r="BX304" i="5" s="1"/>
  <c r="BX305" i="5" s="1"/>
  <c r="BX306" i="5" s="1"/>
  <c r="BX307" i="5" s="1"/>
  <c r="BX309" i="5" s="1"/>
  <c r="BX310" i="5" s="1"/>
  <c r="BX311" i="5" s="1"/>
  <c r="BX312" i="5" s="1"/>
  <c r="BX313" i="5" s="1"/>
  <c r="BX314" i="5" s="1"/>
  <c r="BX315" i="5" s="1"/>
  <c r="BX316" i="5" s="1"/>
  <c r="BX317" i="5" s="1"/>
  <c r="BX318" i="5" s="1"/>
  <c r="BX319" i="5" s="1"/>
  <c r="BX320" i="5" s="1"/>
  <c r="BX321" i="5" s="1"/>
  <c r="BX322" i="5" s="1"/>
  <c r="BX323" i="5" s="1"/>
  <c r="BX324" i="5" s="1"/>
  <c r="BX325" i="5" s="1"/>
  <c r="BX326" i="5" s="1"/>
  <c r="BX327" i="5" s="1"/>
  <c r="BX328" i="5" s="1"/>
  <c r="BX329" i="5" s="1"/>
  <c r="BX330" i="5" s="1"/>
  <c r="BX331" i="5" s="1"/>
  <c r="BX332" i="5" s="1"/>
  <c r="BX333" i="5" s="1"/>
  <c r="BX334" i="5" s="1"/>
  <c r="BX335" i="5" s="1"/>
  <c r="BX336" i="5" s="1"/>
  <c r="BX337" i="5" s="1"/>
  <c r="BX338" i="5" s="1"/>
  <c r="BX339" i="5" s="1"/>
  <c r="BX340" i="5" s="1"/>
  <c r="BX341" i="5" s="1"/>
  <c r="BX342" i="5" s="1"/>
  <c r="BX343" i="5" s="1"/>
  <c r="BX344" i="5" s="1"/>
  <c r="BX345" i="5" s="1"/>
  <c r="BX346" i="5" s="1"/>
  <c r="BX347" i="5" s="1"/>
  <c r="BX348" i="5" s="1"/>
  <c r="BX349" i="5" s="1"/>
  <c r="BX351" i="5" s="1"/>
  <c r="BX352" i="5" s="1"/>
  <c r="BX353" i="5" s="1"/>
  <c r="BX354" i="5" s="1"/>
  <c r="BX355" i="5" s="1"/>
  <c r="BX356" i="5" s="1"/>
  <c r="BX357" i="5" s="1"/>
  <c r="BX358" i="5" s="1"/>
  <c r="BX359" i="5" s="1"/>
  <c r="BX360" i="5" s="1"/>
  <c r="BX361" i="5" s="1"/>
  <c r="BX362" i="5" s="1"/>
  <c r="BX363" i="5" s="1"/>
  <c r="BX364" i="5" s="1"/>
  <c r="BX365" i="5" s="1"/>
  <c r="BX366" i="5" s="1"/>
  <c r="BX367" i="5" s="1"/>
  <c r="BX368" i="5" s="1"/>
  <c r="BX369" i="5" s="1"/>
  <c r="BX373" i="5" s="1"/>
  <c r="BX374" i="5" s="1"/>
  <c r="BX375" i="5" s="1"/>
  <c r="BX376" i="5" s="1"/>
  <c r="BX377" i="5" s="1"/>
  <c r="BX378" i="5" s="1"/>
  <c r="BX379" i="5" s="1"/>
  <c r="BX380" i="5" s="1"/>
  <c r="BX381" i="5" s="1"/>
  <c r="BX382" i="5" s="1"/>
  <c r="BX383" i="5" s="1"/>
  <c r="BX370" i="5"/>
  <c r="AC645" i="2"/>
  <c r="AC646" i="2" s="1"/>
  <c r="BA266" i="5"/>
  <c r="CA266" i="5" s="1"/>
  <c r="V236" i="26"/>
  <c r="W236" i="26" s="1"/>
  <c r="X237" i="26"/>
  <c r="B90" i="19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AB300" i="25"/>
  <c r="AC300" i="25"/>
  <c r="AO300" i="2" s="1"/>
  <c r="X302" i="25"/>
  <c r="Z301" i="25"/>
  <c r="AM301" i="2" s="1"/>
  <c r="C607" i="11"/>
  <c r="AQ267" i="5"/>
  <c r="B78" i="20"/>
  <c r="AH592" i="5" l="1"/>
  <c r="AC647" i="2"/>
  <c r="B79" i="20"/>
  <c r="X238" i="26"/>
  <c r="V237" i="26"/>
  <c r="W237" i="26" s="1"/>
  <c r="X303" i="25"/>
  <c r="Z302" i="25"/>
  <c r="AM302" i="2" s="1"/>
  <c r="AB301" i="25"/>
  <c r="AC301" i="25"/>
  <c r="AO301" i="2" s="1"/>
  <c r="D78" i="20"/>
  <c r="AH593" i="5" l="1"/>
  <c r="AC648" i="2"/>
  <c r="AC649" i="2" s="1"/>
  <c r="X239" i="26"/>
  <c r="V238" i="26"/>
  <c r="W238" i="26" s="1"/>
  <c r="AC302" i="25"/>
  <c r="AO302" i="2" s="1"/>
  <c r="AB302" i="25"/>
  <c r="X304" i="25"/>
  <c r="Z303" i="25"/>
  <c r="AM303" i="2" s="1"/>
  <c r="D79" i="20"/>
  <c r="A78" i="20"/>
  <c r="AH594" i="5" l="1"/>
  <c r="AC650" i="2"/>
  <c r="AC651" i="2" s="1"/>
  <c r="X240" i="26"/>
  <c r="V239" i="26"/>
  <c r="W239" i="26" s="1"/>
  <c r="X305" i="25"/>
  <c r="Z304" i="25"/>
  <c r="AM304" i="2" s="1"/>
  <c r="AB303" i="25"/>
  <c r="AC303" i="25"/>
  <c r="AO303" i="2" s="1"/>
  <c r="A79" i="20"/>
  <c r="AH595" i="5" l="1"/>
  <c r="AC652" i="2"/>
  <c r="AC653" i="2" s="1"/>
  <c r="X241" i="26"/>
  <c r="V240" i="26"/>
  <c r="W240" i="26" s="1"/>
  <c r="X306" i="25"/>
  <c r="Z305" i="25"/>
  <c r="AM305" i="2" s="1"/>
  <c r="AB304" i="25"/>
  <c r="AC304" i="25"/>
  <c r="AO304" i="2" s="1"/>
  <c r="Z268" i="24"/>
  <c r="AB268" i="24" s="1"/>
  <c r="AH596" i="5" l="1"/>
  <c r="AC654" i="2"/>
  <c r="V241" i="26"/>
  <c r="W241" i="26" s="1"/>
  <c r="X242" i="26"/>
  <c r="X307" i="25"/>
  <c r="Z306" i="25"/>
  <c r="AM306" i="2" s="1"/>
  <c r="AB305" i="25"/>
  <c r="AC305" i="25"/>
  <c r="AO305" i="2" s="1"/>
  <c r="Z269" i="24"/>
  <c r="AH597" i="5" l="1"/>
  <c r="AC655" i="2"/>
  <c r="V242" i="26"/>
  <c r="W242" i="26" s="1"/>
  <c r="X243" i="26"/>
  <c r="AC306" i="25"/>
  <c r="AO306" i="2" s="1"/>
  <c r="AB306" i="25"/>
  <c r="X308" i="25"/>
  <c r="Z307" i="25"/>
  <c r="AM307" i="2" s="1"/>
  <c r="Z270" i="24"/>
  <c r="AB269" i="24"/>
  <c r="AE269" i="24" s="1"/>
  <c r="T606" i="11"/>
  <c r="E607" i="11"/>
  <c r="AH598" i="5" l="1"/>
  <c r="AC656" i="2"/>
  <c r="X244" i="26"/>
  <c r="V243" i="26"/>
  <c r="W243" i="26" s="1"/>
  <c r="X309" i="25"/>
  <c r="Z308" i="25"/>
  <c r="AM308" i="2" s="1"/>
  <c r="AB307" i="25"/>
  <c r="AC307" i="25"/>
  <c r="AO307" i="2" s="1"/>
  <c r="Z271" i="24"/>
  <c r="AB270" i="24"/>
  <c r="AE270" i="24" s="1"/>
  <c r="C606" i="11"/>
  <c r="AH599" i="5" l="1"/>
  <c r="AC657" i="2"/>
  <c r="Z309" i="25"/>
  <c r="AC309" i="25" s="1"/>
  <c r="X310" i="25"/>
  <c r="V244" i="26"/>
  <c r="W244" i="26" s="1"/>
  <c r="X245" i="26"/>
  <c r="AB308" i="25"/>
  <c r="AC308" i="25"/>
  <c r="AO308" i="2" s="1"/>
  <c r="AB309" i="25"/>
  <c r="AB271" i="24"/>
  <c r="AE271" i="24" s="1"/>
  <c r="Z272" i="24"/>
  <c r="F12" i="23"/>
  <c r="AH600" i="5" l="1"/>
  <c r="AM309" i="2"/>
  <c r="AC658" i="2"/>
  <c r="X311" i="25"/>
  <c r="Z310" i="25"/>
  <c r="AM310" i="2" s="1"/>
  <c r="AD309" i="25"/>
  <c r="AO309" i="2"/>
  <c r="X246" i="26"/>
  <c r="V245" i="26"/>
  <c r="W245" i="26" s="1"/>
  <c r="AB272" i="24"/>
  <c r="AE272" i="24" s="1"/>
  <c r="Z273" i="24"/>
  <c r="W598" i="11"/>
  <c r="AH601" i="5" l="1"/>
  <c r="AC659" i="2"/>
  <c r="AC660" i="2" s="1"/>
  <c r="AC310" i="25"/>
  <c r="AO310" i="2" s="1"/>
  <c r="AB310" i="25"/>
  <c r="Z311" i="25"/>
  <c r="AM311" i="2" s="1"/>
  <c r="X312" i="25"/>
  <c r="V246" i="26"/>
  <c r="W246" i="26" s="1"/>
  <c r="X247" i="26"/>
  <c r="AB273" i="24"/>
  <c r="Z274" i="24"/>
  <c r="AH602" i="5" l="1"/>
  <c r="AC661" i="2"/>
  <c r="X313" i="25"/>
  <c r="X314" i="25" s="1"/>
  <c r="Z312" i="25"/>
  <c r="AM312" i="2" s="1"/>
  <c r="AB311" i="25"/>
  <c r="AC311" i="25"/>
  <c r="AO311" i="2" s="1"/>
  <c r="X248" i="26"/>
  <c r="V247" i="26"/>
  <c r="W247" i="26" s="1"/>
  <c r="AB274" i="24"/>
  <c r="Z275" i="24"/>
  <c r="AE273" i="24"/>
  <c r="AH603" i="5" l="1"/>
  <c r="AC662" i="2"/>
  <c r="AC663" i="2" s="1"/>
  <c r="AC664" i="2" s="1"/>
  <c r="AB312" i="25"/>
  <c r="AC312" i="25"/>
  <c r="AO312" i="2" s="1"/>
  <c r="Z313" i="25"/>
  <c r="AM313" i="2" s="1"/>
  <c r="V248" i="26"/>
  <c r="W248" i="26" s="1"/>
  <c r="X249" i="26"/>
  <c r="AB275" i="24"/>
  <c r="Z276" i="24"/>
  <c r="AE274" i="24"/>
  <c r="AH604" i="5" l="1"/>
  <c r="AC665" i="2"/>
  <c r="Z314" i="25"/>
  <c r="AM314" i="2" s="1"/>
  <c r="X315" i="25"/>
  <c r="AB313" i="25"/>
  <c r="AC313" i="25"/>
  <c r="AO313" i="2" s="1"/>
  <c r="V249" i="26"/>
  <c r="W249" i="26" s="1"/>
  <c r="X250" i="26"/>
  <c r="AB276" i="24"/>
  <c r="Z277" i="24"/>
  <c r="Z278" i="24" s="1"/>
  <c r="AE275" i="24"/>
  <c r="U260" i="2"/>
  <c r="U261" i="2" s="1"/>
  <c r="U262" i="2" s="1"/>
  <c r="T260" i="2"/>
  <c r="T261" i="2" s="1"/>
  <c r="T262" i="2" s="1"/>
  <c r="T263" i="2" s="1"/>
  <c r="T264" i="2" s="1"/>
  <c r="T265" i="2" s="1"/>
  <c r="T266" i="2" s="1"/>
  <c r="T267" i="2" s="1"/>
  <c r="T268" i="2" s="1"/>
  <c r="T269" i="2" s="1"/>
  <c r="T270" i="2" s="1"/>
  <c r="T271" i="2" s="1"/>
  <c r="T272" i="2" s="1"/>
  <c r="T273" i="2" s="1"/>
  <c r="T274" i="2" s="1"/>
  <c r="T275" i="2" s="1"/>
  <c r="T276" i="2" s="1"/>
  <c r="T277" i="2" s="1"/>
  <c r="T278" i="2" s="1"/>
  <c r="T279" i="2" s="1"/>
  <c r="T280" i="2" s="1"/>
  <c r="T281" i="2" s="1"/>
  <c r="T282" i="2" s="1"/>
  <c r="T283" i="2" s="1"/>
  <c r="T284" i="2" s="1"/>
  <c r="T285" i="2" s="1"/>
  <c r="T286" i="2" s="1"/>
  <c r="T287" i="2" s="1"/>
  <c r="T288" i="2" s="1"/>
  <c r="T289" i="2" s="1"/>
  <c r="T290" i="2" s="1"/>
  <c r="T291" i="2" s="1"/>
  <c r="T292" i="2" s="1"/>
  <c r="T293" i="2" s="1"/>
  <c r="T294" i="2" s="1"/>
  <c r="T295" i="2" s="1"/>
  <c r="T296" i="2" s="1"/>
  <c r="T297" i="2" s="1"/>
  <c r="T298" i="2" s="1"/>
  <c r="T299" i="2" s="1"/>
  <c r="T300" i="2" s="1"/>
  <c r="T301" i="2" s="1"/>
  <c r="T302" i="2" s="1"/>
  <c r="T303" i="2" s="1"/>
  <c r="T304" i="2" s="1"/>
  <c r="T305" i="2" s="1"/>
  <c r="T306" i="2" s="1"/>
  <c r="T307" i="2" s="1"/>
  <c r="T308" i="2" s="1"/>
  <c r="T309" i="2" s="1"/>
  <c r="T310" i="2" s="1"/>
  <c r="T311" i="2" s="1"/>
  <c r="T312" i="2" s="1"/>
  <c r="T313" i="2" s="1"/>
  <c r="T314" i="2" s="1"/>
  <c r="T315" i="2" s="1"/>
  <c r="T316" i="2" s="1"/>
  <c r="T317" i="2" s="1"/>
  <c r="T318" i="2" s="1"/>
  <c r="T319" i="2" s="1"/>
  <c r="T320" i="2" s="1"/>
  <c r="T321" i="2" s="1"/>
  <c r="T322" i="2" s="1"/>
  <c r="T323" i="2" s="1"/>
  <c r="T324" i="2" s="1"/>
  <c r="T325" i="2" s="1"/>
  <c r="T326" i="2" s="1"/>
  <c r="T327" i="2" s="1"/>
  <c r="T328" i="2" s="1"/>
  <c r="T329" i="2" s="1"/>
  <c r="T330" i="2" s="1"/>
  <c r="T331" i="2" s="1"/>
  <c r="T332" i="2" s="1"/>
  <c r="T333" i="2" s="1"/>
  <c r="T334" i="2" s="1"/>
  <c r="T335" i="2" s="1"/>
  <c r="T336" i="2" s="1"/>
  <c r="T337" i="2" s="1"/>
  <c r="T338" i="2" s="1"/>
  <c r="T339" i="2" s="1"/>
  <c r="T340" i="2" s="1"/>
  <c r="T341" i="2" s="1"/>
  <c r="T342" i="2" s="1"/>
  <c r="T343" i="2" s="1"/>
  <c r="T344" i="2" s="1"/>
  <c r="T345" i="2" s="1"/>
  <c r="T346" i="2" s="1"/>
  <c r="T347" i="2" s="1"/>
  <c r="T348" i="2" s="1"/>
  <c r="T349" i="2" s="1"/>
  <c r="T350" i="2" s="1"/>
  <c r="T351" i="2" s="1"/>
  <c r="T352" i="2" s="1"/>
  <c r="T353" i="2" s="1"/>
  <c r="T354" i="2" s="1"/>
  <c r="T355" i="2" s="1"/>
  <c r="T356" i="2" s="1"/>
  <c r="T357" i="2" s="1"/>
  <c r="T358" i="2" s="1"/>
  <c r="T359" i="2" s="1"/>
  <c r="T360" i="2" s="1"/>
  <c r="T361" i="2" s="1"/>
  <c r="T362" i="2" s="1"/>
  <c r="T363" i="2" s="1"/>
  <c r="T364" i="2" s="1"/>
  <c r="T365" i="2" s="1"/>
  <c r="T366" i="2" s="1"/>
  <c r="T367" i="2" s="1"/>
  <c r="T368" i="2" s="1"/>
  <c r="T369" i="2" s="1"/>
  <c r="T373" i="2" s="1"/>
  <c r="T374" i="2" s="1"/>
  <c r="T375" i="2" s="1"/>
  <c r="T376" i="2" s="1"/>
  <c r="T377" i="2" s="1"/>
  <c r="T378" i="2" s="1"/>
  <c r="T379" i="2" s="1"/>
  <c r="T380" i="2" s="1"/>
  <c r="T381" i="2" s="1"/>
  <c r="T382" i="2" s="1"/>
  <c r="T383" i="2" s="1"/>
  <c r="T384" i="2" s="1"/>
  <c r="T385" i="2" s="1"/>
  <c r="T386" i="2" s="1"/>
  <c r="T387" i="2" s="1"/>
  <c r="T388" i="2" s="1"/>
  <c r="T389" i="2" s="1"/>
  <c r="T390" i="2" s="1"/>
  <c r="T391" i="2" s="1"/>
  <c r="T392" i="2" s="1"/>
  <c r="T393" i="2" s="1"/>
  <c r="T394" i="2" s="1"/>
  <c r="T395" i="2" s="1"/>
  <c r="T396" i="2" s="1"/>
  <c r="T397" i="2" s="1"/>
  <c r="T398" i="2" s="1"/>
  <c r="T399" i="2" s="1"/>
  <c r="T400" i="2" s="1"/>
  <c r="T401" i="2" s="1"/>
  <c r="T402" i="2" s="1"/>
  <c r="T403" i="2" s="1"/>
  <c r="T404" i="2" s="1"/>
  <c r="T405" i="2" s="1"/>
  <c r="T406" i="2" s="1"/>
  <c r="T407" i="2" s="1"/>
  <c r="T408" i="2" s="1"/>
  <c r="T409" i="2" s="1"/>
  <c r="T410" i="2" s="1"/>
  <c r="T411" i="2" s="1"/>
  <c r="T412" i="2" s="1"/>
  <c r="T413" i="2" s="1"/>
  <c r="T414" i="2" s="1"/>
  <c r="T415" i="2" s="1"/>
  <c r="T416" i="2" s="1"/>
  <c r="T417" i="2" s="1"/>
  <c r="T418" i="2" s="1"/>
  <c r="T419" i="2" s="1"/>
  <c r="T420" i="2" s="1"/>
  <c r="T421" i="2" s="1"/>
  <c r="T422" i="2" s="1"/>
  <c r="T423" i="2" s="1"/>
  <c r="T424" i="2" s="1"/>
  <c r="T425" i="2" s="1"/>
  <c r="T426" i="2" s="1"/>
  <c r="T427" i="2" s="1"/>
  <c r="T428" i="2" s="1"/>
  <c r="T429" i="2" s="1"/>
  <c r="T430" i="2" s="1"/>
  <c r="T431" i="2" s="1"/>
  <c r="T432" i="2" s="1"/>
  <c r="T433" i="2" s="1"/>
  <c r="T434" i="2" s="1"/>
  <c r="T435" i="2" s="1"/>
  <c r="T436" i="2" s="1"/>
  <c r="T437" i="2" s="1"/>
  <c r="T438" i="2" s="1"/>
  <c r="T439" i="2" s="1"/>
  <c r="T440" i="2" s="1"/>
  <c r="T441" i="2" s="1"/>
  <c r="T442" i="2" s="1"/>
  <c r="T443" i="2" s="1"/>
  <c r="T444" i="2" s="1"/>
  <c r="T445" i="2" s="1"/>
  <c r="T446" i="2" s="1"/>
  <c r="T447" i="2" s="1"/>
  <c r="T448" i="2" s="1"/>
  <c r="T449" i="2" s="1"/>
  <c r="T450" i="2" s="1"/>
  <c r="T451" i="2" s="1"/>
  <c r="T452" i="2" s="1"/>
  <c r="T453" i="2" s="1"/>
  <c r="T454" i="2" s="1"/>
  <c r="T455" i="2" s="1"/>
  <c r="T456" i="2" s="1"/>
  <c r="T457" i="2" s="1"/>
  <c r="T458" i="2" s="1"/>
  <c r="T459" i="2" s="1"/>
  <c r="T460" i="2" s="1"/>
  <c r="T461" i="2" s="1"/>
  <c r="T462" i="2" s="1"/>
  <c r="T463" i="2" s="1"/>
  <c r="T464" i="2" s="1"/>
  <c r="T465" i="2" s="1"/>
  <c r="T466" i="2" s="1"/>
  <c r="T467" i="2" s="1"/>
  <c r="T468" i="2" s="1"/>
  <c r="T469" i="2" s="1"/>
  <c r="T470" i="2" s="1"/>
  <c r="T471" i="2" s="1"/>
  <c r="T472" i="2" s="1"/>
  <c r="T473" i="2" s="1"/>
  <c r="T474" i="2" s="1"/>
  <c r="T475" i="2" s="1"/>
  <c r="T476" i="2" s="1"/>
  <c r="T477" i="2" s="1"/>
  <c r="T478" i="2" s="1"/>
  <c r="T479" i="2" s="1"/>
  <c r="T480" i="2" s="1"/>
  <c r="T481" i="2" s="1"/>
  <c r="T482" i="2" s="1"/>
  <c r="T483" i="2" s="1"/>
  <c r="T484" i="2" s="1"/>
  <c r="T485" i="2" s="1"/>
  <c r="T486" i="2" s="1"/>
  <c r="T487" i="2" s="1"/>
  <c r="T488" i="2" s="1"/>
  <c r="T489" i="2" s="1"/>
  <c r="T490" i="2" s="1"/>
  <c r="T491" i="2" s="1"/>
  <c r="T492" i="2" s="1"/>
  <c r="T493" i="2" s="1"/>
  <c r="T494" i="2" s="1"/>
  <c r="T495" i="2" s="1"/>
  <c r="T496" i="2" s="1"/>
  <c r="T497" i="2" s="1"/>
  <c r="T498" i="2" s="1"/>
  <c r="T499" i="2" s="1"/>
  <c r="T500" i="2" s="1"/>
  <c r="T501" i="2" s="1"/>
  <c r="T502" i="2" s="1"/>
  <c r="T503" i="2" s="1"/>
  <c r="T504" i="2" s="1"/>
  <c r="T505" i="2" s="1"/>
  <c r="T506" i="2" s="1"/>
  <c r="T507" i="2" s="1"/>
  <c r="T508" i="2" s="1"/>
  <c r="T509" i="2" s="1"/>
  <c r="T510" i="2" s="1"/>
  <c r="T511" i="2" s="1"/>
  <c r="T512" i="2" s="1"/>
  <c r="T513" i="2" s="1"/>
  <c r="T514" i="2" s="1"/>
  <c r="T515" i="2" s="1"/>
  <c r="T516" i="2" s="1"/>
  <c r="T517" i="2" s="1"/>
  <c r="T518" i="2" s="1"/>
  <c r="T519" i="2" s="1"/>
  <c r="T520" i="2" s="1"/>
  <c r="T521" i="2" s="1"/>
  <c r="T522" i="2" s="1"/>
  <c r="T523" i="2" s="1"/>
  <c r="T524" i="2" s="1"/>
  <c r="T525" i="2" s="1"/>
  <c r="T526" i="2" s="1"/>
  <c r="T527" i="2" s="1"/>
  <c r="T528" i="2" s="1"/>
  <c r="T529" i="2" s="1"/>
  <c r="T530" i="2" s="1"/>
  <c r="T531" i="2" s="1"/>
  <c r="T532" i="2" s="1"/>
  <c r="T533" i="2" s="1"/>
  <c r="T534" i="2" s="1"/>
  <c r="T535" i="2" s="1"/>
  <c r="T536" i="2" s="1"/>
  <c r="T537" i="2" s="1"/>
  <c r="T538" i="2" s="1"/>
  <c r="T539" i="2" s="1"/>
  <c r="T540" i="2" s="1"/>
  <c r="T541" i="2" s="1"/>
  <c r="T542" i="2" s="1"/>
  <c r="T543" i="2" s="1"/>
  <c r="T544" i="2" s="1"/>
  <c r="T545" i="2" s="1"/>
  <c r="T546" i="2" s="1"/>
  <c r="T547" i="2" s="1"/>
  <c r="T548" i="2" s="1"/>
  <c r="T549" i="2" s="1"/>
  <c r="T550" i="2" s="1"/>
  <c r="T551" i="2" s="1"/>
  <c r="T552" i="2" s="1"/>
  <c r="T553" i="2" s="1"/>
  <c r="T554" i="2" s="1"/>
  <c r="T555" i="2" s="1"/>
  <c r="T556" i="2" s="1"/>
  <c r="T557" i="2" s="1"/>
  <c r="T558" i="2" s="1"/>
  <c r="T559" i="2" s="1"/>
  <c r="T560" i="2" s="1"/>
  <c r="T561" i="2" s="1"/>
  <c r="T562" i="2" s="1"/>
  <c r="T563" i="2" s="1"/>
  <c r="T564" i="2" s="1"/>
  <c r="T565" i="2" s="1"/>
  <c r="T566" i="2" s="1"/>
  <c r="T567" i="2" s="1"/>
  <c r="T568" i="2" s="1"/>
  <c r="T569" i="2" s="1"/>
  <c r="T570" i="2" s="1"/>
  <c r="T571" i="2" s="1"/>
  <c r="T572" i="2" s="1"/>
  <c r="T573" i="2" s="1"/>
  <c r="T574" i="2" s="1"/>
  <c r="T575" i="2" s="1"/>
  <c r="T576" i="2" s="1"/>
  <c r="T577" i="2" s="1"/>
  <c r="T578" i="2" s="1"/>
  <c r="T579" i="2" s="1"/>
  <c r="T580" i="2" s="1"/>
  <c r="T581" i="2" s="1"/>
  <c r="T582" i="2" s="1"/>
  <c r="T583" i="2" s="1"/>
  <c r="T584" i="2" s="1"/>
  <c r="T585" i="2" s="1"/>
  <c r="T586" i="2" s="1"/>
  <c r="T587" i="2" s="1"/>
  <c r="T588" i="2" s="1"/>
  <c r="T589" i="2" s="1"/>
  <c r="T590" i="2" s="1"/>
  <c r="T591" i="2" s="1"/>
  <c r="T592" i="2" s="1"/>
  <c r="T593" i="2" s="1"/>
  <c r="T594" i="2" s="1"/>
  <c r="T595" i="2" s="1"/>
  <c r="T596" i="2" s="1"/>
  <c r="T597" i="2" s="1"/>
  <c r="T598" i="2" s="1"/>
  <c r="T599" i="2" s="1"/>
  <c r="T600" i="2" s="1"/>
  <c r="T601" i="2" s="1"/>
  <c r="T602" i="2" s="1"/>
  <c r="T603" i="2" s="1"/>
  <c r="T604" i="2" s="1"/>
  <c r="T605" i="2" s="1"/>
  <c r="T606" i="2" s="1"/>
  <c r="T607" i="2" s="1"/>
  <c r="T608" i="2" s="1"/>
  <c r="T609" i="2" s="1"/>
  <c r="T610" i="2" s="1"/>
  <c r="T611" i="2" s="1"/>
  <c r="T612" i="2" s="1"/>
  <c r="T613" i="2" s="1"/>
  <c r="T614" i="2" s="1"/>
  <c r="T615" i="2" s="1"/>
  <c r="T616" i="2" s="1"/>
  <c r="T617" i="2" s="1"/>
  <c r="T618" i="2" s="1"/>
  <c r="T619" i="2" s="1"/>
  <c r="T620" i="2" s="1"/>
  <c r="T621" i="2" s="1"/>
  <c r="T622" i="2" s="1"/>
  <c r="T623" i="2" s="1"/>
  <c r="T624" i="2" s="1"/>
  <c r="T625" i="2" s="1"/>
  <c r="T626" i="2" s="1"/>
  <c r="T627" i="2" s="1"/>
  <c r="T628" i="2" s="1"/>
  <c r="T629" i="2" s="1"/>
  <c r="T630" i="2" s="1"/>
  <c r="T631" i="2" s="1"/>
  <c r="T632" i="2" s="1"/>
  <c r="T633" i="2" s="1"/>
  <c r="T634" i="2" s="1"/>
  <c r="T635" i="2" s="1"/>
  <c r="T636" i="2" s="1"/>
  <c r="T637" i="2" s="1"/>
  <c r="T638" i="2" s="1"/>
  <c r="T639" i="2" s="1"/>
  <c r="T640" i="2" s="1"/>
  <c r="T641" i="2" s="1"/>
  <c r="T642" i="2" s="1"/>
  <c r="T643" i="2" s="1"/>
  <c r="T644" i="2" s="1"/>
  <c r="T645" i="2" s="1"/>
  <c r="T646" i="2" s="1"/>
  <c r="T647" i="2" s="1"/>
  <c r="T648" i="2" s="1"/>
  <c r="T649" i="2" s="1"/>
  <c r="T650" i="2" s="1"/>
  <c r="T651" i="2" s="1"/>
  <c r="T652" i="2" s="1"/>
  <c r="T653" i="2" s="1"/>
  <c r="T654" i="2" s="1"/>
  <c r="T655" i="2" s="1"/>
  <c r="T656" i="2" s="1"/>
  <c r="T657" i="2" s="1"/>
  <c r="T658" i="2" s="1"/>
  <c r="T659" i="2" s="1"/>
  <c r="T660" i="2" s="1"/>
  <c r="T661" i="2" s="1"/>
  <c r="T662" i="2" s="1"/>
  <c r="T663" i="2" s="1"/>
  <c r="T664" i="2" s="1"/>
  <c r="T665" i="2" s="1"/>
  <c r="T666" i="2" s="1"/>
  <c r="T667" i="2" s="1"/>
  <c r="T668" i="2" s="1"/>
  <c r="T669" i="2" s="1"/>
  <c r="T670" i="2" s="1"/>
  <c r="T671" i="2" s="1"/>
  <c r="T672" i="2" s="1"/>
  <c r="T673" i="2" s="1"/>
  <c r="T674" i="2" s="1"/>
  <c r="T675" i="2" s="1"/>
  <c r="T676" i="2" s="1"/>
  <c r="T677" i="2" s="1"/>
  <c r="T678" i="2" s="1"/>
  <c r="T679" i="2" s="1"/>
  <c r="T680" i="2" s="1"/>
  <c r="T681" i="2" s="1"/>
  <c r="T682" i="2" s="1"/>
  <c r="T683" i="2" s="1"/>
  <c r="T684" i="2" s="1"/>
  <c r="T685" i="2" s="1"/>
  <c r="T686" i="2" s="1"/>
  <c r="T687" i="2" s="1"/>
  <c r="T688" i="2" s="1"/>
  <c r="T689" i="2" s="1"/>
  <c r="T690" i="2" s="1"/>
  <c r="T691" i="2" s="1"/>
  <c r="T692" i="2" s="1"/>
  <c r="T693" i="2" s="1"/>
  <c r="T694" i="2" s="1"/>
  <c r="T695" i="2" s="1"/>
  <c r="T696" i="2" s="1"/>
  <c r="T697" i="2" s="1"/>
  <c r="T698" i="2" s="1"/>
  <c r="T699" i="2" s="1"/>
  <c r="T700" i="2" s="1"/>
  <c r="T701" i="2" s="1"/>
  <c r="T702" i="2" s="1"/>
  <c r="T703" i="2" s="1"/>
  <c r="T704" i="2" s="1"/>
  <c r="T705" i="2" s="1"/>
  <c r="T706" i="2" s="1"/>
  <c r="T707" i="2" s="1"/>
  <c r="T708" i="2" s="1"/>
  <c r="T709" i="2" s="1"/>
  <c r="T710" i="2" s="1"/>
  <c r="T711" i="2" s="1"/>
  <c r="T712" i="2" s="1"/>
  <c r="T713" i="2" s="1"/>
  <c r="T714" i="2" s="1"/>
  <c r="T715" i="2" s="1"/>
  <c r="T716" i="2" s="1"/>
  <c r="T717" i="2" s="1"/>
  <c r="T718" i="2" s="1"/>
  <c r="T719" i="2" s="1"/>
  <c r="T720" i="2" s="1"/>
  <c r="T721" i="2" s="1"/>
  <c r="T722" i="2" s="1"/>
  <c r="T723" i="2" s="1"/>
  <c r="T724" i="2" s="1"/>
  <c r="T725" i="2" s="1"/>
  <c r="T726" i="2" s="1"/>
  <c r="T727" i="2" s="1"/>
  <c r="T728" i="2" s="1"/>
  <c r="T729" i="2" s="1"/>
  <c r="T730" i="2" s="1"/>
  <c r="T731" i="2" s="1"/>
  <c r="T732" i="2" s="1"/>
  <c r="T733" i="2" s="1"/>
  <c r="T734" i="2" s="1"/>
  <c r="T735" i="2" s="1"/>
  <c r="T736" i="2" s="1"/>
  <c r="T737" i="2" s="1"/>
  <c r="V259" i="2"/>
  <c r="AJ592" i="11"/>
  <c r="AD591" i="11"/>
  <c r="AD592" i="11" s="1"/>
  <c r="AH605" i="5" l="1"/>
  <c r="AC666" i="2"/>
  <c r="V260" i="2"/>
  <c r="Z315" i="25"/>
  <c r="AM315" i="2" s="1"/>
  <c r="X316" i="25"/>
  <c r="AB314" i="25"/>
  <c r="AC314" i="25"/>
  <c r="AO314" i="2" s="1"/>
  <c r="X251" i="26"/>
  <c r="V250" i="26"/>
  <c r="W250" i="26" s="1"/>
  <c r="AB277" i="24"/>
  <c r="AE276" i="24"/>
  <c r="U263" i="2"/>
  <c r="V589" i="11"/>
  <c r="AH606" i="5" l="1"/>
  <c r="AC667" i="2"/>
  <c r="V261" i="2"/>
  <c r="Z316" i="25"/>
  <c r="AM316" i="2" s="1"/>
  <c r="X317" i="25"/>
  <c r="AC315" i="25"/>
  <c r="AO315" i="2" s="1"/>
  <c r="AB315" i="25"/>
  <c r="V251" i="26"/>
  <c r="W251" i="26" s="1"/>
  <c r="X252" i="26"/>
  <c r="AB278" i="24"/>
  <c r="Z279" i="24"/>
  <c r="AE277" i="24"/>
  <c r="U264" i="2"/>
  <c r="AH607" i="5" l="1"/>
  <c r="AC668" i="2"/>
  <c r="V262" i="2"/>
  <c r="Z317" i="25"/>
  <c r="AM317" i="2" s="1"/>
  <c r="X318" i="25"/>
  <c r="AB316" i="25"/>
  <c r="AC316" i="25"/>
  <c r="AO316" i="2" s="1"/>
  <c r="V252" i="26"/>
  <c r="W252" i="26" s="1"/>
  <c r="X253" i="26"/>
  <c r="Z280" i="24"/>
  <c r="AB279" i="24"/>
  <c r="U265" i="2"/>
  <c r="AH608" i="5" l="1"/>
  <c r="AC669" i="2"/>
  <c r="V263" i="2"/>
  <c r="X319" i="25"/>
  <c r="Z318" i="25"/>
  <c r="AM318" i="2" s="1"/>
  <c r="AB317" i="25"/>
  <c r="AC317" i="25"/>
  <c r="AO317" i="2" s="1"/>
  <c r="V253" i="26"/>
  <c r="W253" i="26" s="1"/>
  <c r="X254" i="26"/>
  <c r="Z281" i="24"/>
  <c r="AB280" i="24"/>
  <c r="AE279" i="24"/>
  <c r="U266" i="2"/>
  <c r="AH609" i="5" l="1"/>
  <c r="AC670" i="2"/>
  <c r="V264" i="2"/>
  <c r="Z319" i="25"/>
  <c r="AM319" i="2" s="1"/>
  <c r="X320" i="25"/>
  <c r="AB318" i="25"/>
  <c r="AC318" i="25"/>
  <c r="AO318" i="2" s="1"/>
  <c r="AN279" i="5"/>
  <c r="AE280" i="24"/>
  <c r="X255" i="26"/>
  <c r="V254" i="26"/>
  <c r="W254" i="26" s="1"/>
  <c r="Z282" i="24"/>
  <c r="AB281" i="24"/>
  <c r="U267" i="2"/>
  <c r="AH610" i="5" l="1"/>
  <c r="AC671" i="2"/>
  <c r="V265" i="2"/>
  <c r="AP279" i="5"/>
  <c r="X321" i="25"/>
  <c r="Z320" i="25"/>
  <c r="AM320" i="2" s="1"/>
  <c r="AB319" i="25"/>
  <c r="AC319" i="25"/>
  <c r="AO319" i="2" s="1"/>
  <c r="AN280" i="5"/>
  <c r="AE281" i="24"/>
  <c r="AP280" i="5" s="1"/>
  <c r="X256" i="26"/>
  <c r="V255" i="26"/>
  <c r="W255" i="26" s="1"/>
  <c r="Z283" i="24"/>
  <c r="AB282" i="24"/>
  <c r="U268" i="2"/>
  <c r="AH611" i="5" l="1"/>
  <c r="AC672" i="2"/>
  <c r="AC673" i="2" s="1"/>
  <c r="V266" i="2"/>
  <c r="AB320" i="25"/>
  <c r="AC320" i="25"/>
  <c r="AO320" i="2" s="1"/>
  <c r="Z321" i="25"/>
  <c r="AM321" i="2" s="1"/>
  <c r="X322" i="25"/>
  <c r="AN281" i="5"/>
  <c r="AE282" i="24"/>
  <c r="AP281" i="5" s="1"/>
  <c r="V256" i="26"/>
  <c r="W256" i="26" s="1"/>
  <c r="X257" i="26"/>
  <c r="Z284" i="24"/>
  <c r="AB283" i="24"/>
  <c r="U269" i="2"/>
  <c r="AH612" i="5" l="1"/>
  <c r="AC674" i="2"/>
  <c r="AC675" i="2" s="1"/>
  <c r="V267" i="2"/>
  <c r="Z322" i="25"/>
  <c r="AM322" i="2" s="1"/>
  <c r="X323" i="25"/>
  <c r="AB321" i="25"/>
  <c r="AC321" i="25"/>
  <c r="AO321" i="2" s="1"/>
  <c r="AN282" i="5"/>
  <c r="AE283" i="24"/>
  <c r="AP282" i="5" s="1"/>
  <c r="X258" i="26"/>
  <c r="V257" i="26"/>
  <c r="W257" i="26" s="1"/>
  <c r="Z285" i="24"/>
  <c r="AB284" i="24"/>
  <c r="U270" i="2"/>
  <c r="AH613" i="5" l="1"/>
  <c r="AC676" i="2"/>
  <c r="AC677" i="2" s="1"/>
  <c r="V268" i="2"/>
  <c r="Z323" i="25"/>
  <c r="AM323" i="2" s="1"/>
  <c r="X324" i="25"/>
  <c r="AB322" i="25"/>
  <c r="AC322" i="25"/>
  <c r="AO322" i="2" s="1"/>
  <c r="AN283" i="5"/>
  <c r="AE284" i="24"/>
  <c r="AP283" i="5" s="1"/>
  <c r="X259" i="26"/>
  <c r="V258" i="26"/>
  <c r="W258" i="26" s="1"/>
  <c r="Z286" i="24"/>
  <c r="AB285" i="24"/>
  <c r="U271" i="2"/>
  <c r="AH614" i="5" l="1"/>
  <c r="AC678" i="2"/>
  <c r="AC679" i="2" s="1"/>
  <c r="V269" i="2"/>
  <c r="Z324" i="25"/>
  <c r="AM324" i="2" s="1"/>
  <c r="X325" i="25"/>
  <c r="AC323" i="25"/>
  <c r="AO323" i="2" s="1"/>
  <c r="AB323" i="25"/>
  <c r="AN284" i="5"/>
  <c r="AE285" i="24"/>
  <c r="AP284" i="5" s="1"/>
  <c r="V259" i="26"/>
  <c r="W259" i="26" s="1"/>
  <c r="X260" i="26"/>
  <c r="Z287" i="24"/>
  <c r="AB286" i="24"/>
  <c r="U272" i="2"/>
  <c r="AH615" i="5" l="1"/>
  <c r="AC680" i="2"/>
  <c r="V270" i="2"/>
  <c r="Z325" i="25"/>
  <c r="AM325" i="2" s="1"/>
  <c r="X326" i="25"/>
  <c r="AC324" i="25"/>
  <c r="AO324" i="2" s="1"/>
  <c r="AB324" i="25"/>
  <c r="AN285" i="5"/>
  <c r="AE286" i="24"/>
  <c r="AP285" i="5" s="1"/>
  <c r="V260" i="26"/>
  <c r="W260" i="26" s="1"/>
  <c r="X261" i="26"/>
  <c r="Z288" i="24"/>
  <c r="AB287" i="24"/>
  <c r="U273" i="2"/>
  <c r="AH616" i="5" l="1"/>
  <c r="AC681" i="2"/>
  <c r="AC682" i="2" s="1"/>
  <c r="V271" i="2"/>
  <c r="AB325" i="25"/>
  <c r="AC325" i="25"/>
  <c r="AO325" i="2" s="1"/>
  <c r="X327" i="25"/>
  <c r="Z326" i="25"/>
  <c r="AM326" i="2" s="1"/>
  <c r="AN286" i="5"/>
  <c r="AE287" i="24"/>
  <c r="AP286" i="5" s="1"/>
  <c r="V261" i="26"/>
  <c r="W261" i="26" s="1"/>
  <c r="X262" i="26"/>
  <c r="Z289" i="24"/>
  <c r="AB288" i="24"/>
  <c r="U274" i="2"/>
  <c r="D12" i="20"/>
  <c r="D6" i="19"/>
  <c r="AH617" i="5" l="1"/>
  <c r="V272" i="2"/>
  <c r="AB326" i="25"/>
  <c r="AC326" i="25"/>
  <c r="AO326" i="2" s="1"/>
  <c r="X328" i="25"/>
  <c r="Z327" i="25"/>
  <c r="AM327" i="2" s="1"/>
  <c r="AN287" i="5"/>
  <c r="AE288" i="24"/>
  <c r="AP287" i="5" s="1"/>
  <c r="X263" i="26"/>
  <c r="V262" i="26"/>
  <c r="W262" i="26" s="1"/>
  <c r="Z290" i="24"/>
  <c r="AB289" i="24"/>
  <c r="D13" i="20"/>
  <c r="D14" i="20" s="1"/>
  <c r="D15" i="20" s="1"/>
  <c r="D16" i="20" s="1"/>
  <c r="D17" i="20" s="1"/>
  <c r="D18" i="20" s="1"/>
  <c r="U275" i="2"/>
  <c r="AH618" i="5" l="1"/>
  <c r="V273" i="2"/>
  <c r="AC327" i="25"/>
  <c r="AO327" i="2" s="1"/>
  <c r="AB327" i="25"/>
  <c r="X329" i="25"/>
  <c r="Z328" i="25"/>
  <c r="AM328" i="2" s="1"/>
  <c r="AN288" i="5"/>
  <c r="AE289" i="24"/>
  <c r="AP288" i="5" s="1"/>
  <c r="V263" i="26"/>
  <c r="W263" i="26" s="1"/>
  <c r="X264" i="26"/>
  <c r="Z291" i="24"/>
  <c r="AB290" i="24"/>
  <c r="U276" i="2"/>
  <c r="C586" i="11"/>
  <c r="AH619" i="5" l="1"/>
  <c r="V274" i="2"/>
  <c r="AB328" i="25"/>
  <c r="AC328" i="25"/>
  <c r="AO328" i="2" s="1"/>
  <c r="X330" i="25"/>
  <c r="Z329" i="25"/>
  <c r="AM329" i="2" s="1"/>
  <c r="AN289" i="5"/>
  <c r="AE290" i="24"/>
  <c r="AP289" i="5" s="1"/>
  <c r="V264" i="26"/>
  <c r="W264" i="26" s="1"/>
  <c r="X265" i="26"/>
  <c r="Z292" i="24"/>
  <c r="AB291" i="24"/>
  <c r="U277" i="2"/>
  <c r="AH620" i="5" l="1"/>
  <c r="V275" i="2"/>
  <c r="AC329" i="25"/>
  <c r="AO329" i="2" s="1"/>
  <c r="AB329" i="25"/>
  <c r="Z330" i="25"/>
  <c r="AM330" i="2" s="1"/>
  <c r="X331" i="25"/>
  <c r="AN290" i="5"/>
  <c r="AE291" i="24"/>
  <c r="AP290" i="5" s="1"/>
  <c r="V265" i="26"/>
  <c r="W265" i="26" s="1"/>
  <c r="X266" i="26"/>
  <c r="Z293" i="24"/>
  <c r="AB292" i="24"/>
  <c r="U278" i="2"/>
  <c r="AH621" i="5" l="1"/>
  <c r="V276" i="2"/>
  <c r="AB330" i="25"/>
  <c r="AC330" i="25"/>
  <c r="AO330" i="2" s="1"/>
  <c r="Z331" i="25"/>
  <c r="AM331" i="2" s="1"/>
  <c r="X332" i="25"/>
  <c r="AN291" i="5"/>
  <c r="AE292" i="24"/>
  <c r="AP291" i="5" s="1"/>
  <c r="V266" i="26"/>
  <c r="W266" i="26" s="1"/>
  <c r="X267" i="26"/>
  <c r="Z294" i="24"/>
  <c r="AB293" i="24"/>
  <c r="U279" i="2"/>
  <c r="AH622" i="5" l="1"/>
  <c r="V277" i="2"/>
  <c r="Z332" i="25"/>
  <c r="AM332" i="2" s="1"/>
  <c r="X333" i="25"/>
  <c r="AC331" i="25"/>
  <c r="AO331" i="2" s="1"/>
  <c r="AB331" i="25"/>
  <c r="AN292" i="5"/>
  <c r="AE293" i="24"/>
  <c r="AP292" i="5" s="1"/>
  <c r="V267" i="26"/>
  <c r="W267" i="26" s="1"/>
  <c r="X268" i="26"/>
  <c r="Z295" i="24"/>
  <c r="AB294" i="24"/>
  <c r="U280" i="2"/>
  <c r="AH623" i="5" l="1"/>
  <c r="V278" i="2"/>
  <c r="Z333" i="25"/>
  <c r="AM333" i="2" s="1"/>
  <c r="X334" i="25"/>
  <c r="AB332" i="25"/>
  <c r="AC332" i="25"/>
  <c r="AO332" i="2" s="1"/>
  <c r="AN293" i="5"/>
  <c r="AE294" i="24"/>
  <c r="AP293" i="5" s="1"/>
  <c r="V268" i="26"/>
  <c r="W268" i="26" s="1"/>
  <c r="X269" i="26"/>
  <c r="Z296" i="24"/>
  <c r="AB295" i="24"/>
  <c r="U281" i="2"/>
  <c r="AH624" i="5" l="1"/>
  <c r="V279" i="2"/>
  <c r="X335" i="25"/>
  <c r="Z334" i="25"/>
  <c r="AM334" i="2" s="1"/>
  <c r="AB333" i="25"/>
  <c r="AC333" i="25"/>
  <c r="AO333" i="2" s="1"/>
  <c r="AN294" i="5"/>
  <c r="AE295" i="24"/>
  <c r="AP294" i="5" s="1"/>
  <c r="X270" i="26"/>
  <c r="V269" i="26"/>
  <c r="W269" i="26" s="1"/>
  <c r="Z297" i="24"/>
  <c r="AB296" i="24"/>
  <c r="U282" i="2"/>
  <c r="AH625" i="5" l="1"/>
  <c r="V280" i="2"/>
  <c r="AB334" i="25"/>
  <c r="AC334" i="25"/>
  <c r="AO334" i="2" s="1"/>
  <c r="X336" i="25"/>
  <c r="Z335" i="25"/>
  <c r="AM335" i="2" s="1"/>
  <c r="AN295" i="5"/>
  <c r="AE296" i="24"/>
  <c r="AP295" i="5" s="1"/>
  <c r="V270" i="26"/>
  <c r="W270" i="26" s="1"/>
  <c r="X271" i="26"/>
  <c r="Z298" i="24"/>
  <c r="AB297" i="24"/>
  <c r="U283" i="2"/>
  <c r="AH626" i="5" l="1"/>
  <c r="V281" i="2"/>
  <c r="AC335" i="25"/>
  <c r="AO335" i="2" s="1"/>
  <c r="AB335" i="25"/>
  <c r="X337" i="25"/>
  <c r="Z336" i="25"/>
  <c r="AM336" i="2" s="1"/>
  <c r="AN296" i="5"/>
  <c r="AE297" i="24"/>
  <c r="AP296" i="5" s="1"/>
  <c r="X272" i="26"/>
  <c r="V271" i="26"/>
  <c r="W271" i="26" s="1"/>
  <c r="Z299" i="24"/>
  <c r="AB298" i="24"/>
  <c r="U284" i="2"/>
  <c r="AH627" i="5" l="1"/>
  <c r="V282" i="2"/>
  <c r="AB299" i="24"/>
  <c r="AN298" i="5" s="1"/>
  <c r="Z300" i="24"/>
  <c r="AB336" i="25"/>
  <c r="AC336" i="25"/>
  <c r="AO336" i="2" s="1"/>
  <c r="Z337" i="25"/>
  <c r="AM337" i="2" s="1"/>
  <c r="X338" i="25"/>
  <c r="AN297" i="5"/>
  <c r="AE298" i="24"/>
  <c r="AP297" i="5" s="1"/>
  <c r="X273" i="26"/>
  <c r="V272" i="26"/>
  <c r="W272" i="26" s="1"/>
  <c r="U285" i="2"/>
  <c r="AE299" i="24" l="1"/>
  <c r="AP298" i="5" s="1"/>
  <c r="AH628" i="5"/>
  <c r="V283" i="2"/>
  <c r="AB300" i="24"/>
  <c r="Z301" i="24"/>
  <c r="X339" i="25"/>
  <c r="Z338" i="25"/>
  <c r="AM338" i="2" s="1"/>
  <c r="AC337" i="25"/>
  <c r="AO337" i="2" s="1"/>
  <c r="AB337" i="25"/>
  <c r="V273" i="26"/>
  <c r="W273" i="26" s="1"/>
  <c r="X274" i="26"/>
  <c r="U286" i="2"/>
  <c r="AH629" i="5" l="1"/>
  <c r="V284" i="2"/>
  <c r="Z302" i="24"/>
  <c r="AB301" i="24"/>
  <c r="AE300" i="24"/>
  <c r="AP299" i="5" s="1"/>
  <c r="AN299" i="5"/>
  <c r="AD337" i="25"/>
  <c r="AC338" i="25"/>
  <c r="AO338" i="2" s="1"/>
  <c r="AB338" i="25"/>
  <c r="X340" i="25"/>
  <c r="Z339" i="25"/>
  <c r="AM339" i="2" s="1"/>
  <c r="X275" i="26"/>
  <c r="V274" i="26"/>
  <c r="W274" i="26" s="1"/>
  <c r="U287" i="2"/>
  <c r="U288" i="2" s="1"/>
  <c r="AH630" i="5" l="1"/>
  <c r="Z340" i="25"/>
  <c r="AB340" i="25" s="1"/>
  <c r="X341" i="25"/>
  <c r="U289" i="2"/>
  <c r="V285" i="2"/>
  <c r="AE301" i="24"/>
  <c r="AP300" i="5" s="1"/>
  <c r="AN300" i="5"/>
  <c r="AB302" i="24"/>
  <c r="Z303" i="24"/>
  <c r="AC339" i="25"/>
  <c r="AO339" i="2" s="1"/>
  <c r="AB339" i="25"/>
  <c r="AC340" i="25"/>
  <c r="X276" i="26"/>
  <c r="V275" i="26"/>
  <c r="W275" i="26" s="1"/>
  <c r="AH631" i="5" l="1"/>
  <c r="X342" i="25"/>
  <c r="Z341" i="25"/>
  <c r="AC341" i="25" s="1"/>
  <c r="AO341" i="2" s="1"/>
  <c r="AO340" i="2"/>
  <c r="AM340" i="2"/>
  <c r="V286" i="2"/>
  <c r="AE302" i="24"/>
  <c r="AP301" i="5" s="1"/>
  <c r="AN301" i="5"/>
  <c r="Z304" i="24"/>
  <c r="AB303" i="24"/>
  <c r="X277" i="26"/>
  <c r="V276" i="26"/>
  <c r="W276" i="26" s="1"/>
  <c r="AH632" i="5" l="1"/>
  <c r="AB341" i="25"/>
  <c r="AM341" i="2"/>
  <c r="X343" i="25"/>
  <c r="Z342" i="25"/>
  <c r="V287" i="2"/>
  <c r="AE303" i="24"/>
  <c r="AP302" i="5" s="1"/>
  <c r="AN302" i="5"/>
  <c r="Z305" i="24"/>
  <c r="AB304" i="24"/>
  <c r="V277" i="26"/>
  <c r="W277" i="26" s="1"/>
  <c r="X278" i="26"/>
  <c r="U290" i="2"/>
  <c r="AH633" i="5" l="1"/>
  <c r="AC342" i="25"/>
  <c r="AM342" i="2"/>
  <c r="AB342" i="25"/>
  <c r="X344" i="25"/>
  <c r="Z343" i="25"/>
  <c r="V288" i="2"/>
  <c r="AE304" i="24"/>
  <c r="AP303" i="5" s="1"/>
  <c r="AN303" i="5"/>
  <c r="AB305" i="24"/>
  <c r="Z306" i="24"/>
  <c r="X279" i="26"/>
  <c r="V278" i="26"/>
  <c r="W278" i="26" s="1"/>
  <c r="U291" i="2"/>
  <c r="AH634" i="5" l="1"/>
  <c r="AB343" i="25"/>
  <c r="AM343" i="2"/>
  <c r="AC343" i="25"/>
  <c r="AO343" i="2" s="1"/>
  <c r="X345" i="25"/>
  <c r="Z344" i="25"/>
  <c r="AO342" i="2"/>
  <c r="V289" i="2"/>
  <c r="AE305" i="24"/>
  <c r="AP304" i="5" s="1"/>
  <c r="AN304" i="5"/>
  <c r="AB306" i="24"/>
  <c r="Z307" i="24"/>
  <c r="X280" i="26"/>
  <c r="V279" i="26"/>
  <c r="W279" i="26" s="1"/>
  <c r="U292" i="2"/>
  <c r="AH635" i="5" l="1"/>
  <c r="X346" i="25"/>
  <c r="Z345" i="25"/>
  <c r="AC344" i="25"/>
  <c r="AM344" i="2"/>
  <c r="AB344" i="25"/>
  <c r="V290" i="2"/>
  <c r="AB307" i="24"/>
  <c r="Z308" i="24"/>
  <c r="AE306" i="24"/>
  <c r="AP305" i="5" s="1"/>
  <c r="AN305" i="5"/>
  <c r="X281" i="26"/>
  <c r="V280" i="26"/>
  <c r="W280" i="26" s="1"/>
  <c r="U293" i="2"/>
  <c r="AH636" i="5" l="1"/>
  <c r="AC345" i="25"/>
  <c r="AO345" i="2" s="1"/>
  <c r="AM345" i="2"/>
  <c r="AB345" i="25"/>
  <c r="AO344" i="2"/>
  <c r="X347" i="25"/>
  <c r="Z346" i="25"/>
  <c r="V291" i="2"/>
  <c r="AB308" i="24"/>
  <c r="Z309" i="24"/>
  <c r="AE307" i="24"/>
  <c r="AP306" i="5" s="1"/>
  <c r="AN306" i="5"/>
  <c r="X282" i="26"/>
  <c r="V281" i="26"/>
  <c r="W281" i="26" s="1"/>
  <c r="U294" i="2"/>
  <c r="AH637" i="5" l="1"/>
  <c r="AC346" i="25"/>
  <c r="AM346" i="2"/>
  <c r="AB346" i="25"/>
  <c r="X348" i="25"/>
  <c r="Z347" i="25"/>
  <c r="V292" i="2"/>
  <c r="Z310" i="24"/>
  <c r="AB309" i="24"/>
  <c r="AE308" i="24"/>
  <c r="AP307" i="5" s="1"/>
  <c r="AN307" i="5"/>
  <c r="X283" i="26"/>
  <c r="V282" i="26"/>
  <c r="W282" i="26" s="1"/>
  <c r="U295" i="2"/>
  <c r="AH638" i="5" l="1"/>
  <c r="AC347" i="25"/>
  <c r="AO347" i="2" s="1"/>
  <c r="AM347" i="2"/>
  <c r="AB347" i="25"/>
  <c r="X349" i="25"/>
  <c r="Z348" i="25"/>
  <c r="AO346" i="2"/>
  <c r="V293" i="2"/>
  <c r="AE309" i="24"/>
  <c r="AN308" i="5"/>
  <c r="AB310" i="24"/>
  <c r="Z311" i="24"/>
  <c r="V283" i="26"/>
  <c r="W283" i="26" s="1"/>
  <c r="X284" i="26"/>
  <c r="U296" i="2"/>
  <c r="AH639" i="5" l="1"/>
  <c r="X350" i="25"/>
  <c r="Z349" i="25"/>
  <c r="AB348" i="25"/>
  <c r="AM348" i="2"/>
  <c r="AC348" i="25"/>
  <c r="V294" i="2"/>
  <c r="AE310" i="24"/>
  <c r="Z642" i="11"/>
  <c r="AN309" i="5"/>
  <c r="AB311" i="24"/>
  <c r="Z312" i="24"/>
  <c r="AP308" i="5"/>
  <c r="V284" i="26"/>
  <c r="W284" i="26" s="1"/>
  <c r="X285" i="26"/>
  <c r="U297" i="2"/>
  <c r="O222" i="2"/>
  <c r="AH640" i="5" l="1"/>
  <c r="AO348" i="2"/>
  <c r="AB349" i="25"/>
  <c r="AM349" i="2"/>
  <c r="AC349" i="25"/>
  <c r="AO349" i="2" s="1"/>
  <c r="X351" i="25"/>
  <c r="Z350" i="25"/>
  <c r="V295" i="2"/>
  <c r="Z643" i="11"/>
  <c r="AE311" i="24"/>
  <c r="AN310" i="5"/>
  <c r="Z313" i="24"/>
  <c r="AB312" i="24"/>
  <c r="AP309" i="5"/>
  <c r="AF310" i="24"/>
  <c r="X286" i="26"/>
  <c r="V285" i="26"/>
  <c r="W285" i="26" s="1"/>
  <c r="U298" i="2"/>
  <c r="AH641" i="5" l="1"/>
  <c r="X352" i="25"/>
  <c r="Z351" i="25"/>
  <c r="AC350" i="25"/>
  <c r="AO350" i="2" s="1"/>
  <c r="AM350" i="2"/>
  <c r="AB350" i="25"/>
  <c r="V296" i="2"/>
  <c r="Z644" i="11"/>
  <c r="AE312" i="24"/>
  <c r="AP311" i="5" s="1"/>
  <c r="AN311" i="5"/>
  <c r="AB313" i="24"/>
  <c r="Z314" i="24"/>
  <c r="AP310" i="5"/>
  <c r="V286" i="26"/>
  <c r="W286" i="26" s="1"/>
  <c r="X287" i="26"/>
  <c r="U299" i="2"/>
  <c r="AH642" i="5" l="1"/>
  <c r="AB351" i="25"/>
  <c r="AM351" i="2"/>
  <c r="AC351" i="25"/>
  <c r="AO351" i="2" s="1"/>
  <c r="X353" i="25"/>
  <c r="Z352" i="25"/>
  <c r="V297" i="2"/>
  <c r="Z645" i="11"/>
  <c r="AE313" i="24"/>
  <c r="AN312" i="5"/>
  <c r="AB314" i="24"/>
  <c r="Z315" i="24"/>
  <c r="V287" i="26"/>
  <c r="W287" i="26" s="1"/>
  <c r="X288" i="26"/>
  <c r="U300" i="2"/>
  <c r="AH643" i="5" l="1"/>
  <c r="X354" i="25"/>
  <c r="Z353" i="25"/>
  <c r="AC352" i="25"/>
  <c r="AO352" i="2" s="1"/>
  <c r="AM352" i="2"/>
  <c r="AB352" i="25"/>
  <c r="V298" i="2"/>
  <c r="AB315" i="24"/>
  <c r="Z316" i="24"/>
  <c r="Z646" i="11"/>
  <c r="Z647" i="11" s="1"/>
  <c r="Z648" i="11" s="1"/>
  <c r="Z649" i="11" s="1"/>
  <c r="Z650" i="11" s="1"/>
  <c r="Z651" i="11" s="1"/>
  <c r="Z652" i="11" s="1"/>
  <c r="Z653" i="11" s="1"/>
  <c r="Z654" i="11" s="1"/>
  <c r="Z655" i="11" s="1"/>
  <c r="Z656" i="11" s="1"/>
  <c r="Z657" i="11" s="1"/>
  <c r="Z658" i="11" s="1"/>
  <c r="Z659" i="11" s="1"/>
  <c r="Z660" i="11" s="1"/>
  <c r="Z661" i="11" s="1"/>
  <c r="Z662" i="11" s="1"/>
  <c r="Z663" i="11" s="1"/>
  <c r="Z664" i="11" s="1"/>
  <c r="Z665" i="11" s="1"/>
  <c r="Z666" i="11" s="1"/>
  <c r="Z667" i="11" s="1"/>
  <c r="Z668" i="11" s="1"/>
  <c r="Z669" i="11" s="1"/>
  <c r="Z670" i="11" s="1"/>
  <c r="Z671" i="11" s="1"/>
  <c r="Z673" i="11" s="1"/>
  <c r="Z674" i="11" s="1"/>
  <c r="Z675" i="11" s="1"/>
  <c r="Z676" i="11" s="1"/>
  <c r="Z677" i="11" s="1"/>
  <c r="Z678" i="11" s="1"/>
  <c r="Z679" i="11" s="1"/>
  <c r="Z680" i="11" s="1"/>
  <c r="Z681" i="11" s="1"/>
  <c r="Z682" i="11" s="1"/>
  <c r="Z683" i="11" s="1"/>
  <c r="Z684" i="11" s="1"/>
  <c r="Z685" i="11" s="1"/>
  <c r="Z686" i="11" s="1"/>
  <c r="Z687" i="11" s="1"/>
  <c r="Z688" i="11" s="1"/>
  <c r="Z689" i="11" s="1"/>
  <c r="Z690" i="11" s="1"/>
  <c r="Z692" i="11" s="1"/>
  <c r="Z693" i="11" s="1"/>
  <c r="Z694" i="11" s="1"/>
  <c r="Z695" i="11" s="1"/>
  <c r="Z696" i="11" s="1"/>
  <c r="Z697" i="11" s="1"/>
  <c r="Z698" i="11" s="1"/>
  <c r="Z699" i="11" s="1"/>
  <c r="Z700" i="11" s="1"/>
  <c r="Z701" i="11" s="1"/>
  <c r="Z702" i="11" s="1"/>
  <c r="AE314" i="24"/>
  <c r="AP313" i="5" s="1"/>
  <c r="AN313" i="5"/>
  <c r="AP312" i="5"/>
  <c r="V288" i="26"/>
  <c r="W288" i="26" s="1"/>
  <c r="X289" i="26"/>
  <c r="U301" i="2"/>
  <c r="AH644" i="5" l="1"/>
  <c r="AC353" i="25"/>
  <c r="AO353" i="2" s="1"/>
  <c r="AM353" i="2"/>
  <c r="AB353" i="25"/>
  <c r="X355" i="25"/>
  <c r="Z354" i="25"/>
  <c r="V299" i="2"/>
  <c r="Z317" i="24"/>
  <c r="AB316" i="24"/>
  <c r="AE315" i="24"/>
  <c r="AN314" i="5"/>
  <c r="V289" i="26"/>
  <c r="W289" i="26" s="1"/>
  <c r="X290" i="26"/>
  <c r="U302" i="2"/>
  <c r="AH645" i="5" l="1"/>
  <c r="X356" i="25"/>
  <c r="Z355" i="25"/>
  <c r="AC354" i="25"/>
  <c r="AO354" i="2" s="1"/>
  <c r="AM354" i="2"/>
  <c r="AB354" i="25"/>
  <c r="V300" i="2"/>
  <c r="AP314" i="5"/>
  <c r="AE316" i="24"/>
  <c r="AP315" i="5" s="1"/>
  <c r="AN315" i="5"/>
  <c r="AB317" i="24"/>
  <c r="Z318" i="24"/>
  <c r="A54" i="19"/>
  <c r="V290" i="26"/>
  <c r="W290" i="26" s="1"/>
  <c r="X291" i="26"/>
  <c r="U303" i="2"/>
  <c r="AH646" i="5" l="1"/>
  <c r="AB355" i="25"/>
  <c r="AM355" i="2"/>
  <c r="AC355" i="25"/>
  <c r="AO355" i="2" s="1"/>
  <c r="X357" i="25"/>
  <c r="Z356" i="25"/>
  <c r="V301" i="2"/>
  <c r="Z319" i="24"/>
  <c r="AB318" i="24"/>
  <c r="AE317" i="24"/>
  <c r="AN316" i="5"/>
  <c r="V291" i="26"/>
  <c r="W291" i="26" s="1"/>
  <c r="X292" i="26"/>
  <c r="U304" i="2"/>
  <c r="AH647" i="5" l="1"/>
  <c r="X358" i="25"/>
  <c r="Z357" i="25"/>
  <c r="AB356" i="25"/>
  <c r="AM356" i="2"/>
  <c r="AC356" i="25"/>
  <c r="AO356" i="2" s="1"/>
  <c r="V302" i="2"/>
  <c r="AP316" i="5"/>
  <c r="AE318" i="24"/>
  <c r="AN317" i="5"/>
  <c r="Z320" i="24"/>
  <c r="AB319" i="24"/>
  <c r="X293" i="26"/>
  <c r="V292" i="26"/>
  <c r="W292" i="26" s="1"/>
  <c r="U305" i="2"/>
  <c r="AH648" i="5" l="1"/>
  <c r="AC357" i="25"/>
  <c r="AO357" i="2" s="1"/>
  <c r="AM357" i="2"/>
  <c r="AB357" i="25"/>
  <c r="X359" i="25"/>
  <c r="Z358" i="25"/>
  <c r="V303" i="2"/>
  <c r="AE319" i="24"/>
  <c r="AP318" i="5" s="1"/>
  <c r="AN318" i="5"/>
  <c r="Z321" i="24"/>
  <c r="AB320" i="24"/>
  <c r="AP317" i="5"/>
  <c r="V293" i="26"/>
  <c r="W293" i="26" s="1"/>
  <c r="X294" i="26"/>
  <c r="U306" i="2"/>
  <c r="AH649" i="5" l="1"/>
  <c r="X360" i="25"/>
  <c r="Z359" i="25"/>
  <c r="AC358" i="25"/>
  <c r="AO358" i="2" s="1"/>
  <c r="AM358" i="2"/>
  <c r="AB358" i="25"/>
  <c r="AC738" i="2"/>
  <c r="V304" i="2"/>
  <c r="AE320" i="24"/>
  <c r="AP319" i="5" s="1"/>
  <c r="AN319" i="5"/>
  <c r="Z322" i="24"/>
  <c r="AB321" i="24"/>
  <c r="V294" i="26"/>
  <c r="W294" i="26" s="1"/>
  <c r="X295" i="26"/>
  <c r="U307" i="2"/>
  <c r="AH650" i="5" l="1"/>
  <c r="AM359" i="2"/>
  <c r="AC359" i="25"/>
  <c r="AO359" i="2" s="1"/>
  <c r="AB359" i="25"/>
  <c r="X361" i="25"/>
  <c r="Z360" i="25"/>
  <c r="V305" i="2"/>
  <c r="Z323" i="24"/>
  <c r="AB322" i="24"/>
  <c r="AE321" i="24"/>
  <c r="AP320" i="5" s="1"/>
  <c r="AN320" i="5"/>
  <c r="X296" i="26"/>
  <c r="V295" i="26"/>
  <c r="W295" i="26" s="1"/>
  <c r="U308" i="2"/>
  <c r="AH651" i="5" l="1"/>
  <c r="AC360" i="25"/>
  <c r="AO360" i="2" s="1"/>
  <c r="AM360" i="2"/>
  <c r="AB360" i="25"/>
  <c r="X362" i="25"/>
  <c r="Z361" i="25"/>
  <c r="V306" i="2"/>
  <c r="AE322" i="24"/>
  <c r="AP321" i="5" s="1"/>
  <c r="AN321" i="5"/>
  <c r="Z324" i="24"/>
  <c r="AB323" i="24"/>
  <c r="V296" i="26"/>
  <c r="W296" i="26" s="1"/>
  <c r="X297" i="26"/>
  <c r="U309" i="2"/>
  <c r="AH652" i="5" l="1"/>
  <c r="X363" i="25"/>
  <c r="Z362" i="25"/>
  <c r="AC361" i="25"/>
  <c r="AO361" i="2" s="1"/>
  <c r="AM361" i="2"/>
  <c r="AB361" i="25"/>
  <c r="V307" i="2"/>
  <c r="AE323" i="24"/>
  <c r="AP322" i="5" s="1"/>
  <c r="AN322" i="5"/>
  <c r="Z325" i="24"/>
  <c r="AB324" i="24"/>
  <c r="V297" i="26"/>
  <c r="W297" i="26" s="1"/>
  <c r="X298" i="26"/>
  <c r="U310" i="2"/>
  <c r="AH653" i="5" l="1"/>
  <c r="AC362" i="25"/>
  <c r="AO362" i="2" s="1"/>
  <c r="AM362" i="2"/>
  <c r="AB362" i="25"/>
  <c r="X364" i="25"/>
  <c r="Z363" i="25"/>
  <c r="V308" i="2"/>
  <c r="Z326" i="24"/>
  <c r="AB325" i="24"/>
  <c r="AE324" i="24"/>
  <c r="AP323" i="5" s="1"/>
  <c r="AN323" i="5"/>
  <c r="V298" i="26"/>
  <c r="W298" i="26" s="1"/>
  <c r="X299" i="26"/>
  <c r="U311" i="2"/>
  <c r="AH654" i="5" l="1"/>
  <c r="X365" i="25"/>
  <c r="Z364" i="25"/>
  <c r="AC363" i="25"/>
  <c r="AO363" i="2" s="1"/>
  <c r="AM363" i="2"/>
  <c r="AB363" i="25"/>
  <c r="V309" i="2"/>
  <c r="AE325" i="24"/>
  <c r="AP324" i="5" s="1"/>
  <c r="AN324" i="5"/>
  <c r="Z327" i="24"/>
  <c r="AB326" i="24"/>
  <c r="V299" i="26"/>
  <c r="W299" i="26" s="1"/>
  <c r="X300" i="26"/>
  <c r="U312" i="2"/>
  <c r="AH655" i="5" l="1"/>
  <c r="AM364" i="2"/>
  <c r="AC364" i="25"/>
  <c r="AO364" i="2" s="1"/>
  <c r="AB364" i="25"/>
  <c r="X366" i="25"/>
  <c r="Z365" i="25"/>
  <c r="V310" i="2"/>
  <c r="AE326" i="24"/>
  <c r="AP325" i="5" s="1"/>
  <c r="AN325" i="5"/>
  <c r="Z328" i="24"/>
  <c r="AB327" i="24"/>
  <c r="X301" i="26"/>
  <c r="V300" i="26"/>
  <c r="W300" i="26" s="1"/>
  <c r="U313" i="2"/>
  <c r="AH656" i="5" l="1"/>
  <c r="X367" i="25"/>
  <c r="Z366" i="25"/>
  <c r="AM365" i="2"/>
  <c r="AC365" i="25"/>
  <c r="AO365" i="2" s="1"/>
  <c r="AB365" i="25"/>
  <c r="V311" i="2"/>
  <c r="AE327" i="24"/>
  <c r="AP326" i="5" s="1"/>
  <c r="AN326" i="5"/>
  <c r="Z329" i="24"/>
  <c r="AB328" i="24"/>
  <c r="V301" i="26"/>
  <c r="W301" i="26" s="1"/>
  <c r="X302" i="26"/>
  <c r="U314" i="2"/>
  <c r="AH657" i="5" l="1"/>
  <c r="AC366" i="25"/>
  <c r="AO366" i="2" s="1"/>
  <c r="AM366" i="2"/>
  <c r="AB366" i="25"/>
  <c r="X368" i="25"/>
  <c r="Z367" i="25"/>
  <c r="V312" i="2"/>
  <c r="AE328" i="24"/>
  <c r="AP327" i="5" s="1"/>
  <c r="AN327" i="5"/>
  <c r="Z330" i="24"/>
  <c r="AB329" i="24"/>
  <c r="V302" i="26"/>
  <c r="W302" i="26" s="1"/>
  <c r="X303" i="26"/>
  <c r="U315" i="2"/>
  <c r="AH658" i="5" l="1"/>
  <c r="AM367" i="2"/>
  <c r="AC367" i="25"/>
  <c r="AO367" i="2" s="1"/>
  <c r="AB367" i="25"/>
  <c r="X369" i="25"/>
  <c r="Z368" i="25"/>
  <c r="V313" i="2"/>
  <c r="AE329" i="24"/>
  <c r="AP328" i="5" s="1"/>
  <c r="AN328" i="5"/>
  <c r="Z331" i="24"/>
  <c r="AB330" i="24"/>
  <c r="V303" i="26"/>
  <c r="W303" i="26" s="1"/>
  <c r="X304" i="26"/>
  <c r="U316" i="2"/>
  <c r="AH659" i="5" l="1"/>
  <c r="AC368" i="25"/>
  <c r="AO368" i="2" s="1"/>
  <c r="AM368" i="2"/>
  <c r="AB368" i="25"/>
  <c r="Z369" i="25"/>
  <c r="X373" i="25"/>
  <c r="Z373" i="25" s="1"/>
  <c r="AM373" i="2" s="1"/>
  <c r="V314" i="2"/>
  <c r="AE330" i="24"/>
  <c r="AP329" i="5" s="1"/>
  <c r="AN329" i="5"/>
  <c r="Z332" i="24"/>
  <c r="AB331" i="24"/>
  <c r="X305" i="26"/>
  <c r="V304" i="26"/>
  <c r="W304" i="26" s="1"/>
  <c r="U317" i="2"/>
  <c r="AH660" i="5" l="1"/>
  <c r="AC373" i="25"/>
  <c r="AO373" i="2" s="1"/>
  <c r="AB373" i="25"/>
  <c r="AC369" i="25"/>
  <c r="AM369" i="2"/>
  <c r="AB369" i="25"/>
  <c r="V315" i="2"/>
  <c r="AE331" i="24"/>
  <c r="AP330" i="5" s="1"/>
  <c r="AN330" i="5"/>
  <c r="Z333" i="24"/>
  <c r="AB332" i="24"/>
  <c r="V305" i="26"/>
  <c r="W305" i="26" s="1"/>
  <c r="X306" i="26"/>
  <c r="U318" i="2"/>
  <c r="V561" i="11"/>
  <c r="AH661" i="5" l="1"/>
  <c r="AO369" i="2"/>
  <c r="AD373" i="25"/>
  <c r="V316" i="2"/>
  <c r="AE332" i="24"/>
  <c r="AP331" i="5" s="1"/>
  <c r="AN331" i="5"/>
  <c r="Z334" i="24"/>
  <c r="AB333" i="24"/>
  <c r="V306" i="26"/>
  <c r="W306" i="26" s="1"/>
  <c r="X307" i="26"/>
  <c r="U319" i="2"/>
  <c r="AH662" i="5" l="1"/>
  <c r="V317" i="2"/>
  <c r="AE333" i="24"/>
  <c r="AP332" i="5" s="1"/>
  <c r="AN332" i="5"/>
  <c r="Z335" i="24"/>
  <c r="AB334" i="24"/>
  <c r="V307" i="26"/>
  <c r="W307" i="26" s="1"/>
  <c r="X309" i="26"/>
  <c r="X308" i="26"/>
  <c r="AH663" i="5" l="1"/>
  <c r="V318" i="2"/>
  <c r="AE334" i="24"/>
  <c r="AP333" i="5" s="1"/>
  <c r="AN333" i="5"/>
  <c r="Z336" i="24"/>
  <c r="AB335" i="24"/>
  <c r="V309" i="26"/>
  <c r="W310" i="26" s="1"/>
  <c r="AJ310" i="2" s="1"/>
  <c r="AH309" i="2"/>
  <c r="V308" i="26"/>
  <c r="W308" i="26" s="1"/>
  <c r="U321" i="2"/>
  <c r="AH664" i="5" l="1"/>
  <c r="V319" i="2"/>
  <c r="AE335" i="24"/>
  <c r="AP334" i="5" s="1"/>
  <c r="AN334" i="5"/>
  <c r="Z337" i="24"/>
  <c r="AB336" i="24"/>
  <c r="W309" i="26"/>
  <c r="U322" i="2"/>
  <c r="AH665" i="5" l="1"/>
  <c r="V320" i="2"/>
  <c r="AE336" i="24"/>
  <c r="AP335" i="5" s="1"/>
  <c r="AN335" i="5"/>
  <c r="Z338" i="24"/>
  <c r="AB337" i="24"/>
  <c r="AJ309" i="2"/>
  <c r="U323" i="2"/>
  <c r="AH666" i="5" l="1"/>
  <c r="K101" i="19"/>
  <c r="V321" i="2"/>
  <c r="Z339" i="24"/>
  <c r="AB338" i="24"/>
  <c r="AE337" i="24"/>
  <c r="AP336" i="5" s="1"/>
  <c r="AN336" i="5"/>
  <c r="U324" i="2"/>
  <c r="AH667" i="5" l="1"/>
  <c r="V322" i="2"/>
  <c r="AE338" i="24"/>
  <c r="AN337" i="5"/>
  <c r="Z340" i="24"/>
  <c r="AB339" i="24"/>
  <c r="U325" i="2"/>
  <c r="O223" i="2"/>
  <c r="O224" i="2" s="1"/>
  <c r="N223" i="2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G23" i="23"/>
  <c r="AH668" i="5" l="1"/>
  <c r="V323" i="2"/>
  <c r="AE339" i="24"/>
  <c r="AN338" i="5"/>
  <c r="Z341" i="24"/>
  <c r="AB340" i="24"/>
  <c r="AP337" i="5"/>
  <c r="AF338" i="24"/>
  <c r="N315" i="2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3" i="2" s="1"/>
  <c r="U326" i="2"/>
  <c r="O225" i="2"/>
  <c r="AP338" i="5" l="1"/>
  <c r="AH669" i="5"/>
  <c r="N374" i="2"/>
  <c r="V324" i="2"/>
  <c r="AE340" i="24"/>
  <c r="AP339" i="5" s="1"/>
  <c r="AN339" i="5"/>
  <c r="Z342" i="24"/>
  <c r="AB341" i="24"/>
  <c r="U327" i="2"/>
  <c r="O226" i="2"/>
  <c r="AH670" i="5" l="1"/>
  <c r="V325" i="2"/>
  <c r="N375" i="2"/>
  <c r="Z343" i="24"/>
  <c r="AB342" i="24"/>
  <c r="AE341" i="24"/>
  <c r="AP340" i="5" s="1"/>
  <c r="AN340" i="5"/>
  <c r="U328" i="2"/>
  <c r="O227" i="2"/>
  <c r="AN341" i="5" l="1"/>
  <c r="AE342" i="24"/>
  <c r="AP341" i="5" s="1"/>
  <c r="AH671" i="5"/>
  <c r="N376" i="2"/>
  <c r="V326" i="2"/>
  <c r="Z344" i="24"/>
  <c r="AB343" i="24"/>
  <c r="U329" i="2"/>
  <c r="O228" i="2"/>
  <c r="AN342" i="5" l="1"/>
  <c r="AE343" i="24"/>
  <c r="AH672" i="5"/>
  <c r="V327" i="2"/>
  <c r="N377" i="2"/>
  <c r="Z345" i="24"/>
  <c r="AB344" i="24"/>
  <c r="U330" i="2"/>
  <c r="O229" i="2"/>
  <c r="T542" i="11"/>
  <c r="AP342" i="5" l="1"/>
  <c r="AN343" i="5"/>
  <c r="AE344" i="24"/>
  <c r="AP343" i="5" s="1"/>
  <c r="AH673" i="5"/>
  <c r="N378" i="2"/>
  <c r="V328" i="2"/>
  <c r="Z346" i="24"/>
  <c r="AB345" i="24"/>
  <c r="U331" i="2"/>
  <c r="O230" i="2"/>
  <c r="AN344" i="5" l="1"/>
  <c r="AE345" i="24"/>
  <c r="AH674" i="5"/>
  <c r="V329" i="2"/>
  <c r="N379" i="2"/>
  <c r="Z347" i="24"/>
  <c r="AB346" i="24"/>
  <c r="U332" i="2"/>
  <c r="O231" i="2"/>
  <c r="AN345" i="5" l="1"/>
  <c r="AE346" i="24"/>
  <c r="AP345" i="5" s="1"/>
  <c r="AP344" i="5"/>
  <c r="AH675" i="5"/>
  <c r="N380" i="2"/>
  <c r="V330" i="2"/>
  <c r="Z348" i="24"/>
  <c r="AB347" i="24"/>
  <c r="U333" i="2"/>
  <c r="O232" i="2"/>
  <c r="AN346" i="5" l="1"/>
  <c r="AE347" i="24"/>
  <c r="AP346" i="5" s="1"/>
  <c r="AH676" i="5"/>
  <c r="V331" i="2"/>
  <c r="N381" i="2"/>
  <c r="Z349" i="24"/>
  <c r="AB348" i="24"/>
  <c r="U334" i="2"/>
  <c r="O233" i="2"/>
  <c r="AN347" i="5" l="1"/>
  <c r="AE348" i="24"/>
  <c r="AP347" i="5" s="1"/>
  <c r="AH677" i="5"/>
  <c r="N382" i="2"/>
  <c r="V332" i="2"/>
  <c r="Z350" i="24"/>
  <c r="AB349" i="24"/>
  <c r="U335" i="2"/>
  <c r="O234" i="2"/>
  <c r="AN348" i="5" l="1"/>
  <c r="AE349" i="24"/>
  <c r="AP348" i="5" s="1"/>
  <c r="AH678" i="5"/>
  <c r="V333" i="2"/>
  <c r="N383" i="2"/>
  <c r="Z351" i="24"/>
  <c r="AB350" i="24"/>
  <c r="U336" i="2"/>
  <c r="O235" i="2"/>
  <c r="AN349" i="5" l="1"/>
  <c r="AE350" i="24"/>
  <c r="AP349" i="5" s="1"/>
  <c r="AH679" i="5"/>
  <c r="N384" i="2"/>
  <c r="V334" i="2"/>
  <c r="Z352" i="24"/>
  <c r="AB351" i="24"/>
  <c r="E5" i="29"/>
  <c r="B5" i="29"/>
  <c r="D6" i="29"/>
  <c r="C6" i="29"/>
  <c r="U337" i="2"/>
  <c r="O236" i="2"/>
  <c r="AN350" i="5" l="1"/>
  <c r="AE351" i="24"/>
  <c r="AP350" i="5" s="1"/>
  <c r="AH680" i="5"/>
  <c r="V335" i="2"/>
  <c r="N385" i="2"/>
  <c r="Z353" i="24"/>
  <c r="AB352" i="24"/>
  <c r="B6" i="29"/>
  <c r="D7" i="29"/>
  <c r="C7" i="29"/>
  <c r="E6" i="29"/>
  <c r="U338" i="2"/>
  <c r="O237" i="2"/>
  <c r="AN351" i="5" l="1"/>
  <c r="AE352" i="24"/>
  <c r="AP351" i="5" s="1"/>
  <c r="AH681" i="5"/>
  <c r="N386" i="2"/>
  <c r="V336" i="2"/>
  <c r="Z354" i="24"/>
  <c r="AB353" i="24"/>
  <c r="E7" i="29"/>
  <c r="B7" i="29"/>
  <c r="D8" i="29"/>
  <c r="C8" i="29"/>
  <c r="U339" i="2"/>
  <c r="O238" i="2"/>
  <c r="AN352" i="5" l="1"/>
  <c r="AE353" i="24"/>
  <c r="AP352" i="5" s="1"/>
  <c r="V337" i="2"/>
  <c r="N387" i="2"/>
  <c r="Z355" i="24"/>
  <c r="AB354" i="24"/>
  <c r="B8" i="29"/>
  <c r="D9" i="29"/>
  <c r="C9" i="29"/>
  <c r="E8" i="29"/>
  <c r="U340" i="2"/>
  <c r="O239" i="2"/>
  <c r="V526" i="11"/>
  <c r="AN353" i="5" l="1"/>
  <c r="AE354" i="24"/>
  <c r="AP353" i="5" s="1"/>
  <c r="V338" i="2"/>
  <c r="N388" i="2"/>
  <c r="Z356" i="24"/>
  <c r="AB355" i="24"/>
  <c r="E9" i="29"/>
  <c r="D10" i="29"/>
  <c r="C10" i="29"/>
  <c r="B9" i="29"/>
  <c r="U341" i="2"/>
  <c r="O240" i="2"/>
  <c r="AN354" i="5" l="1"/>
  <c r="AE355" i="24"/>
  <c r="AP354" i="5" s="1"/>
  <c r="N389" i="2"/>
  <c r="V339" i="2"/>
  <c r="Z357" i="24"/>
  <c r="AB356" i="24"/>
  <c r="B10" i="29"/>
  <c r="D11" i="29"/>
  <c r="E10" i="29"/>
  <c r="C11" i="29"/>
  <c r="U342" i="2"/>
  <c r="O241" i="2"/>
  <c r="AN355" i="5" l="1"/>
  <c r="AE356" i="24"/>
  <c r="AP355" i="5" s="1"/>
  <c r="V340" i="2"/>
  <c r="N390" i="2"/>
  <c r="Z358" i="24"/>
  <c r="AB357" i="24"/>
  <c r="E11" i="29"/>
  <c r="D12" i="29"/>
  <c r="C12" i="29"/>
  <c r="B11" i="29"/>
  <c r="U343" i="2"/>
  <c r="O242" i="2"/>
  <c r="AN356" i="5" l="1"/>
  <c r="AE357" i="24"/>
  <c r="AP356" i="5" s="1"/>
  <c r="N391" i="2"/>
  <c r="V341" i="2"/>
  <c r="Z359" i="24"/>
  <c r="AB359" i="24" s="1"/>
  <c r="AB358" i="24"/>
  <c r="B12" i="29"/>
  <c r="E12" i="29"/>
  <c r="D13" i="29"/>
  <c r="C13" i="29"/>
  <c r="U344" i="2"/>
  <c r="O243" i="2"/>
  <c r="AN358" i="5" l="1"/>
  <c r="AE359" i="24"/>
  <c r="AP358" i="5" s="1"/>
  <c r="AN357" i="5"/>
  <c r="AE358" i="24"/>
  <c r="AP357" i="5" s="1"/>
  <c r="V342" i="2"/>
  <c r="N392" i="2"/>
  <c r="Z360" i="24"/>
  <c r="E13" i="29"/>
  <c r="B13" i="29"/>
  <c r="D14" i="29"/>
  <c r="C14" i="29"/>
  <c r="U345" i="2"/>
  <c r="O244" i="2"/>
  <c r="F504" i="11"/>
  <c r="W500" i="11"/>
  <c r="T501" i="11"/>
  <c r="C500" i="11"/>
  <c r="E486" i="11"/>
  <c r="F486" i="11"/>
  <c r="E473" i="11"/>
  <c r="C452" i="11"/>
  <c r="C443" i="11"/>
  <c r="C429" i="11"/>
  <c r="C424" i="11"/>
  <c r="C422" i="11"/>
  <c r="C395" i="11"/>
  <c r="C394" i="11"/>
  <c r="C393" i="11"/>
  <c r="C379" i="11"/>
  <c r="C373" i="11"/>
  <c r="C354" i="11"/>
  <c r="C338" i="11"/>
  <c r="C327" i="11"/>
  <c r="C320" i="11"/>
  <c r="C305" i="11"/>
  <c r="C303" i="11"/>
  <c r="C302" i="11"/>
  <c r="C289" i="11"/>
  <c r="C271" i="11"/>
  <c r="C242" i="11"/>
  <c r="C215" i="11"/>
  <c r="C211" i="11"/>
  <c r="C194" i="11"/>
  <c r="C183" i="11"/>
  <c r="C180" i="11"/>
  <c r="C179" i="11"/>
  <c r="C149" i="11"/>
  <c r="D118" i="11"/>
  <c r="G118" i="11" s="1"/>
  <c r="D119" i="11" s="1"/>
  <c r="G119" i="11" s="1"/>
  <c r="D120" i="11" s="1"/>
  <c r="G120" i="11" s="1"/>
  <c r="D121" i="11" s="1"/>
  <c r="G121" i="11" s="1"/>
  <c r="D122" i="11" s="1"/>
  <c r="G122" i="11" s="1"/>
  <c r="D123" i="11" s="1"/>
  <c r="G123" i="11" s="1"/>
  <c r="D124" i="11" s="1"/>
  <c r="G124" i="11" s="1"/>
  <c r="D125" i="11" s="1"/>
  <c r="G125" i="11" s="1"/>
  <c r="D126" i="11" s="1"/>
  <c r="G126" i="11" s="1"/>
  <c r="D127" i="11" s="1"/>
  <c r="G127" i="11" s="1"/>
  <c r="D128" i="11" s="1"/>
  <c r="G128" i="11" s="1"/>
  <c r="D129" i="11" s="1"/>
  <c r="G129" i="11" s="1"/>
  <c r="D130" i="11" s="1"/>
  <c r="G130" i="11" s="1"/>
  <c r="D131" i="11" s="1"/>
  <c r="G131" i="11" s="1"/>
  <c r="D132" i="11" s="1"/>
  <c r="G132" i="11" s="1"/>
  <c r="D133" i="11" s="1"/>
  <c r="G133" i="11" s="1"/>
  <c r="D134" i="11" s="1"/>
  <c r="G134" i="11" s="1"/>
  <c r="D135" i="11" s="1"/>
  <c r="F152" i="11"/>
  <c r="F166" i="11"/>
  <c r="F184" i="11"/>
  <c r="F207" i="11"/>
  <c r="F212" i="11"/>
  <c r="E227" i="11"/>
  <c r="E303" i="11"/>
  <c r="E323" i="11"/>
  <c r="E324" i="11"/>
  <c r="E327" i="11"/>
  <c r="E330" i="11"/>
  <c r="E340" i="11"/>
  <c r="F359" i="11"/>
  <c r="E366" i="11"/>
  <c r="F372" i="11"/>
  <c r="F373" i="11"/>
  <c r="F390" i="11"/>
  <c r="F422" i="11"/>
  <c r="E424" i="11"/>
  <c r="F429" i="11"/>
  <c r="E442" i="11"/>
  <c r="E443" i="11"/>
  <c r="F452" i="11"/>
  <c r="E460" i="11"/>
  <c r="F460" i="11"/>
  <c r="T526" i="11"/>
  <c r="O410" i="11"/>
  <c r="O411" i="11" s="1"/>
  <c r="O412" i="11" s="1"/>
  <c r="O413" i="11" s="1"/>
  <c r="O414" i="11" s="1"/>
  <c r="O415" i="11" s="1"/>
  <c r="O416" i="11" s="1"/>
  <c r="O417" i="11" s="1"/>
  <c r="O418" i="11" s="1"/>
  <c r="O419" i="11" s="1"/>
  <c r="O420" i="11" s="1"/>
  <c r="O421" i="11" s="1"/>
  <c r="O422" i="11" s="1"/>
  <c r="O423" i="11" s="1"/>
  <c r="O424" i="11" s="1"/>
  <c r="O425" i="11" s="1"/>
  <c r="O426" i="11" s="1"/>
  <c r="O427" i="11" s="1"/>
  <c r="O428" i="11" s="1"/>
  <c r="O429" i="11" s="1"/>
  <c r="O430" i="11" s="1"/>
  <c r="O431" i="11" s="1"/>
  <c r="O432" i="11" s="1"/>
  <c r="O433" i="11" s="1"/>
  <c r="O434" i="11" s="1"/>
  <c r="O435" i="11" s="1"/>
  <c r="O436" i="11" s="1"/>
  <c r="O437" i="11" s="1"/>
  <c r="O438" i="11" s="1"/>
  <c r="O439" i="11" s="1"/>
  <c r="O440" i="11" s="1"/>
  <c r="O441" i="11" s="1"/>
  <c r="O442" i="11" s="1"/>
  <c r="O443" i="11" s="1"/>
  <c r="O444" i="11" s="1"/>
  <c r="O445" i="11" s="1"/>
  <c r="O446" i="11" s="1"/>
  <c r="O447" i="11" s="1"/>
  <c r="O448" i="11" s="1"/>
  <c r="O449" i="11" s="1"/>
  <c r="O450" i="11" s="1"/>
  <c r="O451" i="11" s="1"/>
  <c r="O452" i="11" s="1"/>
  <c r="O453" i="11" s="1"/>
  <c r="O454" i="11" s="1"/>
  <c r="O455" i="11" s="1"/>
  <c r="O456" i="11" s="1"/>
  <c r="O457" i="11" s="1"/>
  <c r="O458" i="11" s="1"/>
  <c r="O459" i="11" s="1"/>
  <c r="O460" i="11" s="1"/>
  <c r="O461" i="11" s="1"/>
  <c r="O462" i="11" s="1"/>
  <c r="O463" i="11" s="1"/>
  <c r="O464" i="11" s="1"/>
  <c r="O465" i="11" s="1"/>
  <c r="O466" i="11" s="1"/>
  <c r="O467" i="11" s="1"/>
  <c r="O468" i="11" s="1"/>
  <c r="O469" i="11" s="1"/>
  <c r="O470" i="11" s="1"/>
  <c r="O471" i="11" s="1"/>
  <c r="O472" i="11" s="1"/>
  <c r="O473" i="11" s="1"/>
  <c r="O474" i="11" s="1"/>
  <c r="O475" i="11" s="1"/>
  <c r="O476" i="11" s="1"/>
  <c r="O477" i="11" s="1"/>
  <c r="O478" i="11" s="1"/>
  <c r="O479" i="11" s="1"/>
  <c r="O480" i="11" s="1"/>
  <c r="O481" i="11" s="1"/>
  <c r="O482" i="11" s="1"/>
  <c r="O483" i="11" s="1"/>
  <c r="O484" i="11" s="1"/>
  <c r="O485" i="11" s="1"/>
  <c r="O486" i="11" s="1"/>
  <c r="O487" i="11" s="1"/>
  <c r="O488" i="11" s="1"/>
  <c r="O489" i="11" s="1"/>
  <c r="O490" i="11" s="1"/>
  <c r="O491" i="11" s="1"/>
  <c r="O492" i="11" s="1"/>
  <c r="O493" i="11" s="1"/>
  <c r="O494" i="11" s="1"/>
  <c r="O495" i="11" s="1"/>
  <c r="O496" i="11" s="1"/>
  <c r="O497" i="11" s="1"/>
  <c r="O498" i="11" s="1"/>
  <c r="O499" i="11" s="1"/>
  <c r="O500" i="11" s="1"/>
  <c r="O501" i="11" s="1"/>
  <c r="O502" i="11" s="1"/>
  <c r="O503" i="11" s="1"/>
  <c r="O504" i="11" s="1"/>
  <c r="O505" i="11" s="1"/>
  <c r="O506" i="11" s="1"/>
  <c r="O507" i="11" s="1"/>
  <c r="O508" i="11" s="1"/>
  <c r="O509" i="11" s="1"/>
  <c r="O510" i="11" s="1"/>
  <c r="O511" i="11" s="1"/>
  <c r="O512" i="11" s="1"/>
  <c r="O513" i="11" s="1"/>
  <c r="O514" i="11" s="1"/>
  <c r="O515" i="11" s="1"/>
  <c r="O516" i="11" s="1"/>
  <c r="O517" i="11" s="1"/>
  <c r="O518" i="11" s="1"/>
  <c r="O519" i="11" s="1"/>
  <c r="O520" i="11" s="1"/>
  <c r="O521" i="11" s="1"/>
  <c r="O522" i="11" s="1"/>
  <c r="O523" i="11" s="1"/>
  <c r="O524" i="11" s="1"/>
  <c r="O525" i="11" s="1"/>
  <c r="O526" i="11" s="1"/>
  <c r="O527" i="11" s="1"/>
  <c r="P373" i="11"/>
  <c r="P374" i="11" s="1"/>
  <c r="P375" i="11" s="1"/>
  <c r="P376" i="11" s="1"/>
  <c r="P377" i="11" s="1"/>
  <c r="P378" i="11" s="1"/>
  <c r="P379" i="11" s="1"/>
  <c r="P380" i="11" s="1"/>
  <c r="P381" i="11" s="1"/>
  <c r="P382" i="11" s="1"/>
  <c r="P383" i="11" s="1"/>
  <c r="P384" i="11" s="1"/>
  <c r="P385" i="11" s="1"/>
  <c r="P386" i="11" s="1"/>
  <c r="P387" i="11" s="1"/>
  <c r="P388" i="11" s="1"/>
  <c r="P389" i="11" s="1"/>
  <c r="P390" i="11" s="1"/>
  <c r="P391" i="11" s="1"/>
  <c r="P392" i="11" s="1"/>
  <c r="P393" i="11" s="1"/>
  <c r="P394" i="11" s="1"/>
  <c r="P395" i="11" s="1"/>
  <c r="P396" i="11" s="1"/>
  <c r="P397" i="11" s="1"/>
  <c r="P398" i="11" s="1"/>
  <c r="P399" i="11" s="1"/>
  <c r="P400" i="11" s="1"/>
  <c r="P401" i="11" s="1"/>
  <c r="P402" i="11" s="1"/>
  <c r="P403" i="11" s="1"/>
  <c r="P404" i="11" s="1"/>
  <c r="P405" i="11" s="1"/>
  <c r="P406" i="11" s="1"/>
  <c r="P407" i="11" s="1"/>
  <c r="P408" i="11" s="1"/>
  <c r="P409" i="11" s="1"/>
  <c r="P410" i="11" s="1"/>
  <c r="P411" i="11" s="1"/>
  <c r="P412" i="11" s="1"/>
  <c r="P413" i="11" s="1"/>
  <c r="P414" i="11" s="1"/>
  <c r="P415" i="11" s="1"/>
  <c r="P416" i="11" s="1"/>
  <c r="P417" i="11" s="1"/>
  <c r="P418" i="11" s="1"/>
  <c r="P419" i="11" s="1"/>
  <c r="P420" i="11" s="1"/>
  <c r="P421" i="11" s="1"/>
  <c r="P422" i="11" s="1"/>
  <c r="P423" i="11" s="1"/>
  <c r="P424" i="11" s="1"/>
  <c r="P425" i="11" s="1"/>
  <c r="P426" i="11" s="1"/>
  <c r="P427" i="11" s="1"/>
  <c r="P428" i="11" s="1"/>
  <c r="P429" i="11" s="1"/>
  <c r="P430" i="11" s="1"/>
  <c r="P431" i="11" s="1"/>
  <c r="P432" i="11" s="1"/>
  <c r="P433" i="11" s="1"/>
  <c r="P434" i="11" s="1"/>
  <c r="P435" i="11" s="1"/>
  <c r="P436" i="11" s="1"/>
  <c r="P437" i="11" s="1"/>
  <c r="P438" i="11" s="1"/>
  <c r="P439" i="11" s="1"/>
  <c r="P440" i="11" s="1"/>
  <c r="P441" i="11" s="1"/>
  <c r="P442" i="11" s="1"/>
  <c r="P443" i="11" s="1"/>
  <c r="P444" i="11" s="1"/>
  <c r="P445" i="11" s="1"/>
  <c r="P446" i="11" s="1"/>
  <c r="P447" i="11" s="1"/>
  <c r="P448" i="11" s="1"/>
  <c r="P449" i="11" s="1"/>
  <c r="P450" i="11" s="1"/>
  <c r="P451" i="11" s="1"/>
  <c r="P452" i="11" s="1"/>
  <c r="P453" i="11" s="1"/>
  <c r="P454" i="11" s="1"/>
  <c r="P455" i="11" s="1"/>
  <c r="P456" i="11" s="1"/>
  <c r="P457" i="11" s="1"/>
  <c r="P458" i="11" s="1"/>
  <c r="P459" i="11" s="1"/>
  <c r="P460" i="11" s="1"/>
  <c r="P461" i="11" s="1"/>
  <c r="P462" i="11" s="1"/>
  <c r="P463" i="11" s="1"/>
  <c r="P464" i="11" s="1"/>
  <c r="P465" i="11" s="1"/>
  <c r="P466" i="11" s="1"/>
  <c r="P467" i="11" s="1"/>
  <c r="P468" i="11" s="1"/>
  <c r="P469" i="11" s="1"/>
  <c r="P470" i="11" s="1"/>
  <c r="P471" i="11" s="1"/>
  <c r="P472" i="11" s="1"/>
  <c r="P473" i="11" s="1"/>
  <c r="P474" i="11" s="1"/>
  <c r="P475" i="11" s="1"/>
  <c r="P476" i="11" s="1"/>
  <c r="P477" i="11" s="1"/>
  <c r="P478" i="11" s="1"/>
  <c r="P479" i="11" s="1"/>
  <c r="P480" i="11" s="1"/>
  <c r="P481" i="11" s="1"/>
  <c r="P482" i="11" s="1"/>
  <c r="P483" i="11" s="1"/>
  <c r="P484" i="11" s="1"/>
  <c r="P485" i="11" s="1"/>
  <c r="P486" i="11" s="1"/>
  <c r="P487" i="11" s="1"/>
  <c r="P488" i="11" s="1"/>
  <c r="P489" i="11" s="1"/>
  <c r="P490" i="11" s="1"/>
  <c r="P491" i="11" s="1"/>
  <c r="P492" i="11" s="1"/>
  <c r="P493" i="11" s="1"/>
  <c r="P494" i="11" s="1"/>
  <c r="P495" i="11" s="1"/>
  <c r="P496" i="11" s="1"/>
  <c r="P497" i="11" s="1"/>
  <c r="P498" i="11" s="1"/>
  <c r="P499" i="11" s="1"/>
  <c r="P500" i="11" s="1"/>
  <c r="P501" i="11" s="1"/>
  <c r="P502" i="11" s="1"/>
  <c r="P503" i="11" s="1"/>
  <c r="P504" i="11" s="1"/>
  <c r="P505" i="11" s="1"/>
  <c r="P506" i="11" s="1"/>
  <c r="P507" i="11" s="1"/>
  <c r="P508" i="11" s="1"/>
  <c r="P509" i="11" s="1"/>
  <c r="P510" i="11" s="1"/>
  <c r="P511" i="11" s="1"/>
  <c r="P512" i="11" s="1"/>
  <c r="P513" i="11" s="1"/>
  <c r="P514" i="11" s="1"/>
  <c r="P515" i="11" s="1"/>
  <c r="P516" i="11" s="1"/>
  <c r="P517" i="11" s="1"/>
  <c r="P518" i="11" s="1"/>
  <c r="P519" i="11" s="1"/>
  <c r="P520" i="11" s="1"/>
  <c r="P521" i="11" s="1"/>
  <c r="P522" i="11" s="1"/>
  <c r="P523" i="11" s="1"/>
  <c r="P524" i="11" s="1"/>
  <c r="P525" i="11" s="1"/>
  <c r="P526" i="11" s="1"/>
  <c r="P527" i="11" s="1"/>
  <c r="P528" i="11" s="1"/>
  <c r="P529" i="11" s="1"/>
  <c r="P530" i="11" s="1"/>
  <c r="P531" i="11" s="1"/>
  <c r="P532" i="11" s="1"/>
  <c r="P533" i="11" s="1"/>
  <c r="P534" i="11" s="1"/>
  <c r="P535" i="11" s="1"/>
  <c r="P536" i="11" s="1"/>
  <c r="P537" i="11" s="1"/>
  <c r="P538" i="11" s="1"/>
  <c r="P539" i="11" s="1"/>
  <c r="P540" i="11" s="1"/>
  <c r="P541" i="11" s="1"/>
  <c r="P542" i="11" s="1"/>
  <c r="P543" i="11" s="1"/>
  <c r="P544" i="11" s="1"/>
  <c r="P545" i="11" s="1"/>
  <c r="P546" i="11" s="1"/>
  <c r="P547" i="11" s="1"/>
  <c r="P548" i="11" s="1"/>
  <c r="P549" i="11" s="1"/>
  <c r="P550" i="11" s="1"/>
  <c r="P551" i="11" s="1"/>
  <c r="P552" i="11" s="1"/>
  <c r="P553" i="11" s="1"/>
  <c r="P554" i="11" s="1"/>
  <c r="P555" i="11" s="1"/>
  <c r="P556" i="11" s="1"/>
  <c r="P557" i="11" s="1"/>
  <c r="P558" i="11" s="1"/>
  <c r="P559" i="11" s="1"/>
  <c r="P560" i="11" s="1"/>
  <c r="P561" i="11" s="1"/>
  <c r="P562" i="11" s="1"/>
  <c r="P563" i="11" s="1"/>
  <c r="P564" i="11" s="1"/>
  <c r="P565" i="11" s="1"/>
  <c r="P566" i="11" s="1"/>
  <c r="P567" i="11" s="1"/>
  <c r="P568" i="11" s="1"/>
  <c r="P569" i="11" s="1"/>
  <c r="P570" i="11" s="1"/>
  <c r="P571" i="11" s="1"/>
  <c r="P572" i="11" s="1"/>
  <c r="P573" i="11" s="1"/>
  <c r="P574" i="11" s="1"/>
  <c r="P575" i="11" s="1"/>
  <c r="P576" i="11" s="1"/>
  <c r="P577" i="11" s="1"/>
  <c r="P578" i="11" s="1"/>
  <c r="P579" i="11" s="1"/>
  <c r="P580" i="11" s="1"/>
  <c r="P581" i="11" s="1"/>
  <c r="P582" i="11" s="1"/>
  <c r="P583" i="11" s="1"/>
  <c r="P584" i="11" s="1"/>
  <c r="P585" i="11" s="1"/>
  <c r="P586" i="11" s="1"/>
  <c r="P587" i="11" s="1"/>
  <c r="P588" i="11" s="1"/>
  <c r="P589" i="11" s="1"/>
  <c r="P590" i="11" s="1"/>
  <c r="P591" i="11" s="1"/>
  <c r="P592" i="11" s="1"/>
  <c r="P593" i="11" s="1"/>
  <c r="P594" i="11" s="1"/>
  <c r="P595" i="11" s="1"/>
  <c r="P596" i="11" s="1"/>
  <c r="P597" i="11" s="1"/>
  <c r="P598" i="11" s="1"/>
  <c r="P599" i="11" s="1"/>
  <c r="P600" i="11" s="1"/>
  <c r="P601" i="11" s="1"/>
  <c r="P602" i="11" s="1"/>
  <c r="P603" i="11" s="1"/>
  <c r="P604" i="11" s="1"/>
  <c r="P605" i="11" s="1"/>
  <c r="P606" i="11" s="1"/>
  <c r="P607" i="11" s="1"/>
  <c r="P608" i="11" s="1"/>
  <c r="P609" i="11" s="1"/>
  <c r="P610" i="11" s="1"/>
  <c r="P611" i="11" s="1"/>
  <c r="P612" i="11" s="1"/>
  <c r="P613" i="11" s="1"/>
  <c r="P614" i="11" s="1"/>
  <c r="P615" i="11" s="1"/>
  <c r="P616" i="11" s="1"/>
  <c r="P617" i="11" s="1"/>
  <c r="P618" i="11" s="1"/>
  <c r="P619" i="11" s="1"/>
  <c r="P620" i="11" s="1"/>
  <c r="P621" i="11" s="1"/>
  <c r="P622" i="11" s="1"/>
  <c r="P623" i="11" s="1"/>
  <c r="P624" i="11" s="1"/>
  <c r="P625" i="11" s="1"/>
  <c r="P626" i="11" s="1"/>
  <c r="P627" i="11" s="1"/>
  <c r="P628" i="11" s="1"/>
  <c r="P629" i="11" s="1"/>
  <c r="P630" i="11" s="1"/>
  <c r="P631" i="11" s="1"/>
  <c r="P632" i="11" s="1"/>
  <c r="P633" i="11" s="1"/>
  <c r="P634" i="11" s="1"/>
  <c r="P635" i="11" s="1"/>
  <c r="P636" i="11" s="1"/>
  <c r="P637" i="11" s="1"/>
  <c r="P638" i="11" s="1"/>
  <c r="P639" i="11" s="1"/>
  <c r="P640" i="11" s="1"/>
  <c r="P641" i="11" s="1"/>
  <c r="P642" i="11" s="1"/>
  <c r="P643" i="11" s="1"/>
  <c r="P644" i="11" s="1"/>
  <c r="P645" i="11" s="1"/>
  <c r="P646" i="11" s="1"/>
  <c r="P647" i="11" s="1"/>
  <c r="P648" i="11" s="1"/>
  <c r="P649" i="11" s="1"/>
  <c r="P650" i="11" s="1"/>
  <c r="P651" i="11" s="1"/>
  <c r="P652" i="11" s="1"/>
  <c r="P653" i="11" s="1"/>
  <c r="P654" i="11" s="1"/>
  <c r="P655" i="11" s="1"/>
  <c r="P656" i="11" s="1"/>
  <c r="P657" i="11" s="1"/>
  <c r="P658" i="11" s="1"/>
  <c r="P659" i="11" s="1"/>
  <c r="P660" i="11" s="1"/>
  <c r="P661" i="11" s="1"/>
  <c r="P662" i="11" s="1"/>
  <c r="P663" i="11" s="1"/>
  <c r="P664" i="11" s="1"/>
  <c r="P665" i="11" s="1"/>
  <c r="P666" i="11" s="1"/>
  <c r="P667" i="11" s="1"/>
  <c r="P668" i="11" s="1"/>
  <c r="P669" i="11" s="1"/>
  <c r="P670" i="11" s="1"/>
  <c r="P671" i="11" s="1"/>
  <c r="P672" i="11" s="1"/>
  <c r="P673" i="11" s="1"/>
  <c r="P674" i="11" s="1"/>
  <c r="P675" i="11" s="1"/>
  <c r="P676" i="11" s="1"/>
  <c r="P677" i="11" s="1"/>
  <c r="P678" i="11" s="1"/>
  <c r="P679" i="11" s="1"/>
  <c r="P680" i="11" s="1"/>
  <c r="P681" i="11" s="1"/>
  <c r="P682" i="11" s="1"/>
  <c r="P683" i="11" s="1"/>
  <c r="P684" i="11" s="1"/>
  <c r="P685" i="11" s="1"/>
  <c r="P686" i="11" s="1"/>
  <c r="P687" i="11" s="1"/>
  <c r="P688" i="11" s="1"/>
  <c r="P689" i="11" s="1"/>
  <c r="P690" i="11" s="1"/>
  <c r="P691" i="11" s="1"/>
  <c r="P692" i="11" s="1"/>
  <c r="P693" i="11" s="1"/>
  <c r="P694" i="11" s="1"/>
  <c r="P695" i="11" s="1"/>
  <c r="P696" i="11" s="1"/>
  <c r="P697" i="11" s="1"/>
  <c r="P698" i="11" s="1"/>
  <c r="P699" i="11" s="1"/>
  <c r="P700" i="11" s="1"/>
  <c r="P701" i="11" s="1"/>
  <c r="P702" i="11" s="1"/>
  <c r="P703" i="11" s="1"/>
  <c r="P704" i="11" s="1"/>
  <c r="P705" i="11" s="1"/>
  <c r="P706" i="11" s="1"/>
  <c r="P707" i="11" s="1"/>
  <c r="P708" i="11" s="1"/>
  <c r="P709" i="11" s="1"/>
  <c r="P710" i="11" s="1"/>
  <c r="P711" i="11" s="1"/>
  <c r="P712" i="11" s="1"/>
  <c r="P713" i="11" s="1"/>
  <c r="P714" i="11" s="1"/>
  <c r="P715" i="11" s="1"/>
  <c r="P716" i="11" s="1"/>
  <c r="P717" i="11" s="1"/>
  <c r="P718" i="11" s="1"/>
  <c r="P719" i="11" s="1"/>
  <c r="P720" i="11" s="1"/>
  <c r="P721" i="11" s="1"/>
  <c r="P722" i="11" s="1"/>
  <c r="P723" i="11" s="1"/>
  <c r="P724" i="11" s="1"/>
  <c r="P725" i="11" s="1"/>
  <c r="P726" i="11" s="1"/>
  <c r="P727" i="11" s="1"/>
  <c r="P728" i="11" s="1"/>
  <c r="P729" i="11" s="1"/>
  <c r="P730" i="11" s="1"/>
  <c r="P731" i="11" s="1"/>
  <c r="P732" i="11" s="1"/>
  <c r="P733" i="11" s="1"/>
  <c r="P734" i="11" s="1"/>
  <c r="P735" i="11" s="1"/>
  <c r="Q408" i="11"/>
  <c r="Q409" i="11" s="1"/>
  <c r="Q410" i="11" s="1"/>
  <c r="Q411" i="11" s="1"/>
  <c r="Q412" i="11" s="1"/>
  <c r="Q413" i="11" s="1"/>
  <c r="Q414" i="11" s="1"/>
  <c r="Q415" i="11" s="1"/>
  <c r="Q416" i="11" s="1"/>
  <c r="Q417" i="11" s="1"/>
  <c r="Q418" i="11" s="1"/>
  <c r="Q419" i="11" s="1"/>
  <c r="Q420" i="11" s="1"/>
  <c r="Q421" i="11" s="1"/>
  <c r="Q422" i="11" s="1"/>
  <c r="Q423" i="11" s="1"/>
  <c r="Q424" i="11" s="1"/>
  <c r="Q425" i="11" s="1"/>
  <c r="Q426" i="11" s="1"/>
  <c r="Q427" i="11" s="1"/>
  <c r="Q428" i="11" s="1"/>
  <c r="Q429" i="11" s="1"/>
  <c r="Q430" i="11" s="1"/>
  <c r="Q431" i="11" s="1"/>
  <c r="Q432" i="11" s="1"/>
  <c r="Q433" i="11" s="1"/>
  <c r="Q434" i="11" s="1"/>
  <c r="Q435" i="11" s="1"/>
  <c r="Q436" i="11" s="1"/>
  <c r="Q437" i="11" s="1"/>
  <c r="Q438" i="11" s="1"/>
  <c r="Q439" i="11" s="1"/>
  <c r="Q440" i="11" s="1"/>
  <c r="Q441" i="11" s="1"/>
  <c r="Q442" i="11" s="1"/>
  <c r="Q443" i="11" s="1"/>
  <c r="Q444" i="11" s="1"/>
  <c r="Q445" i="11" s="1"/>
  <c r="Q446" i="11" s="1"/>
  <c r="Q447" i="11" s="1"/>
  <c r="Q448" i="11" s="1"/>
  <c r="Q449" i="11" s="1"/>
  <c r="Q450" i="11" s="1"/>
  <c r="Q451" i="11" s="1"/>
  <c r="Q452" i="11" s="1"/>
  <c r="Q453" i="11" s="1"/>
  <c r="Q454" i="11" s="1"/>
  <c r="Q455" i="11" s="1"/>
  <c r="Q456" i="11" s="1"/>
  <c r="Q457" i="11" s="1"/>
  <c r="Q458" i="11" s="1"/>
  <c r="Q459" i="11" s="1"/>
  <c r="Q460" i="11" s="1"/>
  <c r="Q461" i="11" s="1"/>
  <c r="Q462" i="11" s="1"/>
  <c r="Q463" i="11" s="1"/>
  <c r="Q464" i="11" s="1"/>
  <c r="Q465" i="11" s="1"/>
  <c r="Q466" i="11" s="1"/>
  <c r="Q467" i="11" s="1"/>
  <c r="Q468" i="11" s="1"/>
  <c r="Q469" i="11" s="1"/>
  <c r="Q470" i="11" s="1"/>
  <c r="Q471" i="11" s="1"/>
  <c r="Q472" i="11" s="1"/>
  <c r="Q473" i="11" s="1"/>
  <c r="Q474" i="11" s="1"/>
  <c r="Q475" i="11" s="1"/>
  <c r="Q476" i="11" s="1"/>
  <c r="Q477" i="11" s="1"/>
  <c r="Q478" i="11" s="1"/>
  <c r="Q479" i="11" s="1"/>
  <c r="Q480" i="11" s="1"/>
  <c r="Q481" i="11" s="1"/>
  <c r="Q482" i="11" s="1"/>
  <c r="Q483" i="11" s="1"/>
  <c r="Q484" i="11" s="1"/>
  <c r="Q485" i="11" s="1"/>
  <c r="Q486" i="11" s="1"/>
  <c r="Q487" i="11" s="1"/>
  <c r="Q488" i="11" s="1"/>
  <c r="Q489" i="11" s="1"/>
  <c r="Q490" i="11" s="1"/>
  <c r="Q491" i="11" s="1"/>
  <c r="Q492" i="11" s="1"/>
  <c r="Q493" i="11" s="1"/>
  <c r="Q494" i="11" s="1"/>
  <c r="Q495" i="11" s="1"/>
  <c r="Q496" i="11" s="1"/>
  <c r="Q497" i="11" s="1"/>
  <c r="Q498" i="11" s="1"/>
  <c r="Q499" i="11" s="1"/>
  <c r="Q500" i="11" s="1"/>
  <c r="Q501" i="11" s="1"/>
  <c r="Q502" i="11" s="1"/>
  <c r="Q503" i="11" s="1"/>
  <c r="Q504" i="11" s="1"/>
  <c r="Q505" i="11" s="1"/>
  <c r="Q506" i="11" s="1"/>
  <c r="Q507" i="11" s="1"/>
  <c r="Q508" i="11" s="1"/>
  <c r="Q509" i="11" s="1"/>
  <c r="Q510" i="11" s="1"/>
  <c r="Q511" i="11" s="1"/>
  <c r="Q512" i="11" s="1"/>
  <c r="Q513" i="11" s="1"/>
  <c r="Q514" i="11" s="1"/>
  <c r="Q515" i="11" s="1"/>
  <c r="Q516" i="11" s="1"/>
  <c r="Q517" i="11" s="1"/>
  <c r="Q518" i="11" s="1"/>
  <c r="Q519" i="11" s="1"/>
  <c r="Q520" i="11" s="1"/>
  <c r="Q521" i="11" s="1"/>
  <c r="Q522" i="11" s="1"/>
  <c r="Q523" i="11" s="1"/>
  <c r="Q524" i="11" s="1"/>
  <c r="Q525" i="11" s="1"/>
  <c r="Q526" i="11" s="1"/>
  <c r="Q527" i="11" s="1"/>
  <c r="Q528" i="11" s="1"/>
  <c r="Q529" i="11" s="1"/>
  <c r="Q530" i="11" s="1"/>
  <c r="Q531" i="11" s="1"/>
  <c r="Q532" i="11" s="1"/>
  <c r="Q533" i="11" s="1"/>
  <c r="Q534" i="11" s="1"/>
  <c r="Q535" i="11" s="1"/>
  <c r="Q536" i="11" s="1"/>
  <c r="Q537" i="11" s="1"/>
  <c r="Q538" i="11" s="1"/>
  <c r="Q539" i="11" s="1"/>
  <c r="Q540" i="11" s="1"/>
  <c r="Q541" i="11" s="1"/>
  <c r="Q542" i="11" s="1"/>
  <c r="Q543" i="11" s="1"/>
  <c r="Q544" i="11" s="1"/>
  <c r="Q545" i="11" s="1"/>
  <c r="Q546" i="11" s="1"/>
  <c r="Q547" i="11" s="1"/>
  <c r="Q548" i="11" s="1"/>
  <c r="Q549" i="11" s="1"/>
  <c r="Q550" i="11" s="1"/>
  <c r="Q551" i="11" s="1"/>
  <c r="Q552" i="11" s="1"/>
  <c r="Q553" i="11" s="1"/>
  <c r="Q554" i="11" s="1"/>
  <c r="Q555" i="11" s="1"/>
  <c r="Q556" i="11" s="1"/>
  <c r="Q557" i="11" s="1"/>
  <c r="Q558" i="11" s="1"/>
  <c r="Q559" i="11" s="1"/>
  <c r="Q560" i="11" s="1"/>
  <c r="Q561" i="11" s="1"/>
  <c r="Q562" i="11" s="1"/>
  <c r="Q563" i="11" s="1"/>
  <c r="Q564" i="11" s="1"/>
  <c r="Q565" i="11" s="1"/>
  <c r="Q566" i="11" s="1"/>
  <c r="Q567" i="11" s="1"/>
  <c r="Q568" i="11" s="1"/>
  <c r="Q569" i="11" s="1"/>
  <c r="Q570" i="11" s="1"/>
  <c r="Q571" i="11" s="1"/>
  <c r="Q572" i="11" s="1"/>
  <c r="Q573" i="11" s="1"/>
  <c r="Q574" i="11" s="1"/>
  <c r="Q575" i="11" s="1"/>
  <c r="Q576" i="11" s="1"/>
  <c r="Q577" i="11" s="1"/>
  <c r="Q578" i="11" s="1"/>
  <c r="Q579" i="11" s="1"/>
  <c r="Q580" i="11" s="1"/>
  <c r="Q581" i="11" s="1"/>
  <c r="Q582" i="11" s="1"/>
  <c r="Q583" i="11" s="1"/>
  <c r="Q584" i="11" s="1"/>
  <c r="Q585" i="11" s="1"/>
  <c r="Q586" i="11" s="1"/>
  <c r="Q587" i="11" s="1"/>
  <c r="Q588" i="11" s="1"/>
  <c r="Q589" i="11" s="1"/>
  <c r="Q590" i="11" s="1"/>
  <c r="Q591" i="11" s="1"/>
  <c r="Q592" i="11" s="1"/>
  <c r="Q593" i="11" s="1"/>
  <c r="Q594" i="11" s="1"/>
  <c r="Q595" i="11" s="1"/>
  <c r="Q596" i="11" s="1"/>
  <c r="Q597" i="11" s="1"/>
  <c r="Q598" i="11" s="1"/>
  <c r="Q599" i="11" s="1"/>
  <c r="Q600" i="11" s="1"/>
  <c r="Q601" i="11" s="1"/>
  <c r="Q602" i="11" s="1"/>
  <c r="Q603" i="11" s="1"/>
  <c r="Q604" i="11" s="1"/>
  <c r="Q605" i="11" s="1"/>
  <c r="Q606" i="11" s="1"/>
  <c r="Q607" i="11" s="1"/>
  <c r="Q608" i="11" s="1"/>
  <c r="Q609" i="11" s="1"/>
  <c r="Q610" i="11" s="1"/>
  <c r="Q611" i="11" s="1"/>
  <c r="Q612" i="11" s="1"/>
  <c r="Q613" i="11" s="1"/>
  <c r="Q614" i="11" s="1"/>
  <c r="Q615" i="11" s="1"/>
  <c r="Q616" i="11" s="1"/>
  <c r="Q617" i="11" s="1"/>
  <c r="Q618" i="11" s="1"/>
  <c r="Q619" i="11" s="1"/>
  <c r="Q620" i="11" s="1"/>
  <c r="Q621" i="11" s="1"/>
  <c r="Q622" i="11" s="1"/>
  <c r="Q623" i="11" s="1"/>
  <c r="Q624" i="11" s="1"/>
  <c r="Q625" i="11" s="1"/>
  <c r="Q626" i="11" s="1"/>
  <c r="Q627" i="11" s="1"/>
  <c r="Q628" i="11" s="1"/>
  <c r="Q629" i="11" s="1"/>
  <c r="Q630" i="11" s="1"/>
  <c r="Q631" i="11" s="1"/>
  <c r="Q632" i="11" s="1"/>
  <c r="Q633" i="11" s="1"/>
  <c r="Q634" i="11" s="1"/>
  <c r="Q635" i="11" s="1"/>
  <c r="Q636" i="11" s="1"/>
  <c r="Q637" i="11" s="1"/>
  <c r="Q638" i="11" s="1"/>
  <c r="Q639" i="11" s="1"/>
  <c r="Q640" i="11" s="1"/>
  <c r="Q641" i="11" s="1"/>
  <c r="Q642" i="11" s="1"/>
  <c r="Q643" i="11" s="1"/>
  <c r="Q644" i="11" s="1"/>
  <c r="Q645" i="11" s="1"/>
  <c r="Q646" i="11" s="1"/>
  <c r="Q647" i="11" s="1"/>
  <c r="Q648" i="11" s="1"/>
  <c r="Q649" i="11" s="1"/>
  <c r="Q650" i="11" s="1"/>
  <c r="Q651" i="11" s="1"/>
  <c r="Q652" i="11" s="1"/>
  <c r="Q653" i="11" s="1"/>
  <c r="Q654" i="11" s="1"/>
  <c r="Q655" i="11" s="1"/>
  <c r="Q656" i="11" s="1"/>
  <c r="Q657" i="11" s="1"/>
  <c r="Q658" i="11" s="1"/>
  <c r="Q659" i="11" s="1"/>
  <c r="Q660" i="11" s="1"/>
  <c r="Q661" i="11" s="1"/>
  <c r="Q662" i="11" s="1"/>
  <c r="Q663" i="11" s="1"/>
  <c r="Q664" i="11" s="1"/>
  <c r="Q665" i="11" s="1"/>
  <c r="Q666" i="11" s="1"/>
  <c r="Q667" i="11" s="1"/>
  <c r="Q668" i="11" s="1"/>
  <c r="Q669" i="11" s="1"/>
  <c r="Q670" i="11" s="1"/>
  <c r="Q671" i="11" s="1"/>
  <c r="Q672" i="11" s="1"/>
  <c r="Q673" i="11" s="1"/>
  <c r="Q674" i="11" s="1"/>
  <c r="Q675" i="11" s="1"/>
  <c r="Q676" i="11" s="1"/>
  <c r="Q677" i="11" s="1"/>
  <c r="Q678" i="11" s="1"/>
  <c r="Q679" i="11" s="1"/>
  <c r="Q680" i="11" s="1"/>
  <c r="Q681" i="11" s="1"/>
  <c r="Q682" i="11" s="1"/>
  <c r="Q683" i="11" s="1"/>
  <c r="Q684" i="11" s="1"/>
  <c r="Q685" i="11" s="1"/>
  <c r="Q686" i="11" s="1"/>
  <c r="Q687" i="11" s="1"/>
  <c r="Q688" i="11" s="1"/>
  <c r="Q689" i="11" s="1"/>
  <c r="Q690" i="11" s="1"/>
  <c r="Q691" i="11" s="1"/>
  <c r="Q692" i="11" s="1"/>
  <c r="Q693" i="11" s="1"/>
  <c r="Q694" i="11" s="1"/>
  <c r="Q695" i="11" s="1"/>
  <c r="Q696" i="11" s="1"/>
  <c r="Q697" i="11" s="1"/>
  <c r="Q698" i="11" s="1"/>
  <c r="Q699" i="11" s="1"/>
  <c r="Q700" i="11" s="1"/>
  <c r="Q701" i="11" s="1"/>
  <c r="Q702" i="11" s="1"/>
  <c r="Q703" i="11" s="1"/>
  <c r="Q704" i="11" s="1"/>
  <c r="Q705" i="11" s="1"/>
  <c r="Q706" i="11" s="1"/>
  <c r="Q707" i="11" s="1"/>
  <c r="Q708" i="11" s="1"/>
  <c r="Q709" i="11" s="1"/>
  <c r="Q710" i="11" s="1"/>
  <c r="Q711" i="11" s="1"/>
  <c r="Q712" i="11" s="1"/>
  <c r="Q713" i="11" s="1"/>
  <c r="Q714" i="11" s="1"/>
  <c r="Q715" i="11" s="1"/>
  <c r="Q716" i="11" s="1"/>
  <c r="Q717" i="11" s="1"/>
  <c r="Q718" i="11" s="1"/>
  <c r="Q719" i="11" s="1"/>
  <c r="Q720" i="11" s="1"/>
  <c r="Q721" i="11" s="1"/>
  <c r="Q722" i="11" s="1"/>
  <c r="Q723" i="11" s="1"/>
  <c r="Q724" i="11" s="1"/>
  <c r="Q725" i="11" s="1"/>
  <c r="Q726" i="11" s="1"/>
  <c r="Q727" i="11" s="1"/>
  <c r="Q728" i="11" s="1"/>
  <c r="Q729" i="11" s="1"/>
  <c r="Q730" i="11" s="1"/>
  <c r="Q731" i="11" s="1"/>
  <c r="Q732" i="11" s="1"/>
  <c r="Q733" i="11" s="1"/>
  <c r="Q734" i="11" s="1"/>
  <c r="Q735" i="11" s="1"/>
  <c r="R415" i="11"/>
  <c r="R416" i="11" s="1"/>
  <c r="R417" i="11" s="1"/>
  <c r="R418" i="11" s="1"/>
  <c r="R419" i="11" s="1"/>
  <c r="R420" i="11" s="1"/>
  <c r="R421" i="11" s="1"/>
  <c r="R422" i="11" s="1"/>
  <c r="R423" i="11" s="1"/>
  <c r="R424" i="11" s="1"/>
  <c r="R425" i="11" s="1"/>
  <c r="R426" i="11" s="1"/>
  <c r="R427" i="11" s="1"/>
  <c r="R428" i="11" s="1"/>
  <c r="R429" i="11" s="1"/>
  <c r="R430" i="11" s="1"/>
  <c r="R431" i="11" s="1"/>
  <c r="R432" i="11" s="1"/>
  <c r="R433" i="11" s="1"/>
  <c r="R434" i="11" s="1"/>
  <c r="R435" i="11" s="1"/>
  <c r="R436" i="11" s="1"/>
  <c r="R437" i="11" s="1"/>
  <c r="R438" i="11" s="1"/>
  <c r="R439" i="11" s="1"/>
  <c r="R440" i="11" s="1"/>
  <c r="R441" i="11" s="1"/>
  <c r="R442" i="11" s="1"/>
  <c r="R443" i="11" s="1"/>
  <c r="R444" i="11" s="1"/>
  <c r="R445" i="11" s="1"/>
  <c r="R446" i="11" s="1"/>
  <c r="R447" i="11" s="1"/>
  <c r="R448" i="11" s="1"/>
  <c r="R449" i="11" s="1"/>
  <c r="R450" i="11" s="1"/>
  <c r="R451" i="11" s="1"/>
  <c r="R452" i="11" s="1"/>
  <c r="R453" i="11" s="1"/>
  <c r="R454" i="11" s="1"/>
  <c r="R455" i="11" s="1"/>
  <c r="R456" i="11" s="1"/>
  <c r="R457" i="11" s="1"/>
  <c r="R458" i="11" s="1"/>
  <c r="R459" i="11" s="1"/>
  <c r="R460" i="11" s="1"/>
  <c r="R461" i="11" s="1"/>
  <c r="R462" i="11" s="1"/>
  <c r="R463" i="11" s="1"/>
  <c r="R464" i="11" s="1"/>
  <c r="R465" i="11" s="1"/>
  <c r="R466" i="11" s="1"/>
  <c r="R467" i="11" s="1"/>
  <c r="R468" i="11" s="1"/>
  <c r="R469" i="11" s="1"/>
  <c r="R470" i="11" s="1"/>
  <c r="R471" i="11" s="1"/>
  <c r="R472" i="11" s="1"/>
  <c r="R473" i="11" s="1"/>
  <c r="R474" i="11" s="1"/>
  <c r="R475" i="11" s="1"/>
  <c r="R476" i="11" s="1"/>
  <c r="R477" i="11" s="1"/>
  <c r="R478" i="11" s="1"/>
  <c r="R479" i="11" s="1"/>
  <c r="R480" i="11" s="1"/>
  <c r="R481" i="11" s="1"/>
  <c r="R482" i="11" s="1"/>
  <c r="R483" i="11" s="1"/>
  <c r="R484" i="11" s="1"/>
  <c r="R485" i="11" s="1"/>
  <c r="R486" i="11" s="1"/>
  <c r="R487" i="11" s="1"/>
  <c r="R488" i="11" s="1"/>
  <c r="R489" i="11" s="1"/>
  <c r="R490" i="11" s="1"/>
  <c r="R491" i="11" s="1"/>
  <c r="R492" i="11" s="1"/>
  <c r="R493" i="11" s="1"/>
  <c r="R494" i="11" s="1"/>
  <c r="R495" i="11" s="1"/>
  <c r="R496" i="11" s="1"/>
  <c r="R497" i="11" s="1"/>
  <c r="R498" i="11" s="1"/>
  <c r="R499" i="11" s="1"/>
  <c r="R500" i="11" s="1"/>
  <c r="R501" i="11" s="1"/>
  <c r="R502" i="11" s="1"/>
  <c r="R503" i="11" s="1"/>
  <c r="R504" i="11" s="1"/>
  <c r="R505" i="11" s="1"/>
  <c r="R506" i="11" s="1"/>
  <c r="R507" i="11" s="1"/>
  <c r="R508" i="11" s="1"/>
  <c r="R509" i="11" s="1"/>
  <c r="R510" i="11" s="1"/>
  <c r="R511" i="11" s="1"/>
  <c r="R512" i="11" s="1"/>
  <c r="R513" i="11" s="1"/>
  <c r="R514" i="11" s="1"/>
  <c r="R515" i="11" s="1"/>
  <c r="R516" i="11" s="1"/>
  <c r="R517" i="11" s="1"/>
  <c r="R518" i="11" s="1"/>
  <c r="R519" i="11" s="1"/>
  <c r="R520" i="11" s="1"/>
  <c r="R521" i="11" s="1"/>
  <c r="R522" i="11" s="1"/>
  <c r="R523" i="11" s="1"/>
  <c r="R524" i="11" s="1"/>
  <c r="R525" i="11" s="1"/>
  <c r="R526" i="11" s="1"/>
  <c r="R527" i="11" s="1"/>
  <c r="R528" i="11" s="1"/>
  <c r="R529" i="11" s="1"/>
  <c r="R530" i="11" s="1"/>
  <c r="R531" i="11" s="1"/>
  <c r="R532" i="11" s="1"/>
  <c r="R533" i="11" s="1"/>
  <c r="R534" i="11" s="1"/>
  <c r="R535" i="11" s="1"/>
  <c r="R536" i="11" s="1"/>
  <c r="R537" i="11" s="1"/>
  <c r="R538" i="11" s="1"/>
  <c r="R539" i="11" s="1"/>
  <c r="R540" i="11" s="1"/>
  <c r="R541" i="11" s="1"/>
  <c r="R542" i="11" s="1"/>
  <c r="R543" i="11" s="1"/>
  <c r="R544" i="11" s="1"/>
  <c r="R545" i="11" s="1"/>
  <c r="R546" i="11" s="1"/>
  <c r="R547" i="11" s="1"/>
  <c r="R548" i="11" s="1"/>
  <c r="R549" i="11" s="1"/>
  <c r="R550" i="11" s="1"/>
  <c r="R551" i="11" s="1"/>
  <c r="R552" i="11" s="1"/>
  <c r="R553" i="11" s="1"/>
  <c r="R554" i="11" s="1"/>
  <c r="R555" i="11" s="1"/>
  <c r="R556" i="11" s="1"/>
  <c r="R557" i="11" s="1"/>
  <c r="R558" i="11" s="1"/>
  <c r="R559" i="11" s="1"/>
  <c r="R560" i="11" s="1"/>
  <c r="R561" i="11" s="1"/>
  <c r="R562" i="11" s="1"/>
  <c r="R563" i="11" s="1"/>
  <c r="R564" i="11" s="1"/>
  <c r="R565" i="11" s="1"/>
  <c r="R566" i="11" s="1"/>
  <c r="R567" i="11" s="1"/>
  <c r="R568" i="11" s="1"/>
  <c r="R569" i="11" s="1"/>
  <c r="R570" i="11" s="1"/>
  <c r="R571" i="11" s="1"/>
  <c r="R572" i="11" s="1"/>
  <c r="R573" i="11" s="1"/>
  <c r="R574" i="11" s="1"/>
  <c r="R575" i="11" s="1"/>
  <c r="R576" i="11" s="1"/>
  <c r="R577" i="11" s="1"/>
  <c r="R578" i="11" s="1"/>
  <c r="R579" i="11" s="1"/>
  <c r="R580" i="11" s="1"/>
  <c r="R581" i="11" s="1"/>
  <c r="R582" i="11" s="1"/>
  <c r="R583" i="11" s="1"/>
  <c r="R584" i="11" s="1"/>
  <c r="R585" i="11" s="1"/>
  <c r="R586" i="11" s="1"/>
  <c r="R587" i="11" s="1"/>
  <c r="R588" i="11" s="1"/>
  <c r="R589" i="11" s="1"/>
  <c r="R590" i="11" s="1"/>
  <c r="R591" i="11" s="1"/>
  <c r="R592" i="11" s="1"/>
  <c r="R593" i="11" s="1"/>
  <c r="R594" i="11" s="1"/>
  <c r="R595" i="11" s="1"/>
  <c r="R596" i="11" s="1"/>
  <c r="R597" i="11" s="1"/>
  <c r="R598" i="11" s="1"/>
  <c r="R599" i="11" s="1"/>
  <c r="R600" i="11" s="1"/>
  <c r="R601" i="11" s="1"/>
  <c r="R602" i="11" s="1"/>
  <c r="R603" i="11" s="1"/>
  <c r="R604" i="11" s="1"/>
  <c r="R605" i="11" s="1"/>
  <c r="R606" i="11" s="1"/>
  <c r="R607" i="11" s="1"/>
  <c r="R608" i="11" s="1"/>
  <c r="R609" i="11" s="1"/>
  <c r="R610" i="11" s="1"/>
  <c r="R611" i="11" s="1"/>
  <c r="R612" i="11" s="1"/>
  <c r="R613" i="11" s="1"/>
  <c r="R614" i="11" s="1"/>
  <c r="R615" i="11" s="1"/>
  <c r="R616" i="11" s="1"/>
  <c r="R617" i="11" s="1"/>
  <c r="R618" i="11" s="1"/>
  <c r="R619" i="11" s="1"/>
  <c r="R620" i="11" s="1"/>
  <c r="R621" i="11" s="1"/>
  <c r="R622" i="11" s="1"/>
  <c r="R623" i="11" s="1"/>
  <c r="R624" i="11" s="1"/>
  <c r="R625" i="11" s="1"/>
  <c r="R626" i="11" s="1"/>
  <c r="R627" i="11" s="1"/>
  <c r="R628" i="11" s="1"/>
  <c r="R629" i="11" s="1"/>
  <c r="R630" i="11" s="1"/>
  <c r="R631" i="11" s="1"/>
  <c r="R632" i="11" s="1"/>
  <c r="R633" i="11" s="1"/>
  <c r="R634" i="11" s="1"/>
  <c r="R635" i="11" s="1"/>
  <c r="R636" i="11" s="1"/>
  <c r="R637" i="11" s="1"/>
  <c r="R638" i="11" s="1"/>
  <c r="R639" i="11" s="1"/>
  <c r="R640" i="11" s="1"/>
  <c r="R641" i="11" s="1"/>
  <c r="R642" i="11" s="1"/>
  <c r="R643" i="11" s="1"/>
  <c r="R644" i="11" s="1"/>
  <c r="R645" i="11" s="1"/>
  <c r="R646" i="11" s="1"/>
  <c r="R647" i="11" s="1"/>
  <c r="R648" i="11" s="1"/>
  <c r="R649" i="11" s="1"/>
  <c r="R650" i="11" s="1"/>
  <c r="R651" i="11" s="1"/>
  <c r="R652" i="11" s="1"/>
  <c r="R653" i="11" s="1"/>
  <c r="R654" i="11" s="1"/>
  <c r="R655" i="11" s="1"/>
  <c r="R656" i="11" s="1"/>
  <c r="R657" i="11" s="1"/>
  <c r="R658" i="11" s="1"/>
  <c r="R659" i="11" s="1"/>
  <c r="R660" i="11" s="1"/>
  <c r="R661" i="11" s="1"/>
  <c r="R662" i="11" s="1"/>
  <c r="R663" i="11" s="1"/>
  <c r="R664" i="11" s="1"/>
  <c r="R665" i="11" s="1"/>
  <c r="R666" i="11" s="1"/>
  <c r="R667" i="11" s="1"/>
  <c r="R668" i="11" s="1"/>
  <c r="R669" i="11" s="1"/>
  <c r="R670" i="11" s="1"/>
  <c r="R671" i="11" s="1"/>
  <c r="R672" i="11" s="1"/>
  <c r="R673" i="11" s="1"/>
  <c r="R674" i="11" s="1"/>
  <c r="R675" i="11" s="1"/>
  <c r="R676" i="11" s="1"/>
  <c r="R677" i="11" s="1"/>
  <c r="R678" i="11" s="1"/>
  <c r="R679" i="11" s="1"/>
  <c r="R680" i="11" s="1"/>
  <c r="R681" i="11" s="1"/>
  <c r="R682" i="11" s="1"/>
  <c r="R683" i="11" s="1"/>
  <c r="R684" i="11" s="1"/>
  <c r="R685" i="11" s="1"/>
  <c r="R686" i="11" s="1"/>
  <c r="R687" i="11" s="1"/>
  <c r="R688" i="11" s="1"/>
  <c r="R689" i="11" s="1"/>
  <c r="R690" i="11" s="1"/>
  <c r="R691" i="11" s="1"/>
  <c r="R692" i="11" s="1"/>
  <c r="R693" i="11" s="1"/>
  <c r="R694" i="11" s="1"/>
  <c r="R695" i="11" s="1"/>
  <c r="R696" i="11" s="1"/>
  <c r="R697" i="11" s="1"/>
  <c r="R698" i="11" s="1"/>
  <c r="R699" i="11" s="1"/>
  <c r="R700" i="11" s="1"/>
  <c r="R701" i="11" s="1"/>
  <c r="R702" i="11" s="1"/>
  <c r="R703" i="11" s="1"/>
  <c r="R704" i="11" s="1"/>
  <c r="R705" i="11" s="1"/>
  <c r="R706" i="11" s="1"/>
  <c r="R707" i="11" s="1"/>
  <c r="R708" i="11" s="1"/>
  <c r="R709" i="11" s="1"/>
  <c r="R710" i="11" s="1"/>
  <c r="R711" i="11" s="1"/>
  <c r="R712" i="11" s="1"/>
  <c r="R713" i="11" s="1"/>
  <c r="R714" i="11" s="1"/>
  <c r="R715" i="11" s="1"/>
  <c r="R716" i="11" s="1"/>
  <c r="R717" i="11" s="1"/>
  <c r="R718" i="11" s="1"/>
  <c r="R719" i="11" s="1"/>
  <c r="R720" i="11" s="1"/>
  <c r="R721" i="11" s="1"/>
  <c r="R722" i="11" s="1"/>
  <c r="R723" i="11" s="1"/>
  <c r="R724" i="11" s="1"/>
  <c r="R725" i="11" s="1"/>
  <c r="R726" i="11" s="1"/>
  <c r="R727" i="11" s="1"/>
  <c r="R728" i="11" s="1"/>
  <c r="R729" i="11" s="1"/>
  <c r="R730" i="11" s="1"/>
  <c r="R731" i="11" s="1"/>
  <c r="R732" i="11" s="1"/>
  <c r="R733" i="11" s="1"/>
  <c r="R734" i="11" s="1"/>
  <c r="R735" i="11" s="1"/>
  <c r="W452" i="11"/>
  <c r="T423" i="11"/>
  <c r="K1" i="20"/>
  <c r="D6" i="20" s="1"/>
  <c r="A93" i="20"/>
  <c r="D94" i="20"/>
  <c r="L23" i="20"/>
  <c r="B62" i="20"/>
  <c r="D62" i="20"/>
  <c r="D63" i="20" s="1"/>
  <c r="O6" i="2"/>
  <c r="O7" i="2"/>
  <c r="O8" i="2"/>
  <c r="O9" i="2"/>
  <c r="O10" i="2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AB376" i="11"/>
  <c r="AB377" i="11" s="1"/>
  <c r="AB378" i="11" s="1"/>
  <c r="AB379" i="11" s="1"/>
  <c r="AB380" i="11" s="1"/>
  <c r="AB381" i="11" s="1"/>
  <c r="AB382" i="11" s="1"/>
  <c r="AB383" i="11" s="1"/>
  <c r="AB384" i="11" s="1"/>
  <c r="AB385" i="11" s="1"/>
  <c r="AB386" i="11" s="1"/>
  <c r="AB387" i="11" s="1"/>
  <c r="AB388" i="11" s="1"/>
  <c r="AB389" i="11" s="1"/>
  <c r="AB390" i="11" s="1"/>
  <c r="AB391" i="11" s="1"/>
  <c r="AB392" i="11" s="1"/>
  <c r="AB393" i="11" s="1"/>
  <c r="AB394" i="11" s="1"/>
  <c r="AB395" i="11" s="1"/>
  <c r="AB396" i="11" s="1"/>
  <c r="AB397" i="11" s="1"/>
  <c r="AB398" i="11" s="1"/>
  <c r="AB399" i="11" s="1"/>
  <c r="AB400" i="11" s="1"/>
  <c r="AB401" i="11" s="1"/>
  <c r="AB402" i="11" s="1"/>
  <c r="AB403" i="11" s="1"/>
  <c r="AB404" i="11" s="1"/>
  <c r="AB405" i="11" s="1"/>
  <c r="AB406" i="11" s="1"/>
  <c r="AB407" i="11" s="1"/>
  <c r="AB408" i="11" s="1"/>
  <c r="AB409" i="11" s="1"/>
  <c r="AB410" i="11" s="1"/>
  <c r="AB411" i="11" s="1"/>
  <c r="AB412" i="11" s="1"/>
  <c r="AB413" i="11" s="1"/>
  <c r="AB414" i="11" s="1"/>
  <c r="AB415" i="11" s="1"/>
  <c r="AB416" i="11" s="1"/>
  <c r="AB417" i="11" s="1"/>
  <c r="AB418" i="11" s="1"/>
  <c r="AB419" i="11" s="1"/>
  <c r="AB420" i="11" s="1"/>
  <c r="AB421" i="11" s="1"/>
  <c r="AB422" i="11" s="1"/>
  <c r="AB423" i="11" s="1"/>
  <c r="AB424" i="11" s="1"/>
  <c r="AB425" i="11" s="1"/>
  <c r="AB426" i="11" s="1"/>
  <c r="AB427" i="11" s="1"/>
  <c r="AB428" i="11" s="1"/>
  <c r="AB429" i="11" s="1"/>
  <c r="AB430" i="11" s="1"/>
  <c r="AB431" i="11" s="1"/>
  <c r="AB432" i="11" s="1"/>
  <c r="AB433" i="11" s="1"/>
  <c r="AB434" i="11" s="1"/>
  <c r="AB435" i="11" s="1"/>
  <c r="AB436" i="11" s="1"/>
  <c r="AB437" i="11" s="1"/>
  <c r="AB438" i="11" s="1"/>
  <c r="AB439" i="11" s="1"/>
  <c r="AB440" i="11" s="1"/>
  <c r="AB441" i="11" s="1"/>
  <c r="AB442" i="11" s="1"/>
  <c r="AB443" i="11" s="1"/>
  <c r="AB444" i="11" s="1"/>
  <c r="AB445" i="11" s="1"/>
  <c r="AB446" i="11" s="1"/>
  <c r="AB447" i="11" s="1"/>
  <c r="AB448" i="11" s="1"/>
  <c r="AB449" i="11" s="1"/>
  <c r="AB450" i="11" s="1"/>
  <c r="AB451" i="11" s="1"/>
  <c r="AB452" i="11" s="1"/>
  <c r="AB453" i="11" s="1"/>
  <c r="AB454" i="11" s="1"/>
  <c r="AB455" i="11" s="1"/>
  <c r="AB456" i="11" s="1"/>
  <c r="AB457" i="11" s="1"/>
  <c r="AB458" i="11" s="1"/>
  <c r="AB459" i="11" s="1"/>
  <c r="AB460" i="11" s="1"/>
  <c r="AB461" i="11" s="1"/>
  <c r="AB462" i="11" s="1"/>
  <c r="AB463" i="11" s="1"/>
  <c r="AB466" i="11"/>
  <c r="AB467" i="11" s="1"/>
  <c r="AB468" i="11" s="1"/>
  <c r="AB469" i="11" s="1"/>
  <c r="AB470" i="11" s="1"/>
  <c r="AB471" i="11" s="1"/>
  <c r="AB472" i="11" s="1"/>
  <c r="AB473" i="11" s="1"/>
  <c r="AB474" i="11" s="1"/>
  <c r="AB475" i="11" s="1"/>
  <c r="AB476" i="11" s="1"/>
  <c r="AB477" i="11" s="1"/>
  <c r="AB478" i="11" s="1"/>
  <c r="AB479" i="11" s="1"/>
  <c r="AB480" i="11" s="1"/>
  <c r="AB481" i="11" s="1"/>
  <c r="AB482" i="11" s="1"/>
  <c r="AB483" i="11" s="1"/>
  <c r="AB484" i="11" s="1"/>
  <c r="AB485" i="11" s="1"/>
  <c r="AB486" i="11" s="1"/>
  <c r="AB487" i="11" s="1"/>
  <c r="AB488" i="11" s="1"/>
  <c r="AB489" i="11" s="1"/>
  <c r="AB490" i="11" s="1"/>
  <c r="AB491" i="11" s="1"/>
  <c r="AB492" i="11" s="1"/>
  <c r="AB493" i="11" s="1"/>
  <c r="AB494" i="11" s="1"/>
  <c r="AB495" i="11" s="1"/>
  <c r="AB496" i="11" s="1"/>
  <c r="AB497" i="11" s="1"/>
  <c r="AB498" i="11" s="1"/>
  <c r="AB499" i="11" s="1"/>
  <c r="AB500" i="11" s="1"/>
  <c r="AB501" i="11" s="1"/>
  <c r="AB502" i="11" s="1"/>
  <c r="AB503" i="11" s="1"/>
  <c r="AB504" i="11" s="1"/>
  <c r="AB505" i="11" s="1"/>
  <c r="AB506" i="11" s="1"/>
  <c r="AB507" i="11" s="1"/>
  <c r="AB508" i="11" s="1"/>
  <c r="AB509" i="11" s="1"/>
  <c r="AB510" i="11" s="1"/>
  <c r="AB511" i="11" s="1"/>
  <c r="AB512" i="11" s="1"/>
  <c r="AB513" i="11" s="1"/>
  <c r="AB514" i="11" s="1"/>
  <c r="AB515" i="11" s="1"/>
  <c r="AB516" i="11" s="1"/>
  <c r="AB517" i="11" s="1"/>
  <c r="AB518" i="11" s="1"/>
  <c r="AB519" i="11" s="1"/>
  <c r="AB520" i="11" s="1"/>
  <c r="AB521" i="11" s="1"/>
  <c r="AB522" i="11" s="1"/>
  <c r="AB523" i="11" s="1"/>
  <c r="AB524" i="11" s="1"/>
  <c r="AB525" i="11" s="1"/>
  <c r="AB527" i="11"/>
  <c r="AB528" i="11" s="1"/>
  <c r="AB529" i="11" s="1"/>
  <c r="AB530" i="11" s="1"/>
  <c r="AB531" i="11" s="1"/>
  <c r="AB532" i="11" s="1"/>
  <c r="AB533" i="11" s="1"/>
  <c r="AB534" i="11" s="1"/>
  <c r="AB535" i="11" s="1"/>
  <c r="AB536" i="11" s="1"/>
  <c r="AB537" i="11" s="1"/>
  <c r="AB538" i="11" s="1"/>
  <c r="AB539" i="11" s="1"/>
  <c r="AB540" i="11" s="1"/>
  <c r="AB541" i="11" s="1"/>
  <c r="AB543" i="11" s="1"/>
  <c r="AB544" i="11" s="1"/>
  <c r="AB545" i="11" s="1"/>
  <c r="AB546" i="11" s="1"/>
  <c r="AB547" i="11" s="1"/>
  <c r="AB548" i="11" s="1"/>
  <c r="AB549" i="11" s="1"/>
  <c r="AB550" i="11" s="1"/>
  <c r="AB551" i="11" s="1"/>
  <c r="AB552" i="11" s="1"/>
  <c r="AB553" i="11" s="1"/>
  <c r="AB554" i="11" s="1"/>
  <c r="AB555" i="11" s="1"/>
  <c r="AB556" i="11" s="1"/>
  <c r="AB557" i="11" s="1"/>
  <c r="AB558" i="11" s="1"/>
  <c r="AB559" i="11" s="1"/>
  <c r="AB560" i="11" s="1"/>
  <c r="AB562" i="11" s="1"/>
  <c r="AB563" i="11" s="1"/>
  <c r="AB564" i="11" s="1"/>
  <c r="AB565" i="11" s="1"/>
  <c r="AB566" i="11" s="1"/>
  <c r="AB567" i="11" s="1"/>
  <c r="AB568" i="11" s="1"/>
  <c r="AB569" i="11" s="1"/>
  <c r="AB570" i="11" s="1"/>
  <c r="AB571" i="11" s="1"/>
  <c r="AB572" i="11" s="1"/>
  <c r="AB573" i="11" s="1"/>
  <c r="AB574" i="11" s="1"/>
  <c r="AB575" i="11" s="1"/>
  <c r="AB576" i="11" s="1"/>
  <c r="AB577" i="11" s="1"/>
  <c r="AB578" i="11" s="1"/>
  <c r="AB579" i="11" s="1"/>
  <c r="AB580" i="11" s="1"/>
  <c r="AB581" i="11" s="1"/>
  <c r="AB582" i="11" s="1"/>
  <c r="AB583" i="11" s="1"/>
  <c r="AB584" i="11" s="1"/>
  <c r="AB585" i="11" s="1"/>
  <c r="AB586" i="11" s="1"/>
  <c r="AB587" i="11" s="1"/>
  <c r="AB588" i="11" s="1"/>
  <c r="A12" i="20"/>
  <c r="D12" i="19"/>
  <c r="Q379" i="11"/>
  <c r="Q380" i="11" s="1"/>
  <c r="Q381" i="11" s="1"/>
  <c r="Q382" i="11" s="1"/>
  <c r="Q383" i="11" s="1"/>
  <c r="Q384" i="11" s="1"/>
  <c r="Q385" i="11" s="1"/>
  <c r="Q386" i="11" s="1"/>
  <c r="Q387" i="11" s="1"/>
  <c r="Q388" i="11" s="1"/>
  <c r="Q389" i="11" s="1"/>
  <c r="Q390" i="11" s="1"/>
  <c r="Q391" i="11" s="1"/>
  <c r="Q392" i="11" s="1"/>
  <c r="Q393" i="11" s="1"/>
  <c r="Q394" i="11" s="1"/>
  <c r="Q395" i="11" s="1"/>
  <c r="Q396" i="11" s="1"/>
  <c r="Q397" i="11" s="1"/>
  <c r="Q398" i="11" s="1"/>
  <c r="Q399" i="11" s="1"/>
  <c r="Q400" i="11" s="1"/>
  <c r="Q401" i="11" s="1"/>
  <c r="Q402" i="11" s="1"/>
  <c r="Q403" i="11" s="1"/>
  <c r="Q404" i="11" s="1"/>
  <c r="Q405" i="11" s="1"/>
  <c r="Q406" i="11" s="1"/>
  <c r="V380" i="11"/>
  <c r="V375" i="11"/>
  <c r="A11" i="20"/>
  <c r="T374" i="11"/>
  <c r="W351" i="11"/>
  <c r="B107" i="19"/>
  <c r="A107" i="19"/>
  <c r="G26" i="19"/>
  <c r="H26" i="19" s="1"/>
  <c r="G27" i="19" s="1"/>
  <c r="H27" i="19" s="1"/>
  <c r="G28" i="19" s="1"/>
  <c r="H28" i="19" s="1"/>
  <c r="G29" i="19" s="1"/>
  <c r="H29" i="19" s="1"/>
  <c r="G30" i="19" s="1"/>
  <c r="H30" i="19" s="1"/>
  <c r="G31" i="19" s="1"/>
  <c r="H31" i="19" s="1"/>
  <c r="G32" i="19" s="1"/>
  <c r="H32" i="19" s="1"/>
  <c r="G33" i="19" s="1"/>
  <c r="H33" i="19" s="1"/>
  <c r="G34" i="19" s="1"/>
  <c r="H34" i="19" s="1"/>
  <c r="G35" i="19" s="1"/>
  <c r="H35" i="19" s="1"/>
  <c r="G36" i="19" s="1"/>
  <c r="H36" i="19" s="1"/>
  <c r="A25" i="19"/>
  <c r="A11" i="19"/>
  <c r="T338" i="11"/>
  <c r="R324" i="11"/>
  <c r="R325" i="11" s="1"/>
  <c r="R326" i="11" s="1"/>
  <c r="R327" i="11" s="1"/>
  <c r="R328" i="11" s="1"/>
  <c r="R329" i="11" s="1"/>
  <c r="R330" i="11" s="1"/>
  <c r="R331" i="11" s="1"/>
  <c r="R332" i="11" s="1"/>
  <c r="R333" i="11" s="1"/>
  <c r="R334" i="11" s="1"/>
  <c r="R335" i="11" s="1"/>
  <c r="R336" i="11" s="1"/>
  <c r="R337" i="11" s="1"/>
  <c r="R338" i="11" s="1"/>
  <c r="R339" i="11" s="1"/>
  <c r="R340" i="11" s="1"/>
  <c r="R341" i="11" s="1"/>
  <c r="R342" i="11" s="1"/>
  <c r="R343" i="11" s="1"/>
  <c r="R344" i="11" s="1"/>
  <c r="R345" i="11" s="1"/>
  <c r="R346" i="11" s="1"/>
  <c r="R347" i="11" s="1"/>
  <c r="R348" i="11" s="1"/>
  <c r="R349" i="11" s="1"/>
  <c r="R350" i="11" s="1"/>
  <c r="R351" i="11" s="1"/>
  <c r="R352" i="11" s="1"/>
  <c r="R353" i="11" s="1"/>
  <c r="R354" i="11" s="1"/>
  <c r="R355" i="11" s="1"/>
  <c r="R356" i="11" s="1"/>
  <c r="R357" i="11" s="1"/>
  <c r="R358" i="11" s="1"/>
  <c r="R359" i="11" s="1"/>
  <c r="R360" i="11" s="1"/>
  <c r="R361" i="11" s="1"/>
  <c r="R362" i="11" s="1"/>
  <c r="R363" i="11" s="1"/>
  <c r="R364" i="11" s="1"/>
  <c r="R365" i="11" s="1"/>
  <c r="R366" i="11" s="1"/>
  <c r="R367" i="11" s="1"/>
  <c r="R368" i="11" s="1"/>
  <c r="R369" i="11" s="1"/>
  <c r="R370" i="11" s="1"/>
  <c r="R371" i="11" s="1"/>
  <c r="R372" i="11" s="1"/>
  <c r="R373" i="11" s="1"/>
  <c r="R374" i="11" s="1"/>
  <c r="R375" i="11" s="1"/>
  <c r="R376" i="11" s="1"/>
  <c r="R377" i="11" s="1"/>
  <c r="R378" i="11" s="1"/>
  <c r="R379" i="11" s="1"/>
  <c r="R380" i="11" s="1"/>
  <c r="R381" i="11" s="1"/>
  <c r="R382" i="11" s="1"/>
  <c r="R383" i="11" s="1"/>
  <c r="R384" i="11" s="1"/>
  <c r="R385" i="11" s="1"/>
  <c r="R386" i="11" s="1"/>
  <c r="R387" i="11" s="1"/>
  <c r="R388" i="11" s="1"/>
  <c r="R389" i="11" s="1"/>
  <c r="R390" i="11" s="1"/>
  <c r="R391" i="11" s="1"/>
  <c r="R392" i="11" s="1"/>
  <c r="R393" i="11" s="1"/>
  <c r="R394" i="11" s="1"/>
  <c r="R395" i="11" s="1"/>
  <c r="R396" i="11" s="1"/>
  <c r="R397" i="11" s="1"/>
  <c r="R398" i="11" s="1"/>
  <c r="R399" i="11" s="1"/>
  <c r="R400" i="11" s="1"/>
  <c r="R401" i="11" s="1"/>
  <c r="R402" i="11" s="1"/>
  <c r="R403" i="11" s="1"/>
  <c r="R404" i="11" s="1"/>
  <c r="R405" i="11" s="1"/>
  <c r="R406" i="11" s="1"/>
  <c r="R407" i="11" s="1"/>
  <c r="R408" i="11" s="1"/>
  <c r="R409" i="11" s="1"/>
  <c r="R410" i="11" s="1"/>
  <c r="R411" i="11" s="1"/>
  <c r="R412" i="11" s="1"/>
  <c r="R413" i="11" s="1"/>
  <c r="V303" i="11"/>
  <c r="T303" i="11"/>
  <c r="T296" i="11"/>
  <c r="Q287" i="11"/>
  <c r="Q288" i="11" s="1"/>
  <c r="Q289" i="11" s="1"/>
  <c r="Q290" i="11" s="1"/>
  <c r="Q291" i="11" s="1"/>
  <c r="Q292" i="11" s="1"/>
  <c r="Q293" i="11" s="1"/>
  <c r="Q294" i="11" s="1"/>
  <c r="Q295" i="11" s="1"/>
  <c r="Q296" i="11" s="1"/>
  <c r="Q297" i="11" s="1"/>
  <c r="Q298" i="11" s="1"/>
  <c r="Q299" i="11" s="1"/>
  <c r="Q300" i="11" s="1"/>
  <c r="Q301" i="11" s="1"/>
  <c r="Q302" i="11" s="1"/>
  <c r="Q303" i="11" s="1"/>
  <c r="Q304" i="11" s="1"/>
  <c r="Q305" i="11" s="1"/>
  <c r="Q306" i="11" s="1"/>
  <c r="Q307" i="11" s="1"/>
  <c r="Q308" i="11" s="1"/>
  <c r="Q309" i="11" s="1"/>
  <c r="Q310" i="11" s="1"/>
  <c r="Q311" i="11" s="1"/>
  <c r="Q312" i="11" s="1"/>
  <c r="Q313" i="11" s="1"/>
  <c r="Q314" i="11" s="1"/>
  <c r="Q315" i="11" s="1"/>
  <c r="Q316" i="11" s="1"/>
  <c r="V257" i="11"/>
  <c r="Q257" i="11"/>
  <c r="Q258" i="11" s="1"/>
  <c r="Q259" i="11" s="1"/>
  <c r="Q260" i="11" s="1"/>
  <c r="Q261" i="11" s="1"/>
  <c r="Q262" i="11" s="1"/>
  <c r="Q263" i="11" s="1"/>
  <c r="Q264" i="11" s="1"/>
  <c r="Q265" i="11" s="1"/>
  <c r="Q266" i="11" s="1"/>
  <c r="Q267" i="11" s="1"/>
  <c r="Q268" i="11" s="1"/>
  <c r="Q269" i="11" s="1"/>
  <c r="Q270" i="11" s="1"/>
  <c r="Q271" i="11" s="1"/>
  <c r="Q272" i="11" s="1"/>
  <c r="Q273" i="11" s="1"/>
  <c r="Q274" i="11" s="1"/>
  <c r="Q275" i="11" s="1"/>
  <c r="Q276" i="11" s="1"/>
  <c r="Q277" i="11" s="1"/>
  <c r="Q278" i="11" s="1"/>
  <c r="Q279" i="11" s="1"/>
  <c r="Q280" i="11" s="1"/>
  <c r="Q281" i="11" s="1"/>
  <c r="Q282" i="11" s="1"/>
  <c r="Q283" i="11" s="1"/>
  <c r="Q284" i="11" s="1"/>
  <c r="Q285" i="11" s="1"/>
  <c r="Q286" i="11" s="1"/>
  <c r="Q318" i="11"/>
  <c r="Q319" i="11" s="1"/>
  <c r="Q320" i="11" s="1"/>
  <c r="Q321" i="11" s="1"/>
  <c r="Q322" i="11" s="1"/>
  <c r="Q323" i="11" s="1"/>
  <c r="Q324" i="11" s="1"/>
  <c r="Q325" i="11" s="1"/>
  <c r="Q326" i="11" s="1"/>
  <c r="Q327" i="11" s="1"/>
  <c r="Q328" i="11" s="1"/>
  <c r="Q329" i="11" s="1"/>
  <c r="Q330" i="11" s="1"/>
  <c r="Q331" i="11" s="1"/>
  <c r="Q332" i="11" s="1"/>
  <c r="Q333" i="11" s="1"/>
  <c r="Q334" i="11" s="1"/>
  <c r="Q335" i="11" s="1"/>
  <c r="Q336" i="11" s="1"/>
  <c r="Q337" i="11" s="1"/>
  <c r="Q338" i="11" s="1"/>
  <c r="Q339" i="11" s="1"/>
  <c r="Q340" i="11" s="1"/>
  <c r="Q341" i="11" s="1"/>
  <c r="Q342" i="11" s="1"/>
  <c r="Q343" i="11" s="1"/>
  <c r="Q344" i="11" s="1"/>
  <c r="Q345" i="11" s="1"/>
  <c r="Q346" i="11" s="1"/>
  <c r="Q347" i="11" s="1"/>
  <c r="Q348" i="11" s="1"/>
  <c r="Q349" i="11" s="1"/>
  <c r="Q350" i="11" s="1"/>
  <c r="Q351" i="11" s="1"/>
  <c r="Q352" i="11" s="1"/>
  <c r="Q353" i="11" s="1"/>
  <c r="Q354" i="11" s="1"/>
  <c r="Q355" i="11" s="1"/>
  <c r="Q356" i="11" s="1"/>
  <c r="Q357" i="11" s="1"/>
  <c r="Q358" i="11" s="1"/>
  <c r="Q359" i="11" s="1"/>
  <c r="Q360" i="11" s="1"/>
  <c r="Q361" i="11" s="1"/>
  <c r="Q362" i="11" s="1"/>
  <c r="Q363" i="11" s="1"/>
  <c r="Q364" i="11" s="1"/>
  <c r="Q365" i="11" s="1"/>
  <c r="Q366" i="11" s="1"/>
  <c r="Q367" i="11" s="1"/>
  <c r="Q368" i="11" s="1"/>
  <c r="Q369" i="11" s="1"/>
  <c r="Q370" i="11" s="1"/>
  <c r="Q371" i="11" s="1"/>
  <c r="Q372" i="11" s="1"/>
  <c r="Q373" i="11" s="1"/>
  <c r="Q374" i="11" s="1"/>
  <c r="Q375" i="11" s="1"/>
  <c r="Q376" i="11" s="1"/>
  <c r="Q377" i="11" s="1"/>
  <c r="Q378" i="11" s="1"/>
  <c r="P249" i="11"/>
  <c r="P250" i="11" s="1"/>
  <c r="P251" i="11" s="1"/>
  <c r="P252" i="11" s="1"/>
  <c r="P253" i="11" s="1"/>
  <c r="P254" i="11" s="1"/>
  <c r="P255" i="11" s="1"/>
  <c r="P256" i="11" s="1"/>
  <c r="P257" i="11" s="1"/>
  <c r="P258" i="11" s="1"/>
  <c r="P259" i="11" s="1"/>
  <c r="P260" i="11" s="1"/>
  <c r="P261" i="11" s="1"/>
  <c r="P262" i="11" s="1"/>
  <c r="P263" i="11" s="1"/>
  <c r="P264" i="11" s="1"/>
  <c r="P265" i="11" s="1"/>
  <c r="P266" i="11" s="1"/>
  <c r="P267" i="11" s="1"/>
  <c r="P268" i="11" s="1"/>
  <c r="P269" i="11" s="1"/>
  <c r="P270" i="11" s="1"/>
  <c r="P271" i="11" s="1"/>
  <c r="P272" i="11" s="1"/>
  <c r="P273" i="11" s="1"/>
  <c r="P274" i="11" s="1"/>
  <c r="P275" i="11" s="1"/>
  <c r="P276" i="11" s="1"/>
  <c r="P277" i="11" s="1"/>
  <c r="P278" i="11" s="1"/>
  <c r="P279" i="11" s="1"/>
  <c r="P280" i="11" s="1"/>
  <c r="P281" i="11" s="1"/>
  <c r="P282" i="11" s="1"/>
  <c r="P283" i="11" s="1"/>
  <c r="P284" i="11" s="1"/>
  <c r="P285" i="11" s="1"/>
  <c r="P286" i="11" s="1"/>
  <c r="P287" i="11" s="1"/>
  <c r="P288" i="11" s="1"/>
  <c r="P289" i="11" s="1"/>
  <c r="P290" i="11" s="1"/>
  <c r="P291" i="11" s="1"/>
  <c r="P292" i="11" s="1"/>
  <c r="P293" i="11" s="1"/>
  <c r="P294" i="11" s="1"/>
  <c r="P295" i="11" s="1"/>
  <c r="P296" i="11" s="1"/>
  <c r="P297" i="11" s="1"/>
  <c r="P298" i="11" s="1"/>
  <c r="P299" i="11" s="1"/>
  <c r="P300" i="11" s="1"/>
  <c r="P301" i="11" s="1"/>
  <c r="P302" i="11" s="1"/>
  <c r="P303" i="11" s="1"/>
  <c r="P304" i="11" s="1"/>
  <c r="P305" i="11" s="1"/>
  <c r="P306" i="11" s="1"/>
  <c r="P307" i="11" s="1"/>
  <c r="P308" i="11" s="1"/>
  <c r="P309" i="11" s="1"/>
  <c r="P310" i="11" s="1"/>
  <c r="P311" i="11" s="1"/>
  <c r="P312" i="11" s="1"/>
  <c r="P313" i="11" s="1"/>
  <c r="P314" i="11" s="1"/>
  <c r="P315" i="11" s="1"/>
  <c r="P316" i="11" s="1"/>
  <c r="P317" i="11" s="1"/>
  <c r="P318" i="11" s="1"/>
  <c r="P319" i="11" s="1"/>
  <c r="P320" i="11" s="1"/>
  <c r="P321" i="11" s="1"/>
  <c r="P322" i="11" s="1"/>
  <c r="P323" i="11" s="1"/>
  <c r="P324" i="11" s="1"/>
  <c r="P325" i="11" s="1"/>
  <c r="P326" i="11" s="1"/>
  <c r="P327" i="11" s="1"/>
  <c r="P328" i="11" s="1"/>
  <c r="P329" i="11" s="1"/>
  <c r="P330" i="11" s="1"/>
  <c r="P331" i="11" s="1"/>
  <c r="P332" i="11" s="1"/>
  <c r="P333" i="11" s="1"/>
  <c r="P334" i="11" s="1"/>
  <c r="P335" i="11" s="1"/>
  <c r="P336" i="11" s="1"/>
  <c r="P337" i="11" s="1"/>
  <c r="P338" i="11" s="1"/>
  <c r="P339" i="11" s="1"/>
  <c r="P340" i="11" s="1"/>
  <c r="P341" i="11" s="1"/>
  <c r="P342" i="11" s="1"/>
  <c r="P343" i="11" s="1"/>
  <c r="P344" i="11" s="1"/>
  <c r="P345" i="11" s="1"/>
  <c r="P346" i="11" s="1"/>
  <c r="P347" i="11" s="1"/>
  <c r="P348" i="11" s="1"/>
  <c r="P349" i="11" s="1"/>
  <c r="P350" i="11" s="1"/>
  <c r="P351" i="11" s="1"/>
  <c r="P352" i="11" s="1"/>
  <c r="P353" i="11" s="1"/>
  <c r="P354" i="11" s="1"/>
  <c r="P355" i="11" s="1"/>
  <c r="P356" i="11" s="1"/>
  <c r="P357" i="11" s="1"/>
  <c r="P358" i="11" s="1"/>
  <c r="P359" i="11" s="1"/>
  <c r="P360" i="11" s="1"/>
  <c r="P361" i="11" s="1"/>
  <c r="P362" i="11" s="1"/>
  <c r="P363" i="11" s="1"/>
  <c r="P364" i="11" s="1"/>
  <c r="P365" i="11" s="1"/>
  <c r="P366" i="11" s="1"/>
  <c r="P367" i="11" s="1"/>
  <c r="P368" i="11" s="1"/>
  <c r="P369" i="11" s="1"/>
  <c r="P370" i="11" s="1"/>
  <c r="P371" i="11" s="1"/>
  <c r="V226" i="11"/>
  <c r="W211" i="11"/>
  <c r="W190" i="11"/>
  <c r="T194" i="11"/>
  <c r="H85" i="1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111" i="11" s="1"/>
  <c r="H112" i="11" s="1"/>
  <c r="H113" i="11" s="1"/>
  <c r="H114" i="11" s="1"/>
  <c r="H115" i="11" s="1"/>
  <c r="H116" i="11" s="1"/>
  <c r="H117" i="11" s="1"/>
  <c r="H118" i="11" s="1"/>
  <c r="H119" i="11" s="1"/>
  <c r="H120" i="11" s="1"/>
  <c r="H121" i="11" s="1"/>
  <c r="H122" i="11" s="1"/>
  <c r="H123" i="11" s="1"/>
  <c r="H124" i="11" s="1"/>
  <c r="H125" i="11" s="1"/>
  <c r="H126" i="11" s="1"/>
  <c r="H127" i="11" s="1"/>
  <c r="H128" i="11" s="1"/>
  <c r="H129" i="11" s="1"/>
  <c r="H130" i="11" s="1"/>
  <c r="H131" i="11" s="1"/>
  <c r="H132" i="11" s="1"/>
  <c r="H133" i="11" s="1"/>
  <c r="H134" i="11" s="1"/>
  <c r="H135" i="11" s="1"/>
  <c r="H136" i="11" s="1"/>
  <c r="H137" i="11" s="1"/>
  <c r="H138" i="11" s="1"/>
  <c r="H139" i="11" s="1"/>
  <c r="H140" i="11" s="1"/>
  <c r="H141" i="11" s="1"/>
  <c r="H142" i="11" s="1"/>
  <c r="H143" i="11" s="1"/>
  <c r="H144" i="11" s="1"/>
  <c r="H145" i="11" s="1"/>
  <c r="H146" i="11" s="1"/>
  <c r="H147" i="11" s="1"/>
  <c r="H148" i="11" s="1"/>
  <c r="H149" i="11" s="1"/>
  <c r="H150" i="11" s="1"/>
  <c r="H151" i="11" s="1"/>
  <c r="H152" i="11" s="1"/>
  <c r="H153" i="11" s="1"/>
  <c r="H154" i="11" s="1"/>
  <c r="H155" i="11" s="1"/>
  <c r="H156" i="11" s="1"/>
  <c r="H157" i="11" s="1"/>
  <c r="H158" i="11" s="1"/>
  <c r="H159" i="11" s="1"/>
  <c r="H160" i="11" s="1"/>
  <c r="H161" i="11" s="1"/>
  <c r="H162" i="11" s="1"/>
  <c r="H163" i="11" s="1"/>
  <c r="H164" i="11" s="1"/>
  <c r="H165" i="11" s="1"/>
  <c r="H166" i="11" s="1"/>
  <c r="H167" i="11" s="1"/>
  <c r="H168" i="11" s="1"/>
  <c r="H169" i="11" s="1"/>
  <c r="H170" i="11" s="1"/>
  <c r="H171" i="11" s="1"/>
  <c r="H172" i="11" s="1"/>
  <c r="H173" i="11" s="1"/>
  <c r="H174" i="11" s="1"/>
  <c r="H175" i="11" s="1"/>
  <c r="H176" i="11" s="1"/>
  <c r="H177" i="11" s="1"/>
  <c r="H178" i="11" s="1"/>
  <c r="H179" i="11" s="1"/>
  <c r="H180" i="11" s="1"/>
  <c r="H181" i="11" s="1"/>
  <c r="H182" i="11" s="1"/>
  <c r="H183" i="11" s="1"/>
  <c r="H184" i="11" s="1"/>
  <c r="H185" i="11" s="1"/>
  <c r="H186" i="11" s="1"/>
  <c r="H187" i="11" s="1"/>
  <c r="H188" i="11" s="1"/>
  <c r="H189" i="11" s="1"/>
  <c r="H190" i="11" s="1"/>
  <c r="H191" i="11" s="1"/>
  <c r="H192" i="11" s="1"/>
  <c r="H193" i="11" s="1"/>
  <c r="H194" i="11" s="1"/>
  <c r="H195" i="11" s="1"/>
  <c r="H196" i="11" s="1"/>
  <c r="H197" i="11" s="1"/>
  <c r="H198" i="11" s="1"/>
  <c r="H199" i="11" s="1"/>
  <c r="H200" i="11" s="1"/>
  <c r="H201" i="11" s="1"/>
  <c r="H202" i="11" s="1"/>
  <c r="H203" i="11" s="1"/>
  <c r="H204" i="11" s="1"/>
  <c r="H205" i="11" s="1"/>
  <c r="H206" i="11" s="1"/>
  <c r="H207" i="11" s="1"/>
  <c r="H208" i="11" s="1"/>
  <c r="H209" i="11" s="1"/>
  <c r="H210" i="11" s="1"/>
  <c r="H211" i="11" s="1"/>
  <c r="H212" i="11" s="1"/>
  <c r="H213" i="11" s="1"/>
  <c r="H214" i="11" s="1"/>
  <c r="H215" i="11" s="1"/>
  <c r="H216" i="11" s="1"/>
  <c r="H217" i="11" s="1"/>
  <c r="H218" i="11" s="1"/>
  <c r="H219" i="11" s="1"/>
  <c r="H220" i="11" s="1"/>
  <c r="H221" i="11" s="1"/>
  <c r="H222" i="11" s="1"/>
  <c r="H223" i="11" s="1"/>
  <c r="H224" i="11" s="1"/>
  <c r="H225" i="11" s="1"/>
  <c r="H226" i="11" s="1"/>
  <c r="C58" i="11"/>
  <c r="E54" i="11"/>
  <c r="H41" i="1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39" i="11"/>
  <c r="G39" i="11"/>
  <c r="G41" i="11"/>
  <c r="G43" i="11"/>
  <c r="G45" i="11"/>
  <c r="D46" i="11" s="1"/>
  <c r="G46" i="11" s="1"/>
  <c r="D47" i="11" s="1"/>
  <c r="G47" i="11" s="1"/>
  <c r="D48" i="11" s="1"/>
  <c r="G48" i="11" s="1"/>
  <c r="D49" i="11" s="1"/>
  <c r="G49" i="11" s="1"/>
  <c r="X36" i="11"/>
  <c r="U37" i="11" s="1"/>
  <c r="X37" i="11" s="1"/>
  <c r="U38" i="11" s="1"/>
  <c r="X38" i="11" s="1"/>
  <c r="U39" i="11" s="1"/>
  <c r="X39" i="11" s="1"/>
  <c r="U40" i="11" s="1"/>
  <c r="X40" i="11" s="1"/>
  <c r="U41" i="11" s="1"/>
  <c r="X41" i="11" s="1"/>
  <c r="U42" i="11" s="1"/>
  <c r="X42" i="11" s="1"/>
  <c r="U43" i="11" s="1"/>
  <c r="X43" i="11" s="1"/>
  <c r="U44" i="11" s="1"/>
  <c r="X44" i="11" s="1"/>
  <c r="U45" i="11" s="1"/>
  <c r="X45" i="11" s="1"/>
  <c r="U46" i="11" s="1"/>
  <c r="X46" i="11" s="1"/>
  <c r="U47" i="11" s="1"/>
  <c r="X47" i="11" s="1"/>
  <c r="U48" i="11" s="1"/>
  <c r="X48" i="11" s="1"/>
  <c r="U49" i="11" s="1"/>
  <c r="X49" i="11" s="1"/>
  <c r="U50" i="11" s="1"/>
  <c r="X50" i="11" s="1"/>
  <c r="U51" i="11" s="1"/>
  <c r="X51" i="11" s="1"/>
  <c r="U52" i="11" s="1"/>
  <c r="D36" i="11"/>
  <c r="D37" i="11"/>
  <c r="G37" i="11" s="1"/>
  <c r="D38" i="11" s="1"/>
  <c r="H34" i="11"/>
  <c r="H35" i="11" s="1"/>
  <c r="H36" i="11" s="1"/>
  <c r="H37" i="11" s="1"/>
  <c r="D30" i="11"/>
  <c r="D31" i="11"/>
  <c r="C32" i="11"/>
  <c r="D32" i="11" s="1"/>
  <c r="G32" i="11" s="1"/>
  <c r="D33" i="11" s="1"/>
  <c r="G33" i="11" s="1"/>
  <c r="D34" i="11" s="1"/>
  <c r="G34" i="11" s="1"/>
  <c r="D35" i="11" s="1"/>
  <c r="U28" i="11"/>
  <c r="X28" i="11" s="1"/>
  <c r="U29" i="11" s="1"/>
  <c r="X29" i="11" s="1"/>
  <c r="U30" i="11" s="1"/>
  <c r="X30" i="11" s="1"/>
  <c r="U31" i="11" s="1"/>
  <c r="X31" i="11" s="1"/>
  <c r="U32" i="11" s="1"/>
  <c r="X32" i="11" s="1"/>
  <c r="U33" i="11" s="1"/>
  <c r="X33" i="11" s="1"/>
  <c r="U34" i="11" s="1"/>
  <c r="X34" i="11" s="1"/>
  <c r="U35" i="11" s="1"/>
  <c r="X35" i="11" s="1"/>
  <c r="Y28" i="11"/>
  <c r="Y29" i="11" s="1"/>
  <c r="Y30" i="11" s="1"/>
  <c r="Y31" i="11" s="1"/>
  <c r="Y32" i="11" s="1"/>
  <c r="Y33" i="11" s="1"/>
  <c r="Y34" i="11" s="1"/>
  <c r="Y35" i="11" s="1"/>
  <c r="Y37" i="1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Y84" i="11" s="1"/>
  <c r="Y85" i="11" s="1"/>
  <c r="Y86" i="11" s="1"/>
  <c r="Y87" i="11" s="1"/>
  <c r="Y88" i="11" s="1"/>
  <c r="Y89" i="11" s="1"/>
  <c r="Y90" i="11" s="1"/>
  <c r="Y91" i="11" s="1"/>
  <c r="Y92" i="11" s="1"/>
  <c r="Y93" i="11" s="1"/>
  <c r="Y94" i="11" s="1"/>
  <c r="Y95" i="11" s="1"/>
  <c r="Y96" i="11" s="1"/>
  <c r="Y97" i="11" s="1"/>
  <c r="Y98" i="11" s="1"/>
  <c r="Y99" i="11" s="1"/>
  <c r="Y100" i="11" s="1"/>
  <c r="Y101" i="11" s="1"/>
  <c r="Y102" i="11" s="1"/>
  <c r="Y103" i="11" s="1"/>
  <c r="Y104" i="11" s="1"/>
  <c r="Y105" i="11" s="1"/>
  <c r="Y106" i="11" s="1"/>
  <c r="Y107" i="11" s="1"/>
  <c r="Y108" i="11" s="1"/>
  <c r="Y109" i="11" s="1"/>
  <c r="Y110" i="11" s="1"/>
  <c r="Y111" i="11" s="1"/>
  <c r="Y112" i="11" s="1"/>
  <c r="Y113" i="11" s="1"/>
  <c r="Y114" i="11" s="1"/>
  <c r="Y115" i="11" s="1"/>
  <c r="Y116" i="11" s="1"/>
  <c r="Y117" i="11" s="1"/>
  <c r="Y118" i="11" s="1"/>
  <c r="Y119" i="11" s="1"/>
  <c r="Y120" i="11" s="1"/>
  <c r="Y121" i="11" s="1"/>
  <c r="Y122" i="11" s="1"/>
  <c r="Y123" i="11" s="1"/>
  <c r="Y124" i="11" s="1"/>
  <c r="Y125" i="11" s="1"/>
  <c r="Y126" i="11" s="1"/>
  <c r="Y127" i="11" s="1"/>
  <c r="Y128" i="11" s="1"/>
  <c r="Y129" i="11" s="1"/>
  <c r="Y130" i="11" s="1"/>
  <c r="Y131" i="11" s="1"/>
  <c r="Y132" i="11" s="1"/>
  <c r="Y133" i="11" s="1"/>
  <c r="Y134" i="11" s="1"/>
  <c r="U27" i="11"/>
  <c r="C26" i="11"/>
  <c r="C24" i="11"/>
  <c r="H23" i="11"/>
  <c r="H24" i="11" s="1"/>
  <c r="H25" i="11" s="1"/>
  <c r="H26" i="11" s="1"/>
  <c r="H27" i="11" s="1"/>
  <c r="H28" i="11" s="1"/>
  <c r="H29" i="11" s="1"/>
  <c r="H30" i="11" s="1"/>
  <c r="H31" i="11" s="1"/>
  <c r="H32" i="11" s="1"/>
  <c r="D23" i="11"/>
  <c r="G23" i="11" s="1"/>
  <c r="D28" i="11"/>
  <c r="G28" i="11" s="1"/>
  <c r="D29" i="11" s="1"/>
  <c r="C21" i="11"/>
  <c r="C20" i="11"/>
  <c r="Y136" i="11"/>
  <c r="Y137" i="11" s="1"/>
  <c r="Y138" i="11" s="1"/>
  <c r="Y139" i="11" s="1"/>
  <c r="Y140" i="11" s="1"/>
  <c r="Y141" i="11" s="1"/>
  <c r="Y142" i="11" s="1"/>
  <c r="Y143" i="11" s="1"/>
  <c r="Y144" i="11" s="1"/>
  <c r="Y145" i="11" s="1"/>
  <c r="Y146" i="11" s="1"/>
  <c r="Y147" i="11" s="1"/>
  <c r="Y148" i="11" s="1"/>
  <c r="Y149" i="11" s="1"/>
  <c r="Y150" i="11" s="1"/>
  <c r="Y151" i="11" s="1"/>
  <c r="Y152" i="11" s="1"/>
  <c r="Y153" i="11" s="1"/>
  <c r="Y154" i="11" s="1"/>
  <c r="Y155" i="11" s="1"/>
  <c r="Y156" i="11" s="1"/>
  <c r="Y157" i="11" s="1"/>
  <c r="Y158" i="11" s="1"/>
  <c r="Y159" i="11" s="1"/>
  <c r="Y160" i="11" s="1"/>
  <c r="Y161" i="11" s="1"/>
  <c r="Y162" i="11" s="1"/>
  <c r="Y163" i="11" s="1"/>
  <c r="Y164" i="11" s="1"/>
  <c r="Y165" i="11" s="1"/>
  <c r="Y166" i="11" s="1"/>
  <c r="Y167" i="11" s="1"/>
  <c r="Y168" i="11" s="1"/>
  <c r="Y169" i="11" s="1"/>
  <c r="Y170" i="11" s="1"/>
  <c r="Y171" i="11" s="1"/>
  <c r="Y172" i="11" s="1"/>
  <c r="Y173" i="11" s="1"/>
  <c r="Y174" i="11" s="1"/>
  <c r="Y175" i="11" s="1"/>
  <c r="Y176" i="11" s="1"/>
  <c r="Y177" i="11" s="1"/>
  <c r="Y178" i="11" s="1"/>
  <c r="Y179" i="11" s="1"/>
  <c r="Y180" i="11" s="1"/>
  <c r="Y181" i="11" s="1"/>
  <c r="Y182" i="11" s="1"/>
  <c r="Y183" i="11" s="1"/>
  <c r="Y184" i="11" s="1"/>
  <c r="Y185" i="11" s="1"/>
  <c r="Y186" i="11" s="1"/>
  <c r="Y187" i="11" s="1"/>
  <c r="Y188" i="11" s="1"/>
  <c r="Y189" i="11" s="1"/>
  <c r="Y190" i="11" s="1"/>
  <c r="Y191" i="11" s="1"/>
  <c r="Y192" i="11" s="1"/>
  <c r="Y193" i="11" s="1"/>
  <c r="Y194" i="11" s="1"/>
  <c r="Y195" i="11" s="1"/>
  <c r="Y196" i="11" s="1"/>
  <c r="Y197" i="11" s="1"/>
  <c r="Y198" i="11" s="1"/>
  <c r="Y199" i="11" s="1"/>
  <c r="Y200" i="11" s="1"/>
  <c r="Y201" i="11" s="1"/>
  <c r="Y202" i="11" s="1"/>
  <c r="Y203" i="11" s="1"/>
  <c r="Y204" i="11" s="1"/>
  <c r="Y205" i="11" s="1"/>
  <c r="Y206" i="11" s="1"/>
  <c r="Y207" i="11" s="1"/>
  <c r="Y208" i="11" s="1"/>
  <c r="Y209" i="11" s="1"/>
  <c r="Y210" i="11" s="1"/>
  <c r="Y211" i="11" s="1"/>
  <c r="Y212" i="11" s="1"/>
  <c r="Y213" i="11" s="1"/>
  <c r="Y214" i="11" s="1"/>
  <c r="Y215" i="11" s="1"/>
  <c r="Y216" i="11" s="1"/>
  <c r="Y217" i="11" s="1"/>
  <c r="Y218" i="11" s="1"/>
  <c r="Y219" i="11" s="1"/>
  <c r="Y220" i="11" s="1"/>
  <c r="Y221" i="11" s="1"/>
  <c r="Y222" i="11" s="1"/>
  <c r="Y223" i="11" s="1"/>
  <c r="Y224" i="11" s="1"/>
  <c r="Y225" i="11" s="1"/>
  <c r="A19" i="11"/>
  <c r="A21" i="11" s="1"/>
  <c r="D17" i="11"/>
  <c r="G17" i="11" s="1"/>
  <c r="H15" i="11"/>
  <c r="H17" i="11" s="1"/>
  <c r="H18" i="11" s="1"/>
  <c r="H19" i="11" s="1"/>
  <c r="H20" i="11" s="1"/>
  <c r="H21" i="11" s="1"/>
  <c r="D15" i="11"/>
  <c r="G15" i="11" s="1"/>
  <c r="D18" i="11" s="1"/>
  <c r="G18" i="11" s="1"/>
  <c r="D19" i="11" s="1"/>
  <c r="G19" i="11" s="1"/>
  <c r="C12" i="11"/>
  <c r="D12" i="11" s="1"/>
  <c r="G12" i="11" s="1"/>
  <c r="D13" i="11" s="1"/>
  <c r="C9" i="11"/>
  <c r="D8" i="11"/>
  <c r="G8" i="11" s="1"/>
  <c r="G9" i="11"/>
  <c r="D10" i="11" s="1"/>
  <c r="G10" i="11" s="1"/>
  <c r="D11" i="11" s="1"/>
  <c r="G11" i="11" s="1"/>
  <c r="D14" i="11"/>
  <c r="X117" i="11"/>
  <c r="U118" i="11" s="1"/>
  <c r="X118" i="11" s="1"/>
  <c r="U119" i="11" s="1"/>
  <c r="X119" i="11" s="1"/>
  <c r="U120" i="11" s="1"/>
  <c r="X120" i="11" s="1"/>
  <c r="U121" i="11" s="1"/>
  <c r="X121" i="11" s="1"/>
  <c r="U122" i="11" s="1"/>
  <c r="X122" i="11" s="1"/>
  <c r="U123" i="11" s="1"/>
  <c r="X123" i="11" s="1"/>
  <c r="U124" i="11" s="1"/>
  <c r="X124" i="11" s="1"/>
  <c r="U125" i="11" s="1"/>
  <c r="X125" i="11" s="1"/>
  <c r="U126" i="11" s="1"/>
  <c r="X126" i="11" s="1"/>
  <c r="U127" i="11" s="1"/>
  <c r="X127" i="11" s="1"/>
  <c r="U128" i="11" s="1"/>
  <c r="X128" i="11" s="1"/>
  <c r="U129" i="11" s="1"/>
  <c r="X129" i="11" s="1"/>
  <c r="U130" i="11" s="1"/>
  <c r="X130" i="11" s="1"/>
  <c r="U131" i="11" s="1"/>
  <c r="X131" i="11" s="1"/>
  <c r="U132" i="11" s="1"/>
  <c r="X132" i="11" s="1"/>
  <c r="U133" i="11" s="1"/>
  <c r="X133" i="11" s="1"/>
  <c r="U134" i="11" s="1"/>
  <c r="X134" i="11" s="1"/>
  <c r="U135" i="11" s="1"/>
  <c r="X135" i="11" s="1"/>
  <c r="U136" i="11" s="1"/>
  <c r="X136" i="11" s="1"/>
  <c r="U137" i="11" s="1"/>
  <c r="X137" i="11" s="1"/>
  <c r="U138" i="11" s="1"/>
  <c r="X138" i="11" s="1"/>
  <c r="U139" i="11" s="1"/>
  <c r="X139" i="11" s="1"/>
  <c r="U140" i="11" s="1"/>
  <c r="X140" i="11" s="1"/>
  <c r="U141" i="11" s="1"/>
  <c r="X141" i="11" s="1"/>
  <c r="U142" i="11" s="1"/>
  <c r="X142" i="11" s="1"/>
  <c r="U143" i="11" s="1"/>
  <c r="X143" i="11" s="1"/>
  <c r="U144" i="11" s="1"/>
  <c r="X144" i="11" s="1"/>
  <c r="U145" i="11" s="1"/>
  <c r="X145" i="11" s="1"/>
  <c r="U146" i="11" s="1"/>
  <c r="X146" i="11" s="1"/>
  <c r="U147" i="11" s="1"/>
  <c r="X147" i="11" s="1"/>
  <c r="U148" i="11" s="1"/>
  <c r="X148" i="11" s="1"/>
  <c r="U149" i="11" s="1"/>
  <c r="X149" i="11" s="1"/>
  <c r="U150" i="11" s="1"/>
  <c r="X150" i="11" s="1"/>
  <c r="U151" i="11" s="1"/>
  <c r="X151" i="11" s="1"/>
  <c r="U152" i="11" s="1"/>
  <c r="X152" i="11" s="1"/>
  <c r="U153" i="11" s="1"/>
  <c r="X153" i="11" s="1"/>
  <c r="U154" i="11" s="1"/>
  <c r="X154" i="11" s="1"/>
  <c r="U155" i="11" s="1"/>
  <c r="X155" i="11" s="1"/>
  <c r="U156" i="11" s="1"/>
  <c r="X156" i="11" s="1"/>
  <c r="U157" i="11" s="1"/>
  <c r="X157" i="11" s="1"/>
  <c r="U158" i="11" s="1"/>
  <c r="X158" i="11" s="1"/>
  <c r="U159" i="11" s="1"/>
  <c r="X159" i="11" s="1"/>
  <c r="U160" i="11" s="1"/>
  <c r="X160" i="11" s="1"/>
  <c r="U161" i="11" s="1"/>
  <c r="X161" i="11" s="1"/>
  <c r="U162" i="11" s="1"/>
  <c r="X162" i="11" s="1"/>
  <c r="U163" i="11" s="1"/>
  <c r="X163" i="11" s="1"/>
  <c r="U164" i="11" s="1"/>
  <c r="X164" i="11" s="1"/>
  <c r="U165" i="11" s="1"/>
  <c r="X165" i="11" s="1"/>
  <c r="U166" i="11" s="1"/>
  <c r="X166" i="11" s="1"/>
  <c r="U167" i="11" s="1"/>
  <c r="X167" i="11" s="1"/>
  <c r="U168" i="11" s="1"/>
  <c r="X168" i="11" s="1"/>
  <c r="U169" i="11" s="1"/>
  <c r="X169" i="11" s="1"/>
  <c r="U170" i="11" s="1"/>
  <c r="X170" i="11" s="1"/>
  <c r="U171" i="11" s="1"/>
  <c r="X171" i="11" s="1"/>
  <c r="U172" i="11" s="1"/>
  <c r="X172" i="11" s="1"/>
  <c r="U173" i="11" s="1"/>
  <c r="X173" i="11" s="1"/>
  <c r="U174" i="11" s="1"/>
  <c r="X174" i="11" s="1"/>
  <c r="U175" i="11" s="1"/>
  <c r="X175" i="11" s="1"/>
  <c r="U176" i="11" s="1"/>
  <c r="X176" i="11" s="1"/>
  <c r="U177" i="11" s="1"/>
  <c r="X177" i="11" s="1"/>
  <c r="U178" i="11" s="1"/>
  <c r="X178" i="11" s="1"/>
  <c r="U179" i="11" s="1"/>
  <c r="X179" i="11" s="1"/>
  <c r="U180" i="11" s="1"/>
  <c r="X180" i="11" s="1"/>
  <c r="U181" i="11" s="1"/>
  <c r="X181" i="11" s="1"/>
  <c r="U182" i="11" s="1"/>
  <c r="X182" i="11" s="1"/>
  <c r="U183" i="11" s="1"/>
  <c r="X183" i="11" s="1"/>
  <c r="U184" i="11" s="1"/>
  <c r="X184" i="11" s="1"/>
  <c r="U185" i="11" s="1"/>
  <c r="X185" i="11" s="1"/>
  <c r="U186" i="11" s="1"/>
  <c r="X186" i="11" s="1"/>
  <c r="U187" i="11" s="1"/>
  <c r="X187" i="11" s="1"/>
  <c r="U188" i="11" s="1"/>
  <c r="X188" i="11" s="1"/>
  <c r="U189" i="11" s="1"/>
  <c r="X189" i="11" s="1"/>
  <c r="I42" i="2"/>
  <c r="I77" i="2"/>
  <c r="I119" i="2"/>
  <c r="I168" i="2"/>
  <c r="D52" i="11"/>
  <c r="G52" i="11" s="1"/>
  <c r="D53" i="11" s="1"/>
  <c r="G53" i="11" s="1"/>
  <c r="D54" i="11" s="1"/>
  <c r="G84" i="11"/>
  <c r="D85" i="11" s="1"/>
  <c r="G85" i="11" s="1"/>
  <c r="D86" i="11" s="1"/>
  <c r="G86" i="11" s="1"/>
  <c r="D87" i="11" s="1"/>
  <c r="G87" i="11" s="1"/>
  <c r="D88" i="11" s="1"/>
  <c r="G88" i="11" s="1"/>
  <c r="D89" i="11" s="1"/>
  <c r="G89" i="11" s="1"/>
  <c r="D90" i="11" s="1"/>
  <c r="G90" i="11" s="1"/>
  <c r="D91" i="11" s="1"/>
  <c r="G91" i="11" s="1"/>
  <c r="D92" i="11" s="1"/>
  <c r="G92" i="11" s="1"/>
  <c r="D93" i="11" s="1"/>
  <c r="G93" i="11" s="1"/>
  <c r="D94" i="11" s="1"/>
  <c r="G94" i="11" s="1"/>
  <c r="D95" i="11" s="1"/>
  <c r="G95" i="11" s="1"/>
  <c r="D96" i="11" s="1"/>
  <c r="G96" i="11" s="1"/>
  <c r="D97" i="11" s="1"/>
  <c r="G97" i="11" s="1"/>
  <c r="D98" i="11" s="1"/>
  <c r="G98" i="11" s="1"/>
  <c r="D99" i="11" s="1"/>
  <c r="G99" i="11" s="1"/>
  <c r="D100" i="11" s="1"/>
  <c r="G100" i="11" s="1"/>
  <c r="D101" i="11" s="1"/>
  <c r="G101" i="11" s="1"/>
  <c r="D102" i="11" s="1"/>
  <c r="G102" i="11" s="1"/>
  <c r="D103" i="11" s="1"/>
  <c r="G103" i="11" s="1"/>
  <c r="D104" i="11" s="1"/>
  <c r="G104" i="11" s="1"/>
  <c r="D105" i="11" s="1"/>
  <c r="G105" i="11" s="1"/>
  <c r="D106" i="11" s="1"/>
  <c r="G106" i="11" s="1"/>
  <c r="D107" i="11" s="1"/>
  <c r="G107" i="11" s="1"/>
  <c r="D108" i="11" s="1"/>
  <c r="G108" i="11" s="1"/>
  <c r="D109" i="11" s="1"/>
  <c r="G109" i="11" s="1"/>
  <c r="D110" i="11" s="1"/>
  <c r="G110" i="11" s="1"/>
  <c r="D111" i="11" s="1"/>
  <c r="G111" i="11" s="1"/>
  <c r="D112" i="11" s="1"/>
  <c r="G112" i="11" s="1"/>
  <c r="D113" i="11" s="1"/>
  <c r="G113" i="11" s="1"/>
  <c r="D114" i="11" s="1"/>
  <c r="G114" i="11" s="1"/>
  <c r="D115" i="11" s="1"/>
  <c r="G115" i="11" s="1"/>
  <c r="D116" i="11" s="1"/>
  <c r="G116" i="11" s="1"/>
  <c r="D117" i="11" s="1"/>
  <c r="K11" i="20" l="1"/>
  <c r="K61" i="20"/>
  <c r="K73" i="20" s="1"/>
  <c r="K62" i="20"/>
  <c r="I62" i="20"/>
  <c r="J62" i="20"/>
  <c r="K11" i="19"/>
  <c r="M25" i="19"/>
  <c r="M37" i="19" s="1"/>
  <c r="K25" i="19"/>
  <c r="K37" i="19" s="1"/>
  <c r="N393" i="2"/>
  <c r="V343" i="2"/>
  <c r="D13" i="19"/>
  <c r="Z361" i="24"/>
  <c r="AB360" i="24"/>
  <c r="AZ5" i="5"/>
  <c r="AZ6" i="5" s="1"/>
  <c r="AZ7" i="5" s="1"/>
  <c r="AZ8" i="5" s="1"/>
  <c r="AZ9" i="5" s="1"/>
  <c r="AZ10" i="5" s="1"/>
  <c r="AZ11" i="5" s="1"/>
  <c r="AZ12" i="5" s="1"/>
  <c r="AZ13" i="5" s="1"/>
  <c r="AZ14" i="5" s="1"/>
  <c r="AZ15" i="5" s="1"/>
  <c r="AZ16" i="5" s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AZ122" i="5" s="1"/>
  <c r="AZ123" i="5" s="1"/>
  <c r="AZ124" i="5" s="1"/>
  <c r="AZ125" i="5" s="1"/>
  <c r="AZ126" i="5" s="1"/>
  <c r="AZ127" i="5" s="1"/>
  <c r="AZ128" i="5" s="1"/>
  <c r="AZ129" i="5" s="1"/>
  <c r="AZ130" i="5" s="1"/>
  <c r="AZ131" i="5" s="1"/>
  <c r="AZ132" i="5" s="1"/>
  <c r="AZ133" i="5" s="1"/>
  <c r="AZ134" i="5" s="1"/>
  <c r="AZ135" i="5" s="1"/>
  <c r="AZ136" i="5" s="1"/>
  <c r="AZ137" i="5" s="1"/>
  <c r="AZ138" i="5" s="1"/>
  <c r="AZ139" i="5" s="1"/>
  <c r="AZ140" i="5" s="1"/>
  <c r="AZ141" i="5" s="1"/>
  <c r="AZ142" i="5" s="1"/>
  <c r="AZ143" i="5" s="1"/>
  <c r="AZ144" i="5" s="1"/>
  <c r="AZ145" i="5" s="1"/>
  <c r="AZ146" i="5" s="1"/>
  <c r="AZ147" i="5" s="1"/>
  <c r="AZ148" i="5" s="1"/>
  <c r="AZ149" i="5" s="1"/>
  <c r="AZ150" i="5" s="1"/>
  <c r="AZ151" i="5" s="1"/>
  <c r="AZ152" i="5" s="1"/>
  <c r="AZ153" i="5" s="1"/>
  <c r="AZ154" i="5" s="1"/>
  <c r="AZ155" i="5" s="1"/>
  <c r="AZ156" i="5" s="1"/>
  <c r="AZ157" i="5" s="1"/>
  <c r="AZ158" i="5" s="1"/>
  <c r="AZ159" i="5" s="1"/>
  <c r="AZ160" i="5" s="1"/>
  <c r="AZ161" i="5" s="1"/>
  <c r="AZ162" i="5" s="1"/>
  <c r="AZ163" i="5" s="1"/>
  <c r="AZ164" i="5" s="1"/>
  <c r="AZ165" i="5" s="1"/>
  <c r="AZ166" i="5" s="1"/>
  <c r="AZ167" i="5" s="1"/>
  <c r="AZ168" i="5" s="1"/>
  <c r="AZ169" i="5" s="1"/>
  <c r="AZ170" i="5" s="1"/>
  <c r="AZ171" i="5" s="1"/>
  <c r="AZ172" i="5" s="1"/>
  <c r="AZ173" i="5" s="1"/>
  <c r="AZ174" i="5" s="1"/>
  <c r="AZ175" i="5" s="1"/>
  <c r="AZ176" i="5" s="1"/>
  <c r="AZ177" i="5" s="1"/>
  <c r="AZ178" i="5" s="1"/>
  <c r="AZ179" i="5" s="1"/>
  <c r="AZ180" i="5" s="1"/>
  <c r="AZ181" i="5" s="1"/>
  <c r="AZ182" i="5" s="1"/>
  <c r="AZ183" i="5" s="1"/>
  <c r="AZ184" i="5" s="1"/>
  <c r="AZ185" i="5" s="1"/>
  <c r="AZ186" i="5" s="1"/>
  <c r="AZ187" i="5" s="1"/>
  <c r="AZ188" i="5" s="1"/>
  <c r="AZ189" i="5" s="1"/>
  <c r="AZ190" i="5" s="1"/>
  <c r="AZ191" i="5" s="1"/>
  <c r="AZ192" i="5" s="1"/>
  <c r="AZ193" i="5" s="1"/>
  <c r="AZ194" i="5" s="1"/>
  <c r="AZ195" i="5" s="1"/>
  <c r="AZ196" i="5" s="1"/>
  <c r="AZ197" i="5" s="1"/>
  <c r="AZ198" i="5" s="1"/>
  <c r="AZ199" i="5" s="1"/>
  <c r="AZ200" i="5" s="1"/>
  <c r="AZ201" i="5" s="1"/>
  <c r="AZ202" i="5" s="1"/>
  <c r="AZ203" i="5" s="1"/>
  <c r="AZ204" i="5" s="1"/>
  <c r="AZ205" i="5" s="1"/>
  <c r="AZ206" i="5" s="1"/>
  <c r="AZ207" i="5" s="1"/>
  <c r="AZ208" i="5" s="1"/>
  <c r="AZ209" i="5" s="1"/>
  <c r="AZ210" i="5" s="1"/>
  <c r="AZ211" i="5" s="1"/>
  <c r="AZ212" i="5" s="1"/>
  <c r="AZ213" i="5" s="1"/>
  <c r="AZ214" i="5" s="1"/>
  <c r="AZ215" i="5" s="1"/>
  <c r="AZ216" i="5" s="1"/>
  <c r="AZ217" i="5" s="1"/>
  <c r="AZ218" i="5" s="1"/>
  <c r="AZ219" i="5" s="1"/>
  <c r="AZ220" i="5" s="1"/>
  <c r="AZ221" i="5" s="1"/>
  <c r="AZ222" i="5" s="1"/>
  <c r="AZ223" i="5" s="1"/>
  <c r="AZ224" i="5" s="1"/>
  <c r="AZ225" i="5" s="1"/>
  <c r="AZ226" i="5" s="1"/>
  <c r="AZ227" i="5" s="1"/>
  <c r="AZ228" i="5" s="1"/>
  <c r="AZ229" i="5" s="1"/>
  <c r="AZ230" i="5" s="1"/>
  <c r="AZ231" i="5" s="1"/>
  <c r="AZ232" i="5" s="1"/>
  <c r="AZ233" i="5" s="1"/>
  <c r="AZ234" i="5" s="1"/>
  <c r="AZ235" i="5" s="1"/>
  <c r="AZ236" i="5" s="1"/>
  <c r="AZ237" i="5" s="1"/>
  <c r="AZ238" i="5" s="1"/>
  <c r="AZ239" i="5" s="1"/>
  <c r="AZ240" i="5" s="1"/>
  <c r="AZ241" i="5" s="1"/>
  <c r="AZ242" i="5" s="1"/>
  <c r="AZ243" i="5" s="1"/>
  <c r="AZ244" i="5" s="1"/>
  <c r="AZ245" i="5" s="1"/>
  <c r="AZ246" i="5" s="1"/>
  <c r="AZ247" i="5" s="1"/>
  <c r="AZ248" i="5" s="1"/>
  <c r="AZ249" i="5" s="1"/>
  <c r="AZ250" i="5" s="1"/>
  <c r="AZ251" i="5" s="1"/>
  <c r="AZ252" i="5" s="1"/>
  <c r="AZ253" i="5" s="1"/>
  <c r="AZ254" i="5" s="1"/>
  <c r="AZ255" i="5" s="1"/>
  <c r="AZ256" i="5" s="1"/>
  <c r="AZ257" i="5" s="1"/>
  <c r="AZ258" i="5" s="1"/>
  <c r="AZ259" i="5" s="1"/>
  <c r="AZ260" i="5" s="1"/>
  <c r="AZ261" i="5" s="1"/>
  <c r="AZ262" i="5" s="1"/>
  <c r="AZ263" i="5" s="1"/>
  <c r="AZ264" i="5" s="1"/>
  <c r="AZ265" i="5" s="1"/>
  <c r="AZ266" i="5" s="1"/>
  <c r="AZ267" i="5" s="1"/>
  <c r="AZ268" i="5" s="1"/>
  <c r="AZ269" i="5" s="1"/>
  <c r="AZ270" i="5" s="1"/>
  <c r="AZ271" i="5" s="1"/>
  <c r="AZ272" i="5" s="1"/>
  <c r="AZ273" i="5" s="1"/>
  <c r="AZ274" i="5" s="1"/>
  <c r="AZ275" i="5" s="1"/>
  <c r="AZ276" i="5" s="1"/>
  <c r="AZ277" i="5" s="1"/>
  <c r="AZ278" i="5" s="1"/>
  <c r="AZ279" i="5" s="1"/>
  <c r="AZ280" i="5" s="1"/>
  <c r="AZ281" i="5" s="1"/>
  <c r="AZ282" i="5" s="1"/>
  <c r="AZ283" i="5" s="1"/>
  <c r="AZ284" i="5" s="1"/>
  <c r="AZ285" i="5" s="1"/>
  <c r="AZ286" i="5" s="1"/>
  <c r="AZ287" i="5" s="1"/>
  <c r="AZ288" i="5" s="1"/>
  <c r="AZ289" i="5" s="1"/>
  <c r="AZ290" i="5" s="1"/>
  <c r="AZ291" i="5" s="1"/>
  <c r="AZ292" i="5" s="1"/>
  <c r="AZ293" i="5" s="1"/>
  <c r="AZ294" i="5" s="1"/>
  <c r="AZ295" i="5" s="1"/>
  <c r="AZ296" i="5" s="1"/>
  <c r="AZ297" i="5" s="1"/>
  <c r="AZ298" i="5" s="1"/>
  <c r="AZ299" i="5" s="1"/>
  <c r="AZ300" i="5" s="1"/>
  <c r="AZ301" i="5" s="1"/>
  <c r="AZ302" i="5" s="1"/>
  <c r="AZ303" i="5" s="1"/>
  <c r="AZ304" i="5" s="1"/>
  <c r="AZ305" i="5" s="1"/>
  <c r="AZ306" i="5" s="1"/>
  <c r="AZ307" i="5" s="1"/>
  <c r="AZ308" i="5" s="1"/>
  <c r="AZ309" i="5" s="1"/>
  <c r="AZ310" i="5" s="1"/>
  <c r="AZ311" i="5" s="1"/>
  <c r="AZ312" i="5" s="1"/>
  <c r="AZ313" i="5" s="1"/>
  <c r="AZ314" i="5" s="1"/>
  <c r="AZ315" i="5" s="1"/>
  <c r="AZ316" i="5" s="1"/>
  <c r="AZ317" i="5" s="1"/>
  <c r="AZ318" i="5" s="1"/>
  <c r="AZ319" i="5" s="1"/>
  <c r="AZ320" i="5" s="1"/>
  <c r="AZ321" i="5" s="1"/>
  <c r="AZ322" i="5" s="1"/>
  <c r="AZ323" i="5" s="1"/>
  <c r="AZ324" i="5" s="1"/>
  <c r="AZ325" i="5" s="1"/>
  <c r="AZ326" i="5" s="1"/>
  <c r="AZ327" i="5" s="1"/>
  <c r="AZ328" i="5" s="1"/>
  <c r="AZ329" i="5" s="1"/>
  <c r="AZ330" i="5" s="1"/>
  <c r="AZ331" i="5" s="1"/>
  <c r="AZ332" i="5" s="1"/>
  <c r="AZ333" i="5" s="1"/>
  <c r="AZ334" i="5" s="1"/>
  <c r="AZ335" i="5" s="1"/>
  <c r="AZ336" i="5" s="1"/>
  <c r="AZ337" i="5" s="1"/>
  <c r="AZ338" i="5" s="1"/>
  <c r="AZ339" i="5" s="1"/>
  <c r="AZ340" i="5" s="1"/>
  <c r="AZ341" i="5" s="1"/>
  <c r="AZ342" i="5" s="1"/>
  <c r="AZ343" i="5" s="1"/>
  <c r="AZ344" i="5" s="1"/>
  <c r="AZ345" i="5" s="1"/>
  <c r="AZ346" i="5" s="1"/>
  <c r="AZ347" i="5" s="1"/>
  <c r="AZ348" i="5" s="1"/>
  <c r="AZ349" i="5" s="1"/>
  <c r="AZ350" i="5" s="1"/>
  <c r="AZ351" i="5" s="1"/>
  <c r="AZ352" i="5" s="1"/>
  <c r="AZ353" i="5" s="1"/>
  <c r="AZ354" i="5" s="1"/>
  <c r="AZ355" i="5" s="1"/>
  <c r="AZ356" i="5" s="1"/>
  <c r="AZ357" i="5" s="1"/>
  <c r="AZ358" i="5" s="1"/>
  <c r="AZ359" i="5" s="1"/>
  <c r="AZ360" i="5" s="1"/>
  <c r="AZ361" i="5" s="1"/>
  <c r="AZ362" i="5" s="1"/>
  <c r="AZ363" i="5" s="1"/>
  <c r="AZ364" i="5" s="1"/>
  <c r="AZ365" i="5" s="1"/>
  <c r="AZ366" i="5" s="1"/>
  <c r="AZ367" i="5" s="1"/>
  <c r="AZ368" i="5" s="1"/>
  <c r="AZ369" i="5" s="1"/>
  <c r="B14" i="29"/>
  <c r="D15" i="29"/>
  <c r="C15" i="29"/>
  <c r="E14" i="29"/>
  <c r="D95" i="20"/>
  <c r="U346" i="2"/>
  <c r="G6" i="5"/>
  <c r="BW6" i="5" s="1"/>
  <c r="BA5" i="5"/>
  <c r="CA5" i="5" s="1"/>
  <c r="H6" i="5"/>
  <c r="BY6" i="5" s="1"/>
  <c r="H227" i="11"/>
  <c r="H228" i="11" s="1"/>
  <c r="H229" i="11" s="1"/>
  <c r="H230" i="11" s="1"/>
  <c r="H231" i="11" s="1"/>
  <c r="H232" i="11" s="1"/>
  <c r="H233" i="11" s="1"/>
  <c r="H234" i="11" s="1"/>
  <c r="H235" i="11" s="1"/>
  <c r="H236" i="11" s="1"/>
  <c r="H237" i="11" s="1"/>
  <c r="H238" i="11" s="1"/>
  <c r="H239" i="11" s="1"/>
  <c r="H240" i="11" s="1"/>
  <c r="H241" i="11" s="1"/>
  <c r="H242" i="11" s="1"/>
  <c r="H243" i="11" s="1"/>
  <c r="H244" i="11" s="1"/>
  <c r="H245" i="11" s="1"/>
  <c r="H246" i="11" s="1"/>
  <c r="H247" i="11" s="1"/>
  <c r="H248" i="11" s="1"/>
  <c r="H249" i="11" s="1"/>
  <c r="H250" i="11" s="1"/>
  <c r="H251" i="11" s="1"/>
  <c r="H252" i="11" s="1"/>
  <c r="H253" i="11" s="1"/>
  <c r="H254" i="11" s="1"/>
  <c r="H255" i="11" s="1"/>
  <c r="H256" i="11" s="1"/>
  <c r="H257" i="11" s="1"/>
  <c r="H258" i="11" s="1"/>
  <c r="H259" i="11" s="1"/>
  <c r="H260" i="11" s="1"/>
  <c r="H261" i="11" s="1"/>
  <c r="H262" i="11" s="1"/>
  <c r="H263" i="11" s="1"/>
  <c r="H264" i="11" s="1"/>
  <c r="H265" i="11" s="1"/>
  <c r="H266" i="11" s="1"/>
  <c r="H267" i="11" s="1"/>
  <c r="H268" i="11" s="1"/>
  <c r="H269" i="11" s="1"/>
  <c r="H270" i="11" s="1"/>
  <c r="H271" i="11" s="1"/>
  <c r="H272" i="11" s="1"/>
  <c r="H273" i="11" s="1"/>
  <c r="H274" i="11" s="1"/>
  <c r="H275" i="11" s="1"/>
  <c r="H276" i="11" s="1"/>
  <c r="H277" i="11" s="1"/>
  <c r="H278" i="11" s="1"/>
  <c r="H279" i="11" s="1"/>
  <c r="H280" i="11" s="1"/>
  <c r="H281" i="11" s="1"/>
  <c r="H282" i="11" s="1"/>
  <c r="H283" i="11" s="1"/>
  <c r="H284" i="11" s="1"/>
  <c r="H285" i="11" s="1"/>
  <c r="H286" i="11" s="1"/>
  <c r="H287" i="11" s="1"/>
  <c r="H288" i="11" s="1"/>
  <c r="H289" i="11" s="1"/>
  <c r="H290" i="11" s="1"/>
  <c r="H291" i="11" s="1"/>
  <c r="H292" i="11" s="1"/>
  <c r="H293" i="11" s="1"/>
  <c r="H294" i="11" s="1"/>
  <c r="H295" i="11" s="1"/>
  <c r="H296" i="11" s="1"/>
  <c r="H297" i="11" s="1"/>
  <c r="H298" i="11" s="1"/>
  <c r="H299" i="11" s="1"/>
  <c r="H300" i="11" s="1"/>
  <c r="H301" i="11" s="1"/>
  <c r="H302" i="11" s="1"/>
  <c r="H303" i="11" s="1"/>
  <c r="H304" i="11" s="1"/>
  <c r="H305" i="11" s="1"/>
  <c r="H306" i="11" s="1"/>
  <c r="H307" i="11" s="1"/>
  <c r="H308" i="11" s="1"/>
  <c r="H309" i="11" s="1"/>
  <c r="H310" i="11" s="1"/>
  <c r="H311" i="11" s="1"/>
  <c r="H312" i="11" s="1"/>
  <c r="H313" i="11" s="1"/>
  <c r="H314" i="11" s="1"/>
  <c r="H315" i="11" s="1"/>
  <c r="H316" i="11" s="1"/>
  <c r="H317" i="11" s="1"/>
  <c r="H318" i="11" s="1"/>
  <c r="H319" i="11" s="1"/>
  <c r="H320" i="11" s="1"/>
  <c r="H321" i="11" s="1"/>
  <c r="H322" i="11" s="1"/>
  <c r="H323" i="11" s="1"/>
  <c r="H324" i="11" s="1"/>
  <c r="H325" i="11" s="1"/>
  <c r="H326" i="11" s="1"/>
  <c r="H327" i="11" s="1"/>
  <c r="H328" i="11" s="1"/>
  <c r="H329" i="11" s="1"/>
  <c r="H330" i="11" s="1"/>
  <c r="H331" i="11" s="1"/>
  <c r="H332" i="11" s="1"/>
  <c r="H333" i="11" s="1"/>
  <c r="H334" i="11" s="1"/>
  <c r="H335" i="11" s="1"/>
  <c r="H336" i="11" s="1"/>
  <c r="H337" i="11" s="1"/>
  <c r="H338" i="11" s="1"/>
  <c r="H339" i="11" s="1"/>
  <c r="H340" i="11" s="1"/>
  <c r="H341" i="11" s="1"/>
  <c r="H342" i="11" s="1"/>
  <c r="H343" i="11" s="1"/>
  <c r="H344" i="11" s="1"/>
  <c r="H345" i="11" s="1"/>
  <c r="H346" i="11" s="1"/>
  <c r="H347" i="11" s="1"/>
  <c r="H348" i="11" s="1"/>
  <c r="H349" i="11" s="1"/>
  <c r="H350" i="11" s="1"/>
  <c r="H351" i="11" s="1"/>
  <c r="H352" i="11" s="1"/>
  <c r="H353" i="11" s="1"/>
  <c r="H354" i="11" s="1"/>
  <c r="H355" i="11" s="1"/>
  <c r="H356" i="11" s="1"/>
  <c r="H357" i="11" s="1"/>
  <c r="H358" i="11" s="1"/>
  <c r="H359" i="11" s="1"/>
  <c r="H360" i="11" s="1"/>
  <c r="H361" i="11" s="1"/>
  <c r="H362" i="11" s="1"/>
  <c r="H363" i="11" s="1"/>
  <c r="H364" i="11" s="1"/>
  <c r="H365" i="11" s="1"/>
  <c r="H366" i="11" s="1"/>
  <c r="H367" i="11" s="1"/>
  <c r="H368" i="11" s="1"/>
  <c r="H369" i="11" s="1"/>
  <c r="H370" i="11" s="1"/>
  <c r="H371" i="11" s="1"/>
  <c r="H372" i="11" s="1"/>
  <c r="H373" i="11" s="1"/>
  <c r="H374" i="11" s="1"/>
  <c r="H375" i="11" s="1"/>
  <c r="H376" i="11" s="1"/>
  <c r="H377" i="11" s="1"/>
  <c r="H378" i="11" s="1"/>
  <c r="H379" i="11" s="1"/>
  <c r="H380" i="11" s="1"/>
  <c r="H381" i="11" s="1"/>
  <c r="H382" i="11" s="1"/>
  <c r="H383" i="11" s="1"/>
  <c r="H384" i="11" s="1"/>
  <c r="H385" i="11" s="1"/>
  <c r="H386" i="11" s="1"/>
  <c r="H387" i="11" s="1"/>
  <c r="H388" i="11" s="1"/>
  <c r="H389" i="11" s="1"/>
  <c r="H390" i="11" s="1"/>
  <c r="H391" i="11" s="1"/>
  <c r="H392" i="11" s="1"/>
  <c r="H393" i="11" s="1"/>
  <c r="H394" i="11" s="1"/>
  <c r="H395" i="11" s="1"/>
  <c r="H396" i="11" s="1"/>
  <c r="H397" i="11" s="1"/>
  <c r="H398" i="11" s="1"/>
  <c r="H399" i="11" s="1"/>
  <c r="H400" i="11" s="1"/>
  <c r="H401" i="11" s="1"/>
  <c r="H402" i="11" s="1"/>
  <c r="H403" i="11" s="1"/>
  <c r="H404" i="11" s="1"/>
  <c r="H405" i="11" s="1"/>
  <c r="H406" i="11" s="1"/>
  <c r="H407" i="11" s="1"/>
  <c r="H408" i="11" s="1"/>
  <c r="H409" i="11" s="1"/>
  <c r="H410" i="11" s="1"/>
  <c r="H411" i="11" s="1"/>
  <c r="H412" i="11" s="1"/>
  <c r="H413" i="11" s="1"/>
  <c r="H414" i="11" s="1"/>
  <c r="H415" i="11" s="1"/>
  <c r="H416" i="11" s="1"/>
  <c r="H417" i="11" s="1"/>
  <c r="H418" i="11" s="1"/>
  <c r="H419" i="11" s="1"/>
  <c r="H420" i="11" s="1"/>
  <c r="H421" i="11" s="1"/>
  <c r="H422" i="11" s="1"/>
  <c r="H423" i="11" s="1"/>
  <c r="H424" i="11" s="1"/>
  <c r="H425" i="11" s="1"/>
  <c r="H426" i="11" s="1"/>
  <c r="H427" i="11" s="1"/>
  <c r="H428" i="11" s="1"/>
  <c r="H429" i="11" s="1"/>
  <c r="H430" i="11" s="1"/>
  <c r="H431" i="11" s="1"/>
  <c r="H432" i="11" s="1"/>
  <c r="H433" i="11" s="1"/>
  <c r="H434" i="11" s="1"/>
  <c r="H435" i="11" s="1"/>
  <c r="H436" i="11" s="1"/>
  <c r="H437" i="11" s="1"/>
  <c r="H438" i="11" s="1"/>
  <c r="H439" i="11" s="1"/>
  <c r="H440" i="11" s="1"/>
  <c r="H441" i="11" s="1"/>
  <c r="H442" i="11" s="1"/>
  <c r="H443" i="11" s="1"/>
  <c r="H444" i="11" s="1"/>
  <c r="H445" i="11" s="1"/>
  <c r="H446" i="11" s="1"/>
  <c r="H447" i="11" s="1"/>
  <c r="H448" i="11" s="1"/>
  <c r="H449" i="11" s="1"/>
  <c r="H450" i="11" s="1"/>
  <c r="H451" i="11" s="1"/>
  <c r="H452" i="11" s="1"/>
  <c r="H453" i="11" s="1"/>
  <c r="H454" i="11" s="1"/>
  <c r="H455" i="11" s="1"/>
  <c r="H456" i="11" s="1"/>
  <c r="H457" i="11" s="1"/>
  <c r="H458" i="11" s="1"/>
  <c r="H459" i="11" s="1"/>
  <c r="H460" i="11" s="1"/>
  <c r="H461" i="11" s="1"/>
  <c r="H462" i="11" s="1"/>
  <c r="H463" i="11" s="1"/>
  <c r="H464" i="11" s="1"/>
  <c r="H465" i="11" s="1"/>
  <c r="H466" i="11" s="1"/>
  <c r="H467" i="11" s="1"/>
  <c r="H468" i="11" s="1"/>
  <c r="H469" i="11" s="1"/>
  <c r="H470" i="11" s="1"/>
  <c r="H471" i="11" s="1"/>
  <c r="H472" i="11" s="1"/>
  <c r="H473" i="11" s="1"/>
  <c r="H474" i="11" s="1"/>
  <c r="H475" i="11" s="1"/>
  <c r="H476" i="11" s="1"/>
  <c r="H477" i="11" s="1"/>
  <c r="H478" i="11" s="1"/>
  <c r="H479" i="11" s="1"/>
  <c r="H480" i="11" s="1"/>
  <c r="H481" i="11" s="1"/>
  <c r="H482" i="11" s="1"/>
  <c r="H483" i="11" s="1"/>
  <c r="H484" i="11" s="1"/>
  <c r="H485" i="11" s="1"/>
  <c r="H486" i="11" s="1"/>
  <c r="D20" i="11"/>
  <c r="G20" i="11" s="1"/>
  <c r="D21" i="11" s="1"/>
  <c r="G21" i="11" s="1"/>
  <c r="U190" i="11"/>
  <c r="X190" i="11" s="1"/>
  <c r="U191" i="11" s="1"/>
  <c r="X191" i="11" s="1"/>
  <c r="U192" i="11" s="1"/>
  <c r="X192" i="11" s="1"/>
  <c r="U193" i="11" s="1"/>
  <c r="X193" i="11" s="1"/>
  <c r="U194" i="11" s="1"/>
  <c r="X194" i="11" s="1"/>
  <c r="U195" i="11" s="1"/>
  <c r="X195" i="11" s="1"/>
  <c r="U196" i="11" s="1"/>
  <c r="X196" i="11" s="1"/>
  <c r="U197" i="11" s="1"/>
  <c r="X197" i="11" s="1"/>
  <c r="U198" i="11" s="1"/>
  <c r="X198" i="11" s="1"/>
  <c r="U199" i="11" s="1"/>
  <c r="X199" i="11" s="1"/>
  <c r="U200" i="11" s="1"/>
  <c r="X200" i="11" s="1"/>
  <c r="U201" i="11" s="1"/>
  <c r="X201" i="11" s="1"/>
  <c r="U202" i="11" s="1"/>
  <c r="X202" i="11" s="1"/>
  <c r="U203" i="11" s="1"/>
  <c r="X203" i="11" s="1"/>
  <c r="U204" i="11" s="1"/>
  <c r="X204" i="11" s="1"/>
  <c r="U205" i="11" s="1"/>
  <c r="X205" i="11" s="1"/>
  <c r="U206" i="11" s="1"/>
  <c r="X206" i="11" s="1"/>
  <c r="U207" i="11" s="1"/>
  <c r="X207" i="11" s="1"/>
  <c r="U208" i="11" s="1"/>
  <c r="X208" i="11" s="1"/>
  <c r="U209" i="11" s="1"/>
  <c r="X209" i="11" s="1"/>
  <c r="U210" i="11" s="1"/>
  <c r="X210" i="11" s="1"/>
  <c r="U211" i="11" s="1"/>
  <c r="X211" i="11" s="1"/>
  <c r="U212" i="11" s="1"/>
  <c r="X212" i="11" s="1"/>
  <c r="U213" i="11" s="1"/>
  <c r="X213" i="11" s="1"/>
  <c r="U214" i="11" s="1"/>
  <c r="X214" i="11" s="1"/>
  <c r="U215" i="11" s="1"/>
  <c r="X215" i="11" s="1"/>
  <c r="U216" i="11" s="1"/>
  <c r="X216" i="11" s="1"/>
  <c r="U217" i="11" s="1"/>
  <c r="X217" i="11" s="1"/>
  <c r="U218" i="11" s="1"/>
  <c r="X218" i="11" s="1"/>
  <c r="U219" i="11" s="1"/>
  <c r="X219" i="11" s="1"/>
  <c r="U220" i="11" s="1"/>
  <c r="X220" i="11" s="1"/>
  <c r="U221" i="11" s="1"/>
  <c r="X221" i="11" s="1"/>
  <c r="U222" i="11" s="1"/>
  <c r="X222" i="11" s="1"/>
  <c r="U223" i="11" s="1"/>
  <c r="X223" i="11" s="1"/>
  <c r="U224" i="11" s="1"/>
  <c r="X224" i="11" s="1"/>
  <c r="U225" i="11" s="1"/>
  <c r="X225" i="11" s="1"/>
  <c r="U226" i="11" s="1"/>
  <c r="X226" i="11" s="1"/>
  <c r="U227" i="11" s="1"/>
  <c r="X227" i="11" s="1"/>
  <c r="U228" i="11" s="1"/>
  <c r="X228" i="11" s="1"/>
  <c r="U229" i="11" s="1"/>
  <c r="X229" i="11" s="1"/>
  <c r="U230" i="11" s="1"/>
  <c r="X230" i="11" s="1"/>
  <c r="U231" i="11" s="1"/>
  <c r="X231" i="11" s="1"/>
  <c r="U232" i="11" s="1"/>
  <c r="X232" i="11" s="1"/>
  <c r="U233" i="11" s="1"/>
  <c r="X233" i="11" s="1"/>
  <c r="U234" i="11" s="1"/>
  <c r="X234" i="11" s="1"/>
  <c r="U235" i="11" s="1"/>
  <c r="X235" i="11" s="1"/>
  <c r="U236" i="11" s="1"/>
  <c r="X236" i="11" s="1"/>
  <c r="U237" i="11" s="1"/>
  <c r="X237" i="11" s="1"/>
  <c r="U238" i="11" s="1"/>
  <c r="X238" i="11" s="1"/>
  <c r="U239" i="11" s="1"/>
  <c r="X239" i="11" s="1"/>
  <c r="U240" i="11" s="1"/>
  <c r="X240" i="11" s="1"/>
  <c r="U241" i="11" s="1"/>
  <c r="X241" i="11" s="1"/>
  <c r="U242" i="11" s="1"/>
  <c r="X242" i="11" s="1"/>
  <c r="U243" i="11" s="1"/>
  <c r="X243" i="11" s="1"/>
  <c r="U244" i="11" s="1"/>
  <c r="X244" i="11" s="1"/>
  <c r="U245" i="11" s="1"/>
  <c r="X245" i="11" s="1"/>
  <c r="U246" i="11" s="1"/>
  <c r="X246" i="11" s="1"/>
  <c r="U247" i="11" s="1"/>
  <c r="X247" i="11" s="1"/>
  <c r="U248" i="11" s="1"/>
  <c r="X248" i="11" s="1"/>
  <c r="U249" i="11" s="1"/>
  <c r="X249" i="11" s="1"/>
  <c r="U250" i="11" s="1"/>
  <c r="X250" i="11" s="1"/>
  <c r="U251" i="11" s="1"/>
  <c r="X251" i="11" s="1"/>
  <c r="U252" i="11" s="1"/>
  <c r="X252" i="11" s="1"/>
  <c r="U253" i="11" s="1"/>
  <c r="X253" i="11" s="1"/>
  <c r="U254" i="11" s="1"/>
  <c r="X254" i="11" s="1"/>
  <c r="U255" i="11" s="1"/>
  <c r="X255" i="11" s="1"/>
  <c r="U256" i="11" s="1"/>
  <c r="X256" i="11" s="1"/>
  <c r="U257" i="11" s="1"/>
  <c r="X257" i="11" s="1"/>
  <c r="U258" i="11" s="1"/>
  <c r="X258" i="11" s="1"/>
  <c r="U259" i="11" s="1"/>
  <c r="X259" i="11" s="1"/>
  <c r="U260" i="11" s="1"/>
  <c r="X260" i="11" s="1"/>
  <c r="U261" i="11" s="1"/>
  <c r="X261" i="11" s="1"/>
  <c r="U262" i="11" s="1"/>
  <c r="X262" i="11" s="1"/>
  <c r="U263" i="11" s="1"/>
  <c r="X263" i="11" s="1"/>
  <c r="U264" i="11" s="1"/>
  <c r="X264" i="11" s="1"/>
  <c r="U265" i="11" s="1"/>
  <c r="X265" i="11" s="1"/>
  <c r="U266" i="11" s="1"/>
  <c r="X266" i="11" s="1"/>
  <c r="U267" i="11" s="1"/>
  <c r="X267" i="11" s="1"/>
  <c r="U268" i="11" s="1"/>
  <c r="X268" i="11" s="1"/>
  <c r="U269" i="11" s="1"/>
  <c r="X269" i="11" s="1"/>
  <c r="U270" i="11" s="1"/>
  <c r="X270" i="11" s="1"/>
  <c r="U271" i="11" s="1"/>
  <c r="X271" i="11" s="1"/>
  <c r="U272" i="11" s="1"/>
  <c r="X272" i="11" s="1"/>
  <c r="U273" i="11" s="1"/>
  <c r="X273" i="11" s="1"/>
  <c r="U274" i="11" s="1"/>
  <c r="X274" i="11" s="1"/>
  <c r="U275" i="11" s="1"/>
  <c r="X275" i="11" s="1"/>
  <c r="U276" i="11" s="1"/>
  <c r="X276" i="11" s="1"/>
  <c r="U277" i="11" s="1"/>
  <c r="X277" i="11" s="1"/>
  <c r="U278" i="11" s="1"/>
  <c r="X278" i="11" s="1"/>
  <c r="U279" i="11" s="1"/>
  <c r="X279" i="11" s="1"/>
  <c r="U280" i="11" s="1"/>
  <c r="X280" i="11" s="1"/>
  <c r="U281" i="11" s="1"/>
  <c r="X281" i="11" s="1"/>
  <c r="W282" i="11" s="1"/>
  <c r="I78" i="2"/>
  <c r="I120" i="2"/>
  <c r="I169" i="2"/>
  <c r="I43" i="2"/>
  <c r="O245" i="2"/>
  <c r="A12" i="19"/>
  <c r="H54" i="1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G54" i="11"/>
  <c r="D55" i="11" s="1"/>
  <c r="G55" i="11" s="1"/>
  <c r="D56" i="11" s="1"/>
  <c r="G56" i="11" s="1"/>
  <c r="D57" i="11" s="1"/>
  <c r="G57" i="11" s="1"/>
  <c r="D58" i="11" s="1"/>
  <c r="G58" i="11" s="1"/>
  <c r="D59" i="11" s="1"/>
  <c r="G59" i="11" s="1"/>
  <c r="D60" i="11" s="1"/>
  <c r="G60" i="11" s="1"/>
  <c r="D61" i="11" s="1"/>
  <c r="G61" i="11" s="1"/>
  <c r="D62" i="11" s="1"/>
  <c r="G62" i="11" s="1"/>
  <c r="D63" i="11" s="1"/>
  <c r="G63" i="11" s="1"/>
  <c r="D64" i="11" s="1"/>
  <c r="G64" i="11" s="1"/>
  <c r="D65" i="11" s="1"/>
  <c r="G65" i="11" s="1"/>
  <c r="D66" i="11" s="1"/>
  <c r="G66" i="11" s="1"/>
  <c r="D67" i="11" s="1"/>
  <c r="G67" i="11" s="1"/>
  <c r="D68" i="11" s="1"/>
  <c r="G68" i="11" s="1"/>
  <c r="D69" i="11" s="1"/>
  <c r="G69" i="11" s="1"/>
  <c r="D70" i="11" s="1"/>
  <c r="G70" i="11" s="1"/>
  <c r="D71" i="11" s="1"/>
  <c r="G71" i="11" s="1"/>
  <c r="D72" i="11" s="1"/>
  <c r="G72" i="11" s="1"/>
  <c r="D73" i="11" s="1"/>
  <c r="G73" i="11" s="1"/>
  <c r="D74" i="11" s="1"/>
  <c r="G74" i="11" s="1"/>
  <c r="D75" i="11" s="1"/>
  <c r="G75" i="11" s="1"/>
  <c r="D76" i="11" s="1"/>
  <c r="G76" i="11" s="1"/>
  <c r="D77" i="11" s="1"/>
  <c r="G77" i="11" s="1"/>
  <c r="D78" i="11" s="1"/>
  <c r="G78" i="11" s="1"/>
  <c r="D79" i="11" s="1"/>
  <c r="G79" i="11" s="1"/>
  <c r="D80" i="11" s="1"/>
  <c r="G80" i="11" s="1"/>
  <c r="D81" i="11" s="1"/>
  <c r="G81" i="11" s="1"/>
  <c r="D82" i="11" s="1"/>
  <c r="G82" i="11" s="1"/>
  <c r="D83" i="11" s="1"/>
  <c r="G83" i="11" s="1"/>
  <c r="Y226" i="11"/>
  <c r="Y227" i="11" s="1"/>
  <c r="Y228" i="11" s="1"/>
  <c r="Y229" i="11" s="1"/>
  <c r="Y230" i="11" s="1"/>
  <c r="Y231" i="11" s="1"/>
  <c r="Y232" i="11" s="1"/>
  <c r="Y233" i="11" s="1"/>
  <c r="Y234" i="11" s="1"/>
  <c r="Y235" i="11" s="1"/>
  <c r="Y236" i="11" s="1"/>
  <c r="Y237" i="11" s="1"/>
  <c r="Y238" i="11" s="1"/>
  <c r="Y239" i="11" s="1"/>
  <c r="Y240" i="11" s="1"/>
  <c r="Y241" i="11" s="1"/>
  <c r="Y242" i="11" s="1"/>
  <c r="Y243" i="11" s="1"/>
  <c r="Y244" i="11" s="1"/>
  <c r="Y245" i="11" s="1"/>
  <c r="Y246" i="11" s="1"/>
  <c r="Y247" i="11" s="1"/>
  <c r="Y248" i="11" s="1"/>
  <c r="Y249" i="11" s="1"/>
  <c r="Y250" i="11" s="1"/>
  <c r="Y251" i="11" s="1"/>
  <c r="Y252" i="11" s="1"/>
  <c r="Y253" i="11" s="1"/>
  <c r="Y254" i="11" s="1"/>
  <c r="Y255" i="11" s="1"/>
  <c r="Y256" i="11" s="1"/>
  <c r="Y257" i="11" s="1"/>
  <c r="Y258" i="11" s="1"/>
  <c r="Y259" i="11" s="1"/>
  <c r="Y260" i="11" s="1"/>
  <c r="Y261" i="11" s="1"/>
  <c r="Y262" i="11" s="1"/>
  <c r="Y263" i="11" s="1"/>
  <c r="Y264" i="11" s="1"/>
  <c r="Y265" i="11" s="1"/>
  <c r="Y266" i="11" s="1"/>
  <c r="Y267" i="11" s="1"/>
  <c r="Y268" i="11" s="1"/>
  <c r="Y269" i="11" s="1"/>
  <c r="Y270" i="11" s="1"/>
  <c r="Y271" i="11" s="1"/>
  <c r="Y272" i="11" s="1"/>
  <c r="Y273" i="11" s="1"/>
  <c r="Y274" i="11" s="1"/>
  <c r="Y275" i="11" s="1"/>
  <c r="Y276" i="11" s="1"/>
  <c r="Y277" i="11" s="1"/>
  <c r="Y278" i="11" s="1"/>
  <c r="Y279" i="11" s="1"/>
  <c r="Y280" i="11" s="1"/>
  <c r="Y281" i="11" s="1"/>
  <c r="Y282" i="11" s="1"/>
  <c r="Y283" i="11" s="1"/>
  <c r="Y284" i="11" s="1"/>
  <c r="Y285" i="11" s="1"/>
  <c r="Y286" i="11" s="1"/>
  <c r="Y287" i="11" s="1"/>
  <c r="Y288" i="11" s="1"/>
  <c r="Y289" i="11" s="1"/>
  <c r="Y290" i="11" s="1"/>
  <c r="Y291" i="11" s="1"/>
  <c r="Y292" i="11" s="1"/>
  <c r="Y293" i="11" s="1"/>
  <c r="Y294" i="11" s="1"/>
  <c r="Y295" i="11" s="1"/>
  <c r="Y296" i="11" s="1"/>
  <c r="Y297" i="11" s="1"/>
  <c r="Y298" i="11" s="1"/>
  <c r="Y299" i="11" s="1"/>
  <c r="Y300" i="11" s="1"/>
  <c r="Y301" i="11" s="1"/>
  <c r="Y302" i="11" s="1"/>
  <c r="Y303" i="11" s="1"/>
  <c r="Y304" i="11" s="1"/>
  <c r="Y305" i="11" s="1"/>
  <c r="Y306" i="11" s="1"/>
  <c r="Y307" i="11" s="1"/>
  <c r="Y308" i="11" s="1"/>
  <c r="Y309" i="11" s="1"/>
  <c r="Y310" i="11" s="1"/>
  <c r="Y311" i="11" s="1"/>
  <c r="Y312" i="11" s="1"/>
  <c r="Y313" i="11" s="1"/>
  <c r="Y314" i="11" s="1"/>
  <c r="Y315" i="11" s="1"/>
  <c r="Y316" i="11" s="1"/>
  <c r="Y317" i="11" s="1"/>
  <c r="Y318" i="11" s="1"/>
  <c r="Y319" i="11" s="1"/>
  <c r="Y320" i="11" s="1"/>
  <c r="Y321" i="11" s="1"/>
  <c r="Y322" i="11" s="1"/>
  <c r="Y323" i="11" s="1"/>
  <c r="Y324" i="11" s="1"/>
  <c r="Y325" i="11" s="1"/>
  <c r="Y326" i="11" s="1"/>
  <c r="Y327" i="11" s="1"/>
  <c r="Y328" i="11" s="1"/>
  <c r="Y329" i="11" s="1"/>
  <c r="Y330" i="11" s="1"/>
  <c r="Y331" i="11" s="1"/>
  <c r="Y332" i="11" s="1"/>
  <c r="Y333" i="11" s="1"/>
  <c r="Y334" i="11" s="1"/>
  <c r="Y335" i="11" s="1"/>
  <c r="Y336" i="11" s="1"/>
  <c r="Y337" i="11" s="1"/>
  <c r="Y338" i="11" s="1"/>
  <c r="Y339" i="11" s="1"/>
  <c r="Y340" i="11" s="1"/>
  <c r="Y341" i="11" s="1"/>
  <c r="Y342" i="11" s="1"/>
  <c r="Y343" i="11" s="1"/>
  <c r="Y344" i="11" s="1"/>
  <c r="Y345" i="11" s="1"/>
  <c r="Y346" i="11" s="1"/>
  <c r="Y347" i="11" s="1"/>
  <c r="Y348" i="11" s="1"/>
  <c r="Y349" i="11" s="1"/>
  <c r="Y350" i="11" s="1"/>
  <c r="Y351" i="11" s="1"/>
  <c r="Y352" i="11" s="1"/>
  <c r="Y353" i="11" s="1"/>
  <c r="Y354" i="11" s="1"/>
  <c r="Y355" i="11" s="1"/>
  <c r="Y356" i="11" s="1"/>
  <c r="Y357" i="11" s="1"/>
  <c r="Y358" i="11" s="1"/>
  <c r="Y359" i="11" s="1"/>
  <c r="Y360" i="11" s="1"/>
  <c r="Y361" i="11" s="1"/>
  <c r="Y362" i="11" s="1"/>
  <c r="Y363" i="11" s="1"/>
  <c r="Y364" i="11" s="1"/>
  <c r="Y365" i="11" s="1"/>
  <c r="Y366" i="11" s="1"/>
  <c r="Y367" i="11" s="1"/>
  <c r="Y368" i="11" s="1"/>
  <c r="Y369" i="11" s="1"/>
  <c r="Y370" i="11" s="1"/>
  <c r="Y371" i="11" s="1"/>
  <c r="Y372" i="11" s="1"/>
  <c r="Y373" i="11" s="1"/>
  <c r="Y374" i="11" s="1"/>
  <c r="Y375" i="11" s="1"/>
  <c r="Y376" i="11" s="1"/>
  <c r="Y377" i="11" s="1"/>
  <c r="Y378" i="11" s="1"/>
  <c r="Y379" i="11" s="1"/>
  <c r="Y380" i="11" s="1"/>
  <c r="Y381" i="11" s="1"/>
  <c r="Y382" i="11" s="1"/>
  <c r="Y383" i="11" s="1"/>
  <c r="Y384" i="11" s="1"/>
  <c r="Y385" i="11" s="1"/>
  <c r="Y386" i="11" s="1"/>
  <c r="Y387" i="11" s="1"/>
  <c r="Y388" i="11" s="1"/>
  <c r="Y389" i="11" s="1"/>
  <c r="Y390" i="11" s="1"/>
  <c r="Y391" i="11" s="1"/>
  <c r="Y392" i="11" s="1"/>
  <c r="Y393" i="11" s="1"/>
  <c r="Y394" i="11" s="1"/>
  <c r="Y395" i="11" s="1"/>
  <c r="Y396" i="11" s="1"/>
  <c r="Y397" i="11" s="1"/>
  <c r="Y398" i="11" s="1"/>
  <c r="Y399" i="11" s="1"/>
  <c r="Y400" i="11" s="1"/>
  <c r="Y401" i="11" s="1"/>
  <c r="Y402" i="11" s="1"/>
  <c r="Y403" i="11" s="1"/>
  <c r="Y404" i="11" s="1"/>
  <c r="Y405" i="11" s="1"/>
  <c r="Y406" i="11" s="1"/>
  <c r="Y407" i="11" s="1"/>
  <c r="Y408" i="11" s="1"/>
  <c r="Y409" i="11" s="1"/>
  <c r="Y410" i="11" s="1"/>
  <c r="Y411" i="11" s="1"/>
  <c r="Y412" i="11" s="1"/>
  <c r="Y413" i="11" s="1"/>
  <c r="Y414" i="11" s="1"/>
  <c r="Y415" i="11" s="1"/>
  <c r="Y416" i="11" s="1"/>
  <c r="Y417" i="11" s="1"/>
  <c r="Y418" i="11" s="1"/>
  <c r="Y419" i="11" s="1"/>
  <c r="Y420" i="11" s="1"/>
  <c r="Y421" i="11" s="1"/>
  <c r="Y422" i="11" s="1"/>
  <c r="Y423" i="11" s="1"/>
  <c r="Y424" i="11" s="1"/>
  <c r="Y425" i="11" s="1"/>
  <c r="Y426" i="11" s="1"/>
  <c r="Y427" i="11" s="1"/>
  <c r="Y428" i="11" s="1"/>
  <c r="Y429" i="11" s="1"/>
  <c r="Y430" i="11" s="1"/>
  <c r="Y431" i="11" s="1"/>
  <c r="Y432" i="11" s="1"/>
  <c r="Y433" i="11" s="1"/>
  <c r="Y434" i="11" s="1"/>
  <c r="Y435" i="11" s="1"/>
  <c r="Y436" i="11" s="1"/>
  <c r="Y437" i="11" s="1"/>
  <c r="Y438" i="11" s="1"/>
  <c r="Y439" i="11" s="1"/>
  <c r="Y440" i="11" s="1"/>
  <c r="Y441" i="11" s="1"/>
  <c r="Y442" i="11" s="1"/>
  <c r="Y443" i="11" s="1"/>
  <c r="Y444" i="11" s="1"/>
  <c r="Y445" i="11" s="1"/>
  <c r="Y446" i="11" s="1"/>
  <c r="Y447" i="11" s="1"/>
  <c r="Y448" i="11" s="1"/>
  <c r="Y449" i="11" s="1"/>
  <c r="Y450" i="11" s="1"/>
  <c r="Y451" i="11" s="1"/>
  <c r="Y452" i="11" s="1"/>
  <c r="Y453" i="11" s="1"/>
  <c r="Y454" i="11" s="1"/>
  <c r="Y455" i="11" s="1"/>
  <c r="Y456" i="11" s="1"/>
  <c r="Y457" i="11" s="1"/>
  <c r="Y458" i="11" s="1"/>
  <c r="Y459" i="11" s="1"/>
  <c r="Y460" i="11" s="1"/>
  <c r="Y461" i="11" s="1"/>
  <c r="Y462" i="11" s="1"/>
  <c r="Y463" i="11" s="1"/>
  <c r="Y464" i="11" s="1"/>
  <c r="Y465" i="11" s="1"/>
  <c r="Y466" i="11" s="1"/>
  <c r="Y467" i="11" s="1"/>
  <c r="Y468" i="11" s="1"/>
  <c r="Y469" i="11" s="1"/>
  <c r="Y470" i="11" s="1"/>
  <c r="Y471" i="11" s="1"/>
  <c r="Y472" i="11" s="1"/>
  <c r="Y473" i="11" s="1"/>
  <c r="Y474" i="11" s="1"/>
  <c r="Y475" i="11" s="1"/>
  <c r="Y476" i="11" s="1"/>
  <c r="Y477" i="11" s="1"/>
  <c r="Y478" i="11" s="1"/>
  <c r="Y479" i="11" s="1"/>
  <c r="Y480" i="11" s="1"/>
  <c r="Y481" i="11" s="1"/>
  <c r="Y482" i="11" s="1"/>
  <c r="Y483" i="11" s="1"/>
  <c r="Y484" i="11" s="1"/>
  <c r="Y485" i="11" s="1"/>
  <c r="Y486" i="11" s="1"/>
  <c r="Y487" i="11" s="1"/>
  <c r="Y488" i="11" s="1"/>
  <c r="Y489" i="11" s="1"/>
  <c r="Y490" i="11" s="1"/>
  <c r="Y491" i="11" s="1"/>
  <c r="Y492" i="11" s="1"/>
  <c r="Y493" i="11" s="1"/>
  <c r="Y494" i="11" s="1"/>
  <c r="Y495" i="11" s="1"/>
  <c r="Y496" i="11" s="1"/>
  <c r="Y497" i="11" s="1"/>
  <c r="Y498" i="11" s="1"/>
  <c r="Y499" i="11" s="1"/>
  <c r="Y500" i="11" s="1"/>
  <c r="Y501" i="11" s="1"/>
  <c r="Y502" i="11" s="1"/>
  <c r="Y503" i="11" s="1"/>
  <c r="Y504" i="11" s="1"/>
  <c r="Y505" i="11" s="1"/>
  <c r="Y506" i="11" s="1"/>
  <c r="Y507" i="11" s="1"/>
  <c r="Y508" i="11" s="1"/>
  <c r="Y509" i="11" s="1"/>
  <c r="Y510" i="11" s="1"/>
  <c r="Y511" i="11" s="1"/>
  <c r="Y512" i="11" s="1"/>
  <c r="Y513" i="11" s="1"/>
  <c r="Y514" i="11" s="1"/>
  <c r="Y515" i="11" s="1"/>
  <c r="Y516" i="11" s="1"/>
  <c r="Y517" i="11" s="1"/>
  <c r="Y518" i="11" s="1"/>
  <c r="Y519" i="11" s="1"/>
  <c r="Y520" i="11" s="1"/>
  <c r="Y521" i="11" s="1"/>
  <c r="Y522" i="11" s="1"/>
  <c r="Y523" i="11" s="1"/>
  <c r="Y524" i="11" s="1"/>
  <c r="Y525" i="11" s="1"/>
  <c r="Y526" i="11" s="1"/>
  <c r="Y527" i="11" s="1"/>
  <c r="Y528" i="11" s="1"/>
  <c r="Y529" i="11" s="1"/>
  <c r="Y530" i="11" s="1"/>
  <c r="Y531" i="11" s="1"/>
  <c r="Y532" i="11" s="1"/>
  <c r="Y533" i="11" s="1"/>
  <c r="Y534" i="11" s="1"/>
  <c r="Y535" i="11" s="1"/>
  <c r="Y536" i="11" s="1"/>
  <c r="Y537" i="11" s="1"/>
  <c r="Y538" i="11" s="1"/>
  <c r="Y539" i="11" s="1"/>
  <c r="Y540" i="11" s="1"/>
  <c r="Y541" i="11" s="1"/>
  <c r="Y542" i="11" s="1"/>
  <c r="Y543" i="11" s="1"/>
  <c r="Y544" i="11" s="1"/>
  <c r="Y545" i="11" s="1"/>
  <c r="Y546" i="11" s="1"/>
  <c r="Y547" i="11" s="1"/>
  <c r="Y548" i="11" s="1"/>
  <c r="Y549" i="11" s="1"/>
  <c r="Y550" i="11" s="1"/>
  <c r="Y551" i="11" s="1"/>
  <c r="Y552" i="11" s="1"/>
  <c r="Y553" i="11" s="1"/>
  <c r="Y554" i="11" s="1"/>
  <c r="Y555" i="11" s="1"/>
  <c r="Y556" i="11" s="1"/>
  <c r="Y557" i="11" s="1"/>
  <c r="Y558" i="11" s="1"/>
  <c r="Y559" i="11" s="1"/>
  <c r="Y560" i="11" s="1"/>
  <c r="Y561" i="11" s="1"/>
  <c r="Y562" i="11" s="1"/>
  <c r="Y563" i="11" s="1"/>
  <c r="Y564" i="11" s="1"/>
  <c r="Y565" i="11" s="1"/>
  <c r="Y566" i="11" s="1"/>
  <c r="Y567" i="11" s="1"/>
  <c r="Y568" i="11" s="1"/>
  <c r="Y569" i="11" s="1"/>
  <c r="Y570" i="11" s="1"/>
  <c r="Y571" i="11" s="1"/>
  <c r="Y572" i="11" s="1"/>
  <c r="Y573" i="11" s="1"/>
  <c r="Y574" i="11" s="1"/>
  <c r="Y575" i="11" s="1"/>
  <c r="Y576" i="11" s="1"/>
  <c r="Y577" i="11" s="1"/>
  <c r="Y578" i="11" s="1"/>
  <c r="Y579" i="11" s="1"/>
  <c r="Y580" i="11" s="1"/>
  <c r="Y581" i="11" s="1"/>
  <c r="Y582" i="11" s="1"/>
  <c r="Y583" i="11" s="1"/>
  <c r="Y584" i="11" s="1"/>
  <c r="Y585" i="11" s="1"/>
  <c r="Y586" i="11" s="1"/>
  <c r="Y587" i="11" s="1"/>
  <c r="Y588" i="11" s="1"/>
  <c r="Y589" i="11" s="1"/>
  <c r="Y590" i="11" s="1"/>
  <c r="Y591" i="11" s="1"/>
  <c r="Y592" i="11" s="1"/>
  <c r="Y593" i="11" s="1"/>
  <c r="Y594" i="11" s="1"/>
  <c r="Y595" i="11" s="1"/>
  <c r="Y596" i="11" s="1"/>
  <c r="Y597" i="11" s="1"/>
  <c r="Y598" i="11" s="1"/>
  <c r="Y599" i="11" s="1"/>
  <c r="Y600" i="11" s="1"/>
  <c r="Y601" i="11" s="1"/>
  <c r="Y602" i="11" s="1"/>
  <c r="Y603" i="11" s="1"/>
  <c r="Y604" i="11" s="1"/>
  <c r="Y605" i="11" s="1"/>
  <c r="Y606" i="11" s="1"/>
  <c r="Y607" i="11" s="1"/>
  <c r="Y608" i="11" s="1"/>
  <c r="Y609" i="11" s="1"/>
  <c r="Y610" i="11" s="1"/>
  <c r="Y611" i="11" s="1"/>
  <c r="Y612" i="11" s="1"/>
  <c r="Y613" i="11" s="1"/>
  <c r="Y614" i="11" s="1"/>
  <c r="Y615" i="11" s="1"/>
  <c r="Y616" i="11" s="1"/>
  <c r="Y617" i="11" s="1"/>
  <c r="Y618" i="11" s="1"/>
  <c r="Y619" i="11" s="1"/>
  <c r="Y620" i="11" s="1"/>
  <c r="Y621" i="11" s="1"/>
  <c r="Y622" i="11" s="1"/>
  <c r="Y623" i="11" s="1"/>
  <c r="Y624" i="11" s="1"/>
  <c r="Y625" i="11" s="1"/>
  <c r="Y626" i="11" s="1"/>
  <c r="Y627" i="11" s="1"/>
  <c r="Y628" i="11" s="1"/>
  <c r="Y629" i="11" s="1"/>
  <c r="Y630" i="11" s="1"/>
  <c r="Y631" i="11" s="1"/>
  <c r="Y632" i="11" s="1"/>
  <c r="Y633" i="11" s="1"/>
  <c r="Y634" i="11" s="1"/>
  <c r="Y635" i="11" s="1"/>
  <c r="Y636" i="11" s="1"/>
  <c r="Y637" i="11" s="1"/>
  <c r="Y638" i="11" s="1"/>
  <c r="Y639" i="11" s="1"/>
  <c r="Y640" i="11" s="1"/>
  <c r="Y641" i="11" s="1"/>
  <c r="Y642" i="11" s="1"/>
  <c r="Y643" i="11" s="1"/>
  <c r="Y644" i="11" s="1"/>
  <c r="Y645" i="11" s="1"/>
  <c r="Y646" i="11" s="1"/>
  <c r="Y647" i="11" s="1"/>
  <c r="Y648" i="11" s="1"/>
  <c r="Y649" i="11" s="1"/>
  <c r="Y650" i="11" s="1"/>
  <c r="Y651" i="11" s="1"/>
  <c r="Y652" i="11" s="1"/>
  <c r="Y653" i="11" s="1"/>
  <c r="Y654" i="11" s="1"/>
  <c r="Y655" i="11" s="1"/>
  <c r="Y656" i="11" s="1"/>
  <c r="Y657" i="11" s="1"/>
  <c r="Y658" i="11" s="1"/>
  <c r="Y659" i="11" s="1"/>
  <c r="Y660" i="11" s="1"/>
  <c r="Y661" i="11" s="1"/>
  <c r="Y662" i="11" s="1"/>
  <c r="Y663" i="11" s="1"/>
  <c r="Y664" i="11" s="1"/>
  <c r="Y665" i="11" s="1"/>
  <c r="Y666" i="11" s="1"/>
  <c r="Y667" i="11" s="1"/>
  <c r="Y668" i="11" s="1"/>
  <c r="Y669" i="11" s="1"/>
  <c r="Y670" i="11" s="1"/>
  <c r="Y671" i="11" s="1"/>
  <c r="Y672" i="11" s="1"/>
  <c r="Y673" i="11" s="1"/>
  <c r="Y674" i="11" s="1"/>
  <c r="Y675" i="11" s="1"/>
  <c r="Y676" i="11" s="1"/>
  <c r="Y677" i="11" s="1"/>
  <c r="Y678" i="11" s="1"/>
  <c r="Y679" i="11" s="1"/>
  <c r="Y680" i="11" s="1"/>
  <c r="Y681" i="11" s="1"/>
  <c r="Y682" i="11" s="1"/>
  <c r="Y683" i="11" s="1"/>
  <c r="Y684" i="11" s="1"/>
  <c r="Y685" i="11" s="1"/>
  <c r="Y686" i="11" s="1"/>
  <c r="Y687" i="11" s="1"/>
  <c r="Y688" i="11" s="1"/>
  <c r="Y689" i="11" s="1"/>
  <c r="Y690" i="11" s="1"/>
  <c r="Y691" i="11" s="1"/>
  <c r="Y692" i="11" s="1"/>
  <c r="Y693" i="11" s="1"/>
  <c r="Y694" i="11" s="1"/>
  <c r="Y695" i="11" s="1"/>
  <c r="Y696" i="11" s="1"/>
  <c r="Y697" i="11" s="1"/>
  <c r="Y698" i="11" s="1"/>
  <c r="Y699" i="11" s="1"/>
  <c r="Y700" i="11" s="1"/>
  <c r="Y701" i="11" s="1"/>
  <c r="Y702" i="11" s="1"/>
  <c r="Y703" i="11" s="1"/>
  <c r="Y704" i="11" s="1"/>
  <c r="Y705" i="11" s="1"/>
  <c r="Y706" i="11" s="1"/>
  <c r="Y707" i="11" s="1"/>
  <c r="Y708" i="11" s="1"/>
  <c r="Y709" i="11" s="1"/>
  <c r="Y710" i="11" s="1"/>
  <c r="Y711" i="11" s="1"/>
  <c r="Y712" i="11" s="1"/>
  <c r="Y713" i="11" s="1"/>
  <c r="Y714" i="11" s="1"/>
  <c r="Y715" i="11" s="1"/>
  <c r="Y716" i="11" s="1"/>
  <c r="Y717" i="11" s="1"/>
  <c r="Y718" i="11" s="1"/>
  <c r="Y719" i="11" s="1"/>
  <c r="Y720" i="11" s="1"/>
  <c r="Y721" i="11" s="1"/>
  <c r="Y722" i="11" s="1"/>
  <c r="Y723" i="11" s="1"/>
  <c r="Y724" i="11" s="1"/>
  <c r="Y725" i="11" s="1"/>
  <c r="Y726" i="11" s="1"/>
  <c r="Y727" i="11" s="1"/>
  <c r="Y728" i="11" s="1"/>
  <c r="Y729" i="11" s="1"/>
  <c r="Y730" i="11" s="1"/>
  <c r="Y731" i="11" s="1"/>
  <c r="Y732" i="11" s="1"/>
  <c r="Y733" i="11" s="1"/>
  <c r="Y734" i="11" s="1"/>
  <c r="Y735" i="11" s="1"/>
  <c r="C50" i="11"/>
  <c r="D50" i="11" s="1"/>
  <c r="G50" i="11" s="1"/>
  <c r="D51" i="11" s="1"/>
  <c r="T2" i="11"/>
  <c r="X52" i="11"/>
  <c r="U53" i="11" s="1"/>
  <c r="X53" i="11" s="1"/>
  <c r="U54" i="11" s="1"/>
  <c r="X54" i="11" s="1"/>
  <c r="U55" i="11" s="1"/>
  <c r="X55" i="11" s="1"/>
  <c r="U56" i="11" s="1"/>
  <c r="X56" i="11" s="1"/>
  <c r="U57" i="11" s="1"/>
  <c r="X57" i="11" s="1"/>
  <c r="U58" i="11" s="1"/>
  <c r="X58" i="11" s="1"/>
  <c r="U59" i="11" s="1"/>
  <c r="X59" i="11" s="1"/>
  <c r="U60" i="11" s="1"/>
  <c r="X60" i="11" s="1"/>
  <c r="U61" i="11" s="1"/>
  <c r="X61" i="11" s="1"/>
  <c r="U62" i="11" s="1"/>
  <c r="X62" i="11" s="1"/>
  <c r="U63" i="11" s="1"/>
  <c r="X63" i="11" s="1"/>
  <c r="U64" i="11" s="1"/>
  <c r="X64" i="11" s="1"/>
  <c r="U65" i="11" s="1"/>
  <c r="X65" i="11" s="1"/>
  <c r="U66" i="11" s="1"/>
  <c r="X66" i="11" s="1"/>
  <c r="U67" i="11" s="1"/>
  <c r="X67" i="11" s="1"/>
  <c r="U68" i="11" s="1"/>
  <c r="X68" i="11" s="1"/>
  <c r="U69" i="11" s="1"/>
  <c r="X69" i="11" s="1"/>
  <c r="U70" i="11" s="1"/>
  <c r="X70" i="11" s="1"/>
  <c r="U71" i="11" s="1"/>
  <c r="X71" i="11" s="1"/>
  <c r="U72" i="11" s="1"/>
  <c r="X72" i="11" s="1"/>
  <c r="U73" i="11" s="1"/>
  <c r="X73" i="11" s="1"/>
  <c r="U74" i="11" s="1"/>
  <c r="X74" i="11" s="1"/>
  <c r="U75" i="11" s="1"/>
  <c r="X75" i="11" s="1"/>
  <c r="U76" i="11" s="1"/>
  <c r="X76" i="11" s="1"/>
  <c r="U77" i="11" s="1"/>
  <c r="X77" i="11" s="1"/>
  <c r="U78" i="11" s="1"/>
  <c r="X78" i="11" s="1"/>
  <c r="U79" i="11" s="1"/>
  <c r="X79" i="11" s="1"/>
  <c r="U80" i="11" s="1"/>
  <c r="X80" i="11" s="1"/>
  <c r="U81" i="11" s="1"/>
  <c r="X81" i="11" s="1"/>
  <c r="U82" i="11" s="1"/>
  <c r="X82" i="11" s="1"/>
  <c r="U83" i="11" s="1"/>
  <c r="X83" i="11" s="1"/>
  <c r="U84" i="11" s="1"/>
  <c r="X84" i="11" s="1"/>
  <c r="U85" i="11" s="1"/>
  <c r="X85" i="11" s="1"/>
  <c r="U86" i="11" s="1"/>
  <c r="X86" i="11" s="1"/>
  <c r="U87" i="11" s="1"/>
  <c r="X87" i="11" s="1"/>
  <c r="U88" i="11" s="1"/>
  <c r="X88" i="11" s="1"/>
  <c r="U89" i="11" s="1"/>
  <c r="X89" i="11" s="1"/>
  <c r="U90" i="11" s="1"/>
  <c r="X90" i="11" s="1"/>
  <c r="U91" i="11" s="1"/>
  <c r="X91" i="11" s="1"/>
  <c r="U92" i="11" s="1"/>
  <c r="X92" i="11" s="1"/>
  <c r="U93" i="11" s="1"/>
  <c r="X93" i="11" s="1"/>
  <c r="U94" i="11" s="1"/>
  <c r="X94" i="11" s="1"/>
  <c r="U95" i="11" s="1"/>
  <c r="X95" i="11" s="1"/>
  <c r="U96" i="11" s="1"/>
  <c r="X96" i="11" s="1"/>
  <c r="U97" i="11" s="1"/>
  <c r="X97" i="11" s="1"/>
  <c r="U98" i="11" s="1"/>
  <c r="X98" i="11" s="1"/>
  <c r="U99" i="11" s="1"/>
  <c r="X99" i="11" s="1"/>
  <c r="U100" i="11" s="1"/>
  <c r="X100" i="11" s="1"/>
  <c r="U101" i="11" s="1"/>
  <c r="X101" i="11" s="1"/>
  <c r="U102" i="11" s="1"/>
  <c r="X102" i="11" s="1"/>
  <c r="U103" i="11" s="1"/>
  <c r="X103" i="11" s="1"/>
  <c r="U104" i="11" s="1"/>
  <c r="X104" i="11" s="1"/>
  <c r="U105" i="11" s="1"/>
  <c r="X105" i="11" s="1"/>
  <c r="U106" i="11" s="1"/>
  <c r="X106" i="11" s="1"/>
  <c r="U107" i="11" s="1"/>
  <c r="X107" i="11" s="1"/>
  <c r="U108" i="11" s="1"/>
  <c r="X108" i="11" s="1"/>
  <c r="U109" i="11" s="1"/>
  <c r="X109" i="11" s="1"/>
  <c r="U110" i="11" s="1"/>
  <c r="X110" i="11" s="1"/>
  <c r="U111" i="11" s="1"/>
  <c r="X111" i="11" s="1"/>
  <c r="U112" i="11" s="1"/>
  <c r="X112" i="11" s="1"/>
  <c r="U113" i="11" s="1"/>
  <c r="X113" i="11" s="1"/>
  <c r="U114" i="11" s="1"/>
  <c r="X114" i="11" s="1"/>
  <c r="U115" i="11" s="1"/>
  <c r="X115" i="11" s="1"/>
  <c r="U116" i="11" s="1"/>
  <c r="X116" i="11" s="1"/>
  <c r="F135" i="11"/>
  <c r="G135" i="11" s="1"/>
  <c r="D136" i="11" s="1"/>
  <c r="G136" i="11" s="1"/>
  <c r="D137" i="11" s="1"/>
  <c r="G137" i="11" s="1"/>
  <c r="D138" i="11" s="1"/>
  <c r="G138" i="11" s="1"/>
  <c r="D139" i="11" s="1"/>
  <c r="G139" i="11" s="1"/>
  <c r="D140" i="11" s="1"/>
  <c r="G140" i="11" s="1"/>
  <c r="D141" i="11" s="1"/>
  <c r="G141" i="11" s="1"/>
  <c r="D142" i="11" s="1"/>
  <c r="G142" i="11" s="1"/>
  <c r="D143" i="11" s="1"/>
  <c r="G143" i="11" s="1"/>
  <c r="D144" i="11" s="1"/>
  <c r="G144" i="11" s="1"/>
  <c r="D145" i="11" s="1"/>
  <c r="G145" i="11" s="1"/>
  <c r="D146" i="11" s="1"/>
  <c r="G146" i="11" s="1"/>
  <c r="D147" i="11" s="1"/>
  <c r="G147" i="11" s="1"/>
  <c r="D148" i="11" s="1"/>
  <c r="G148" i="11" s="1"/>
  <c r="D149" i="11" s="1"/>
  <c r="G149" i="11" s="1"/>
  <c r="D150" i="11" s="1"/>
  <c r="G150" i="11" s="1"/>
  <c r="D151" i="11" s="1"/>
  <c r="G151" i="11" s="1"/>
  <c r="D152" i="11" s="1"/>
  <c r="G152" i="11" s="1"/>
  <c r="D153" i="11" s="1"/>
  <c r="G153" i="11" s="1"/>
  <c r="D154" i="11" s="1"/>
  <c r="G154" i="11" s="1"/>
  <c r="D155" i="11" s="1"/>
  <c r="G155" i="11" s="1"/>
  <c r="D156" i="11" s="1"/>
  <c r="G156" i="11" s="1"/>
  <c r="D157" i="11" s="1"/>
  <c r="G157" i="11" s="1"/>
  <c r="D158" i="11" s="1"/>
  <c r="G158" i="11" s="1"/>
  <c r="D159" i="11" s="1"/>
  <c r="G159" i="11" s="1"/>
  <c r="D160" i="11" s="1"/>
  <c r="G160" i="11" s="1"/>
  <c r="D161" i="11" s="1"/>
  <c r="G161" i="11" s="1"/>
  <c r="D162" i="11" s="1"/>
  <c r="G162" i="11" s="1"/>
  <c r="D163" i="11" s="1"/>
  <c r="G163" i="11" s="1"/>
  <c r="D164" i="11" s="1"/>
  <c r="G164" i="11" s="1"/>
  <c r="D165" i="11" s="1"/>
  <c r="G165" i="11" s="1"/>
  <c r="D166" i="11" s="1"/>
  <c r="G166" i="11" s="1"/>
  <c r="D167" i="11" s="1"/>
  <c r="G167" i="11" s="1"/>
  <c r="D168" i="11" s="1"/>
  <c r="G168" i="11" s="1"/>
  <c r="D169" i="11" s="1"/>
  <c r="G169" i="11" s="1"/>
  <c r="D170" i="11" s="1"/>
  <c r="G170" i="11" s="1"/>
  <c r="D171" i="11" s="1"/>
  <c r="G171" i="11" s="1"/>
  <c r="D172" i="11" s="1"/>
  <c r="G172" i="11" s="1"/>
  <c r="D173" i="11" s="1"/>
  <c r="G173" i="11" s="1"/>
  <c r="D174" i="11" s="1"/>
  <c r="G174" i="11" s="1"/>
  <c r="D175" i="11" s="1"/>
  <c r="G175" i="11" s="1"/>
  <c r="D176" i="11" s="1"/>
  <c r="G176" i="11" s="1"/>
  <c r="D177" i="11" s="1"/>
  <c r="G177" i="11" s="1"/>
  <c r="D178" i="11" s="1"/>
  <c r="G178" i="11" s="1"/>
  <c r="D179" i="11" s="1"/>
  <c r="G179" i="11" s="1"/>
  <c r="D180" i="11" s="1"/>
  <c r="G180" i="11" s="1"/>
  <c r="D181" i="11" s="1"/>
  <c r="G181" i="11" s="1"/>
  <c r="D182" i="11" s="1"/>
  <c r="G182" i="11" s="1"/>
  <c r="D183" i="11" s="1"/>
  <c r="G183" i="11" s="1"/>
  <c r="D184" i="11" s="1"/>
  <c r="G184" i="11" s="1"/>
  <c r="D185" i="11" s="1"/>
  <c r="G185" i="11" s="1"/>
  <c r="D186" i="11" s="1"/>
  <c r="G186" i="11" s="1"/>
  <c r="D187" i="11" s="1"/>
  <c r="G187" i="11" s="1"/>
  <c r="D188" i="11" s="1"/>
  <c r="G188" i="11" s="1"/>
  <c r="D189" i="11" s="1"/>
  <c r="G189" i="11" s="1"/>
  <c r="D190" i="11" s="1"/>
  <c r="G190" i="11" s="1"/>
  <c r="D191" i="11" s="1"/>
  <c r="G191" i="11" s="1"/>
  <c r="D192" i="11" s="1"/>
  <c r="G192" i="11" s="1"/>
  <c r="D193" i="11" s="1"/>
  <c r="G193" i="11" s="1"/>
  <c r="D194" i="11" s="1"/>
  <c r="G194" i="11" s="1"/>
  <c r="D195" i="11" s="1"/>
  <c r="G195" i="11" s="1"/>
  <c r="D196" i="11" s="1"/>
  <c r="G196" i="11" s="1"/>
  <c r="D197" i="11" s="1"/>
  <c r="G197" i="11" s="1"/>
  <c r="D198" i="11" s="1"/>
  <c r="G198" i="11" s="1"/>
  <c r="D199" i="11" s="1"/>
  <c r="G199" i="11" s="1"/>
  <c r="D200" i="11" s="1"/>
  <c r="G200" i="11" s="1"/>
  <c r="D201" i="11" s="1"/>
  <c r="G201" i="11" s="1"/>
  <c r="D202" i="11" s="1"/>
  <c r="G202" i="11" s="1"/>
  <c r="D203" i="11" s="1"/>
  <c r="G203" i="11" s="1"/>
  <c r="D204" i="11" s="1"/>
  <c r="G204" i="11" s="1"/>
  <c r="D205" i="11" s="1"/>
  <c r="G205" i="11" s="1"/>
  <c r="D206" i="11" s="1"/>
  <c r="G206" i="11" s="1"/>
  <c r="D207" i="11" s="1"/>
  <c r="G207" i="11" s="1"/>
  <c r="D208" i="11" s="1"/>
  <c r="G208" i="11" s="1"/>
  <c r="D209" i="11" s="1"/>
  <c r="G209" i="11" s="1"/>
  <c r="D210" i="11" s="1"/>
  <c r="G210" i="11" s="1"/>
  <c r="D211" i="11" s="1"/>
  <c r="G211" i="11" s="1"/>
  <c r="D212" i="11" s="1"/>
  <c r="G212" i="11" s="1"/>
  <c r="D213" i="11" s="1"/>
  <c r="G213" i="11" s="1"/>
  <c r="D214" i="11" s="1"/>
  <c r="G214" i="11" s="1"/>
  <c r="D215" i="11" s="1"/>
  <c r="G215" i="11" s="1"/>
  <c r="D216" i="11" s="1"/>
  <c r="G216" i="11" s="1"/>
  <c r="D217" i="11" s="1"/>
  <c r="G217" i="11" s="1"/>
  <c r="D218" i="11" s="1"/>
  <c r="G218" i="11" s="1"/>
  <c r="D219" i="11" s="1"/>
  <c r="G219" i="11" s="1"/>
  <c r="D220" i="11" s="1"/>
  <c r="G220" i="11" s="1"/>
  <c r="D221" i="11" s="1"/>
  <c r="G221" i="11" s="1"/>
  <c r="D222" i="11" s="1"/>
  <c r="G222" i="11" s="1"/>
  <c r="D223" i="11" s="1"/>
  <c r="G223" i="11" s="1"/>
  <c r="D224" i="11" s="1"/>
  <c r="G224" i="11" s="1"/>
  <c r="D225" i="11" s="1"/>
  <c r="G225" i="11" s="1"/>
  <c r="D226" i="11" s="1"/>
  <c r="G226" i="11" s="1"/>
  <c r="D227" i="11" s="1"/>
  <c r="G227" i="11" s="1"/>
  <c r="D228" i="11" s="1"/>
  <c r="G228" i="11" s="1"/>
  <c r="D229" i="11" s="1"/>
  <c r="G229" i="11" s="1"/>
  <c r="D230" i="11" s="1"/>
  <c r="G230" i="11" s="1"/>
  <c r="D231" i="11" s="1"/>
  <c r="G231" i="11" s="1"/>
  <c r="D232" i="11" s="1"/>
  <c r="G232" i="11" s="1"/>
  <c r="D233" i="11" s="1"/>
  <c r="G233" i="11" s="1"/>
  <c r="D234" i="11" s="1"/>
  <c r="G234" i="11" s="1"/>
  <c r="D235" i="11" s="1"/>
  <c r="G235" i="11" s="1"/>
  <c r="D236" i="11" s="1"/>
  <c r="G236" i="11" s="1"/>
  <c r="D237" i="11" s="1"/>
  <c r="G237" i="11" s="1"/>
  <c r="D238" i="11" s="1"/>
  <c r="G238" i="11" s="1"/>
  <c r="D239" i="11" s="1"/>
  <c r="G239" i="11" s="1"/>
  <c r="D240" i="11" s="1"/>
  <c r="G240" i="11" s="1"/>
  <c r="D241" i="11" s="1"/>
  <c r="G241" i="11" s="1"/>
  <c r="D242" i="11" s="1"/>
  <c r="G242" i="11" s="1"/>
  <c r="D243" i="11" s="1"/>
  <c r="G243" i="11" s="1"/>
  <c r="D244" i="11" s="1"/>
  <c r="G244" i="11" s="1"/>
  <c r="D245" i="11" s="1"/>
  <c r="G245" i="11" s="1"/>
  <c r="D246" i="11" s="1"/>
  <c r="D24" i="11"/>
  <c r="G24" i="11" s="1"/>
  <c r="D27" i="11" s="1"/>
  <c r="O528" i="11"/>
  <c r="O529" i="11" s="1"/>
  <c r="D64" i="20"/>
  <c r="D65" i="20" s="1"/>
  <c r="D66" i="20" s="1"/>
  <c r="A66" i="20" s="1"/>
  <c r="A63" i="20"/>
  <c r="M63" i="20" s="1"/>
  <c r="B63" i="20"/>
  <c r="A94" i="20"/>
  <c r="A62" i="20"/>
  <c r="M62" i="20" s="1"/>
  <c r="B109" i="19"/>
  <c r="A109" i="19"/>
  <c r="B108" i="19"/>
  <c r="A108" i="19"/>
  <c r="I63" i="20" l="1"/>
  <c r="J63" i="20"/>
  <c r="K23" i="20"/>
  <c r="K59" i="20"/>
  <c r="K23" i="19"/>
  <c r="K71" i="19" s="1"/>
  <c r="A95" i="20"/>
  <c r="M66" i="20"/>
  <c r="B64" i="20"/>
  <c r="AN359" i="5"/>
  <c r="AE360" i="24"/>
  <c r="AP359" i="5" s="1"/>
  <c r="V344" i="2"/>
  <c r="N394" i="2"/>
  <c r="A13" i="19"/>
  <c r="D14" i="19"/>
  <c r="Z362" i="24"/>
  <c r="AB361" i="24"/>
  <c r="D96" i="20"/>
  <c r="E15" i="29"/>
  <c r="B15" i="29"/>
  <c r="C16" i="29"/>
  <c r="D16" i="29"/>
  <c r="U347" i="2"/>
  <c r="H487" i="11"/>
  <c r="H488" i="11" s="1"/>
  <c r="H489" i="11" s="1"/>
  <c r="H490" i="11" s="1"/>
  <c r="H491" i="11" s="1"/>
  <c r="H492" i="11" s="1"/>
  <c r="H493" i="11" s="1"/>
  <c r="H494" i="11" s="1"/>
  <c r="H495" i="11" s="1"/>
  <c r="H496" i="11" s="1"/>
  <c r="H497" i="11" s="1"/>
  <c r="H498" i="11" s="1"/>
  <c r="H499" i="11" s="1"/>
  <c r="H500" i="11" s="1"/>
  <c r="H501" i="11" s="1"/>
  <c r="H502" i="11" s="1"/>
  <c r="H503" i="11" s="1"/>
  <c r="H504" i="11" s="1"/>
  <c r="H505" i="11" s="1"/>
  <c r="H506" i="11" s="1"/>
  <c r="H507" i="11" s="1"/>
  <c r="H508" i="11" s="1"/>
  <c r="H509" i="11" s="1"/>
  <c r="H510" i="11" s="1"/>
  <c r="H511" i="11" s="1"/>
  <c r="H512" i="11" s="1"/>
  <c r="H513" i="11" s="1"/>
  <c r="H514" i="11" s="1"/>
  <c r="H515" i="11" s="1"/>
  <c r="H516" i="11" s="1"/>
  <c r="H517" i="11" s="1"/>
  <c r="H518" i="11" s="1"/>
  <c r="H519" i="11" s="1"/>
  <c r="H520" i="11" s="1"/>
  <c r="H521" i="11" s="1"/>
  <c r="H522" i="11" s="1"/>
  <c r="H523" i="11" s="1"/>
  <c r="H524" i="11" s="1"/>
  <c r="H525" i="11" s="1"/>
  <c r="H526" i="11" s="1"/>
  <c r="H527" i="11" s="1"/>
  <c r="H528" i="11" s="1"/>
  <c r="H529" i="11" s="1"/>
  <c r="H530" i="11" s="1"/>
  <c r="H531" i="11" s="1"/>
  <c r="H532" i="11" s="1"/>
  <c r="H533" i="11" s="1"/>
  <c r="H534" i="11" s="1"/>
  <c r="H535" i="11" s="1"/>
  <c r="H536" i="11" s="1"/>
  <c r="H537" i="11" s="1"/>
  <c r="H538" i="11" s="1"/>
  <c r="H539" i="11" s="1"/>
  <c r="H540" i="11" s="1"/>
  <c r="H541" i="11" s="1"/>
  <c r="H542" i="11" s="1"/>
  <c r="H543" i="11" s="1"/>
  <c r="H544" i="11" s="1"/>
  <c r="H545" i="11" s="1"/>
  <c r="H546" i="11" s="1"/>
  <c r="H547" i="11" s="1"/>
  <c r="H548" i="11" s="1"/>
  <c r="H549" i="11" s="1"/>
  <c r="H550" i="11" s="1"/>
  <c r="H551" i="11" s="1"/>
  <c r="H552" i="11" s="1"/>
  <c r="H553" i="11" s="1"/>
  <c r="H554" i="11" s="1"/>
  <c r="H555" i="11" s="1"/>
  <c r="H556" i="11" s="1"/>
  <c r="H557" i="11" s="1"/>
  <c r="H558" i="11" s="1"/>
  <c r="H559" i="11" s="1"/>
  <c r="H560" i="11" s="1"/>
  <c r="H561" i="11" s="1"/>
  <c r="H562" i="11" s="1"/>
  <c r="H563" i="11" s="1"/>
  <c r="H564" i="11" s="1"/>
  <c r="H565" i="11" s="1"/>
  <c r="H566" i="11" s="1"/>
  <c r="H567" i="11" s="1"/>
  <c r="H568" i="11" s="1"/>
  <c r="H569" i="11" s="1"/>
  <c r="H570" i="11" s="1"/>
  <c r="H571" i="11" s="1"/>
  <c r="H572" i="11" s="1"/>
  <c r="H573" i="11" s="1"/>
  <c r="H574" i="11" s="1"/>
  <c r="H575" i="11" s="1"/>
  <c r="H576" i="11" s="1"/>
  <c r="H577" i="11" s="1"/>
  <c r="H578" i="11" s="1"/>
  <c r="H579" i="11" s="1"/>
  <c r="H580" i="11" s="1"/>
  <c r="H581" i="11" s="1"/>
  <c r="H582" i="11" s="1"/>
  <c r="H583" i="11" s="1"/>
  <c r="H584" i="11" s="1"/>
  <c r="H585" i="11" s="1"/>
  <c r="H586" i="11" s="1"/>
  <c r="H587" i="11" s="1"/>
  <c r="H588" i="11" s="1"/>
  <c r="H589" i="11" s="1"/>
  <c r="H590" i="11" s="1"/>
  <c r="H591" i="11" s="1"/>
  <c r="H592" i="11" s="1"/>
  <c r="H593" i="11" s="1"/>
  <c r="H594" i="11" s="1"/>
  <c r="H595" i="11" s="1"/>
  <c r="H596" i="11" s="1"/>
  <c r="H597" i="11" s="1"/>
  <c r="H598" i="11" s="1"/>
  <c r="H599" i="11" s="1"/>
  <c r="H600" i="11" s="1"/>
  <c r="H601" i="11" s="1"/>
  <c r="H602" i="11" s="1"/>
  <c r="H603" i="11" s="1"/>
  <c r="H604" i="11" s="1"/>
  <c r="H605" i="11" s="1"/>
  <c r="H606" i="11" s="1"/>
  <c r="H607" i="11" s="1"/>
  <c r="H608" i="11" s="1"/>
  <c r="H609" i="11" s="1"/>
  <c r="H610" i="11" s="1"/>
  <c r="H611" i="11" s="1"/>
  <c r="H612" i="11" s="1"/>
  <c r="H613" i="11" s="1"/>
  <c r="H614" i="11" s="1"/>
  <c r="H615" i="11" s="1"/>
  <c r="H616" i="11" s="1"/>
  <c r="H617" i="11" s="1"/>
  <c r="H618" i="11" s="1"/>
  <c r="H619" i="11" s="1"/>
  <c r="H620" i="11" s="1"/>
  <c r="H621" i="11" s="1"/>
  <c r="H622" i="11" s="1"/>
  <c r="H623" i="11" s="1"/>
  <c r="H624" i="11" s="1"/>
  <c r="H625" i="11" s="1"/>
  <c r="H626" i="11" s="1"/>
  <c r="H627" i="11" s="1"/>
  <c r="H628" i="11" s="1"/>
  <c r="H629" i="11" s="1"/>
  <c r="H630" i="11" s="1"/>
  <c r="H631" i="11" s="1"/>
  <c r="H632" i="11" s="1"/>
  <c r="H633" i="11" s="1"/>
  <c r="H634" i="11" s="1"/>
  <c r="H635" i="11" s="1"/>
  <c r="H636" i="11" s="1"/>
  <c r="H637" i="11" s="1"/>
  <c r="H638" i="11" s="1"/>
  <c r="H639" i="11" s="1"/>
  <c r="H640" i="11" s="1"/>
  <c r="H641" i="11" s="1"/>
  <c r="H642" i="11" s="1"/>
  <c r="H643" i="11" s="1"/>
  <c r="H644" i="11" s="1"/>
  <c r="H645" i="11" s="1"/>
  <c r="H646" i="11" s="1"/>
  <c r="H647" i="11" s="1"/>
  <c r="H648" i="11" s="1"/>
  <c r="H649" i="11" s="1"/>
  <c r="H650" i="11" s="1"/>
  <c r="H651" i="11" s="1"/>
  <c r="H652" i="11" s="1"/>
  <c r="H653" i="11" s="1"/>
  <c r="H654" i="11" s="1"/>
  <c r="H655" i="11" s="1"/>
  <c r="H656" i="11" s="1"/>
  <c r="H657" i="11" s="1"/>
  <c r="H658" i="11" s="1"/>
  <c r="H659" i="11" s="1"/>
  <c r="H660" i="11" s="1"/>
  <c r="H661" i="11" s="1"/>
  <c r="H662" i="11" s="1"/>
  <c r="H663" i="11" s="1"/>
  <c r="H664" i="11" s="1"/>
  <c r="H665" i="11" s="1"/>
  <c r="H666" i="11" s="1"/>
  <c r="H667" i="11" s="1"/>
  <c r="H668" i="11" s="1"/>
  <c r="H669" i="11" s="1"/>
  <c r="H670" i="11" s="1"/>
  <c r="H671" i="11" s="1"/>
  <c r="H672" i="11" s="1"/>
  <c r="H673" i="11" s="1"/>
  <c r="H674" i="11" s="1"/>
  <c r="H675" i="11" s="1"/>
  <c r="H676" i="11" s="1"/>
  <c r="H677" i="11" s="1"/>
  <c r="H678" i="11" s="1"/>
  <c r="H679" i="11" s="1"/>
  <c r="H680" i="11" s="1"/>
  <c r="H681" i="11" s="1"/>
  <c r="H682" i="11" s="1"/>
  <c r="H683" i="11" s="1"/>
  <c r="H684" i="11" s="1"/>
  <c r="H685" i="11" s="1"/>
  <c r="H686" i="11" s="1"/>
  <c r="H687" i="11" s="1"/>
  <c r="H688" i="11" s="1"/>
  <c r="H689" i="11" s="1"/>
  <c r="H690" i="11" s="1"/>
  <c r="H691" i="11" s="1"/>
  <c r="H692" i="11" s="1"/>
  <c r="H693" i="11" s="1"/>
  <c r="H694" i="11" s="1"/>
  <c r="H695" i="11" s="1"/>
  <c r="H696" i="11" s="1"/>
  <c r="H697" i="11" s="1"/>
  <c r="H698" i="11" s="1"/>
  <c r="H699" i="11" s="1"/>
  <c r="H700" i="11" s="1"/>
  <c r="H701" i="11" s="1"/>
  <c r="H702" i="11" s="1"/>
  <c r="H703" i="11" s="1"/>
  <c r="H704" i="11" s="1"/>
  <c r="H705" i="11" s="1"/>
  <c r="H706" i="11" s="1"/>
  <c r="H707" i="11" s="1"/>
  <c r="H708" i="11" s="1"/>
  <c r="H709" i="11" s="1"/>
  <c r="H710" i="11" s="1"/>
  <c r="H711" i="11" s="1"/>
  <c r="H712" i="11" s="1"/>
  <c r="H713" i="11" s="1"/>
  <c r="H714" i="11" s="1"/>
  <c r="H715" i="11" s="1"/>
  <c r="H716" i="11" s="1"/>
  <c r="H717" i="11" s="1"/>
  <c r="H718" i="11" s="1"/>
  <c r="H719" i="11" s="1"/>
  <c r="H720" i="11" s="1"/>
  <c r="H721" i="11" s="1"/>
  <c r="H722" i="11" s="1"/>
  <c r="H723" i="11" s="1"/>
  <c r="H724" i="11" s="1"/>
  <c r="H725" i="11" s="1"/>
  <c r="H726" i="11" s="1"/>
  <c r="H727" i="11" s="1"/>
  <c r="H728" i="11" s="1"/>
  <c r="H729" i="11" s="1"/>
  <c r="H730" i="11" s="1"/>
  <c r="H731" i="11" s="1"/>
  <c r="H732" i="11" s="1"/>
  <c r="H733" i="11" s="1"/>
  <c r="H734" i="11" s="1"/>
  <c r="H735" i="11" s="1"/>
  <c r="H736" i="11" s="1"/>
  <c r="H737" i="11" s="1"/>
  <c r="H738" i="11" s="1"/>
  <c r="H739" i="11" s="1"/>
  <c r="H740" i="11" s="1"/>
  <c r="H741" i="11" s="1"/>
  <c r="H742" i="11" s="1"/>
  <c r="H743" i="11" s="1"/>
  <c r="H744" i="11" s="1"/>
  <c r="H745" i="11" s="1"/>
  <c r="H746" i="11" s="1"/>
  <c r="H747" i="11" s="1"/>
  <c r="H748" i="11" s="1"/>
  <c r="H749" i="11" s="1"/>
  <c r="H750" i="11" s="1"/>
  <c r="H751" i="11" s="1"/>
  <c r="H752" i="11" s="1"/>
  <c r="H753" i="11" s="1"/>
  <c r="H754" i="11" s="1"/>
  <c r="H755" i="11" s="1"/>
  <c r="H756" i="11" s="1"/>
  <c r="H757" i="11" s="1"/>
  <c r="H758" i="11" s="1"/>
  <c r="H759" i="11" s="1"/>
  <c r="H760" i="11" s="1"/>
  <c r="H761" i="11" s="1"/>
  <c r="H762" i="11" s="1"/>
  <c r="H763" i="11" s="1"/>
  <c r="H764" i="11" s="1"/>
  <c r="H765" i="11" s="1"/>
  <c r="H766" i="11" s="1"/>
  <c r="H767" i="11" s="1"/>
  <c r="H768" i="11" s="1"/>
  <c r="H769" i="11" s="1"/>
  <c r="H770" i="11" s="1"/>
  <c r="H771" i="11" s="1"/>
  <c r="H772" i="11" s="1"/>
  <c r="H773" i="11" s="1"/>
  <c r="H774" i="11" s="1"/>
  <c r="H775" i="11" s="1"/>
  <c r="H776" i="11" s="1"/>
  <c r="H777" i="11" s="1"/>
  <c r="H778" i="11" s="1"/>
  <c r="H779" i="11" s="1"/>
  <c r="H780" i="11" s="1"/>
  <c r="H781" i="11" s="1"/>
  <c r="H782" i="11" s="1"/>
  <c r="H783" i="11" s="1"/>
  <c r="H784" i="11" s="1"/>
  <c r="H785" i="11" s="1"/>
  <c r="H786" i="11" s="1"/>
  <c r="H787" i="11" s="1"/>
  <c r="H788" i="11" s="1"/>
  <c r="H789" i="11" s="1"/>
  <c r="H790" i="11" s="1"/>
  <c r="H791" i="11" s="1"/>
  <c r="H792" i="11" s="1"/>
  <c r="H793" i="11" s="1"/>
  <c r="H794" i="11" s="1"/>
  <c r="H795" i="11" s="1"/>
  <c r="H796" i="11" s="1"/>
  <c r="H797" i="11" s="1"/>
  <c r="H798" i="11" s="1"/>
  <c r="H799" i="11" s="1"/>
  <c r="H800" i="11" s="1"/>
  <c r="H801" i="11" s="1"/>
  <c r="H802" i="11" s="1"/>
  <c r="H803" i="11" s="1"/>
  <c r="H804" i="11" s="1"/>
  <c r="H805" i="11" s="1"/>
  <c r="H806" i="11" s="1"/>
  <c r="H807" i="11" s="1"/>
  <c r="H808" i="11" s="1"/>
  <c r="H809" i="11" s="1"/>
  <c r="H810" i="11" s="1"/>
  <c r="AL486" i="11"/>
  <c r="BA6" i="5"/>
  <c r="CA6" i="5" s="1"/>
  <c r="H7" i="5"/>
  <c r="G7" i="5"/>
  <c r="BW7" i="5" s="1"/>
  <c r="I121" i="2"/>
  <c r="I79" i="2"/>
  <c r="I170" i="2"/>
  <c r="I44" i="2"/>
  <c r="O246" i="2"/>
  <c r="D67" i="20"/>
  <c r="A67" i="20" s="1"/>
  <c r="A64" i="20"/>
  <c r="A65" i="20"/>
  <c r="U282" i="11"/>
  <c r="X282" i="11" s="1"/>
  <c r="U283" i="11" s="1"/>
  <c r="X283" i="11" s="1"/>
  <c r="U284" i="11" s="1"/>
  <c r="X284" i="11" s="1"/>
  <c r="U285" i="11" s="1"/>
  <c r="X285" i="11" s="1"/>
  <c r="U286" i="11" s="1"/>
  <c r="X286" i="11" s="1"/>
  <c r="U287" i="11" s="1"/>
  <c r="X287" i="11" s="1"/>
  <c r="F246" i="11"/>
  <c r="G246" i="11" s="1"/>
  <c r="D247" i="11" s="1"/>
  <c r="G247" i="11" s="1"/>
  <c r="D248" i="11" s="1"/>
  <c r="G248" i="11" s="1"/>
  <c r="D249" i="11" s="1"/>
  <c r="G249" i="11" s="1"/>
  <c r="D250" i="11" s="1"/>
  <c r="G250" i="11" s="1"/>
  <c r="D251" i="11" s="1"/>
  <c r="G251" i="11" s="1"/>
  <c r="D252" i="11" s="1"/>
  <c r="G252" i="11" s="1"/>
  <c r="D253" i="11" s="1"/>
  <c r="G253" i="11" s="1"/>
  <c r="D254" i="11" s="1"/>
  <c r="G254" i="11" s="1"/>
  <c r="D255" i="11" s="1"/>
  <c r="G255" i="11" s="1"/>
  <c r="D256" i="11" s="1"/>
  <c r="G256" i="11" s="1"/>
  <c r="D257" i="11" s="1"/>
  <c r="G257" i="11" s="1"/>
  <c r="D258" i="11" s="1"/>
  <c r="G258" i="11" s="1"/>
  <c r="D259" i="11" s="1"/>
  <c r="G259" i="11" s="1"/>
  <c r="D260" i="11" s="1"/>
  <c r="G260" i="11" s="1"/>
  <c r="D261" i="11" s="1"/>
  <c r="G261" i="11" s="1"/>
  <c r="D262" i="11" s="1"/>
  <c r="G262" i="11" s="1"/>
  <c r="D263" i="11" s="1"/>
  <c r="G263" i="11" s="1"/>
  <c r="D264" i="11" s="1"/>
  <c r="G264" i="11" s="1"/>
  <c r="D265" i="11" s="1"/>
  <c r="G265" i="11" s="1"/>
  <c r="D266" i="11" s="1"/>
  <c r="G266" i="11" s="1"/>
  <c r="D267" i="11" s="1"/>
  <c r="G267" i="11" s="1"/>
  <c r="D268" i="11" s="1"/>
  <c r="G268" i="11" s="1"/>
  <c r="D269" i="11" s="1"/>
  <c r="G269" i="11" s="1"/>
  <c r="D270" i="11" s="1"/>
  <c r="G270" i="11" s="1"/>
  <c r="D271" i="11" s="1"/>
  <c r="G271" i="11" s="1"/>
  <c r="D272" i="11" s="1"/>
  <c r="G272" i="11" s="1"/>
  <c r="D273" i="11" s="1"/>
  <c r="G273" i="11" s="1"/>
  <c r="D274" i="11" s="1"/>
  <c r="G274" i="11" s="1"/>
  <c r="D275" i="11" s="1"/>
  <c r="G275" i="11" s="1"/>
  <c r="D276" i="11" s="1"/>
  <c r="G276" i="11" s="1"/>
  <c r="D277" i="11" s="1"/>
  <c r="G277" i="11" s="1"/>
  <c r="D278" i="11" s="1"/>
  <c r="G278" i="11" s="1"/>
  <c r="D279" i="11" s="1"/>
  <c r="G279" i="11" s="1"/>
  <c r="D280" i="11" s="1"/>
  <c r="G280" i="11" s="1"/>
  <c r="D281" i="11" s="1"/>
  <c r="G281" i="11" s="1"/>
  <c r="D282" i="11" s="1"/>
  <c r="G282" i="11" s="1"/>
  <c r="D283" i="11" s="1"/>
  <c r="G283" i="11" s="1"/>
  <c r="D284" i="11" s="1"/>
  <c r="G284" i="11" s="1"/>
  <c r="D285" i="11" s="1"/>
  <c r="G285" i="11" s="1"/>
  <c r="D286" i="11" s="1"/>
  <c r="G286" i="11" s="1"/>
  <c r="D287" i="11" s="1"/>
  <c r="G287" i="11" s="1"/>
  <c r="D288" i="11" s="1"/>
  <c r="G288" i="11" s="1"/>
  <c r="D289" i="11" s="1"/>
  <c r="G289" i="11" s="1"/>
  <c r="D290" i="11" s="1"/>
  <c r="G290" i="11" s="1"/>
  <c r="D291" i="11" s="1"/>
  <c r="G291" i="11" s="1"/>
  <c r="D292" i="11" s="1"/>
  <c r="G292" i="11" s="1"/>
  <c r="D293" i="11" s="1"/>
  <c r="G293" i="11" s="1"/>
  <c r="D294" i="11" s="1"/>
  <c r="G294" i="11" s="1"/>
  <c r="D295" i="11" s="1"/>
  <c r="G295" i="11" s="1"/>
  <c r="D296" i="11" s="1"/>
  <c r="G296" i="11" s="1"/>
  <c r="D297" i="11" s="1"/>
  <c r="G297" i="11" s="1"/>
  <c r="D298" i="11" s="1"/>
  <c r="G298" i="11" s="1"/>
  <c r="D299" i="11" s="1"/>
  <c r="G299" i="11" s="1"/>
  <c r="D300" i="11" s="1"/>
  <c r="G300" i="11" s="1"/>
  <c r="D301" i="11" s="1"/>
  <c r="G301" i="11" s="1"/>
  <c r="D302" i="11" s="1"/>
  <c r="G302" i="11" s="1"/>
  <c r="D303" i="11" s="1"/>
  <c r="G303" i="11" s="1"/>
  <c r="D304" i="11" s="1"/>
  <c r="G304" i="11" s="1"/>
  <c r="D305" i="11" s="1"/>
  <c r="G305" i="11" s="1"/>
  <c r="D306" i="11" s="1"/>
  <c r="G306" i="11" s="1"/>
  <c r="D307" i="11" s="1"/>
  <c r="G307" i="11" s="1"/>
  <c r="D308" i="11" s="1"/>
  <c r="G308" i="11" s="1"/>
  <c r="D309" i="11" s="1"/>
  <c r="G309" i="11" s="1"/>
  <c r="D310" i="11" s="1"/>
  <c r="G310" i="11" s="1"/>
  <c r="D311" i="11" s="1"/>
  <c r="G311" i="11" s="1"/>
  <c r="D312" i="11" s="1"/>
  <c r="G312" i="11" s="1"/>
  <c r="D313" i="11" s="1"/>
  <c r="G313" i="11" s="1"/>
  <c r="D314" i="11" s="1"/>
  <c r="G314" i="11" s="1"/>
  <c r="D315" i="11" s="1"/>
  <c r="G315" i="11" s="1"/>
  <c r="D316" i="11" s="1"/>
  <c r="G316" i="11" s="1"/>
  <c r="D317" i="11" s="1"/>
  <c r="G317" i="11" s="1"/>
  <c r="D318" i="11" s="1"/>
  <c r="G318" i="11" s="1"/>
  <c r="D319" i="11" s="1"/>
  <c r="G319" i="11" s="1"/>
  <c r="D320" i="11" s="1"/>
  <c r="G320" i="11" s="1"/>
  <c r="D321" i="11" s="1"/>
  <c r="G321" i="11" s="1"/>
  <c r="D322" i="11" s="1"/>
  <c r="G322" i="11" s="1"/>
  <c r="D323" i="11" s="1"/>
  <c r="G323" i="11" s="1"/>
  <c r="D324" i="11" s="1"/>
  <c r="G324" i="11" s="1"/>
  <c r="D325" i="11" s="1"/>
  <c r="G325" i="11" s="1"/>
  <c r="D326" i="11" s="1"/>
  <c r="G326" i="11" s="1"/>
  <c r="D327" i="11" s="1"/>
  <c r="G327" i="11" s="1"/>
  <c r="D328" i="11" s="1"/>
  <c r="G328" i="11" s="1"/>
  <c r="D329" i="11" s="1"/>
  <c r="G329" i="11" s="1"/>
  <c r="D330" i="11" s="1"/>
  <c r="G330" i="11" s="1"/>
  <c r="D331" i="11" s="1"/>
  <c r="G331" i="11" s="1"/>
  <c r="D332" i="11" s="1"/>
  <c r="G332" i="11" s="1"/>
  <c r="D333" i="11" s="1"/>
  <c r="G333" i="11" s="1"/>
  <c r="D334" i="11" s="1"/>
  <c r="G334" i="11" s="1"/>
  <c r="D335" i="11" s="1"/>
  <c r="G335" i="11" s="1"/>
  <c r="D336" i="11" s="1"/>
  <c r="G336" i="11" s="1"/>
  <c r="D337" i="11" s="1"/>
  <c r="G337" i="11" s="1"/>
  <c r="D338" i="11" s="1"/>
  <c r="G338" i="11" s="1"/>
  <c r="D339" i="11" s="1"/>
  <c r="G339" i="11" s="1"/>
  <c r="D340" i="11" s="1"/>
  <c r="G340" i="11" s="1"/>
  <c r="D341" i="11" s="1"/>
  <c r="G341" i="11" s="1"/>
  <c r="D342" i="11" s="1"/>
  <c r="G342" i="11" s="1"/>
  <c r="D343" i="11" s="1"/>
  <c r="G343" i="11" s="1"/>
  <c r="D344" i="11" s="1"/>
  <c r="G344" i="11" s="1"/>
  <c r="D345" i="11" s="1"/>
  <c r="G345" i="11" s="1"/>
  <c r="D346" i="11" s="1"/>
  <c r="G346" i="11" s="1"/>
  <c r="D347" i="11" s="1"/>
  <c r="G347" i="11" s="1"/>
  <c r="D348" i="11" s="1"/>
  <c r="G348" i="11" s="1"/>
  <c r="D349" i="11" s="1"/>
  <c r="G349" i="11" s="1"/>
  <c r="D350" i="11" s="1"/>
  <c r="G350" i="11" s="1"/>
  <c r="D351" i="11" s="1"/>
  <c r="G351" i="11" s="1"/>
  <c r="D352" i="11" s="1"/>
  <c r="G352" i="11" s="1"/>
  <c r="D353" i="11" s="1"/>
  <c r="G353" i="11" s="1"/>
  <c r="D354" i="11" s="1"/>
  <c r="G354" i="11" s="1"/>
  <c r="D355" i="11" s="1"/>
  <c r="G355" i="11" s="1"/>
  <c r="D356" i="11" s="1"/>
  <c r="G356" i="11" s="1"/>
  <c r="D357" i="11" s="1"/>
  <c r="G357" i="11" s="1"/>
  <c r="D358" i="11" s="1"/>
  <c r="G358" i="11" s="1"/>
  <c r="D359" i="11" s="1"/>
  <c r="G359" i="11" s="1"/>
  <c r="D360" i="11" s="1"/>
  <c r="G360" i="11" s="1"/>
  <c r="D361" i="11" s="1"/>
  <c r="G361" i="11" s="1"/>
  <c r="D362" i="11" s="1"/>
  <c r="G362" i="11" s="1"/>
  <c r="D363" i="11" s="1"/>
  <c r="G363" i="11" s="1"/>
  <c r="D364" i="11" s="1"/>
  <c r="G364" i="11" s="1"/>
  <c r="D365" i="11" s="1"/>
  <c r="G365" i="11" s="1"/>
  <c r="D366" i="11" s="1"/>
  <c r="G366" i="11" s="1"/>
  <c r="D367" i="11" s="1"/>
  <c r="G367" i="11" s="1"/>
  <c r="D368" i="11" s="1"/>
  <c r="G368" i="11" s="1"/>
  <c r="D369" i="11" s="1"/>
  <c r="G369" i="11" s="1"/>
  <c r="D370" i="11" s="1"/>
  <c r="G370" i="11" s="1"/>
  <c r="D371" i="11" s="1"/>
  <c r="G371" i="11" s="1"/>
  <c r="D372" i="11" s="1"/>
  <c r="G372" i="11" s="1"/>
  <c r="D373" i="11" s="1"/>
  <c r="G373" i="11" s="1"/>
  <c r="D374" i="11" s="1"/>
  <c r="G374" i="11" s="1"/>
  <c r="D375" i="11" s="1"/>
  <c r="G375" i="11" s="1"/>
  <c r="D376" i="11" s="1"/>
  <c r="G376" i="11" s="1"/>
  <c r="D377" i="11" s="1"/>
  <c r="G377" i="11" s="1"/>
  <c r="D378" i="11" s="1"/>
  <c r="G378" i="11" s="1"/>
  <c r="D379" i="11" s="1"/>
  <c r="G379" i="11" s="1"/>
  <c r="D380" i="11" s="1"/>
  <c r="G380" i="11" s="1"/>
  <c r="D381" i="11" s="1"/>
  <c r="G381" i="11" s="1"/>
  <c r="D382" i="11" s="1"/>
  <c r="G382" i="11" s="1"/>
  <c r="D383" i="11" s="1"/>
  <c r="G383" i="11" s="1"/>
  <c r="D384" i="11" s="1"/>
  <c r="G384" i="11" s="1"/>
  <c r="D385" i="11" s="1"/>
  <c r="G385" i="11" s="1"/>
  <c r="D386" i="11" s="1"/>
  <c r="G386" i="11" s="1"/>
  <c r="D387" i="11" s="1"/>
  <c r="G387" i="11" s="1"/>
  <c r="D388" i="11" s="1"/>
  <c r="G388" i="11" s="1"/>
  <c r="D389" i="11" s="1"/>
  <c r="G389" i="11" s="1"/>
  <c r="D390" i="11" s="1"/>
  <c r="G390" i="11" s="1"/>
  <c r="D391" i="11" s="1"/>
  <c r="G391" i="11" s="1"/>
  <c r="D392" i="11" s="1"/>
  <c r="G392" i="11" s="1"/>
  <c r="D393" i="11" s="1"/>
  <c r="G393" i="11" s="1"/>
  <c r="D394" i="11" s="1"/>
  <c r="G394" i="11" s="1"/>
  <c r="D395" i="11" s="1"/>
  <c r="G395" i="11" s="1"/>
  <c r="D396" i="11" s="1"/>
  <c r="G396" i="11" s="1"/>
  <c r="D397" i="11" s="1"/>
  <c r="G397" i="11" s="1"/>
  <c r="D398" i="11" s="1"/>
  <c r="G398" i="11" s="1"/>
  <c r="D399" i="11" s="1"/>
  <c r="G399" i="11" s="1"/>
  <c r="D400" i="11" s="1"/>
  <c r="G400" i="11" s="1"/>
  <c r="D401" i="11" s="1"/>
  <c r="G401" i="11" s="1"/>
  <c r="D402" i="11" s="1"/>
  <c r="G402" i="11" s="1"/>
  <c r="D403" i="11" s="1"/>
  <c r="G403" i="11" s="1"/>
  <c r="D404" i="11" s="1"/>
  <c r="G404" i="11" s="1"/>
  <c r="D405" i="11" s="1"/>
  <c r="G405" i="11" s="1"/>
  <c r="D406" i="11" s="1"/>
  <c r="G406" i="11" s="1"/>
  <c r="D407" i="11" s="1"/>
  <c r="G407" i="11" s="1"/>
  <c r="D408" i="11" s="1"/>
  <c r="G408" i="11" s="1"/>
  <c r="D409" i="11" s="1"/>
  <c r="G409" i="11" s="1"/>
  <c r="D410" i="11" s="1"/>
  <c r="G410" i="11" s="1"/>
  <c r="D411" i="11" s="1"/>
  <c r="G411" i="11" s="1"/>
  <c r="D412" i="11" s="1"/>
  <c r="G412" i="11" s="1"/>
  <c r="D413" i="11" s="1"/>
  <c r="G413" i="11" s="1"/>
  <c r="D414" i="11" s="1"/>
  <c r="G414" i="11" s="1"/>
  <c r="D415" i="11" s="1"/>
  <c r="G415" i="11" s="1"/>
  <c r="D416" i="11" s="1"/>
  <c r="G416" i="11" s="1"/>
  <c r="D417" i="11" s="1"/>
  <c r="G417" i="11" s="1"/>
  <c r="D418" i="11" s="1"/>
  <c r="G418" i="11" s="1"/>
  <c r="D419" i="11" s="1"/>
  <c r="G419" i="11" s="1"/>
  <c r="D420" i="11" s="1"/>
  <c r="G420" i="11" s="1"/>
  <c r="D421" i="11" s="1"/>
  <c r="G421" i="11" s="1"/>
  <c r="D422" i="11" s="1"/>
  <c r="G422" i="11" s="1"/>
  <c r="D423" i="11" s="1"/>
  <c r="G423" i="11" s="1"/>
  <c r="D424" i="11" s="1"/>
  <c r="G424" i="11" s="1"/>
  <c r="D425" i="11" s="1"/>
  <c r="G425" i="11" s="1"/>
  <c r="D426" i="11" s="1"/>
  <c r="G426" i="11" s="1"/>
  <c r="D427" i="11" s="1"/>
  <c r="G427" i="11" s="1"/>
  <c r="D428" i="11" s="1"/>
  <c r="G428" i="11" s="1"/>
  <c r="D429" i="11" s="1"/>
  <c r="G429" i="11" s="1"/>
  <c r="D430" i="11" s="1"/>
  <c r="G430" i="11" s="1"/>
  <c r="D431" i="11" s="1"/>
  <c r="G431" i="11" s="1"/>
  <c r="D432" i="11" s="1"/>
  <c r="G432" i="11" s="1"/>
  <c r="D433" i="11" s="1"/>
  <c r="G433" i="11" s="1"/>
  <c r="D434" i="11" s="1"/>
  <c r="G434" i="11" s="1"/>
  <c r="D435" i="11" s="1"/>
  <c r="G435" i="11" s="1"/>
  <c r="D436" i="11" s="1"/>
  <c r="G436" i="11" s="1"/>
  <c r="D437" i="11" s="1"/>
  <c r="G437" i="11" s="1"/>
  <c r="D438" i="11" s="1"/>
  <c r="G438" i="11" s="1"/>
  <c r="D439" i="11" s="1"/>
  <c r="G439" i="11" s="1"/>
  <c r="D440" i="11" s="1"/>
  <c r="G440" i="11" s="1"/>
  <c r="D441" i="11" s="1"/>
  <c r="G441" i="11" s="1"/>
  <c r="D442" i="11" s="1"/>
  <c r="G442" i="11" s="1"/>
  <c r="D443" i="11" s="1"/>
  <c r="G443" i="11" s="1"/>
  <c r="D444" i="11" s="1"/>
  <c r="G444" i="11" s="1"/>
  <c r="D445" i="11" s="1"/>
  <c r="G445" i="11" s="1"/>
  <c r="D446" i="11" s="1"/>
  <c r="G446" i="11" s="1"/>
  <c r="D447" i="11" s="1"/>
  <c r="G447" i="11" s="1"/>
  <c r="D448" i="11" s="1"/>
  <c r="G448" i="11" s="1"/>
  <c r="D449" i="11" s="1"/>
  <c r="G449" i="11" s="1"/>
  <c r="D450" i="11" s="1"/>
  <c r="G450" i="11" s="1"/>
  <c r="D451" i="11" s="1"/>
  <c r="G451" i="11" s="1"/>
  <c r="D452" i="11" s="1"/>
  <c r="G452" i="11" s="1"/>
  <c r="D453" i="11" s="1"/>
  <c r="G453" i="11" s="1"/>
  <c r="D454" i="11" s="1"/>
  <c r="G454" i="11" s="1"/>
  <c r="O530" i="11"/>
  <c r="O531" i="11" s="1"/>
  <c r="O532" i="11" s="1"/>
  <c r="O533" i="11" s="1"/>
  <c r="O534" i="11" s="1"/>
  <c r="O535" i="11" s="1"/>
  <c r="O536" i="11" s="1"/>
  <c r="O537" i="11" s="1"/>
  <c r="O538" i="11" s="1"/>
  <c r="O539" i="11" s="1"/>
  <c r="O540" i="11" s="1"/>
  <c r="O541" i="11" s="1"/>
  <c r="O542" i="11" s="1"/>
  <c r="O543" i="11" s="1"/>
  <c r="O544" i="11" s="1"/>
  <c r="O545" i="11" s="1"/>
  <c r="O546" i="11" s="1"/>
  <c r="O547" i="11" s="1"/>
  <c r="O548" i="11" s="1"/>
  <c r="O549" i="11" s="1"/>
  <c r="O550" i="11" s="1"/>
  <c r="O551" i="11" s="1"/>
  <c r="O552" i="11" s="1"/>
  <c r="O553" i="11" s="1"/>
  <c r="O554" i="11" s="1"/>
  <c r="O555" i="11" s="1"/>
  <c r="O556" i="11" s="1"/>
  <c r="O557" i="11" s="1"/>
  <c r="O558" i="11" s="1"/>
  <c r="O559" i="11" s="1"/>
  <c r="O560" i="11" s="1"/>
  <c r="O561" i="11" s="1"/>
  <c r="O562" i="11" s="1"/>
  <c r="O563" i="11" s="1"/>
  <c r="O564" i="11" s="1"/>
  <c r="O565" i="11" s="1"/>
  <c r="O566" i="11" s="1"/>
  <c r="O567" i="11" s="1"/>
  <c r="O568" i="11" s="1"/>
  <c r="O569" i="11" s="1"/>
  <c r="O570" i="11" s="1"/>
  <c r="O571" i="11" s="1"/>
  <c r="O572" i="11" s="1"/>
  <c r="O573" i="11" s="1"/>
  <c r="O574" i="11" s="1"/>
  <c r="O575" i="11" s="1"/>
  <c r="O576" i="11" s="1"/>
  <c r="O577" i="11" s="1"/>
  <c r="O578" i="11" s="1"/>
  <c r="O579" i="11" s="1"/>
  <c r="O580" i="11" s="1"/>
  <c r="O581" i="11" s="1"/>
  <c r="O582" i="11" s="1"/>
  <c r="O583" i="11" s="1"/>
  <c r="O584" i="11" s="1"/>
  <c r="O585" i="11" s="1"/>
  <c r="O586" i="11" s="1"/>
  <c r="O587" i="11" s="1"/>
  <c r="O588" i="11" s="1"/>
  <c r="O589" i="11" s="1"/>
  <c r="O590" i="11" s="1"/>
  <c r="O591" i="11" s="1"/>
  <c r="O593" i="11" s="1"/>
  <c r="O594" i="11" s="1"/>
  <c r="O595" i="11" s="1"/>
  <c r="O596" i="11" s="1"/>
  <c r="O597" i="11" s="1"/>
  <c r="O598" i="11" s="1"/>
  <c r="O599" i="11" s="1"/>
  <c r="O600" i="11" s="1"/>
  <c r="O601" i="11" s="1"/>
  <c r="O602" i="11" s="1"/>
  <c r="O603" i="11" s="1"/>
  <c r="O604" i="11" s="1"/>
  <c r="O605" i="11" s="1"/>
  <c r="O606" i="11" s="1"/>
  <c r="O607" i="11" s="1"/>
  <c r="O608" i="11" s="1"/>
  <c r="O609" i="11" s="1"/>
  <c r="O610" i="11" s="1"/>
  <c r="O611" i="11" s="1"/>
  <c r="O612" i="11" s="1"/>
  <c r="O613" i="11" s="1"/>
  <c r="O614" i="11" s="1"/>
  <c r="O615" i="11" s="1"/>
  <c r="O616" i="11" s="1"/>
  <c r="O617" i="11" s="1"/>
  <c r="O618" i="11" s="1"/>
  <c r="O619" i="11" s="1"/>
  <c r="O620" i="11" s="1"/>
  <c r="O621" i="11" s="1"/>
  <c r="O622" i="11" s="1"/>
  <c r="O623" i="11" s="1"/>
  <c r="O624" i="11" s="1"/>
  <c r="O625" i="11" s="1"/>
  <c r="O626" i="11" s="1"/>
  <c r="O627" i="11" s="1"/>
  <c r="O628" i="11" s="1"/>
  <c r="O629" i="11" s="1"/>
  <c r="O630" i="11" s="1"/>
  <c r="O631" i="11" s="1"/>
  <c r="O632" i="11" s="1"/>
  <c r="O633" i="11" s="1"/>
  <c r="O634" i="11" s="1"/>
  <c r="O635" i="11" s="1"/>
  <c r="O636" i="11" s="1"/>
  <c r="O637" i="11" s="1"/>
  <c r="O638" i="11" s="1"/>
  <c r="O639" i="11" s="1"/>
  <c r="O640" i="11" s="1"/>
  <c r="O641" i="11" s="1"/>
  <c r="O643" i="11" s="1"/>
  <c r="O644" i="11" s="1"/>
  <c r="O645" i="11" s="1"/>
  <c r="O646" i="11" s="1"/>
  <c r="O647" i="11" s="1"/>
  <c r="O648" i="11" s="1"/>
  <c r="O649" i="11" s="1"/>
  <c r="O650" i="11" s="1"/>
  <c r="O651" i="11" s="1"/>
  <c r="O652" i="11" s="1"/>
  <c r="O653" i="11" s="1"/>
  <c r="O654" i="11" s="1"/>
  <c r="O655" i="11" s="1"/>
  <c r="O656" i="11" s="1"/>
  <c r="O657" i="11" s="1"/>
  <c r="O658" i="11" s="1"/>
  <c r="O659" i="11" s="1"/>
  <c r="O660" i="11" s="1"/>
  <c r="O661" i="11" s="1"/>
  <c r="O662" i="11" s="1"/>
  <c r="O663" i="11" s="1"/>
  <c r="O664" i="11" s="1"/>
  <c r="O665" i="11" s="1"/>
  <c r="O666" i="11" s="1"/>
  <c r="O667" i="11" s="1"/>
  <c r="O668" i="11" s="1"/>
  <c r="O669" i="11" s="1"/>
  <c r="O670" i="11" s="1"/>
  <c r="O671" i="11" s="1"/>
  <c r="O672" i="11" s="1"/>
  <c r="A13" i="20"/>
  <c r="A110" i="19"/>
  <c r="B110" i="19"/>
  <c r="K63" i="20" l="1"/>
  <c r="I64" i="20"/>
  <c r="J64" i="20"/>
  <c r="D97" i="20"/>
  <c r="M64" i="20"/>
  <c r="M67" i="20"/>
  <c r="M65" i="20"/>
  <c r="B65" i="20"/>
  <c r="AN360" i="5"/>
  <c r="AE361" i="24"/>
  <c r="AP360" i="5" s="1"/>
  <c r="BY7" i="5"/>
  <c r="A14" i="19"/>
  <c r="N395" i="2"/>
  <c r="V345" i="2"/>
  <c r="D15" i="19"/>
  <c r="A15" i="19" s="1"/>
  <c r="A96" i="20"/>
  <c r="Z363" i="24"/>
  <c r="AB362" i="24"/>
  <c r="A26" i="19"/>
  <c r="B16" i="29"/>
  <c r="D17" i="29"/>
  <c r="C17" i="29"/>
  <c r="E16" i="29"/>
  <c r="O673" i="11"/>
  <c r="O674" i="11" s="1"/>
  <c r="O675" i="11" s="1"/>
  <c r="O676" i="11" s="1"/>
  <c r="O677" i="11" s="1"/>
  <c r="O678" i="11" s="1"/>
  <c r="O679" i="11" s="1"/>
  <c r="O680" i="11" s="1"/>
  <c r="O681" i="11" s="1"/>
  <c r="O682" i="11" s="1"/>
  <c r="O683" i="11" s="1"/>
  <c r="O684" i="11" s="1"/>
  <c r="O685" i="11" s="1"/>
  <c r="O686" i="11" s="1"/>
  <c r="O687" i="11" s="1"/>
  <c r="O688" i="11" s="1"/>
  <c r="O689" i="11" s="1"/>
  <c r="O690" i="11" s="1"/>
  <c r="O691" i="11" s="1"/>
  <c r="O692" i="11" s="1"/>
  <c r="O693" i="11" s="1"/>
  <c r="O694" i="11" s="1"/>
  <c r="O695" i="11" s="1"/>
  <c r="O696" i="11" s="1"/>
  <c r="O697" i="11" s="1"/>
  <c r="O698" i="11" s="1"/>
  <c r="O699" i="11" s="1"/>
  <c r="O700" i="11" s="1"/>
  <c r="O701" i="11" s="1"/>
  <c r="O702" i="11" s="1"/>
  <c r="O703" i="11" s="1"/>
  <c r="AK672" i="11"/>
  <c r="AL672" i="11" s="1"/>
  <c r="D68" i="20"/>
  <c r="D69" i="20" s="1"/>
  <c r="U348" i="2"/>
  <c r="BA7" i="5"/>
  <c r="CA7" i="5" s="1"/>
  <c r="H8" i="5"/>
  <c r="G8" i="5"/>
  <c r="BW8" i="5" s="1"/>
  <c r="I80" i="2"/>
  <c r="I81" i="2" s="1"/>
  <c r="I122" i="2"/>
  <c r="I45" i="2"/>
  <c r="I171" i="2"/>
  <c r="O247" i="2"/>
  <c r="W288" i="11"/>
  <c r="U288" i="11" s="1"/>
  <c r="X288" i="11" s="1"/>
  <c r="U289" i="11" s="1"/>
  <c r="X289" i="11" s="1"/>
  <c r="U290" i="11" s="1"/>
  <c r="X290" i="11" s="1"/>
  <c r="U291" i="11" s="1"/>
  <c r="X291" i="11" s="1"/>
  <c r="U292" i="11" s="1"/>
  <c r="X292" i="11" s="1"/>
  <c r="U293" i="11" s="1"/>
  <c r="X293" i="11" s="1"/>
  <c r="U294" i="11" s="1"/>
  <c r="X294" i="11" s="1"/>
  <c r="U295" i="11" s="1"/>
  <c r="X295" i="11" s="1"/>
  <c r="U296" i="11" s="1"/>
  <c r="X296" i="11" s="1"/>
  <c r="U297" i="11" s="1"/>
  <c r="X297" i="11" s="1"/>
  <c r="U298" i="11" s="1"/>
  <c r="X298" i="11" s="1"/>
  <c r="U299" i="11" s="1"/>
  <c r="X299" i="11" s="1"/>
  <c r="U300" i="11" s="1"/>
  <c r="X300" i="11" s="1"/>
  <c r="U301" i="11" s="1"/>
  <c r="X301" i="11" s="1"/>
  <c r="U302" i="11" s="1"/>
  <c r="X302" i="11" s="1"/>
  <c r="U303" i="11" s="1"/>
  <c r="X303" i="11" s="1"/>
  <c r="U304" i="11" s="1"/>
  <c r="X304" i="11" s="1"/>
  <c r="U305" i="11" s="1"/>
  <c r="X305" i="11" s="1"/>
  <c r="U306" i="11" s="1"/>
  <c r="X306" i="11" s="1"/>
  <c r="U307" i="11" s="1"/>
  <c r="X307" i="11" s="1"/>
  <c r="U308" i="11" s="1"/>
  <c r="X308" i="11" s="1"/>
  <c r="U309" i="11" s="1"/>
  <c r="X309" i="11" s="1"/>
  <c r="U310" i="11" s="1"/>
  <c r="X310" i="11" s="1"/>
  <c r="U311" i="11" s="1"/>
  <c r="X311" i="11" s="1"/>
  <c r="U312" i="11" s="1"/>
  <c r="X312" i="11" s="1"/>
  <c r="U313" i="11" s="1"/>
  <c r="X313" i="11" s="1"/>
  <c r="U314" i="11" s="1"/>
  <c r="X314" i="11" s="1"/>
  <c r="U315" i="11" s="1"/>
  <c r="X315" i="11" s="1"/>
  <c r="U316" i="11" s="1"/>
  <c r="X316" i="11" s="1"/>
  <c r="U317" i="11" s="1"/>
  <c r="X317" i="11" s="1"/>
  <c r="U318" i="11" s="1"/>
  <c r="X318" i="11" s="1"/>
  <c r="U319" i="11" s="1"/>
  <c r="X319" i="11" s="1"/>
  <c r="U320" i="11" s="1"/>
  <c r="X320" i="11" s="1"/>
  <c r="U321" i="11" s="1"/>
  <c r="X321" i="11" s="1"/>
  <c r="U322" i="11" s="1"/>
  <c r="X322" i="11" s="1"/>
  <c r="U323" i="11" s="1"/>
  <c r="X323" i="11" s="1"/>
  <c r="U324" i="11" s="1"/>
  <c r="X324" i="11" s="1"/>
  <c r="U325" i="11" s="1"/>
  <c r="X325" i="11" s="1"/>
  <c r="U326" i="11" s="1"/>
  <c r="X326" i="11" s="1"/>
  <c r="U327" i="11" s="1"/>
  <c r="X327" i="11" s="1"/>
  <c r="U328" i="11" s="1"/>
  <c r="X328" i="11" s="1"/>
  <c r="U329" i="11" s="1"/>
  <c r="X329" i="11" s="1"/>
  <c r="U330" i="11" s="1"/>
  <c r="X330" i="11" s="1"/>
  <c r="U331" i="11" s="1"/>
  <c r="X331" i="11" s="1"/>
  <c r="U332" i="11" s="1"/>
  <c r="X332" i="11" s="1"/>
  <c r="U333" i="11" s="1"/>
  <c r="X333" i="11" s="1"/>
  <c r="U334" i="11" s="1"/>
  <c r="X334" i="11" s="1"/>
  <c r="U335" i="11" s="1"/>
  <c r="X335" i="11" s="1"/>
  <c r="U336" i="11" s="1"/>
  <c r="X336" i="11" s="1"/>
  <c r="U337" i="11" s="1"/>
  <c r="X337" i="11" s="1"/>
  <c r="U338" i="11" s="1"/>
  <c r="X338" i="11" s="1"/>
  <c r="U339" i="11" s="1"/>
  <c r="X339" i="11" s="1"/>
  <c r="U340" i="11" s="1"/>
  <c r="X340" i="11" s="1"/>
  <c r="U341" i="11" s="1"/>
  <c r="X341" i="11" s="1"/>
  <c r="U342" i="11" s="1"/>
  <c r="X342" i="11" s="1"/>
  <c r="U343" i="11" s="1"/>
  <c r="X343" i="11" s="1"/>
  <c r="U344" i="11" s="1"/>
  <c r="X344" i="11" s="1"/>
  <c r="U345" i="11" s="1"/>
  <c r="X345" i="11" s="1"/>
  <c r="U346" i="11" s="1"/>
  <c r="X346" i="11" s="1"/>
  <c r="U347" i="11" s="1"/>
  <c r="X347" i="11" s="1"/>
  <c r="U348" i="11" s="1"/>
  <c r="X348" i="11" s="1"/>
  <c r="U349" i="11" s="1"/>
  <c r="X349" i="11" s="1"/>
  <c r="U350" i="11" s="1"/>
  <c r="X350" i="11" s="1"/>
  <c r="U351" i="11" s="1"/>
  <c r="X351" i="11" s="1"/>
  <c r="U352" i="11" s="1"/>
  <c r="X352" i="11" s="1"/>
  <c r="U353" i="11" s="1"/>
  <c r="X353" i="11" s="1"/>
  <c r="U354" i="11" s="1"/>
  <c r="X354" i="11" s="1"/>
  <c r="U355" i="11" s="1"/>
  <c r="X355" i="11" s="1"/>
  <c r="U356" i="11" s="1"/>
  <c r="X356" i="11" s="1"/>
  <c r="U357" i="11" s="1"/>
  <c r="X357" i="11" s="1"/>
  <c r="U358" i="11" s="1"/>
  <c r="X358" i="11" s="1"/>
  <c r="U359" i="11" s="1"/>
  <c r="X359" i="11" s="1"/>
  <c r="U360" i="11" s="1"/>
  <c r="X360" i="11" s="1"/>
  <c r="U361" i="11" s="1"/>
  <c r="X361" i="11" s="1"/>
  <c r="U362" i="11" s="1"/>
  <c r="X362" i="11" s="1"/>
  <c r="U363" i="11" s="1"/>
  <c r="X363" i="11" s="1"/>
  <c r="U364" i="11" s="1"/>
  <c r="X364" i="11" s="1"/>
  <c r="U365" i="11" s="1"/>
  <c r="X365" i="11" s="1"/>
  <c r="U366" i="11" s="1"/>
  <c r="X366" i="11" s="1"/>
  <c r="U367" i="11" s="1"/>
  <c r="X367" i="11" s="1"/>
  <c r="U368" i="11" s="1"/>
  <c r="X368" i="11" s="1"/>
  <c r="U369" i="11" s="1"/>
  <c r="X369" i="11" s="1"/>
  <c r="U370" i="11" s="1"/>
  <c r="X370" i="11" s="1"/>
  <c r="U371" i="11" s="1"/>
  <c r="X371" i="11" s="1"/>
  <c r="U372" i="11" s="1"/>
  <c r="X372" i="11" s="1"/>
  <c r="U373" i="11" s="1"/>
  <c r="X373" i="11" s="1"/>
  <c r="U374" i="11" s="1"/>
  <c r="X374" i="11" s="1"/>
  <c r="U375" i="11" s="1"/>
  <c r="X375" i="11" s="1"/>
  <c r="U376" i="11" s="1"/>
  <c r="X376" i="11" s="1"/>
  <c r="U377" i="11" s="1"/>
  <c r="X377" i="11" s="1"/>
  <c r="U378" i="11" s="1"/>
  <c r="X378" i="11" s="1"/>
  <c r="U379" i="11" s="1"/>
  <c r="X379" i="11" s="1"/>
  <c r="U380" i="11" s="1"/>
  <c r="X380" i="11" s="1"/>
  <c r="U381" i="11" s="1"/>
  <c r="X381" i="11" s="1"/>
  <c r="U382" i="11" s="1"/>
  <c r="X382" i="11" s="1"/>
  <c r="U383" i="11" s="1"/>
  <c r="X383" i="11" s="1"/>
  <c r="U384" i="11" s="1"/>
  <c r="X384" i="11" s="1"/>
  <c r="U385" i="11" s="1"/>
  <c r="X385" i="11" s="1"/>
  <c r="U386" i="11" s="1"/>
  <c r="X386" i="11" s="1"/>
  <c r="U387" i="11" s="1"/>
  <c r="X387" i="11" s="1"/>
  <c r="U388" i="11" s="1"/>
  <c r="X388" i="11" s="1"/>
  <c r="U389" i="11" s="1"/>
  <c r="X389" i="11" s="1"/>
  <c r="U390" i="11" s="1"/>
  <c r="X390" i="11" s="1"/>
  <c r="U391" i="11" s="1"/>
  <c r="X391" i="11" s="1"/>
  <c r="U392" i="11" s="1"/>
  <c r="X392" i="11" s="1"/>
  <c r="U393" i="11" s="1"/>
  <c r="X393" i="11" s="1"/>
  <c r="U394" i="11" s="1"/>
  <c r="X394" i="11" s="1"/>
  <c r="U395" i="11" s="1"/>
  <c r="X395" i="11" s="1"/>
  <c r="U396" i="11" s="1"/>
  <c r="X396" i="11" s="1"/>
  <c r="U397" i="11" s="1"/>
  <c r="X397" i="11" s="1"/>
  <c r="U398" i="11" s="1"/>
  <c r="X398" i="11" s="1"/>
  <c r="U399" i="11" s="1"/>
  <c r="X399" i="11" s="1"/>
  <c r="U400" i="11" s="1"/>
  <c r="X400" i="11" s="1"/>
  <c r="U401" i="11" s="1"/>
  <c r="X401" i="11" s="1"/>
  <c r="U402" i="11" s="1"/>
  <c r="X402" i="11" s="1"/>
  <c r="U403" i="11" s="1"/>
  <c r="X403" i="11" s="1"/>
  <c r="U404" i="11" s="1"/>
  <c r="X404" i="11" s="1"/>
  <c r="U405" i="11" s="1"/>
  <c r="X405" i="11" s="1"/>
  <c r="U406" i="11" s="1"/>
  <c r="X406" i="11" s="1"/>
  <c r="U407" i="11" s="1"/>
  <c r="X407" i="11" s="1"/>
  <c r="U408" i="11" s="1"/>
  <c r="X408" i="11" s="1"/>
  <c r="U409" i="11" s="1"/>
  <c r="X409" i="11" s="1"/>
  <c r="U410" i="11" s="1"/>
  <c r="X410" i="11" s="1"/>
  <c r="U411" i="11" s="1"/>
  <c r="X411" i="11" s="1"/>
  <c r="U412" i="11" s="1"/>
  <c r="X412" i="11" s="1"/>
  <c r="U413" i="11" s="1"/>
  <c r="X413" i="11" s="1"/>
  <c r="U414" i="11" s="1"/>
  <c r="X414" i="11" s="1"/>
  <c r="U415" i="11" s="1"/>
  <c r="X415" i="11" s="1"/>
  <c r="U416" i="11" s="1"/>
  <c r="X416" i="11" s="1"/>
  <c r="U417" i="11" s="1"/>
  <c r="X417" i="11" s="1"/>
  <c r="U418" i="11" s="1"/>
  <c r="X418" i="11" s="1"/>
  <c r="U419" i="11" s="1"/>
  <c r="X419" i="11" s="1"/>
  <c r="U420" i="11" s="1"/>
  <c r="X420" i="11" s="1"/>
  <c r="U421" i="11" s="1"/>
  <c r="X421" i="11" s="1"/>
  <c r="U422" i="11" s="1"/>
  <c r="X422" i="11" s="1"/>
  <c r="U423" i="11" s="1"/>
  <c r="X423" i="11" s="1"/>
  <c r="U424" i="11" s="1"/>
  <c r="X424" i="11" s="1"/>
  <c r="U425" i="11" s="1"/>
  <c r="X425" i="11" s="1"/>
  <c r="U426" i="11" s="1"/>
  <c r="X426" i="11" s="1"/>
  <c r="U427" i="11" s="1"/>
  <c r="X427" i="11" s="1"/>
  <c r="U428" i="11" s="1"/>
  <c r="X428" i="11" s="1"/>
  <c r="U429" i="11" s="1"/>
  <c r="X429" i="11" s="1"/>
  <c r="U430" i="11" s="1"/>
  <c r="X430" i="11" s="1"/>
  <c r="U431" i="11" s="1"/>
  <c r="X431" i="11" s="1"/>
  <c r="U432" i="11" s="1"/>
  <c r="X432" i="11" s="1"/>
  <c r="U433" i="11" s="1"/>
  <c r="X433" i="11" s="1"/>
  <c r="U434" i="11" s="1"/>
  <c r="X434" i="11" s="1"/>
  <c r="U435" i="11" s="1"/>
  <c r="X435" i="11" s="1"/>
  <c r="U436" i="11" s="1"/>
  <c r="X436" i="11" s="1"/>
  <c r="U437" i="11" s="1"/>
  <c r="X437" i="11" s="1"/>
  <c r="U438" i="11" s="1"/>
  <c r="X438" i="11" s="1"/>
  <c r="U439" i="11" s="1"/>
  <c r="X439" i="11" s="1"/>
  <c r="U440" i="11" s="1"/>
  <c r="X440" i="11" s="1"/>
  <c r="U441" i="11" s="1"/>
  <c r="X441" i="11" s="1"/>
  <c r="U442" i="11" s="1"/>
  <c r="X442" i="11" s="1"/>
  <c r="U443" i="11" s="1"/>
  <c r="X443" i="11" s="1"/>
  <c r="U444" i="11" s="1"/>
  <c r="X444" i="11" s="1"/>
  <c r="U445" i="11" s="1"/>
  <c r="X445" i="11" s="1"/>
  <c r="U446" i="11" s="1"/>
  <c r="X446" i="11" s="1"/>
  <c r="U447" i="11" s="1"/>
  <c r="X447" i="11" s="1"/>
  <c r="U448" i="11" s="1"/>
  <c r="X448" i="11" s="1"/>
  <c r="U449" i="11" s="1"/>
  <c r="X449" i="11" s="1"/>
  <c r="U450" i="11" s="1"/>
  <c r="X450" i="11" s="1"/>
  <c r="U451" i="11" s="1"/>
  <c r="X451" i="11" s="1"/>
  <c r="U452" i="11" s="1"/>
  <c r="X452" i="11" s="1"/>
  <c r="U453" i="11" s="1"/>
  <c r="X453" i="11" s="1"/>
  <c r="U454" i="11" s="1"/>
  <c r="X454" i="11" s="1"/>
  <c r="U455" i="11" s="1"/>
  <c r="X455" i="11" s="1"/>
  <c r="U456" i="11" s="1"/>
  <c r="X456" i="11" s="1"/>
  <c r="U457" i="11" s="1"/>
  <c r="X457" i="11" s="1"/>
  <c r="U458" i="11" s="1"/>
  <c r="X458" i="11" s="1"/>
  <c r="U459" i="11" s="1"/>
  <c r="X459" i="11" s="1"/>
  <c r="U460" i="11" s="1"/>
  <c r="X460" i="11" s="1"/>
  <c r="U461" i="11" s="1"/>
  <c r="X461" i="11" s="1"/>
  <c r="U462" i="11" s="1"/>
  <c r="X462" i="11" s="1"/>
  <c r="U463" i="11" s="1"/>
  <c r="X463" i="11" s="1"/>
  <c r="U464" i="11" s="1"/>
  <c r="X464" i="11" s="1"/>
  <c r="U465" i="11" s="1"/>
  <c r="X465" i="11" s="1"/>
  <c r="U466" i="11" s="1"/>
  <c r="X466" i="11" s="1"/>
  <c r="U467" i="11" s="1"/>
  <c r="X467" i="11" s="1"/>
  <c r="U468" i="11" s="1"/>
  <c r="X468" i="11" s="1"/>
  <c r="U469" i="11" s="1"/>
  <c r="X469" i="11" s="1"/>
  <c r="U470" i="11" s="1"/>
  <c r="X470" i="11" s="1"/>
  <c r="U471" i="11" s="1"/>
  <c r="X471" i="11" s="1"/>
  <c r="U472" i="11" s="1"/>
  <c r="X472" i="11" s="1"/>
  <c r="U473" i="11" s="1"/>
  <c r="X473" i="11" s="1"/>
  <c r="U474" i="11" s="1"/>
  <c r="X474" i="11" s="1"/>
  <c r="U475" i="11" s="1"/>
  <c r="X475" i="11" s="1"/>
  <c r="U476" i="11" s="1"/>
  <c r="X476" i="11" s="1"/>
  <c r="U477" i="11" s="1"/>
  <c r="X477" i="11" s="1"/>
  <c r="U478" i="11" s="1"/>
  <c r="X478" i="11" s="1"/>
  <c r="U479" i="11" s="1"/>
  <c r="X479" i="11" s="1"/>
  <c r="U480" i="11" s="1"/>
  <c r="X480" i="11" s="1"/>
  <c r="U481" i="11" s="1"/>
  <c r="X481" i="11" s="1"/>
  <c r="U482" i="11" s="1"/>
  <c r="X482" i="11" s="1"/>
  <c r="U483" i="11" s="1"/>
  <c r="X483" i="11" s="1"/>
  <c r="U484" i="11" s="1"/>
  <c r="X484" i="11" s="1"/>
  <c r="U485" i="11" s="1"/>
  <c r="X485" i="11" s="1"/>
  <c r="U486" i="11" s="1"/>
  <c r="X486" i="11" s="1"/>
  <c r="U487" i="11" s="1"/>
  <c r="X487" i="11" s="1"/>
  <c r="U488" i="11" s="1"/>
  <c r="X488" i="11" s="1"/>
  <c r="U489" i="11" s="1"/>
  <c r="X489" i="11" s="1"/>
  <c r="U490" i="11" s="1"/>
  <c r="X490" i="11" s="1"/>
  <c r="U491" i="11" s="1"/>
  <c r="X491" i="11" s="1"/>
  <c r="U492" i="11" s="1"/>
  <c r="X492" i="11" s="1"/>
  <c r="U493" i="11" s="1"/>
  <c r="X493" i="11" s="1"/>
  <c r="U494" i="11" s="1"/>
  <c r="X494" i="11" s="1"/>
  <c r="U495" i="11" s="1"/>
  <c r="X495" i="11" s="1"/>
  <c r="U496" i="11" s="1"/>
  <c r="X496" i="11" s="1"/>
  <c r="U497" i="11" s="1"/>
  <c r="X497" i="11" s="1"/>
  <c r="U498" i="11" s="1"/>
  <c r="X498" i="11" s="1"/>
  <c r="U499" i="11" s="1"/>
  <c r="X499" i="11" s="1"/>
  <c r="U500" i="11" s="1"/>
  <c r="X500" i="11" s="1"/>
  <c r="U501" i="11" s="1"/>
  <c r="X501" i="11" s="1"/>
  <c r="U502" i="11" s="1"/>
  <c r="X502" i="11" s="1"/>
  <c r="U503" i="11" s="1"/>
  <c r="X503" i="11" s="1"/>
  <c r="U504" i="11" s="1"/>
  <c r="X504" i="11" s="1"/>
  <c r="U505" i="11" s="1"/>
  <c r="X505" i="11" s="1"/>
  <c r="U506" i="11" s="1"/>
  <c r="X506" i="11" s="1"/>
  <c r="U507" i="11" s="1"/>
  <c r="X507" i="11" s="1"/>
  <c r="U508" i="11" s="1"/>
  <c r="X508" i="11" s="1"/>
  <c r="U509" i="11" s="1"/>
  <c r="X509" i="11" s="1"/>
  <c r="U510" i="11" s="1"/>
  <c r="X510" i="11" s="1"/>
  <c r="U511" i="11" s="1"/>
  <c r="X511" i="11" s="1"/>
  <c r="U512" i="11" s="1"/>
  <c r="X512" i="11" s="1"/>
  <c r="U513" i="11" s="1"/>
  <c r="X513" i="11" s="1"/>
  <c r="U514" i="11" s="1"/>
  <c r="X514" i="11" s="1"/>
  <c r="U515" i="11" s="1"/>
  <c r="X515" i="11" s="1"/>
  <c r="U516" i="11" s="1"/>
  <c r="X516" i="11" s="1"/>
  <c r="U517" i="11" s="1"/>
  <c r="X517" i="11" s="1"/>
  <c r="U518" i="11" s="1"/>
  <c r="X518" i="11" s="1"/>
  <c r="U519" i="11" s="1"/>
  <c r="X519" i="11" s="1"/>
  <c r="U520" i="11" s="1"/>
  <c r="X520" i="11" s="1"/>
  <c r="U521" i="11" s="1"/>
  <c r="X521" i="11" s="1"/>
  <c r="U522" i="11" s="1"/>
  <c r="X522" i="11" s="1"/>
  <c r="U523" i="11" s="1"/>
  <c r="X523" i="11" s="1"/>
  <c r="U524" i="11" s="1"/>
  <c r="X524" i="11" s="1"/>
  <c r="U525" i="11" s="1"/>
  <c r="X525" i="11" s="1"/>
  <c r="U526" i="11" s="1"/>
  <c r="X526" i="11" s="1"/>
  <c r="U527" i="11" s="1"/>
  <c r="X527" i="11" s="1"/>
  <c r="U528" i="11" s="1"/>
  <c r="X528" i="11" s="1"/>
  <c r="U529" i="11" s="1"/>
  <c r="X529" i="11" s="1"/>
  <c r="U530" i="11" s="1"/>
  <c r="X530" i="11" s="1"/>
  <c r="U531" i="11" s="1"/>
  <c r="X531" i="11" s="1"/>
  <c r="U532" i="11" s="1"/>
  <c r="X532" i="11" s="1"/>
  <c r="U533" i="11" s="1"/>
  <c r="X533" i="11" s="1"/>
  <c r="U534" i="11" s="1"/>
  <c r="X534" i="11" s="1"/>
  <c r="U535" i="11" s="1"/>
  <c r="X535" i="11" s="1"/>
  <c r="U536" i="11" s="1"/>
  <c r="X536" i="11" s="1"/>
  <c r="U537" i="11" s="1"/>
  <c r="X537" i="11" s="1"/>
  <c r="U538" i="11" s="1"/>
  <c r="X538" i="11" s="1"/>
  <c r="U539" i="11" s="1"/>
  <c r="X539" i="11" s="1"/>
  <c r="U540" i="11" s="1"/>
  <c r="X540" i="11" s="1"/>
  <c r="U541" i="11" s="1"/>
  <c r="X541" i="11" s="1"/>
  <c r="U542" i="11" s="1"/>
  <c r="X542" i="11" s="1"/>
  <c r="U543" i="11" s="1"/>
  <c r="X543" i="11" s="1"/>
  <c r="U544" i="11" s="1"/>
  <c r="X544" i="11" s="1"/>
  <c r="U545" i="11" s="1"/>
  <c r="X545" i="11" s="1"/>
  <c r="U546" i="11" s="1"/>
  <c r="X546" i="11" s="1"/>
  <c r="U547" i="11" s="1"/>
  <c r="X547" i="11" s="1"/>
  <c r="U548" i="11" s="1"/>
  <c r="X548" i="11" s="1"/>
  <c r="U549" i="11" s="1"/>
  <c r="X549" i="11" s="1"/>
  <c r="D455" i="11"/>
  <c r="F455" i="11"/>
  <c r="D98" i="20"/>
  <c r="A97" i="20"/>
  <c r="A14" i="20"/>
  <c r="A111" i="19"/>
  <c r="B111" i="19"/>
  <c r="K64" i="20" l="1"/>
  <c r="J65" i="20"/>
  <c r="I65" i="20"/>
  <c r="M26" i="19"/>
  <c r="K26" i="19"/>
  <c r="B66" i="20"/>
  <c r="AN361" i="5"/>
  <c r="AE362" i="24"/>
  <c r="AP361" i="5" s="1"/>
  <c r="BY8" i="5"/>
  <c r="D16" i="19"/>
  <c r="V346" i="2"/>
  <c r="N396" i="2"/>
  <c r="Z364" i="24"/>
  <c r="AB363" i="24"/>
  <c r="E17" i="29"/>
  <c r="D18" i="29"/>
  <c r="C18" i="29"/>
  <c r="B17" i="29"/>
  <c r="A68" i="20"/>
  <c r="U349" i="2"/>
  <c r="BA8" i="5"/>
  <c r="CA8" i="5" s="1"/>
  <c r="H9" i="5"/>
  <c r="G9" i="5"/>
  <c r="BW9" i="5" s="1"/>
  <c r="I123" i="2"/>
  <c r="I46" i="2"/>
  <c r="I172" i="2"/>
  <c r="I82" i="2"/>
  <c r="O248" i="2"/>
  <c r="T550" i="11"/>
  <c r="U550" i="11" s="1"/>
  <c r="X550" i="11" s="1"/>
  <c r="U551" i="11" s="1"/>
  <c r="X551" i="11" s="1"/>
  <c r="U552" i="11" s="1"/>
  <c r="X552" i="11" s="1"/>
  <c r="U553" i="11" s="1"/>
  <c r="X553" i="11" s="1"/>
  <c r="U554" i="11" s="1"/>
  <c r="X554" i="11" s="1"/>
  <c r="U555" i="11" s="1"/>
  <c r="X555" i="11" s="1"/>
  <c r="U556" i="11" s="1"/>
  <c r="X556" i="11" s="1"/>
  <c r="U557" i="11" s="1"/>
  <c r="X557" i="11" s="1"/>
  <c r="U558" i="11" s="1"/>
  <c r="X558" i="11" s="1"/>
  <c r="U559" i="11" s="1"/>
  <c r="X559" i="11" s="1"/>
  <c r="U560" i="11" s="1"/>
  <c r="X560" i="11" s="1"/>
  <c r="U561" i="11" s="1"/>
  <c r="X561" i="11" s="1"/>
  <c r="U562" i="11" s="1"/>
  <c r="X562" i="11" s="1"/>
  <c r="U563" i="11" s="1"/>
  <c r="X563" i="11" s="1"/>
  <c r="U564" i="11" s="1"/>
  <c r="X564" i="11" s="1"/>
  <c r="U565" i="11" s="1"/>
  <c r="X565" i="11" s="1"/>
  <c r="U566" i="11" s="1"/>
  <c r="X566" i="11" s="1"/>
  <c r="U567" i="11" s="1"/>
  <c r="X567" i="11" s="1"/>
  <c r="U568" i="11" s="1"/>
  <c r="X568" i="11" s="1"/>
  <c r="U569" i="11" s="1"/>
  <c r="X569" i="11" s="1"/>
  <c r="U570" i="11" s="1"/>
  <c r="X570" i="11" s="1"/>
  <c r="U571" i="11" s="1"/>
  <c r="X571" i="11" s="1"/>
  <c r="U572" i="11" s="1"/>
  <c r="X572" i="11" s="1"/>
  <c r="U573" i="11" s="1"/>
  <c r="X573" i="11" s="1"/>
  <c r="U574" i="11" s="1"/>
  <c r="X574" i="11" s="1"/>
  <c r="U575" i="11" s="1"/>
  <c r="X575" i="11" s="1"/>
  <c r="U576" i="11" s="1"/>
  <c r="X576" i="11" s="1"/>
  <c r="U577" i="11" s="1"/>
  <c r="X577" i="11" s="1"/>
  <c r="U578" i="11" s="1"/>
  <c r="X578" i="11" s="1"/>
  <c r="U579" i="11" s="1"/>
  <c r="X579" i="11" s="1"/>
  <c r="U580" i="11" s="1"/>
  <c r="X580" i="11" s="1"/>
  <c r="U581" i="11" s="1"/>
  <c r="X581" i="11" s="1"/>
  <c r="U582" i="11" s="1"/>
  <c r="X582" i="11" s="1"/>
  <c r="U583" i="11" s="1"/>
  <c r="X583" i="11" s="1"/>
  <c r="U584" i="11" s="1"/>
  <c r="X584" i="11" s="1"/>
  <c r="U585" i="11" s="1"/>
  <c r="X585" i="11" s="1"/>
  <c r="U586" i="11" s="1"/>
  <c r="X586" i="11" s="1"/>
  <c r="U587" i="11" s="1"/>
  <c r="X587" i="11" s="1"/>
  <c r="U588" i="11" s="1"/>
  <c r="X588" i="11" s="1"/>
  <c r="U589" i="11" s="1"/>
  <c r="G455" i="11"/>
  <c r="D456" i="11" s="1"/>
  <c r="G456" i="11" s="1"/>
  <c r="D457" i="11" s="1"/>
  <c r="G457" i="11" s="1"/>
  <c r="D458" i="11" s="1"/>
  <c r="G458" i="11" s="1"/>
  <c r="D459" i="11" s="1"/>
  <c r="G459" i="11" s="1"/>
  <c r="D460" i="11" s="1"/>
  <c r="G460" i="11" s="1"/>
  <c r="D461" i="11" s="1"/>
  <c r="G461" i="11" s="1"/>
  <c r="D462" i="11" s="1"/>
  <c r="G462" i="11" s="1"/>
  <c r="D463" i="11" s="1"/>
  <c r="G463" i="11" s="1"/>
  <c r="D464" i="11" s="1"/>
  <c r="G464" i="11" s="1"/>
  <c r="A15" i="20"/>
  <c r="D99" i="20"/>
  <c r="A98" i="20"/>
  <c r="A69" i="20"/>
  <c r="D70" i="20"/>
  <c r="B112" i="19"/>
  <c r="A112" i="19"/>
  <c r="J66" i="20" l="1"/>
  <c r="I66" i="20"/>
  <c r="K65" i="20"/>
  <c r="M69" i="20"/>
  <c r="M68" i="20"/>
  <c r="B67" i="20"/>
  <c r="AN362" i="5"/>
  <c r="AE363" i="24"/>
  <c r="AP362" i="5" s="1"/>
  <c r="BY9" i="5"/>
  <c r="D17" i="19"/>
  <c r="A17" i="19" s="1"/>
  <c r="A16" i="19"/>
  <c r="V347" i="2"/>
  <c r="N397" i="2"/>
  <c r="Z365" i="24"/>
  <c r="AB364" i="24"/>
  <c r="B18" i="29"/>
  <c r="D19" i="29"/>
  <c r="E18" i="29"/>
  <c r="C19" i="29"/>
  <c r="X589" i="11"/>
  <c r="U590" i="11" s="1"/>
  <c r="X590" i="11" s="1"/>
  <c r="U591" i="11" s="1"/>
  <c r="X591" i="11" s="1"/>
  <c r="U592" i="11" s="1"/>
  <c r="X592" i="11" s="1"/>
  <c r="U593" i="11" s="1"/>
  <c r="X593" i="11" s="1"/>
  <c r="U594" i="11" s="1"/>
  <c r="X594" i="11" s="1"/>
  <c r="U595" i="11" s="1"/>
  <c r="X595" i="11" s="1"/>
  <c r="U596" i="11" s="1"/>
  <c r="X596" i="11" s="1"/>
  <c r="U597" i="11" s="1"/>
  <c r="X597" i="11" s="1"/>
  <c r="U598" i="11" s="1"/>
  <c r="X598" i="11" s="1"/>
  <c r="U599" i="11" s="1"/>
  <c r="X599" i="11" s="1"/>
  <c r="U600" i="11" s="1"/>
  <c r="X600" i="11" s="1"/>
  <c r="U601" i="11" s="1"/>
  <c r="X601" i="11" s="1"/>
  <c r="U602" i="11" s="1"/>
  <c r="X602" i="11" s="1"/>
  <c r="U603" i="11" s="1"/>
  <c r="X603" i="11" s="1"/>
  <c r="U604" i="11" s="1"/>
  <c r="X604" i="11" s="1"/>
  <c r="U605" i="11" s="1"/>
  <c r="X605" i="11" s="1"/>
  <c r="U606" i="11" s="1"/>
  <c r="X606" i="11" s="1"/>
  <c r="U607" i="11" s="1"/>
  <c r="X607" i="11" s="1"/>
  <c r="U608" i="11" s="1"/>
  <c r="X608" i="11" s="1"/>
  <c r="U609" i="11" s="1"/>
  <c r="X609" i="11" s="1"/>
  <c r="G10" i="5"/>
  <c r="BW10" i="5" s="1"/>
  <c r="H10" i="5"/>
  <c r="BA9" i="5"/>
  <c r="CA9" i="5" s="1"/>
  <c r="I124" i="2"/>
  <c r="I173" i="2"/>
  <c r="I83" i="2"/>
  <c r="I47" i="2"/>
  <c r="O249" i="2"/>
  <c r="D465" i="11"/>
  <c r="F465" i="11"/>
  <c r="A16" i="20"/>
  <c r="A99" i="20"/>
  <c r="D100" i="20"/>
  <c r="A70" i="20"/>
  <c r="D71" i="20"/>
  <c r="A113" i="19"/>
  <c r="B113" i="19"/>
  <c r="J67" i="20" l="1"/>
  <c r="I67" i="20"/>
  <c r="K66" i="20"/>
  <c r="D18" i="19"/>
  <c r="A18" i="19" s="1"/>
  <c r="M70" i="20"/>
  <c r="B68" i="20"/>
  <c r="AN363" i="5"/>
  <c r="AE364" i="24"/>
  <c r="AP363" i="5" s="1"/>
  <c r="BY10" i="5"/>
  <c r="V348" i="2"/>
  <c r="N398" i="2"/>
  <c r="Z366" i="24"/>
  <c r="AB365" i="24"/>
  <c r="E19" i="29"/>
  <c r="D20" i="29"/>
  <c r="C20" i="29"/>
  <c r="B19" i="29"/>
  <c r="D83" i="20"/>
  <c r="U351" i="2"/>
  <c r="BA10" i="5"/>
  <c r="CA10" i="5" s="1"/>
  <c r="H11" i="5"/>
  <c r="G11" i="5"/>
  <c r="BW11" i="5" s="1"/>
  <c r="I125" i="2"/>
  <c r="I84" i="2"/>
  <c r="I174" i="2"/>
  <c r="I48" i="2"/>
  <c r="O250" i="2"/>
  <c r="G465" i="11"/>
  <c r="D466" i="11" s="1"/>
  <c r="G466" i="11" s="1"/>
  <c r="D467" i="11" s="1"/>
  <c r="G467" i="11" s="1"/>
  <c r="D468" i="11" s="1"/>
  <c r="G468" i="11" s="1"/>
  <c r="D469" i="11" s="1"/>
  <c r="G469" i="11" s="1"/>
  <c r="D470" i="11" s="1"/>
  <c r="G470" i="11" s="1"/>
  <c r="D471" i="11" s="1"/>
  <c r="A100" i="20"/>
  <c r="D101" i="20"/>
  <c r="A17" i="20"/>
  <c r="D72" i="20"/>
  <c r="A71" i="20"/>
  <c r="A114" i="19"/>
  <c r="B114" i="19"/>
  <c r="I68" i="20" l="1"/>
  <c r="J68" i="20"/>
  <c r="K67" i="20"/>
  <c r="D19" i="19"/>
  <c r="M71" i="20"/>
  <c r="B69" i="20"/>
  <c r="AN364" i="5"/>
  <c r="AE365" i="24"/>
  <c r="AP364" i="5" s="1"/>
  <c r="BY11" i="5"/>
  <c r="N399" i="2"/>
  <c r="V349" i="2"/>
  <c r="Z367" i="24"/>
  <c r="AB366" i="24"/>
  <c r="B20" i="29"/>
  <c r="E20" i="29"/>
  <c r="D21" i="29"/>
  <c r="C21" i="29"/>
  <c r="D84" i="20"/>
  <c r="A83" i="20"/>
  <c r="M83" i="20" s="1"/>
  <c r="U352" i="2"/>
  <c r="G12" i="5"/>
  <c r="BW12" i="5" s="1"/>
  <c r="BA11" i="5"/>
  <c r="CA11" i="5" s="1"/>
  <c r="H12" i="5"/>
  <c r="BY12" i="5" s="1"/>
  <c r="I126" i="2"/>
  <c r="I85" i="2"/>
  <c r="I49" i="2"/>
  <c r="I175" i="2"/>
  <c r="O251" i="2"/>
  <c r="F471" i="11"/>
  <c r="G471" i="11" s="1"/>
  <c r="D472" i="11" s="1"/>
  <c r="G472" i="11" s="1"/>
  <c r="D473" i="11" s="1"/>
  <c r="G473" i="11" s="1"/>
  <c r="D474" i="11" s="1"/>
  <c r="G474" i="11" s="1"/>
  <c r="D475" i="11" s="1"/>
  <c r="G475" i="11" s="1"/>
  <c r="D476" i="11" s="1"/>
  <c r="G476" i="11" s="1"/>
  <c r="D477" i="11" s="1"/>
  <c r="G477" i="11" s="1"/>
  <c r="D478" i="11" s="1"/>
  <c r="G478" i="11" s="1"/>
  <c r="D479" i="11" s="1"/>
  <c r="G479" i="11" s="1"/>
  <c r="D480" i="11" s="1"/>
  <c r="G480" i="11" s="1"/>
  <c r="D481" i="11" s="1"/>
  <c r="G481" i="11" s="1"/>
  <c r="D482" i="11" s="1"/>
  <c r="G482" i="11" s="1"/>
  <c r="D483" i="11" s="1"/>
  <c r="G483" i="11" s="1"/>
  <c r="D484" i="11" s="1"/>
  <c r="G484" i="11" s="1"/>
  <c r="D485" i="11" s="1"/>
  <c r="G485" i="11" s="1"/>
  <c r="D486" i="11" s="1"/>
  <c r="G486" i="11" s="1"/>
  <c r="D102" i="20"/>
  <c r="A101" i="20"/>
  <c r="D19" i="20"/>
  <c r="A18" i="20"/>
  <c r="A72" i="20"/>
  <c r="A115" i="19"/>
  <c r="B115" i="19"/>
  <c r="I69" i="20" l="1"/>
  <c r="J69" i="20"/>
  <c r="K68" i="20"/>
  <c r="A19" i="19"/>
  <c r="D20" i="19"/>
  <c r="M72" i="20"/>
  <c r="B70" i="20"/>
  <c r="AN365" i="5"/>
  <c r="AE366" i="24"/>
  <c r="AP365" i="5" s="1"/>
  <c r="N400" i="2"/>
  <c r="V350" i="2"/>
  <c r="Z368" i="24"/>
  <c r="AB367" i="24"/>
  <c r="B83" i="20"/>
  <c r="E21" i="29"/>
  <c r="B21" i="29"/>
  <c r="D22" i="29"/>
  <c r="C22" i="29"/>
  <c r="D85" i="20"/>
  <c r="A85" i="20" s="1"/>
  <c r="M85" i="20" s="1"/>
  <c r="A84" i="20"/>
  <c r="M84" i="20" s="1"/>
  <c r="U353" i="2"/>
  <c r="BA12" i="5"/>
  <c r="CA12" i="5" s="1"/>
  <c r="H13" i="5"/>
  <c r="G13" i="5"/>
  <c r="BW13" i="5" s="1"/>
  <c r="I127" i="2"/>
  <c r="I50" i="2"/>
  <c r="I176" i="2"/>
  <c r="I86" i="2"/>
  <c r="O252" i="2"/>
  <c r="AK486" i="11"/>
  <c r="D487" i="11"/>
  <c r="G487" i="11" s="1"/>
  <c r="D488" i="11" s="1"/>
  <c r="G488" i="11" s="1"/>
  <c r="D489" i="11" s="1"/>
  <c r="G489" i="11" s="1"/>
  <c r="D490" i="11" s="1"/>
  <c r="G490" i="11" s="1"/>
  <c r="D491" i="11" s="1"/>
  <c r="G491" i="11" s="1"/>
  <c r="D103" i="20"/>
  <c r="A102" i="20"/>
  <c r="D20" i="20"/>
  <c r="A19" i="20"/>
  <c r="B116" i="19"/>
  <c r="A116" i="19"/>
  <c r="K69" i="20" l="1"/>
  <c r="I70" i="20"/>
  <c r="J70" i="20"/>
  <c r="A20" i="19"/>
  <c r="D21" i="19"/>
  <c r="B71" i="20"/>
  <c r="AN366" i="5"/>
  <c r="AE367" i="24"/>
  <c r="AP366" i="5" s="1"/>
  <c r="BY13" i="5"/>
  <c r="N401" i="2"/>
  <c r="V351" i="2"/>
  <c r="Z369" i="24"/>
  <c r="AB368" i="24"/>
  <c r="B84" i="20"/>
  <c r="B22" i="29"/>
  <c r="D23" i="29"/>
  <c r="C23" i="29"/>
  <c r="E22" i="29"/>
  <c r="U354" i="2"/>
  <c r="H14" i="5"/>
  <c r="BA13" i="5"/>
  <c r="CA13" i="5" s="1"/>
  <c r="G14" i="5"/>
  <c r="BW14" i="5" s="1"/>
  <c r="I128" i="2"/>
  <c r="I177" i="2"/>
  <c r="I51" i="2"/>
  <c r="I87" i="2"/>
  <c r="O253" i="2"/>
  <c r="F492" i="11"/>
  <c r="D492" i="11"/>
  <c r="A20" i="20"/>
  <c r="D21" i="20"/>
  <c r="D104" i="20"/>
  <c r="A103" i="20"/>
  <c r="A117" i="19"/>
  <c r="B117" i="19"/>
  <c r="I71" i="20" l="1"/>
  <c r="J71" i="20"/>
  <c r="K70" i="20"/>
  <c r="A21" i="19"/>
  <c r="D22" i="19"/>
  <c r="B72" i="20"/>
  <c r="AN367" i="5"/>
  <c r="AE368" i="24"/>
  <c r="AP367" i="5" s="1"/>
  <c r="BY14" i="5"/>
  <c r="N402" i="2"/>
  <c r="V352" i="2"/>
  <c r="Z370" i="24"/>
  <c r="AB369" i="24"/>
  <c r="B85" i="20"/>
  <c r="E23" i="29"/>
  <c r="B23" i="29"/>
  <c r="D24" i="29"/>
  <c r="C24" i="29"/>
  <c r="U355" i="2"/>
  <c r="BA14" i="5"/>
  <c r="CA14" i="5" s="1"/>
  <c r="H15" i="5"/>
  <c r="G15" i="5"/>
  <c r="BW15" i="5" s="1"/>
  <c r="I129" i="2"/>
  <c r="I88" i="2"/>
  <c r="I178" i="2"/>
  <c r="I52" i="2"/>
  <c r="O254" i="2"/>
  <c r="G492" i="11"/>
  <c r="D493" i="11" s="1"/>
  <c r="G493" i="11" s="1"/>
  <c r="D494" i="11" s="1"/>
  <c r="G494" i="11" s="1"/>
  <c r="D495" i="11" s="1"/>
  <c r="G495" i="11" s="1"/>
  <c r="D496" i="11" s="1"/>
  <c r="G496" i="11" s="1"/>
  <c r="D497" i="11" s="1"/>
  <c r="G497" i="11" s="1"/>
  <c r="D498" i="11" s="1"/>
  <c r="G498" i="11" s="1"/>
  <c r="D499" i="11" s="1"/>
  <c r="G499" i="11" s="1"/>
  <c r="D500" i="11" s="1"/>
  <c r="G500" i="11" s="1"/>
  <c r="D501" i="11" s="1"/>
  <c r="G501" i="11" s="1"/>
  <c r="D502" i="11" s="1"/>
  <c r="G502" i="11" s="1"/>
  <c r="D503" i="11" s="1"/>
  <c r="G503" i="11" s="1"/>
  <c r="D504" i="11" s="1"/>
  <c r="G504" i="11" s="1"/>
  <c r="D505" i="11" s="1"/>
  <c r="G505" i="11" s="1"/>
  <c r="D506" i="11" s="1"/>
  <c r="G506" i="11" s="1"/>
  <c r="D507" i="11" s="1"/>
  <c r="G507" i="11" s="1"/>
  <c r="D508" i="11" s="1"/>
  <c r="G508" i="11" s="1"/>
  <c r="D509" i="11" s="1"/>
  <c r="G509" i="11" s="1"/>
  <c r="D510" i="11" s="1"/>
  <c r="G510" i="11" s="1"/>
  <c r="D511" i="11" s="1"/>
  <c r="G511" i="11" s="1"/>
  <c r="D512" i="11" s="1"/>
  <c r="G512" i="11" s="1"/>
  <c r="D513" i="11" s="1"/>
  <c r="G513" i="11" s="1"/>
  <c r="D514" i="11" s="1"/>
  <c r="G514" i="11" s="1"/>
  <c r="D515" i="11" s="1"/>
  <c r="G515" i="11" s="1"/>
  <c r="D516" i="11" s="1"/>
  <c r="G516" i="11" s="1"/>
  <c r="D517" i="11" s="1"/>
  <c r="G517" i="11" s="1"/>
  <c r="D518" i="11" s="1"/>
  <c r="G518" i="11" s="1"/>
  <c r="D519" i="11" s="1"/>
  <c r="G519" i="11" s="1"/>
  <c r="D520" i="11" s="1"/>
  <c r="G520" i="11" s="1"/>
  <c r="D521" i="11" s="1"/>
  <c r="G521" i="11" s="1"/>
  <c r="F522" i="11" s="1"/>
  <c r="A104" i="20"/>
  <c r="A21" i="20"/>
  <c r="D22" i="20"/>
  <c r="M99" i="20" s="1"/>
  <c r="B118" i="19"/>
  <c r="A118" i="19"/>
  <c r="I72" i="20" l="1"/>
  <c r="J72" i="20"/>
  <c r="K71" i="20"/>
  <c r="M107" i="19"/>
  <c r="K107" i="19"/>
  <c r="G5" i="32" s="1"/>
  <c r="L107" i="19"/>
  <c r="H5" i="32" s="1"/>
  <c r="M102" i="20"/>
  <c r="L101" i="20"/>
  <c r="H30" i="32" s="1"/>
  <c r="L104" i="20"/>
  <c r="H33" i="32" s="1"/>
  <c r="M101" i="20"/>
  <c r="L102" i="20"/>
  <c r="H31" i="32" s="1"/>
  <c r="L96" i="20"/>
  <c r="H25" i="32" s="1"/>
  <c r="M100" i="20"/>
  <c r="M97" i="20"/>
  <c r="L95" i="20"/>
  <c r="H24" i="32" s="1"/>
  <c r="L97" i="20"/>
  <c r="H26" i="32" s="1"/>
  <c r="L99" i="20"/>
  <c r="H28" i="32" s="1"/>
  <c r="M98" i="20"/>
  <c r="L100" i="20"/>
  <c r="H29" i="32" s="1"/>
  <c r="L98" i="20"/>
  <c r="H27" i="32" s="1"/>
  <c r="M103" i="20"/>
  <c r="M96" i="20"/>
  <c r="L103" i="20"/>
  <c r="H32" i="32" s="1"/>
  <c r="L94" i="20"/>
  <c r="H23" i="32" s="1"/>
  <c r="M104" i="20"/>
  <c r="L112" i="19"/>
  <c r="H10" i="32" s="1"/>
  <c r="L108" i="19"/>
  <c r="H6" i="32" s="1"/>
  <c r="M112" i="19"/>
  <c r="I10" i="32" s="1"/>
  <c r="L111" i="19"/>
  <c r="H9" i="32" s="1"/>
  <c r="M118" i="19"/>
  <c r="I16" i="32" s="1"/>
  <c r="J107" i="19"/>
  <c r="F5" i="32" s="1"/>
  <c r="M108" i="19"/>
  <c r="I6" i="32" s="1"/>
  <c r="M117" i="19"/>
  <c r="I15" i="32" s="1"/>
  <c r="M114" i="19"/>
  <c r="I12" i="32" s="1"/>
  <c r="L110" i="19"/>
  <c r="H8" i="32" s="1"/>
  <c r="M110" i="19"/>
  <c r="I8" i="32" s="1"/>
  <c r="L115" i="19"/>
  <c r="H13" i="32" s="1"/>
  <c r="L118" i="19"/>
  <c r="H16" i="32" s="1"/>
  <c r="L116" i="19"/>
  <c r="H14" i="32" s="1"/>
  <c r="M111" i="19"/>
  <c r="I9" i="32" s="1"/>
  <c r="M109" i="19"/>
  <c r="I7" i="32" s="1"/>
  <c r="M113" i="19"/>
  <c r="I11" i="32" s="1"/>
  <c r="M115" i="19"/>
  <c r="I13" i="32" s="1"/>
  <c r="L114" i="19"/>
  <c r="H12" i="32" s="1"/>
  <c r="L113" i="19"/>
  <c r="H11" i="32" s="1"/>
  <c r="M116" i="19"/>
  <c r="I14" i="32" s="1"/>
  <c r="L117" i="19"/>
  <c r="H15" i="32" s="1"/>
  <c r="L109" i="19"/>
  <c r="H7" i="32" s="1"/>
  <c r="A22" i="19"/>
  <c r="L93" i="20"/>
  <c r="AN368" i="5"/>
  <c r="AE369" i="24"/>
  <c r="AP368" i="5" s="1"/>
  <c r="BY15" i="5"/>
  <c r="V353" i="2"/>
  <c r="N403" i="2"/>
  <c r="Z373" i="24"/>
  <c r="AB373" i="24" s="1"/>
  <c r="AE374" i="24" s="1"/>
  <c r="AB370" i="24"/>
  <c r="B24" i="29"/>
  <c r="D25" i="29"/>
  <c r="C25" i="29"/>
  <c r="E24" i="29"/>
  <c r="U356" i="2"/>
  <c r="G16" i="5"/>
  <c r="BW16" i="5" s="1"/>
  <c r="BA15" i="5"/>
  <c r="CA15" i="5" s="1"/>
  <c r="H16" i="5"/>
  <c r="I130" i="2"/>
  <c r="I53" i="2"/>
  <c r="I89" i="2"/>
  <c r="I179" i="2"/>
  <c r="O255" i="2"/>
  <c r="D522" i="11"/>
  <c r="G522" i="11" s="1"/>
  <c r="D523" i="11" s="1"/>
  <c r="G523" i="11" s="1"/>
  <c r="D524" i="11" s="1"/>
  <c r="G524" i="11" s="1"/>
  <c r="D525" i="11" s="1"/>
  <c r="G525" i="11" s="1"/>
  <c r="D526" i="11" s="1"/>
  <c r="G526" i="11" s="1"/>
  <c r="D527" i="11" s="1"/>
  <c r="G527" i="11" s="1"/>
  <c r="D528" i="11" s="1"/>
  <c r="G528" i="11" s="1"/>
  <c r="D529" i="11" s="1"/>
  <c r="G529" i="11" s="1"/>
  <c r="D530" i="11" s="1"/>
  <c r="G530" i="11" s="1"/>
  <c r="D531" i="11" s="1"/>
  <c r="G531" i="11" s="1"/>
  <c r="D532" i="11" s="1"/>
  <c r="G532" i="11" s="1"/>
  <c r="D533" i="11" s="1"/>
  <c r="G533" i="11" s="1"/>
  <c r="D534" i="11" s="1"/>
  <c r="G534" i="11" s="1"/>
  <c r="A22" i="20"/>
  <c r="H22" i="32" l="1"/>
  <c r="O93" i="20"/>
  <c r="I7" i="30"/>
  <c r="I5" i="32"/>
  <c r="L119" i="19"/>
  <c r="H7" i="30"/>
  <c r="K119" i="19"/>
  <c r="G7" i="30"/>
  <c r="J119" i="19"/>
  <c r="F7" i="30"/>
  <c r="L105" i="20"/>
  <c r="H8" i="30"/>
  <c r="K72" i="20"/>
  <c r="AK374" i="24"/>
  <c r="AQ374" i="5" s="1"/>
  <c r="AP374" i="5"/>
  <c r="AN369" i="5"/>
  <c r="AE370" i="24"/>
  <c r="AP369" i="5" s="1"/>
  <c r="AN373" i="5"/>
  <c r="AE373" i="24"/>
  <c r="AK373" i="24" s="1"/>
  <c r="BY16" i="5"/>
  <c r="V354" i="2"/>
  <c r="N404" i="2"/>
  <c r="N405" i="2" s="1"/>
  <c r="E25" i="29"/>
  <c r="D26" i="29"/>
  <c r="C26" i="29"/>
  <c r="B25" i="29"/>
  <c r="U357" i="2"/>
  <c r="G17" i="5"/>
  <c r="BW17" i="5" s="1"/>
  <c r="BA16" i="5"/>
  <c r="CA16" i="5" s="1"/>
  <c r="H17" i="5"/>
  <c r="I131" i="2"/>
  <c r="I54" i="2"/>
  <c r="I180" i="2"/>
  <c r="I90" i="2"/>
  <c r="O256" i="2"/>
  <c r="AK527" i="11"/>
  <c r="AL527" i="11" s="1"/>
  <c r="D535" i="11"/>
  <c r="F535" i="11"/>
  <c r="H21" i="30" l="1"/>
  <c r="H34" i="32"/>
  <c r="F20" i="30"/>
  <c r="F17" i="32"/>
  <c r="H20" i="30"/>
  <c r="H17" i="32"/>
  <c r="G20" i="30"/>
  <c r="G17" i="32"/>
  <c r="H25" i="30"/>
  <c r="H23" i="30"/>
  <c r="H10" i="30"/>
  <c r="H12" i="30"/>
  <c r="AF373" i="24"/>
  <c r="AP373" i="5"/>
  <c r="BY17" i="5"/>
  <c r="N406" i="2"/>
  <c r="I6" i="2"/>
  <c r="V355" i="2"/>
  <c r="B26" i="29"/>
  <c r="D27" i="29"/>
  <c r="C27" i="29"/>
  <c r="E26" i="29"/>
  <c r="U358" i="2"/>
  <c r="H18" i="5"/>
  <c r="BA17" i="5"/>
  <c r="CA17" i="5" s="1"/>
  <c r="G18" i="5"/>
  <c r="BW18" i="5" s="1"/>
  <c r="I132" i="2"/>
  <c r="I55" i="2"/>
  <c r="I91" i="2"/>
  <c r="I181" i="2"/>
  <c r="O257" i="2"/>
  <c r="G535" i="11"/>
  <c r="D536" i="11" s="1"/>
  <c r="G536" i="11" s="1"/>
  <c r="D537" i="11" s="1"/>
  <c r="G537" i="11" s="1"/>
  <c r="D538" i="11" s="1"/>
  <c r="G538" i="11" s="1"/>
  <c r="D539" i="11" s="1"/>
  <c r="G539" i="11" s="1"/>
  <c r="D540" i="11" s="1"/>
  <c r="G540" i="11" s="1"/>
  <c r="D541" i="11" s="1"/>
  <c r="G541" i="11" s="1"/>
  <c r="D542" i="11" s="1"/>
  <c r="G542" i="11" s="1"/>
  <c r="H13" i="30" l="1"/>
  <c r="H26" i="30"/>
  <c r="BY18" i="5"/>
  <c r="N407" i="2"/>
  <c r="V356" i="2"/>
  <c r="I7" i="2"/>
  <c r="E27" i="29"/>
  <c r="D28" i="29"/>
  <c r="C28" i="29"/>
  <c r="B27" i="29"/>
  <c r="U359" i="2"/>
  <c r="H19" i="5"/>
  <c r="BA18" i="5"/>
  <c r="CA18" i="5" s="1"/>
  <c r="G19" i="5"/>
  <c r="BW19" i="5" s="1"/>
  <c r="I133" i="2"/>
  <c r="I92" i="2"/>
  <c r="I182" i="2"/>
  <c r="I56" i="2"/>
  <c r="O258" i="2"/>
  <c r="D543" i="11"/>
  <c r="F543" i="11"/>
  <c r="B12" i="20"/>
  <c r="B12" i="19"/>
  <c r="I12" i="20" l="1"/>
  <c r="BY19" i="5"/>
  <c r="I12" i="19"/>
  <c r="N408" i="2"/>
  <c r="I8" i="2"/>
  <c r="V357" i="2"/>
  <c r="B28" i="29"/>
  <c r="E28" i="29"/>
  <c r="D29" i="29"/>
  <c r="C29" i="29"/>
  <c r="U360" i="2"/>
  <c r="BA19" i="5"/>
  <c r="CA19" i="5" s="1"/>
  <c r="H20" i="5"/>
  <c r="G20" i="5"/>
  <c r="BW20" i="5" s="1"/>
  <c r="I134" i="2"/>
  <c r="I57" i="2"/>
  <c r="I183" i="2"/>
  <c r="I93" i="2"/>
  <c r="O259" i="2"/>
  <c r="G543" i="11"/>
  <c r="D544" i="11" s="1"/>
  <c r="G544" i="11" s="1"/>
  <c r="D545" i="11" s="1"/>
  <c r="G545" i="11" s="1"/>
  <c r="D546" i="11" s="1"/>
  <c r="G546" i="11" s="1"/>
  <c r="D547" i="11" s="1"/>
  <c r="G547" i="11" s="1"/>
  <c r="D548" i="11" s="1"/>
  <c r="G548" i="11" s="1"/>
  <c r="D549" i="11" s="1"/>
  <c r="B13" i="20"/>
  <c r="B13" i="19"/>
  <c r="I13" i="20" l="1"/>
  <c r="BY20" i="5"/>
  <c r="I13" i="19"/>
  <c r="N409" i="2"/>
  <c r="I9" i="2"/>
  <c r="V358" i="2"/>
  <c r="E29" i="29"/>
  <c r="B29" i="29"/>
  <c r="D30" i="29"/>
  <c r="C30" i="29"/>
  <c r="U361" i="2"/>
  <c r="BA20" i="5"/>
  <c r="CA20" i="5" s="1"/>
  <c r="H21" i="5"/>
  <c r="G21" i="5"/>
  <c r="BW21" i="5" s="1"/>
  <c r="I135" i="2"/>
  <c r="I94" i="2"/>
  <c r="I58" i="2"/>
  <c r="I184" i="2"/>
  <c r="O260" i="2"/>
  <c r="G549" i="11"/>
  <c r="C550" i="11"/>
  <c r="B14" i="20"/>
  <c r="B14" i="19"/>
  <c r="I14" i="20" l="1"/>
  <c r="BY21" i="5"/>
  <c r="I14" i="19"/>
  <c r="N410" i="2"/>
  <c r="I10" i="2"/>
  <c r="V359" i="2"/>
  <c r="B30" i="29"/>
  <c r="D31" i="29"/>
  <c r="C31" i="29"/>
  <c r="E30" i="29"/>
  <c r="U362" i="2"/>
  <c r="H22" i="5"/>
  <c r="BA21" i="5"/>
  <c r="CA21" i="5" s="1"/>
  <c r="G22" i="5"/>
  <c r="BW22" i="5" s="1"/>
  <c r="I136" i="2"/>
  <c r="I185" i="2"/>
  <c r="I59" i="2"/>
  <c r="I95" i="2"/>
  <c r="O261" i="2"/>
  <c r="D550" i="11"/>
  <c r="G550" i="11" s="1"/>
  <c r="D551" i="11" s="1"/>
  <c r="G551" i="11" s="1"/>
  <c r="D552" i="11" s="1"/>
  <c r="G552" i="11" s="1"/>
  <c r="D553" i="11" s="1"/>
  <c r="G553" i="11" s="1"/>
  <c r="D554" i="11" s="1"/>
  <c r="G554" i="11" s="1"/>
  <c r="B15" i="20"/>
  <c r="B15" i="19"/>
  <c r="I15" i="20" l="1"/>
  <c r="BY22" i="5"/>
  <c r="I15" i="19"/>
  <c r="N411" i="2"/>
  <c r="V360" i="2"/>
  <c r="I11" i="2"/>
  <c r="E31" i="29"/>
  <c r="B31" i="29"/>
  <c r="D32" i="29"/>
  <c r="C32" i="29"/>
  <c r="U363" i="2"/>
  <c r="G23" i="5"/>
  <c r="BW23" i="5" s="1"/>
  <c r="BA22" i="5"/>
  <c r="CA22" i="5" s="1"/>
  <c r="H23" i="5"/>
  <c r="BY23" i="5" s="1"/>
  <c r="I137" i="2"/>
  <c r="I186" i="2"/>
  <c r="I60" i="2"/>
  <c r="I96" i="2"/>
  <c r="O262" i="2"/>
  <c r="D555" i="11"/>
  <c r="F555" i="11"/>
  <c r="B16" i="20"/>
  <c r="B16" i="19"/>
  <c r="I16" i="20" l="1"/>
  <c r="I16" i="19"/>
  <c r="N412" i="2"/>
  <c r="I12" i="2"/>
  <c r="V361" i="2"/>
  <c r="B32" i="29"/>
  <c r="D33" i="29"/>
  <c r="C33" i="29"/>
  <c r="E32" i="29"/>
  <c r="U364" i="2"/>
  <c r="G24" i="5"/>
  <c r="BW24" i="5" s="1"/>
  <c r="BA23" i="5"/>
  <c r="CA23" i="5" s="1"/>
  <c r="H24" i="5"/>
  <c r="I138" i="2"/>
  <c r="I61" i="2"/>
  <c r="I97" i="2"/>
  <c r="I187" i="2"/>
  <c r="O263" i="2"/>
  <c r="G555" i="11"/>
  <c r="D556" i="11" s="1"/>
  <c r="G556" i="11" s="1"/>
  <c r="D557" i="11" s="1"/>
  <c r="G557" i="11" s="1"/>
  <c r="D558" i="11" s="1"/>
  <c r="G558" i="11" s="1"/>
  <c r="D559" i="11" s="1"/>
  <c r="G559" i="11" s="1"/>
  <c r="D560" i="11" s="1"/>
  <c r="G560" i="11" s="1"/>
  <c r="D561" i="11" s="1"/>
  <c r="G561" i="11" s="1"/>
  <c r="D562" i="11" s="1"/>
  <c r="G562" i="11" s="1"/>
  <c r="D563" i="11" s="1"/>
  <c r="G563" i="11" s="1"/>
  <c r="D564" i="11" s="1"/>
  <c r="G564" i="11" s="1"/>
  <c r="D565" i="11" s="1"/>
  <c r="G565" i="11" s="1"/>
  <c r="D566" i="11" s="1"/>
  <c r="G566" i="11" s="1"/>
  <c r="D567" i="11" s="1"/>
  <c r="G567" i="11" s="1"/>
  <c r="D568" i="11" s="1"/>
  <c r="G568" i="11" s="1"/>
  <c r="D569" i="11" s="1"/>
  <c r="G569" i="11" s="1"/>
  <c r="D570" i="11" s="1"/>
  <c r="G570" i="11" s="1"/>
  <c r="D571" i="11" s="1"/>
  <c r="G571" i="11" s="1"/>
  <c r="D572" i="11" s="1"/>
  <c r="G572" i="11" s="1"/>
  <c r="D573" i="11" s="1"/>
  <c r="G573" i="11" s="1"/>
  <c r="D574" i="11" s="1"/>
  <c r="G574" i="11" s="1"/>
  <c r="D575" i="11" s="1"/>
  <c r="G575" i="11" s="1"/>
  <c r="D576" i="11" s="1"/>
  <c r="G576" i="11" s="1"/>
  <c r="B17" i="20"/>
  <c r="B17" i="19"/>
  <c r="I17" i="20" l="1"/>
  <c r="BY24" i="5"/>
  <c r="I17" i="19"/>
  <c r="N413" i="2"/>
  <c r="V362" i="2"/>
  <c r="I13" i="2"/>
  <c r="E33" i="29"/>
  <c r="D34" i="29"/>
  <c r="C34" i="29"/>
  <c r="B33" i="29"/>
  <c r="U365" i="2"/>
  <c r="H25" i="5"/>
  <c r="BA24" i="5"/>
  <c r="CA24" i="5" s="1"/>
  <c r="G25" i="5"/>
  <c r="BW25" i="5" s="1"/>
  <c r="D577" i="11"/>
  <c r="G577" i="11" s="1"/>
  <c r="D578" i="11" s="1"/>
  <c r="G578" i="11" s="1"/>
  <c r="D579" i="11" s="1"/>
  <c r="G579" i="11" s="1"/>
  <c r="D580" i="11" s="1"/>
  <c r="G580" i="11" s="1"/>
  <c r="D581" i="11" s="1"/>
  <c r="G581" i="11" s="1"/>
  <c r="AK576" i="11"/>
  <c r="AL576" i="11" s="1"/>
  <c r="B18" i="20"/>
  <c r="I139" i="2"/>
  <c r="I62" i="2"/>
  <c r="I98" i="2"/>
  <c r="I188" i="2"/>
  <c r="O264" i="2"/>
  <c r="B18" i="19"/>
  <c r="I18" i="20" l="1"/>
  <c r="BY25" i="5"/>
  <c r="I18" i="19"/>
  <c r="N414" i="2"/>
  <c r="I14" i="2"/>
  <c r="V363" i="2"/>
  <c r="B34" i="29"/>
  <c r="D35" i="29"/>
  <c r="C35" i="29"/>
  <c r="E34" i="29"/>
  <c r="B19" i="20"/>
  <c r="U366" i="2"/>
  <c r="D582" i="11"/>
  <c r="G582" i="11" s="1"/>
  <c r="D583" i="11" s="1"/>
  <c r="G583" i="11" s="1"/>
  <c r="D584" i="11" s="1"/>
  <c r="G584" i="11" s="1"/>
  <c r="D585" i="11" s="1"/>
  <c r="G585" i="11" s="1"/>
  <c r="D586" i="11" s="1"/>
  <c r="G586" i="11" s="1"/>
  <c r="D587" i="11" s="1"/>
  <c r="G587" i="11" s="1"/>
  <c r="D588" i="11" s="1"/>
  <c r="G588" i="11" s="1"/>
  <c r="D589" i="11" s="1"/>
  <c r="G589" i="11" s="1"/>
  <c r="D590" i="11" s="1"/>
  <c r="G590" i="11" s="1"/>
  <c r="D591" i="11" s="1"/>
  <c r="G591" i="11" s="1"/>
  <c r="AK581" i="11"/>
  <c r="AL581" i="11" s="1"/>
  <c r="H26" i="5"/>
  <c r="BA25" i="5"/>
  <c r="CA25" i="5" s="1"/>
  <c r="G26" i="5"/>
  <c r="BW26" i="5" s="1"/>
  <c r="B19" i="19"/>
  <c r="I140" i="2"/>
  <c r="I99" i="2"/>
  <c r="I189" i="2"/>
  <c r="I63" i="2"/>
  <c r="O265" i="2"/>
  <c r="I19" i="20" l="1"/>
  <c r="BY26" i="5"/>
  <c r="I19" i="19"/>
  <c r="N415" i="2"/>
  <c r="I15" i="2"/>
  <c r="V364" i="2"/>
  <c r="E35" i="29"/>
  <c r="B35" i="29"/>
  <c r="D36" i="29"/>
  <c r="C36" i="29"/>
  <c r="B20" i="19"/>
  <c r="B20" i="20"/>
  <c r="U367" i="2"/>
  <c r="D592" i="11"/>
  <c r="G592" i="11" s="1"/>
  <c r="AK591" i="11"/>
  <c r="AL591" i="11" s="1"/>
  <c r="BA26" i="5"/>
  <c r="CA26" i="5" s="1"/>
  <c r="H27" i="5"/>
  <c r="G27" i="5"/>
  <c r="BW27" i="5" s="1"/>
  <c r="I141" i="2"/>
  <c r="I190" i="2"/>
  <c r="I64" i="2"/>
  <c r="I100" i="2"/>
  <c r="O266" i="2"/>
  <c r="I20" i="20" l="1"/>
  <c r="BY27" i="5"/>
  <c r="I20" i="19"/>
  <c r="N416" i="2"/>
  <c r="V365" i="2"/>
  <c r="I16" i="2"/>
  <c r="B36" i="29"/>
  <c r="D37" i="29"/>
  <c r="C37" i="29"/>
  <c r="E36" i="29"/>
  <c r="B21" i="20"/>
  <c r="B21" i="19"/>
  <c r="U368" i="2"/>
  <c r="D593" i="11"/>
  <c r="G593" i="11" s="1"/>
  <c r="D594" i="11" s="1"/>
  <c r="G594" i="11" s="1"/>
  <c r="D595" i="11" s="1"/>
  <c r="G595" i="11" s="1"/>
  <c r="D596" i="11" s="1"/>
  <c r="G596" i="11" s="1"/>
  <c r="D597" i="11" s="1"/>
  <c r="G597" i="11" s="1"/>
  <c r="D598" i="11" s="1"/>
  <c r="G598" i="11" s="1"/>
  <c r="D599" i="11" s="1"/>
  <c r="G599" i="11" s="1"/>
  <c r="D600" i="11" s="1"/>
  <c r="G600" i="11" s="1"/>
  <c r="D601" i="11" s="1"/>
  <c r="G601" i="11" s="1"/>
  <c r="D602" i="11" s="1"/>
  <c r="G602" i="11" s="1"/>
  <c r="D603" i="11" s="1"/>
  <c r="G603" i="11" s="1"/>
  <c r="AK592" i="11"/>
  <c r="AL592" i="11" s="1"/>
  <c r="H28" i="5"/>
  <c r="BA27" i="5"/>
  <c r="CA27" i="5" s="1"/>
  <c r="G28" i="5"/>
  <c r="BW28" i="5" s="1"/>
  <c r="I142" i="2"/>
  <c r="I65" i="2"/>
  <c r="I191" i="2"/>
  <c r="I101" i="2"/>
  <c r="O267" i="2"/>
  <c r="I21" i="20" l="1"/>
  <c r="BY28" i="5"/>
  <c r="I21" i="19"/>
  <c r="N417" i="2"/>
  <c r="I17" i="2"/>
  <c r="V366" i="2"/>
  <c r="E37" i="29"/>
  <c r="D38" i="29"/>
  <c r="C38" i="29"/>
  <c r="B37" i="29"/>
  <c r="B22" i="20"/>
  <c r="B22" i="19"/>
  <c r="D604" i="11"/>
  <c r="G604" i="11" s="1"/>
  <c r="D605" i="11" s="1"/>
  <c r="G605" i="11" s="1"/>
  <c r="D606" i="11" s="1"/>
  <c r="G606" i="11" s="1"/>
  <c r="AK603" i="11"/>
  <c r="AL603" i="11" s="1"/>
  <c r="U369" i="2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BA28" i="5"/>
  <c r="CA28" i="5" s="1"/>
  <c r="H29" i="5"/>
  <c r="G29" i="5"/>
  <c r="BW29" i="5" s="1"/>
  <c r="I143" i="2"/>
  <c r="I102" i="2"/>
  <c r="I192" i="2"/>
  <c r="I66" i="2"/>
  <c r="O268" i="2"/>
  <c r="I22" i="20" l="1"/>
  <c r="BY29" i="5"/>
  <c r="I22" i="19"/>
  <c r="N418" i="2"/>
  <c r="V367" i="2"/>
  <c r="I18" i="2"/>
  <c r="B38" i="29"/>
  <c r="D39" i="29"/>
  <c r="C39" i="29"/>
  <c r="E38" i="29"/>
  <c r="D607" i="11"/>
  <c r="G607" i="11" s="1"/>
  <c r="D608" i="11" s="1"/>
  <c r="G608" i="11" s="1"/>
  <c r="D609" i="11" s="1"/>
  <c r="G609" i="11" s="1"/>
  <c r="D610" i="11" s="1"/>
  <c r="G610" i="11" s="1"/>
  <c r="D611" i="11" s="1"/>
  <c r="G611" i="11" s="1"/>
  <c r="D612" i="11" s="1"/>
  <c r="G612" i="11" s="1"/>
  <c r="D613" i="11" s="1"/>
  <c r="G613" i="11" s="1"/>
  <c r="D614" i="11" s="1"/>
  <c r="G614" i="11" s="1"/>
  <c r="D615" i="11" s="1"/>
  <c r="G615" i="11" s="1"/>
  <c r="D616" i="11" s="1"/>
  <c r="G616" i="11" s="1"/>
  <c r="D617" i="11" s="1"/>
  <c r="G617" i="11" s="1"/>
  <c r="D618" i="11" s="1"/>
  <c r="G618" i="11" s="1"/>
  <c r="D619" i="11" s="1"/>
  <c r="G619" i="11" s="1"/>
  <c r="D620" i="11" s="1"/>
  <c r="G620" i="11" s="1"/>
  <c r="D621" i="11" s="1"/>
  <c r="G621" i="11" s="1"/>
  <c r="D622" i="11" s="1"/>
  <c r="G622" i="11" s="1"/>
  <c r="D623" i="11" s="1"/>
  <c r="G623" i="11" s="1"/>
  <c r="D624" i="11" s="1"/>
  <c r="G624" i="11" s="1"/>
  <c r="D625" i="11" s="1"/>
  <c r="G625" i="11" s="1"/>
  <c r="D626" i="11" s="1"/>
  <c r="G626" i="11" s="1"/>
  <c r="D627" i="11" s="1"/>
  <c r="G627" i="11" s="1"/>
  <c r="D628" i="11" s="1"/>
  <c r="G628" i="11" s="1"/>
  <c r="D629" i="11" s="1"/>
  <c r="G629" i="11" s="1"/>
  <c r="D630" i="11" s="1"/>
  <c r="G630" i="11" s="1"/>
  <c r="D631" i="11" s="1"/>
  <c r="G631" i="11" s="1"/>
  <c r="D632" i="11" s="1"/>
  <c r="G632" i="11" s="1"/>
  <c r="AK606" i="11"/>
  <c r="AL606" i="11" s="1"/>
  <c r="BA29" i="5"/>
  <c r="CA29" i="5" s="1"/>
  <c r="H30" i="5"/>
  <c r="G30" i="5"/>
  <c r="BW30" i="5" s="1"/>
  <c r="I144" i="2"/>
  <c r="I193" i="2"/>
  <c r="I103" i="2"/>
  <c r="I67" i="2"/>
  <c r="O269" i="2"/>
  <c r="BY30" i="5" l="1"/>
  <c r="N419" i="2"/>
  <c r="V368" i="2"/>
  <c r="I19" i="2"/>
  <c r="E39" i="29"/>
  <c r="B39" i="29"/>
  <c r="C40" i="29"/>
  <c r="D40" i="29"/>
  <c r="D633" i="11"/>
  <c r="G633" i="11" s="1"/>
  <c r="D634" i="11" s="1"/>
  <c r="G634" i="11" s="1"/>
  <c r="D635" i="11" s="1"/>
  <c r="G635" i="11" s="1"/>
  <c r="D636" i="11" s="1"/>
  <c r="G636" i="11" s="1"/>
  <c r="D637" i="11" s="1"/>
  <c r="G637" i="11" s="1"/>
  <c r="D638" i="11" s="1"/>
  <c r="G638" i="11" s="1"/>
  <c r="D639" i="11"/>
  <c r="G639" i="11" s="1"/>
  <c r="D640" i="11" s="1"/>
  <c r="G640" i="11" s="1"/>
  <c r="D641" i="11" s="1"/>
  <c r="G641" i="11" s="1"/>
  <c r="D642" i="11" s="1"/>
  <c r="G642" i="11" s="1"/>
  <c r="H31" i="5"/>
  <c r="BA30" i="5"/>
  <c r="CA30" i="5" s="1"/>
  <c r="G31" i="5"/>
  <c r="BW31" i="5" s="1"/>
  <c r="I145" i="2"/>
  <c r="I104" i="2"/>
  <c r="I68" i="2"/>
  <c r="I194" i="2"/>
  <c r="O270" i="2"/>
  <c r="BY31" i="5" l="1"/>
  <c r="N420" i="2"/>
  <c r="I20" i="2"/>
  <c r="V369" i="2"/>
  <c r="B40" i="29"/>
  <c r="D41" i="29"/>
  <c r="C41" i="29"/>
  <c r="E40" i="29"/>
  <c r="D643" i="11"/>
  <c r="G643" i="11" s="1"/>
  <c r="D644" i="11" s="1"/>
  <c r="G644" i="11" s="1"/>
  <c r="D645" i="11" s="1"/>
  <c r="G645" i="11" s="1"/>
  <c r="D646" i="11" s="1"/>
  <c r="G646" i="11" s="1"/>
  <c r="D647" i="11" s="1"/>
  <c r="G647" i="11" s="1"/>
  <c r="D648" i="11" s="1"/>
  <c r="G648" i="11" s="1"/>
  <c r="D649" i="11" s="1"/>
  <c r="G649" i="11" s="1"/>
  <c r="D650" i="11" s="1"/>
  <c r="G650" i="11" s="1"/>
  <c r="D651" i="11" s="1"/>
  <c r="G651" i="11" s="1"/>
  <c r="D652" i="11" s="1"/>
  <c r="G652" i="11" s="1"/>
  <c r="D653" i="11" s="1"/>
  <c r="G653" i="11" s="1"/>
  <c r="D654" i="11" s="1"/>
  <c r="G654" i="11" s="1"/>
  <c r="D655" i="11" s="1"/>
  <c r="G655" i="11" s="1"/>
  <c r="D656" i="11" s="1"/>
  <c r="G656" i="11" s="1"/>
  <c r="D657" i="11" s="1"/>
  <c r="G657" i="11" s="1"/>
  <c r="D658" i="11" s="1"/>
  <c r="G658" i="11" s="1"/>
  <c r="D659" i="11" s="1"/>
  <c r="G659" i="11" s="1"/>
  <c r="D660" i="11" s="1"/>
  <c r="G660" i="11" s="1"/>
  <c r="D661" i="11" s="1"/>
  <c r="G661" i="11" s="1"/>
  <c r="D662" i="11" s="1"/>
  <c r="G662" i="11" s="1"/>
  <c r="D663" i="11" s="1"/>
  <c r="G663" i="11" s="1"/>
  <c r="D664" i="11" s="1"/>
  <c r="G664" i="11" s="1"/>
  <c r="D665" i="11" s="1"/>
  <c r="G665" i="11" s="1"/>
  <c r="D666" i="11" s="1"/>
  <c r="G666" i="11" s="1"/>
  <c r="D667" i="11" s="1"/>
  <c r="G667" i="11" s="1"/>
  <c r="D668" i="11" s="1"/>
  <c r="G668" i="11" s="1"/>
  <c r="D669" i="11" s="1"/>
  <c r="G669" i="11" s="1"/>
  <c r="D670" i="11" s="1"/>
  <c r="G670" i="11" s="1"/>
  <c r="D671" i="11" s="1"/>
  <c r="G671" i="11" s="1"/>
  <c r="D672" i="11" s="1"/>
  <c r="G672" i="11" s="1"/>
  <c r="D673" i="11" s="1"/>
  <c r="G673" i="11" s="1"/>
  <c r="D674" i="11" s="1"/>
  <c r="G674" i="11" s="1"/>
  <c r="D675" i="11" s="1"/>
  <c r="G675" i="11" s="1"/>
  <c r="D676" i="11" s="1"/>
  <c r="G676" i="11" s="1"/>
  <c r="D677" i="11" s="1"/>
  <c r="G677" i="11" s="1"/>
  <c r="D678" i="11" s="1"/>
  <c r="G678" i="11" s="1"/>
  <c r="D679" i="11" s="1"/>
  <c r="G679" i="11" s="1"/>
  <c r="D680" i="11" s="1"/>
  <c r="G680" i="11" s="1"/>
  <c r="D681" i="11" s="1"/>
  <c r="G681" i="11" s="1"/>
  <c r="D682" i="11" s="1"/>
  <c r="G682" i="11" s="1"/>
  <c r="G32" i="5"/>
  <c r="BW32" i="5" s="1"/>
  <c r="H32" i="5"/>
  <c r="BY32" i="5" s="1"/>
  <c r="BA31" i="5"/>
  <c r="CA31" i="5" s="1"/>
  <c r="I146" i="2"/>
  <c r="I195" i="2"/>
  <c r="I105" i="2"/>
  <c r="I69" i="2"/>
  <c r="O271" i="2"/>
  <c r="N421" i="2" l="1"/>
  <c r="V373" i="2"/>
  <c r="I21" i="2"/>
  <c r="E41" i="29"/>
  <c r="D42" i="29"/>
  <c r="C42" i="29"/>
  <c r="B41" i="29"/>
  <c r="BA32" i="5"/>
  <c r="CA32" i="5" s="1"/>
  <c r="H33" i="5"/>
  <c r="G33" i="5"/>
  <c r="BW33" i="5" s="1"/>
  <c r="I147" i="2"/>
  <c r="I196" i="2"/>
  <c r="I70" i="2"/>
  <c r="I106" i="2"/>
  <c r="O272" i="2"/>
  <c r="BY33" i="5" l="1"/>
  <c r="N422" i="2"/>
  <c r="I22" i="2"/>
  <c r="V374" i="2"/>
  <c r="B42" i="29"/>
  <c r="D43" i="29"/>
  <c r="C43" i="29"/>
  <c r="E42" i="29"/>
  <c r="G34" i="5"/>
  <c r="BW34" i="5" s="1"/>
  <c r="H34" i="5"/>
  <c r="BY34" i="5" s="1"/>
  <c r="BA33" i="5"/>
  <c r="CA33" i="5" s="1"/>
  <c r="I148" i="2"/>
  <c r="I71" i="2"/>
  <c r="I197" i="2"/>
  <c r="I107" i="2"/>
  <c r="O273" i="2"/>
  <c r="N423" i="2" l="1"/>
  <c r="I23" i="2"/>
  <c r="V375" i="2"/>
  <c r="E43" i="29"/>
  <c r="B43" i="29"/>
  <c r="C44" i="29"/>
  <c r="D44" i="29"/>
  <c r="N268" i="24"/>
  <c r="BA34" i="5"/>
  <c r="CA34" i="5" s="1"/>
  <c r="H35" i="5"/>
  <c r="G35" i="5"/>
  <c r="BW35" i="5" s="1"/>
  <c r="I149" i="2"/>
  <c r="I108" i="2"/>
  <c r="I198" i="2"/>
  <c r="I72" i="2"/>
  <c r="O274" i="2"/>
  <c r="BY35" i="5" l="1"/>
  <c r="N424" i="2"/>
  <c r="I24" i="2"/>
  <c r="V376" i="2"/>
  <c r="B44" i="29"/>
  <c r="D45" i="29"/>
  <c r="C45" i="29"/>
  <c r="E44" i="29"/>
  <c r="AA268" i="24"/>
  <c r="AD268" i="24" s="1"/>
  <c r="AE268" i="24"/>
  <c r="AN270" i="5"/>
  <c r="AN267" i="5"/>
  <c r="H36" i="5"/>
  <c r="BA35" i="5"/>
  <c r="CA35" i="5" s="1"/>
  <c r="G36" i="5"/>
  <c r="BW36" i="5" s="1"/>
  <c r="I150" i="2"/>
  <c r="I109" i="2"/>
  <c r="I199" i="2"/>
  <c r="I73" i="2"/>
  <c r="O275" i="2"/>
  <c r="BY36" i="5" l="1"/>
  <c r="N425" i="2"/>
  <c r="V377" i="2"/>
  <c r="I25" i="2"/>
  <c r="E45" i="29"/>
  <c r="D46" i="29"/>
  <c r="C46" i="29"/>
  <c r="B45" i="29"/>
  <c r="AA269" i="24"/>
  <c r="AD269" i="24" s="1"/>
  <c r="AN269" i="5"/>
  <c r="AN271" i="5"/>
  <c r="AN268" i="5"/>
  <c r="AP267" i="5"/>
  <c r="BA36" i="5"/>
  <c r="CA36" i="5" s="1"/>
  <c r="H37" i="5"/>
  <c r="G37" i="5"/>
  <c r="BW37" i="5" s="1"/>
  <c r="I151" i="2"/>
  <c r="I200" i="2"/>
  <c r="I74" i="2"/>
  <c r="I110" i="2"/>
  <c r="O276" i="2"/>
  <c r="BY37" i="5" l="1"/>
  <c r="N426" i="2"/>
  <c r="I26" i="2"/>
  <c r="V378" i="2"/>
  <c r="B46" i="29"/>
  <c r="D47" i="29"/>
  <c r="C47" i="29"/>
  <c r="E46" i="29"/>
  <c r="AA270" i="24"/>
  <c r="AP268" i="5"/>
  <c r="AN272" i="5"/>
  <c r="AP271" i="5"/>
  <c r="AP270" i="5"/>
  <c r="AP269" i="5"/>
  <c r="BA37" i="5"/>
  <c r="CA37" i="5" s="1"/>
  <c r="H38" i="5"/>
  <c r="G38" i="5"/>
  <c r="BW38" i="5" s="1"/>
  <c r="I152" i="2"/>
  <c r="I201" i="2"/>
  <c r="I111" i="2"/>
  <c r="I75" i="2"/>
  <c r="O277" i="2"/>
  <c r="BY38" i="5" l="1"/>
  <c r="N427" i="2"/>
  <c r="I27" i="2"/>
  <c r="V379" i="2"/>
  <c r="E47" i="29"/>
  <c r="B47" i="29"/>
  <c r="D48" i="29"/>
  <c r="C48" i="29"/>
  <c r="AA271" i="24"/>
  <c r="AD270" i="24"/>
  <c r="AN273" i="5"/>
  <c r="AP272" i="5"/>
  <c r="G39" i="5"/>
  <c r="BW39" i="5" s="1"/>
  <c r="BA38" i="5"/>
  <c r="CA38" i="5" s="1"/>
  <c r="H39" i="5"/>
  <c r="BY39" i="5" s="1"/>
  <c r="I153" i="2"/>
  <c r="I112" i="2"/>
  <c r="I202" i="2"/>
  <c r="O278" i="2"/>
  <c r="N428" i="2" l="1"/>
  <c r="I28" i="2"/>
  <c r="V380" i="2"/>
  <c r="B48" i="29"/>
  <c r="D49" i="29"/>
  <c r="C49" i="29"/>
  <c r="E48" i="29"/>
  <c r="AA272" i="24"/>
  <c r="AD271" i="24"/>
  <c r="AP273" i="5"/>
  <c r="G40" i="5"/>
  <c r="BW40" i="5" s="1"/>
  <c r="H40" i="5"/>
  <c r="BA39" i="5"/>
  <c r="CA39" i="5" s="1"/>
  <c r="I154" i="2"/>
  <c r="I203" i="2"/>
  <c r="I113" i="2"/>
  <c r="O279" i="2"/>
  <c r="BY40" i="5" l="1"/>
  <c r="N429" i="2"/>
  <c r="I29" i="2"/>
  <c r="V381" i="2"/>
  <c r="E49" i="29"/>
  <c r="D50" i="29"/>
  <c r="C50" i="29"/>
  <c r="B49" i="29"/>
  <c r="AA273" i="24"/>
  <c r="AD272" i="24"/>
  <c r="AN274" i="5"/>
  <c r="N278" i="24"/>
  <c r="AE278" i="24" s="1"/>
  <c r="AF279" i="24" s="1"/>
  <c r="G41" i="5"/>
  <c r="BW41" i="5" s="1"/>
  <c r="H41" i="5"/>
  <c r="BY41" i="5" s="1"/>
  <c r="BA40" i="5"/>
  <c r="CA40" i="5" s="1"/>
  <c r="I155" i="2"/>
  <c r="I114" i="2"/>
  <c r="I204" i="2"/>
  <c r="O280" i="2"/>
  <c r="N430" i="2" l="1"/>
  <c r="I30" i="2"/>
  <c r="V382" i="2"/>
  <c r="B50" i="29"/>
  <c r="D51" i="29"/>
  <c r="C51" i="29"/>
  <c r="E50" i="29"/>
  <c r="AA274" i="24"/>
  <c r="AD273" i="24"/>
  <c r="AN275" i="5"/>
  <c r="AN276" i="5"/>
  <c r="AP274" i="5"/>
  <c r="AN278" i="5"/>
  <c r="AN277" i="5"/>
  <c r="G42" i="5"/>
  <c r="BW42" i="5" s="1"/>
  <c r="BA41" i="5"/>
  <c r="CA41" i="5" s="1"/>
  <c r="H42" i="5"/>
  <c r="BY42" i="5" s="1"/>
  <c r="I156" i="2"/>
  <c r="I205" i="2"/>
  <c r="I115" i="2"/>
  <c r="O281" i="2"/>
  <c r="N431" i="2" l="1"/>
  <c r="I31" i="2"/>
  <c r="V383" i="2"/>
  <c r="E51" i="29"/>
  <c r="B51" i="29"/>
  <c r="D52" i="29"/>
  <c r="C52" i="29"/>
  <c r="AD274" i="24"/>
  <c r="AA275" i="24"/>
  <c r="AP277" i="5"/>
  <c r="AP276" i="5"/>
  <c r="AP275" i="5"/>
  <c r="AP278" i="5"/>
  <c r="BA42" i="5"/>
  <c r="CA42" i="5" s="1"/>
  <c r="H43" i="5"/>
  <c r="G43" i="5"/>
  <c r="BW43" i="5" s="1"/>
  <c r="I157" i="2"/>
  <c r="I206" i="2"/>
  <c r="I116" i="2"/>
  <c r="O282" i="2"/>
  <c r="BY43" i="5" l="1"/>
  <c r="N432" i="2"/>
  <c r="V384" i="2"/>
  <c r="I32" i="2"/>
  <c r="B52" i="29"/>
  <c r="D53" i="29"/>
  <c r="C53" i="29"/>
  <c r="E52" i="29"/>
  <c r="K80" i="20"/>
  <c r="AA276" i="24"/>
  <c r="AD275" i="24"/>
  <c r="H44" i="5"/>
  <c r="BA43" i="5"/>
  <c r="CA43" i="5" s="1"/>
  <c r="G44" i="5"/>
  <c r="BW44" i="5" s="1"/>
  <c r="I158" i="2"/>
  <c r="I207" i="2"/>
  <c r="I117" i="2"/>
  <c r="O283" i="2"/>
  <c r="BY44" i="5" l="1"/>
  <c r="N433" i="2"/>
  <c r="V385" i="2"/>
  <c r="I33" i="2"/>
  <c r="E53" i="29"/>
  <c r="D54" i="29"/>
  <c r="C54" i="29"/>
  <c r="B53" i="29"/>
  <c r="L80" i="20"/>
  <c r="AA277" i="24"/>
  <c r="AD276" i="24"/>
  <c r="G45" i="5"/>
  <c r="BW45" i="5" s="1"/>
  <c r="BA44" i="5"/>
  <c r="CA44" i="5" s="1"/>
  <c r="H45" i="5"/>
  <c r="BY45" i="5" s="1"/>
  <c r="I159" i="2"/>
  <c r="I208" i="2"/>
  <c r="O284" i="2"/>
  <c r="N434" i="2" l="1"/>
  <c r="I34" i="2"/>
  <c r="V386" i="2"/>
  <c r="B54" i="29"/>
  <c r="D55" i="29"/>
  <c r="C55" i="29"/>
  <c r="E54" i="29"/>
  <c r="AD277" i="24"/>
  <c r="AA278" i="24"/>
  <c r="BA45" i="5"/>
  <c r="CA45" i="5" s="1"/>
  <c r="H46" i="5"/>
  <c r="G46" i="5"/>
  <c r="BW46" i="5" s="1"/>
  <c r="I160" i="2"/>
  <c r="I209" i="2"/>
  <c r="O285" i="2"/>
  <c r="BY46" i="5" l="1"/>
  <c r="N435" i="2"/>
  <c r="V387" i="2"/>
  <c r="I35" i="2"/>
  <c r="E55" i="29"/>
  <c r="B55" i="29"/>
  <c r="D56" i="29"/>
  <c r="C56" i="29"/>
  <c r="AA279" i="24"/>
  <c r="AD278" i="24"/>
  <c r="G47" i="5"/>
  <c r="BW47" i="5" s="1"/>
  <c r="H47" i="5"/>
  <c r="BA46" i="5"/>
  <c r="CA46" i="5" s="1"/>
  <c r="I161" i="2"/>
  <c r="I210" i="2"/>
  <c r="O286" i="2"/>
  <c r="BY47" i="5" l="1"/>
  <c r="N436" i="2"/>
  <c r="I36" i="2"/>
  <c r="V388" i="2"/>
  <c r="B56" i="29"/>
  <c r="D57" i="29"/>
  <c r="C57" i="29"/>
  <c r="E56" i="29"/>
  <c r="AD279" i="24"/>
  <c r="AA280" i="24"/>
  <c r="G48" i="5"/>
  <c r="BW48" i="5" s="1"/>
  <c r="BA47" i="5"/>
  <c r="CA47" i="5" s="1"/>
  <c r="H48" i="5"/>
  <c r="I162" i="2"/>
  <c r="I211" i="2"/>
  <c r="O287" i="2"/>
  <c r="BY48" i="5" l="1"/>
  <c r="N437" i="2"/>
  <c r="V389" i="2"/>
  <c r="I37" i="2"/>
  <c r="E57" i="29"/>
  <c r="D58" i="29"/>
  <c r="C58" i="29"/>
  <c r="B57" i="29"/>
  <c r="AA281" i="24"/>
  <c r="AD280" i="24"/>
  <c r="H49" i="5"/>
  <c r="BA48" i="5"/>
  <c r="CA48" i="5" s="1"/>
  <c r="G49" i="5"/>
  <c r="BW49" i="5" s="1"/>
  <c r="I163" i="2"/>
  <c r="I212" i="2"/>
  <c r="O288" i="2"/>
  <c r="BY49" i="5" l="1"/>
  <c r="N438" i="2"/>
  <c r="V390" i="2"/>
  <c r="I38" i="2"/>
  <c r="B58" i="29"/>
  <c r="D59" i="29"/>
  <c r="C59" i="29"/>
  <c r="E58" i="29"/>
  <c r="AA282" i="24"/>
  <c r="AD281" i="24"/>
  <c r="H50" i="5"/>
  <c r="BA49" i="5"/>
  <c r="CA49" i="5" s="1"/>
  <c r="G50" i="5"/>
  <c r="BW50" i="5" s="1"/>
  <c r="I164" i="2"/>
  <c r="I213" i="2"/>
  <c r="O289" i="2"/>
  <c r="BY50" i="5" l="1"/>
  <c r="N439" i="2"/>
  <c r="I39" i="2"/>
  <c r="V391" i="2"/>
  <c r="E59" i="29"/>
  <c r="B59" i="29"/>
  <c r="D60" i="29"/>
  <c r="C60" i="29"/>
  <c r="AA283" i="24"/>
  <c r="AD282" i="24"/>
  <c r="G51" i="5"/>
  <c r="BW51" i="5" s="1"/>
  <c r="BA50" i="5"/>
  <c r="CA50" i="5" s="1"/>
  <c r="H51" i="5"/>
  <c r="I165" i="2"/>
  <c r="I214" i="2"/>
  <c r="O290" i="2"/>
  <c r="BY51" i="5" l="1"/>
  <c r="N440" i="2"/>
  <c r="I40" i="2"/>
  <c r="V392" i="2"/>
  <c r="B60" i="29"/>
  <c r="D61" i="29"/>
  <c r="C61" i="29"/>
  <c r="E60" i="29"/>
  <c r="AA284" i="24"/>
  <c r="AD283" i="24"/>
  <c r="BA51" i="5"/>
  <c r="CA51" i="5" s="1"/>
  <c r="H52" i="5"/>
  <c r="G52" i="5"/>
  <c r="BW52" i="5" s="1"/>
  <c r="I166" i="2"/>
  <c r="I215" i="2"/>
  <c r="O291" i="2"/>
  <c r="BY52" i="5" l="1"/>
  <c r="N441" i="2"/>
  <c r="V393" i="2"/>
  <c r="E61" i="29"/>
  <c r="D62" i="29"/>
  <c r="C62" i="29"/>
  <c r="B61" i="29"/>
  <c r="AA285" i="24"/>
  <c r="AD284" i="24"/>
  <c r="G53" i="5"/>
  <c r="BW53" i="5" s="1"/>
  <c r="BA52" i="5"/>
  <c r="CA52" i="5" s="1"/>
  <c r="H53" i="5"/>
  <c r="I216" i="2"/>
  <c r="O292" i="2"/>
  <c r="BY53" i="5" l="1"/>
  <c r="N442" i="2"/>
  <c r="V394" i="2"/>
  <c r="B62" i="29"/>
  <c r="D63" i="29"/>
  <c r="C63" i="29"/>
  <c r="E62" i="29"/>
  <c r="AA286" i="24"/>
  <c r="AD285" i="24"/>
  <c r="G54" i="5"/>
  <c r="BW54" i="5" s="1"/>
  <c r="BA53" i="5"/>
  <c r="CA53" i="5" s="1"/>
  <c r="H54" i="5"/>
  <c r="I217" i="2"/>
  <c r="O293" i="2"/>
  <c r="BY54" i="5" l="1"/>
  <c r="AA741" i="5"/>
  <c r="N443" i="2"/>
  <c r="V395" i="2"/>
  <c r="E63" i="29"/>
  <c r="B63" i="29"/>
  <c r="D64" i="29"/>
  <c r="C64" i="29"/>
  <c r="AA287" i="24"/>
  <c r="AD286" i="24"/>
  <c r="BA54" i="5"/>
  <c r="CA54" i="5" s="1"/>
  <c r="H55" i="5"/>
  <c r="G55" i="5"/>
  <c r="BW55" i="5" s="1"/>
  <c r="I218" i="2"/>
  <c r="O294" i="2"/>
  <c r="AH741" i="5" l="1"/>
  <c r="AA742" i="5"/>
  <c r="BY55" i="5"/>
  <c r="T741" i="5"/>
  <c r="N444" i="2"/>
  <c r="V396" i="2"/>
  <c r="B64" i="29"/>
  <c r="D65" i="29"/>
  <c r="C65" i="29"/>
  <c r="E64" i="29"/>
  <c r="AA288" i="24"/>
  <c r="AD287" i="24"/>
  <c r="G56" i="5"/>
  <c r="BW56" i="5" s="1"/>
  <c r="BA55" i="5"/>
  <c r="CA55" i="5" s="1"/>
  <c r="H56" i="5"/>
  <c r="I219" i="2"/>
  <c r="O295" i="2"/>
  <c r="BY56" i="5" l="1"/>
  <c r="T742" i="5"/>
  <c r="AA743" i="5"/>
  <c r="AH742" i="5"/>
  <c r="N445" i="2"/>
  <c r="V397" i="2"/>
  <c r="E65" i="29"/>
  <c r="D66" i="29"/>
  <c r="C66" i="29"/>
  <c r="B65" i="29"/>
  <c r="AA289" i="24"/>
  <c r="AD288" i="24"/>
  <c r="H57" i="5"/>
  <c r="BA56" i="5"/>
  <c r="CA56" i="5" s="1"/>
  <c r="G57" i="5"/>
  <c r="BW57" i="5" s="1"/>
  <c r="I220" i="2"/>
  <c r="O296" i="2"/>
  <c r="AH743" i="5" l="1"/>
  <c r="AA744" i="5"/>
  <c r="T743" i="5"/>
  <c r="BY57" i="5"/>
  <c r="N446" i="2"/>
  <c r="V398" i="2"/>
  <c r="B66" i="29"/>
  <c r="D67" i="29"/>
  <c r="C67" i="29"/>
  <c r="E66" i="29"/>
  <c r="AA290" i="24"/>
  <c r="AD289" i="24"/>
  <c r="BA57" i="5"/>
  <c r="CA57" i="5" s="1"/>
  <c r="H58" i="5"/>
  <c r="G58" i="5"/>
  <c r="BW58" i="5" s="1"/>
  <c r="I221" i="2"/>
  <c r="O297" i="2"/>
  <c r="T744" i="5" l="1"/>
  <c r="BY58" i="5"/>
  <c r="AA745" i="5"/>
  <c r="AH744" i="5"/>
  <c r="N447" i="2"/>
  <c r="V399" i="2"/>
  <c r="E67" i="29"/>
  <c r="B67" i="29"/>
  <c r="D68" i="29"/>
  <c r="C68" i="29"/>
  <c r="AA291" i="24"/>
  <c r="AD290" i="24"/>
  <c r="H59" i="5"/>
  <c r="BA58" i="5"/>
  <c r="CA58" i="5" s="1"/>
  <c r="G59" i="5"/>
  <c r="BW59" i="5" s="1"/>
  <c r="I222" i="2"/>
  <c r="O298" i="2"/>
  <c r="AA746" i="5" l="1"/>
  <c r="AH745" i="5"/>
  <c r="BY59" i="5"/>
  <c r="T745" i="5"/>
  <c r="N448" i="2"/>
  <c r="V400" i="2"/>
  <c r="B68" i="29"/>
  <c r="D69" i="29"/>
  <c r="C69" i="29"/>
  <c r="E68" i="29"/>
  <c r="AA292" i="24"/>
  <c r="AD291" i="24"/>
  <c r="I223" i="2"/>
  <c r="G60" i="5"/>
  <c r="BW60" i="5" s="1"/>
  <c r="H60" i="5"/>
  <c r="BA59" i="5"/>
  <c r="CA59" i="5" s="1"/>
  <c r="O299" i="2"/>
  <c r="BY60" i="5" l="1"/>
  <c r="T746" i="5"/>
  <c r="AH746" i="5"/>
  <c r="AA747" i="5"/>
  <c r="N449" i="2"/>
  <c r="V401" i="2"/>
  <c r="E69" i="29"/>
  <c r="D70" i="29"/>
  <c r="C70" i="29"/>
  <c r="B69" i="29"/>
  <c r="AA293" i="24"/>
  <c r="AD292" i="24"/>
  <c r="I224" i="2"/>
  <c r="G61" i="5"/>
  <c r="BW61" i="5" s="1"/>
  <c r="BA60" i="5"/>
  <c r="CA60" i="5" s="1"/>
  <c r="H61" i="5"/>
  <c r="O300" i="2"/>
  <c r="BY61" i="5" l="1"/>
  <c r="AA748" i="5"/>
  <c r="AH747" i="5"/>
  <c r="T747" i="5"/>
  <c r="N450" i="2"/>
  <c r="V402" i="2"/>
  <c r="B70" i="29"/>
  <c r="D71" i="29"/>
  <c r="C71" i="29"/>
  <c r="E70" i="29"/>
  <c r="AA294" i="24"/>
  <c r="AD293" i="24"/>
  <c r="I225" i="2"/>
  <c r="G62" i="5"/>
  <c r="BW62" i="5" s="1"/>
  <c r="BA61" i="5"/>
  <c r="CA61" i="5" s="1"/>
  <c r="H62" i="5"/>
  <c r="O301" i="2"/>
  <c r="BY62" i="5" l="1"/>
  <c r="T748" i="5"/>
  <c r="AH748" i="5"/>
  <c r="AA749" i="5"/>
  <c r="N451" i="2"/>
  <c r="V403" i="2"/>
  <c r="E71" i="29"/>
  <c r="B71" i="29"/>
  <c r="C72" i="29"/>
  <c r="D72" i="29"/>
  <c r="AA295" i="24"/>
  <c r="AD294" i="24"/>
  <c r="I226" i="2"/>
  <c r="H63" i="5"/>
  <c r="BA62" i="5"/>
  <c r="CA62" i="5" s="1"/>
  <c r="G63" i="5"/>
  <c r="BW63" i="5" s="1"/>
  <c r="O302" i="2"/>
  <c r="AA750" i="5" l="1"/>
  <c r="AH749" i="5"/>
  <c r="BY63" i="5"/>
  <c r="T749" i="5"/>
  <c r="N452" i="2"/>
  <c r="V404" i="2"/>
  <c r="V405" i="2" s="1"/>
  <c r="B72" i="29"/>
  <c r="D73" i="29"/>
  <c r="C73" i="29"/>
  <c r="E72" i="29"/>
  <c r="AA296" i="24"/>
  <c r="AD295" i="24"/>
  <c r="I227" i="2"/>
  <c r="BA63" i="5"/>
  <c r="CA63" i="5" s="1"/>
  <c r="H64" i="5"/>
  <c r="G64" i="5"/>
  <c r="BW64" i="5" s="1"/>
  <c r="O303" i="2"/>
  <c r="T750" i="5" l="1"/>
  <c r="BY64" i="5"/>
  <c r="AH750" i="5"/>
  <c r="AA751" i="5"/>
  <c r="V406" i="2"/>
  <c r="N453" i="2"/>
  <c r="E73" i="29"/>
  <c r="D74" i="29"/>
  <c r="C74" i="29"/>
  <c r="B73" i="29"/>
  <c r="AA297" i="24"/>
  <c r="AD296" i="24"/>
  <c r="I228" i="2"/>
  <c r="G65" i="5"/>
  <c r="BW65" i="5" s="1"/>
  <c r="BA64" i="5"/>
  <c r="CA64" i="5" s="1"/>
  <c r="H65" i="5"/>
  <c r="O304" i="2"/>
  <c r="BY65" i="5" l="1"/>
  <c r="AA752" i="5"/>
  <c r="AH751" i="5"/>
  <c r="T751" i="5"/>
  <c r="N454" i="2"/>
  <c r="V407" i="2"/>
  <c r="B74" i="29"/>
  <c r="D75" i="29"/>
  <c r="C75" i="29"/>
  <c r="E74" i="29"/>
  <c r="AA298" i="24"/>
  <c r="AD297" i="24"/>
  <c r="I229" i="2"/>
  <c r="H66" i="5"/>
  <c r="BA65" i="5"/>
  <c r="CA65" i="5" s="1"/>
  <c r="G66" i="5"/>
  <c r="BW66" i="5" s="1"/>
  <c r="O305" i="2"/>
  <c r="T752" i="5" l="1"/>
  <c r="AH752" i="5"/>
  <c r="BY66" i="5"/>
  <c r="AA753" i="5"/>
  <c r="V408" i="2"/>
  <c r="N455" i="2"/>
  <c r="E75" i="29"/>
  <c r="B75" i="29"/>
  <c r="C76" i="29"/>
  <c r="D76" i="29"/>
  <c r="AA299" i="24"/>
  <c r="AD298" i="24"/>
  <c r="I230" i="2"/>
  <c r="G67" i="5"/>
  <c r="BW67" i="5" s="1"/>
  <c r="BA66" i="5"/>
  <c r="CA66" i="5" s="1"/>
  <c r="H67" i="5"/>
  <c r="O306" i="2"/>
  <c r="BY67" i="5" l="1"/>
  <c r="AH753" i="5"/>
  <c r="T753" i="5"/>
  <c r="N456" i="2"/>
  <c r="V409" i="2"/>
  <c r="AD299" i="24"/>
  <c r="AA300" i="24"/>
  <c r="E76" i="29"/>
  <c r="B76" i="29"/>
  <c r="D77" i="29"/>
  <c r="C77" i="29"/>
  <c r="I231" i="2"/>
  <c r="BA67" i="5"/>
  <c r="CA67" i="5" s="1"/>
  <c r="H68" i="5"/>
  <c r="G68" i="5"/>
  <c r="BW68" i="5" s="1"/>
  <c r="O307" i="2"/>
  <c r="BY68" i="5" l="1"/>
  <c r="V410" i="2"/>
  <c r="N457" i="2"/>
  <c r="AA301" i="24"/>
  <c r="AD300" i="24"/>
  <c r="C78" i="29"/>
  <c r="E77" i="29"/>
  <c r="D78" i="29"/>
  <c r="B77" i="29"/>
  <c r="V370" i="2"/>
  <c r="I232" i="2"/>
  <c r="H69" i="5"/>
  <c r="BA68" i="5"/>
  <c r="CA68" i="5" s="1"/>
  <c r="G69" i="5"/>
  <c r="BW69" i="5" s="1"/>
  <c r="O308" i="2"/>
  <c r="BY69" i="5" l="1"/>
  <c r="N458" i="2"/>
  <c r="V411" i="2"/>
  <c r="AA302" i="24"/>
  <c r="AD301" i="24"/>
  <c r="C79" i="29"/>
  <c r="E78" i="29"/>
  <c r="B78" i="29"/>
  <c r="D79" i="29"/>
  <c r="I233" i="2"/>
  <c r="G70" i="5"/>
  <c r="BW70" i="5" s="1"/>
  <c r="H70" i="5"/>
  <c r="BY70" i="5" s="1"/>
  <c r="BA69" i="5"/>
  <c r="CA69" i="5" s="1"/>
  <c r="O309" i="2"/>
  <c r="V412" i="2" l="1"/>
  <c r="N459" i="2"/>
  <c r="AA303" i="24"/>
  <c r="AD302" i="24"/>
  <c r="D80" i="29"/>
  <c r="C80" i="29"/>
  <c r="E79" i="29"/>
  <c r="B79" i="29"/>
  <c r="I234" i="2"/>
  <c r="H71" i="5"/>
  <c r="BA70" i="5"/>
  <c r="CA70" i="5" s="1"/>
  <c r="G71" i="5"/>
  <c r="BW71" i="5" s="1"/>
  <c r="O310" i="2"/>
  <c r="BY71" i="5" l="1"/>
  <c r="N460" i="2"/>
  <c r="V413" i="2"/>
  <c r="AA304" i="24"/>
  <c r="AD303" i="24"/>
  <c r="C81" i="29"/>
  <c r="E80" i="29"/>
  <c r="D81" i="29"/>
  <c r="B80" i="29"/>
  <c r="I235" i="2"/>
  <c r="H72" i="5"/>
  <c r="BA71" i="5"/>
  <c r="CA71" i="5" s="1"/>
  <c r="G72" i="5"/>
  <c r="BW72" i="5" s="1"/>
  <c r="H6" i="2"/>
  <c r="O311" i="2"/>
  <c r="BY72" i="5" l="1"/>
  <c r="V414" i="2"/>
  <c r="N461" i="2"/>
  <c r="AA305" i="24"/>
  <c r="AD304" i="24"/>
  <c r="B81" i="29"/>
  <c r="D82" i="29"/>
  <c r="C82" i="29"/>
  <c r="E81" i="29"/>
  <c r="I236" i="2"/>
  <c r="H73" i="5"/>
  <c r="BA72" i="5"/>
  <c r="CA72" i="5" s="1"/>
  <c r="G73" i="5"/>
  <c r="BW73" i="5" s="1"/>
  <c r="H7" i="2"/>
  <c r="O312" i="2"/>
  <c r="BY73" i="5" l="1"/>
  <c r="N462" i="2"/>
  <c r="V415" i="2"/>
  <c r="AA306" i="24"/>
  <c r="AD305" i="24"/>
  <c r="C83" i="29"/>
  <c r="E82" i="29"/>
  <c r="D83" i="29"/>
  <c r="B82" i="29"/>
  <c r="I237" i="2"/>
  <c r="H74" i="5"/>
  <c r="BA73" i="5"/>
  <c r="CA73" i="5" s="1"/>
  <c r="G74" i="5"/>
  <c r="BW74" i="5" s="1"/>
  <c r="H8" i="2"/>
  <c r="O313" i="2"/>
  <c r="BY74" i="5" l="1"/>
  <c r="V416" i="2"/>
  <c r="N463" i="2"/>
  <c r="AA307" i="24"/>
  <c r="AD306" i="24"/>
  <c r="B83" i="29"/>
  <c r="C84" i="29"/>
  <c r="E83" i="29"/>
  <c r="D84" i="29"/>
  <c r="I238" i="2"/>
  <c r="BA74" i="5"/>
  <c r="CA74" i="5" s="1"/>
  <c r="H75" i="5"/>
  <c r="G75" i="5"/>
  <c r="BW75" i="5" s="1"/>
  <c r="H9" i="2"/>
  <c r="O314" i="2"/>
  <c r="BY75" i="5" l="1"/>
  <c r="N464" i="2"/>
  <c r="V417" i="2"/>
  <c r="AA308" i="24"/>
  <c r="AD307" i="24"/>
  <c r="C85" i="29"/>
  <c r="E84" i="29"/>
  <c r="B84" i="29"/>
  <c r="D85" i="29"/>
  <c r="I239" i="2"/>
  <c r="G76" i="5"/>
  <c r="BW76" i="5" s="1"/>
  <c r="H76" i="5"/>
  <c r="BY76" i="5" s="1"/>
  <c r="BA75" i="5"/>
  <c r="CA75" i="5" s="1"/>
  <c r="H10" i="2"/>
  <c r="O315" i="2"/>
  <c r="V418" i="2" l="1"/>
  <c r="N465" i="2"/>
  <c r="AA309" i="24"/>
  <c r="AD308" i="24"/>
  <c r="B85" i="29"/>
  <c r="D86" i="29"/>
  <c r="C86" i="29"/>
  <c r="E85" i="29"/>
  <c r="I240" i="2"/>
  <c r="H77" i="5"/>
  <c r="BA76" i="5"/>
  <c r="CA76" i="5" s="1"/>
  <c r="G77" i="5"/>
  <c r="BW77" i="5" s="1"/>
  <c r="H11" i="2"/>
  <c r="O316" i="2"/>
  <c r="BY77" i="5" l="1"/>
  <c r="N466" i="2"/>
  <c r="V419" i="2"/>
  <c r="AA310" i="24"/>
  <c r="AD309" i="24"/>
  <c r="C87" i="29"/>
  <c r="E86" i="29"/>
  <c r="D87" i="29"/>
  <c r="B86" i="29"/>
  <c r="I241" i="2"/>
  <c r="G78" i="5"/>
  <c r="BW78" i="5" s="1"/>
  <c r="H78" i="5"/>
  <c r="BA77" i="5"/>
  <c r="CA77" i="5" s="1"/>
  <c r="H12" i="2"/>
  <c r="O317" i="2"/>
  <c r="BY78" i="5" l="1"/>
  <c r="V420" i="2"/>
  <c r="N467" i="2"/>
  <c r="AA311" i="24"/>
  <c r="AD310" i="24"/>
  <c r="B87" i="29"/>
  <c r="E87" i="29"/>
  <c r="D88" i="29"/>
  <c r="C88" i="29"/>
  <c r="I242" i="2"/>
  <c r="G79" i="5"/>
  <c r="BW79" i="5" s="1"/>
  <c r="BA78" i="5"/>
  <c r="CA78" i="5" s="1"/>
  <c r="H79" i="5"/>
  <c r="BY79" i="5" s="1"/>
  <c r="H13" i="2"/>
  <c r="O318" i="2"/>
  <c r="N468" i="2" l="1"/>
  <c r="V421" i="2"/>
  <c r="AA312" i="24"/>
  <c r="AD311" i="24"/>
  <c r="C89" i="29"/>
  <c r="E88" i="29"/>
  <c r="D89" i="29"/>
  <c r="B88" i="29"/>
  <c r="I243" i="2"/>
  <c r="H80" i="5"/>
  <c r="BA79" i="5"/>
  <c r="CA79" i="5" s="1"/>
  <c r="G80" i="5"/>
  <c r="BW80" i="5" s="1"/>
  <c r="H14" i="2"/>
  <c r="O319" i="2"/>
  <c r="BY80" i="5" l="1"/>
  <c r="V422" i="2"/>
  <c r="N469" i="2"/>
  <c r="AA313" i="24"/>
  <c r="AD312" i="24"/>
  <c r="B89" i="29"/>
  <c r="D90" i="29"/>
  <c r="C90" i="29"/>
  <c r="E89" i="29"/>
  <c r="I244" i="2"/>
  <c r="G81" i="5"/>
  <c r="BW81" i="5" s="1"/>
  <c r="H81" i="5"/>
  <c r="BY81" i="5" s="1"/>
  <c r="BA80" i="5"/>
  <c r="CA80" i="5" s="1"/>
  <c r="H15" i="2"/>
  <c r="O320" i="2"/>
  <c r="N470" i="2" l="1"/>
  <c r="V423" i="2"/>
  <c r="AA314" i="24"/>
  <c r="AD313" i="24"/>
  <c r="C91" i="29"/>
  <c r="E90" i="29"/>
  <c r="B90" i="29"/>
  <c r="D91" i="29"/>
  <c r="I245" i="2"/>
  <c r="G82" i="5"/>
  <c r="BW82" i="5" s="1"/>
  <c r="H82" i="5"/>
  <c r="BY82" i="5" s="1"/>
  <c r="BA81" i="5"/>
  <c r="CA81" i="5" s="1"/>
  <c r="H16" i="2"/>
  <c r="O321" i="2"/>
  <c r="V424" i="2" l="1"/>
  <c r="N471" i="2"/>
  <c r="AD314" i="24"/>
  <c r="AA315" i="24"/>
  <c r="B91" i="29"/>
  <c r="D92" i="29"/>
  <c r="C92" i="29"/>
  <c r="E91" i="29"/>
  <c r="I246" i="2"/>
  <c r="G83" i="5"/>
  <c r="BW83" i="5" s="1"/>
  <c r="H83" i="5"/>
  <c r="BA82" i="5"/>
  <c r="CA82" i="5" s="1"/>
  <c r="H17" i="2"/>
  <c r="O322" i="2"/>
  <c r="BY83" i="5" l="1"/>
  <c r="N472" i="2"/>
  <c r="V425" i="2"/>
  <c r="AA316" i="24"/>
  <c r="AD315" i="24"/>
  <c r="C93" i="29"/>
  <c r="E92" i="29"/>
  <c r="D93" i="29"/>
  <c r="B92" i="29"/>
  <c r="I247" i="2"/>
  <c r="G84" i="5"/>
  <c r="BW84" i="5" s="1"/>
  <c r="H84" i="5"/>
  <c r="BY84" i="5" s="1"/>
  <c r="BA83" i="5"/>
  <c r="CA83" i="5" s="1"/>
  <c r="N6" i="2"/>
  <c r="H18" i="2"/>
  <c r="O323" i="2"/>
  <c r="V426" i="2" l="1"/>
  <c r="N473" i="2"/>
  <c r="AA317" i="24"/>
  <c r="AD316" i="24"/>
  <c r="B93" i="29"/>
  <c r="D94" i="29"/>
  <c r="E93" i="29"/>
  <c r="C94" i="29"/>
  <c r="I248" i="2"/>
  <c r="G85" i="5"/>
  <c r="BW85" i="5" s="1"/>
  <c r="H85" i="5"/>
  <c r="BY85" i="5" s="1"/>
  <c r="BA84" i="5"/>
  <c r="CA84" i="5" s="1"/>
  <c r="N7" i="2"/>
  <c r="H19" i="2"/>
  <c r="O324" i="2"/>
  <c r="N474" i="2" l="1"/>
  <c r="V427" i="2"/>
  <c r="AA318" i="24"/>
  <c r="AD317" i="24"/>
  <c r="C95" i="29"/>
  <c r="E94" i="29"/>
  <c r="B94" i="29"/>
  <c r="D95" i="29"/>
  <c r="I249" i="2"/>
  <c r="G86" i="5"/>
  <c r="BW86" i="5" s="1"/>
  <c r="BA85" i="5"/>
  <c r="CA85" i="5" s="1"/>
  <c r="H86" i="5"/>
  <c r="BY86" i="5" s="1"/>
  <c r="N8" i="2"/>
  <c r="H20" i="2"/>
  <c r="O325" i="2"/>
  <c r="V428" i="2" l="1"/>
  <c r="N475" i="2"/>
  <c r="AA319" i="24"/>
  <c r="AD318" i="24"/>
  <c r="B95" i="29"/>
  <c r="D96" i="29"/>
  <c r="C96" i="29"/>
  <c r="E95" i="29"/>
  <c r="C6" i="26"/>
  <c r="D6" i="26" s="1"/>
  <c r="E5" i="26"/>
  <c r="B5" i="26"/>
  <c r="I250" i="2"/>
  <c r="BA86" i="5"/>
  <c r="CA86" i="5" s="1"/>
  <c r="H87" i="5"/>
  <c r="BY87" i="5" s="1"/>
  <c r="G87" i="5"/>
  <c r="BW87" i="5" s="1"/>
  <c r="N9" i="2"/>
  <c r="H21" i="2"/>
  <c r="O326" i="2"/>
  <c r="N476" i="2" l="1"/>
  <c r="V429" i="2"/>
  <c r="AA320" i="24"/>
  <c r="AD319" i="24"/>
  <c r="C97" i="29"/>
  <c r="E96" i="29"/>
  <c r="D97" i="29"/>
  <c r="B96" i="29"/>
  <c r="D7" i="26"/>
  <c r="B6" i="26"/>
  <c r="C7" i="26"/>
  <c r="E6" i="26"/>
  <c r="I251" i="2"/>
  <c r="G88" i="5"/>
  <c r="BW88" i="5" s="1"/>
  <c r="H88" i="5"/>
  <c r="BA87" i="5"/>
  <c r="CA87" i="5" s="1"/>
  <c r="N10" i="2"/>
  <c r="H22" i="2"/>
  <c r="O327" i="2"/>
  <c r="BY88" i="5" l="1"/>
  <c r="V430" i="2"/>
  <c r="N477" i="2"/>
  <c r="AA321" i="24"/>
  <c r="AD320" i="24"/>
  <c r="B97" i="29"/>
  <c r="D98" i="29"/>
  <c r="E97" i="29"/>
  <c r="C98" i="29"/>
  <c r="D8" i="26"/>
  <c r="C8" i="26"/>
  <c r="B7" i="26"/>
  <c r="E7" i="26"/>
  <c r="I252" i="2"/>
  <c r="G89" i="5"/>
  <c r="BW89" i="5" s="1"/>
  <c r="BA88" i="5"/>
  <c r="CA88" i="5" s="1"/>
  <c r="H89" i="5"/>
  <c r="BY89" i="5" s="1"/>
  <c r="N11" i="2"/>
  <c r="H23" i="2"/>
  <c r="O328" i="2"/>
  <c r="N478" i="2" l="1"/>
  <c r="V431" i="2"/>
  <c r="AA322" i="24"/>
  <c r="AD321" i="24"/>
  <c r="C99" i="29"/>
  <c r="E98" i="29"/>
  <c r="B98" i="29"/>
  <c r="D99" i="29"/>
  <c r="D9" i="26"/>
  <c r="E8" i="26"/>
  <c r="C9" i="26"/>
  <c r="B8" i="26"/>
  <c r="I253" i="2"/>
  <c r="H90" i="5"/>
  <c r="BY90" i="5" s="1"/>
  <c r="BA89" i="5"/>
  <c r="CA89" i="5" s="1"/>
  <c r="G90" i="5"/>
  <c r="BW90" i="5" s="1"/>
  <c r="N12" i="2"/>
  <c r="H24" i="2"/>
  <c r="O329" i="2"/>
  <c r="V432" i="2" l="1"/>
  <c r="N479" i="2"/>
  <c r="N480" i="2" s="1"/>
  <c r="AA323" i="24"/>
  <c r="AD322" i="24"/>
  <c r="B99" i="29"/>
  <c r="D100" i="29"/>
  <c r="C100" i="29"/>
  <c r="E99" i="29"/>
  <c r="D10" i="26"/>
  <c r="C10" i="26"/>
  <c r="E9" i="26"/>
  <c r="B9" i="26"/>
  <c r="I254" i="2"/>
  <c r="G91" i="5"/>
  <c r="BW91" i="5" s="1"/>
  <c r="BA90" i="5"/>
  <c r="CA90" i="5" s="1"/>
  <c r="H91" i="5"/>
  <c r="N13" i="2"/>
  <c r="H25" i="2"/>
  <c r="O330" i="2"/>
  <c r="BY91" i="5" l="1"/>
  <c r="N481" i="2"/>
  <c r="V433" i="2"/>
  <c r="AA324" i="24"/>
  <c r="AD323" i="24"/>
  <c r="C101" i="29"/>
  <c r="E100" i="29"/>
  <c r="D101" i="29"/>
  <c r="B100" i="29"/>
  <c r="D11" i="26"/>
  <c r="E10" i="26"/>
  <c r="C11" i="26"/>
  <c r="B10" i="26"/>
  <c r="I255" i="2"/>
  <c r="BA91" i="5"/>
  <c r="CA91" i="5" s="1"/>
  <c r="H92" i="5"/>
  <c r="G92" i="5"/>
  <c r="BW92" i="5" s="1"/>
  <c r="N14" i="2"/>
  <c r="H26" i="2"/>
  <c r="O331" i="2"/>
  <c r="BY92" i="5" l="1"/>
  <c r="V434" i="2"/>
  <c r="N482" i="2"/>
  <c r="AA325" i="24"/>
  <c r="AD324" i="24"/>
  <c r="B101" i="29"/>
  <c r="D102" i="29"/>
  <c r="E101" i="29"/>
  <c r="C102" i="29"/>
  <c r="B11" i="26"/>
  <c r="D12" i="26"/>
  <c r="C12" i="26"/>
  <c r="E11" i="26"/>
  <c r="I256" i="2"/>
  <c r="G93" i="5"/>
  <c r="BW93" i="5" s="1"/>
  <c r="H93" i="5"/>
  <c r="BA92" i="5"/>
  <c r="CA92" i="5" s="1"/>
  <c r="N15" i="2"/>
  <c r="H27" i="2"/>
  <c r="O332" i="2"/>
  <c r="BY93" i="5" l="1"/>
  <c r="N483" i="2"/>
  <c r="N484" i="2" s="1"/>
  <c r="V435" i="2"/>
  <c r="AA326" i="24"/>
  <c r="AD325" i="24"/>
  <c r="C103" i="29"/>
  <c r="E102" i="29"/>
  <c r="B102" i="29"/>
  <c r="D103" i="29"/>
  <c r="D13" i="26"/>
  <c r="E12" i="26"/>
  <c r="C13" i="26"/>
  <c r="B12" i="26"/>
  <c r="I257" i="2"/>
  <c r="G94" i="5"/>
  <c r="BW94" i="5" s="1"/>
  <c r="H94" i="5"/>
  <c r="BA93" i="5"/>
  <c r="CA93" i="5" s="1"/>
  <c r="N16" i="2"/>
  <c r="H28" i="2"/>
  <c r="O333" i="2"/>
  <c r="BY94" i="5" l="1"/>
  <c r="V436" i="2"/>
  <c r="N485" i="2"/>
  <c r="N486" i="2" s="1"/>
  <c r="AA327" i="24"/>
  <c r="AD326" i="24"/>
  <c r="B103" i="29"/>
  <c r="D104" i="29"/>
  <c r="C104" i="29"/>
  <c r="E103" i="29"/>
  <c r="E13" i="26"/>
  <c r="D14" i="26"/>
  <c r="B13" i="26"/>
  <c r="C14" i="26"/>
  <c r="I258" i="2"/>
  <c r="G95" i="5"/>
  <c r="BW95" i="5" s="1"/>
  <c r="H95" i="5"/>
  <c r="BY95" i="5" s="1"/>
  <c r="BA94" i="5"/>
  <c r="CA94" i="5" s="1"/>
  <c r="N17" i="2"/>
  <c r="H29" i="2"/>
  <c r="O334" i="2"/>
  <c r="N487" i="2" l="1"/>
  <c r="V437" i="2"/>
  <c r="AA328" i="24"/>
  <c r="AD327" i="24"/>
  <c r="C105" i="29"/>
  <c r="E104" i="29"/>
  <c r="D105" i="29"/>
  <c r="B104" i="29"/>
  <c r="D15" i="26"/>
  <c r="C15" i="26"/>
  <c r="E14" i="26"/>
  <c r="B14" i="26"/>
  <c r="I259" i="2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H96" i="5"/>
  <c r="BY96" i="5" s="1"/>
  <c r="BA95" i="5"/>
  <c r="CA95" i="5" s="1"/>
  <c r="G96" i="5"/>
  <c r="BW96" i="5" s="1"/>
  <c r="N18" i="2"/>
  <c r="H30" i="2"/>
  <c r="O335" i="2"/>
  <c r="V438" i="2" l="1"/>
  <c r="N488" i="2"/>
  <c r="AA329" i="24"/>
  <c r="AD328" i="24"/>
  <c r="B105" i="29"/>
  <c r="D106" i="29"/>
  <c r="E105" i="29"/>
  <c r="C106" i="29"/>
  <c r="I283" i="2"/>
  <c r="D16" i="26"/>
  <c r="C16" i="26"/>
  <c r="E15" i="26"/>
  <c r="B15" i="26"/>
  <c r="BA96" i="5"/>
  <c r="CA96" i="5" s="1"/>
  <c r="H97" i="5"/>
  <c r="G97" i="5"/>
  <c r="BW97" i="5" s="1"/>
  <c r="N19" i="2"/>
  <c r="H31" i="2"/>
  <c r="O336" i="2"/>
  <c r="BY97" i="5" l="1"/>
  <c r="V439" i="2"/>
  <c r="N489" i="2"/>
  <c r="AA330" i="24"/>
  <c r="AD329" i="24"/>
  <c r="C107" i="29"/>
  <c r="E106" i="29"/>
  <c r="B106" i="29"/>
  <c r="D107" i="29"/>
  <c r="I284" i="2"/>
  <c r="D17" i="26"/>
  <c r="C17" i="26"/>
  <c r="E16" i="26"/>
  <c r="B16" i="26"/>
  <c r="BA97" i="5"/>
  <c r="CA97" i="5" s="1"/>
  <c r="H98" i="5"/>
  <c r="G98" i="5"/>
  <c r="BW98" i="5" s="1"/>
  <c r="N20" i="2"/>
  <c r="H32" i="2"/>
  <c r="O337" i="2"/>
  <c r="BY98" i="5" l="1"/>
  <c r="N490" i="2"/>
  <c r="V440" i="2"/>
  <c r="AA331" i="24"/>
  <c r="AD330" i="24"/>
  <c r="B107" i="29"/>
  <c r="D108" i="29"/>
  <c r="C108" i="29"/>
  <c r="E107" i="29"/>
  <c r="I285" i="2"/>
  <c r="B17" i="26"/>
  <c r="D18" i="26"/>
  <c r="C18" i="26"/>
  <c r="E17" i="26"/>
  <c r="G99" i="5"/>
  <c r="BW99" i="5" s="1"/>
  <c r="H99" i="5"/>
  <c r="BY99" i="5" s="1"/>
  <c r="BA98" i="5"/>
  <c r="CA98" i="5" s="1"/>
  <c r="N21" i="2"/>
  <c r="H33" i="2"/>
  <c r="O338" i="2"/>
  <c r="V441" i="2" l="1"/>
  <c r="N491" i="2"/>
  <c r="AA332" i="24"/>
  <c r="AD331" i="24"/>
  <c r="C109" i="29"/>
  <c r="E108" i="29"/>
  <c r="D109" i="29"/>
  <c r="B108" i="29"/>
  <c r="I286" i="2"/>
  <c r="D19" i="26"/>
  <c r="C19" i="26"/>
  <c r="E18" i="26"/>
  <c r="B18" i="26"/>
  <c r="H100" i="5"/>
  <c r="BY100" i="5" s="1"/>
  <c r="BA99" i="5"/>
  <c r="CA99" i="5" s="1"/>
  <c r="G100" i="5"/>
  <c r="BW100" i="5" s="1"/>
  <c r="N22" i="2"/>
  <c r="H34" i="2"/>
  <c r="O339" i="2"/>
  <c r="N492" i="2" l="1"/>
  <c r="V442" i="2"/>
  <c r="AA333" i="24"/>
  <c r="AD332" i="24"/>
  <c r="B109" i="29"/>
  <c r="D110" i="29"/>
  <c r="E109" i="29"/>
  <c r="C110" i="29"/>
  <c r="I287" i="2"/>
  <c r="C20" i="26"/>
  <c r="E19" i="26"/>
  <c r="B19" i="26"/>
  <c r="D20" i="26"/>
  <c r="H101" i="5"/>
  <c r="BY101" i="5" s="1"/>
  <c r="BA100" i="5"/>
  <c r="CA100" i="5" s="1"/>
  <c r="G101" i="5"/>
  <c r="BW101" i="5" s="1"/>
  <c r="N23" i="2"/>
  <c r="H35" i="2"/>
  <c r="O340" i="2"/>
  <c r="N493" i="2" l="1"/>
  <c r="V443" i="2"/>
  <c r="AA334" i="24"/>
  <c r="AD333" i="24"/>
  <c r="C111" i="29"/>
  <c r="E110" i="29"/>
  <c r="B110" i="29"/>
  <c r="D111" i="29"/>
  <c r="I288" i="2"/>
  <c r="D21" i="26"/>
  <c r="C21" i="26"/>
  <c r="E20" i="26"/>
  <c r="B20" i="26"/>
  <c r="H102" i="5"/>
  <c r="BY102" i="5" s="1"/>
  <c r="BA101" i="5"/>
  <c r="CA101" i="5" s="1"/>
  <c r="G102" i="5"/>
  <c r="BW102" i="5" s="1"/>
  <c r="N24" i="2"/>
  <c r="H36" i="2"/>
  <c r="O341" i="2"/>
  <c r="V444" i="2" l="1"/>
  <c r="N494" i="2"/>
  <c r="AA335" i="24"/>
  <c r="AD334" i="24"/>
  <c r="B111" i="29"/>
  <c r="D112" i="29"/>
  <c r="C112" i="29"/>
  <c r="E111" i="29"/>
  <c r="I289" i="2"/>
  <c r="D22" i="26"/>
  <c r="B21" i="26"/>
  <c r="C22" i="26"/>
  <c r="E21" i="26"/>
  <c r="G103" i="5"/>
  <c r="BW103" i="5" s="1"/>
  <c r="H103" i="5"/>
  <c r="BA102" i="5"/>
  <c r="CA102" i="5" s="1"/>
  <c r="N25" i="2"/>
  <c r="H37" i="2"/>
  <c r="O342" i="2"/>
  <c r="BY103" i="5" l="1"/>
  <c r="N495" i="2"/>
  <c r="V445" i="2"/>
  <c r="AA336" i="24"/>
  <c r="AD335" i="24"/>
  <c r="C113" i="29"/>
  <c r="E112" i="29"/>
  <c r="D113" i="29"/>
  <c r="B112" i="29"/>
  <c r="I290" i="2"/>
  <c r="D23" i="26"/>
  <c r="C23" i="26"/>
  <c r="E22" i="26"/>
  <c r="B22" i="26"/>
  <c r="BA103" i="5"/>
  <c r="CA103" i="5" s="1"/>
  <c r="H104" i="5"/>
  <c r="G104" i="5"/>
  <c r="BW104" i="5" s="1"/>
  <c r="N26" i="2"/>
  <c r="H38" i="2"/>
  <c r="O343" i="2"/>
  <c r="BY104" i="5" l="1"/>
  <c r="N496" i="2"/>
  <c r="V446" i="2"/>
  <c r="AA337" i="24"/>
  <c r="AD336" i="24"/>
  <c r="B113" i="29"/>
  <c r="D114" i="29"/>
  <c r="E113" i="29"/>
  <c r="C114" i="29"/>
  <c r="I291" i="2"/>
  <c r="E23" i="26"/>
  <c r="B23" i="26"/>
  <c r="C24" i="26"/>
  <c r="D24" i="26"/>
  <c r="BA104" i="5"/>
  <c r="CA104" i="5" s="1"/>
  <c r="H105" i="5"/>
  <c r="G105" i="5"/>
  <c r="BW105" i="5" s="1"/>
  <c r="N27" i="2"/>
  <c r="H39" i="2"/>
  <c r="O344" i="2"/>
  <c r="BY105" i="5" l="1"/>
  <c r="V447" i="2"/>
  <c r="N497" i="2"/>
  <c r="AA338" i="24"/>
  <c r="AD337" i="24"/>
  <c r="C115" i="29"/>
  <c r="E114" i="29"/>
  <c r="B114" i="29"/>
  <c r="D115" i="29"/>
  <c r="I292" i="2"/>
  <c r="D25" i="26"/>
  <c r="C25" i="26"/>
  <c r="E24" i="26"/>
  <c r="B24" i="26"/>
  <c r="H106" i="5"/>
  <c r="BA105" i="5"/>
  <c r="CA105" i="5" s="1"/>
  <c r="G106" i="5"/>
  <c r="BW106" i="5" s="1"/>
  <c r="N28" i="2"/>
  <c r="H40" i="2"/>
  <c r="O345" i="2"/>
  <c r="BY106" i="5" l="1"/>
  <c r="N498" i="2"/>
  <c r="V448" i="2"/>
  <c r="AA339" i="24"/>
  <c r="AD338" i="24"/>
  <c r="B115" i="29"/>
  <c r="D116" i="29"/>
  <c r="C116" i="29"/>
  <c r="E115" i="29"/>
  <c r="I293" i="2"/>
  <c r="D26" i="26"/>
  <c r="C26" i="26"/>
  <c r="E25" i="26"/>
  <c r="B25" i="26"/>
  <c r="G107" i="5"/>
  <c r="BW107" i="5" s="1"/>
  <c r="H107" i="5"/>
  <c r="BY107" i="5" s="1"/>
  <c r="BA106" i="5"/>
  <c r="CA106" i="5" s="1"/>
  <c r="N29" i="2"/>
  <c r="H41" i="2"/>
  <c r="O346" i="2"/>
  <c r="V449" i="2" l="1"/>
  <c r="N499" i="2"/>
  <c r="AA340" i="24"/>
  <c r="AD339" i="24"/>
  <c r="C117" i="29"/>
  <c r="E116" i="29"/>
  <c r="D117" i="29"/>
  <c r="B116" i="29"/>
  <c r="I294" i="2"/>
  <c r="D27" i="26"/>
  <c r="C27" i="26"/>
  <c r="E26" i="26"/>
  <c r="B26" i="26"/>
  <c r="H108" i="5"/>
  <c r="BY108" i="5" s="1"/>
  <c r="BA107" i="5"/>
  <c r="CA107" i="5" s="1"/>
  <c r="G108" i="5"/>
  <c r="BW108" i="5" s="1"/>
  <c r="N30" i="2"/>
  <c r="H42" i="2"/>
  <c r="O347" i="2"/>
  <c r="N500" i="2" l="1"/>
  <c r="V450" i="2"/>
  <c r="AA341" i="24"/>
  <c r="AD340" i="24"/>
  <c r="B117" i="29"/>
  <c r="D118" i="29"/>
  <c r="E117" i="29"/>
  <c r="C118" i="29"/>
  <c r="I295" i="2"/>
  <c r="E27" i="26"/>
  <c r="D28" i="26"/>
  <c r="C28" i="26"/>
  <c r="B27" i="26"/>
  <c r="H109" i="5"/>
  <c r="BY109" i="5" s="1"/>
  <c r="BA108" i="5"/>
  <c r="CA108" i="5" s="1"/>
  <c r="G109" i="5"/>
  <c r="BW109" i="5" s="1"/>
  <c r="N31" i="2"/>
  <c r="H43" i="2"/>
  <c r="O348" i="2"/>
  <c r="N501" i="2" l="1"/>
  <c r="V451" i="2"/>
  <c r="AD341" i="24"/>
  <c r="AA342" i="24"/>
  <c r="C119" i="29"/>
  <c r="E118" i="29"/>
  <c r="B118" i="29"/>
  <c r="D119" i="29"/>
  <c r="I296" i="2"/>
  <c r="D29" i="26"/>
  <c r="C29" i="26"/>
  <c r="E28" i="26"/>
  <c r="B28" i="26"/>
  <c r="H110" i="5"/>
  <c r="BY110" i="5" s="1"/>
  <c r="BA109" i="5"/>
  <c r="CA109" i="5" s="1"/>
  <c r="G110" i="5"/>
  <c r="BW110" i="5" s="1"/>
  <c r="N32" i="2"/>
  <c r="H44" i="2"/>
  <c r="O349" i="2"/>
  <c r="AA343" i="24" l="1"/>
  <c r="AD342" i="24"/>
  <c r="V452" i="2"/>
  <c r="N502" i="2"/>
  <c r="B119" i="29"/>
  <c r="D120" i="29"/>
  <c r="C120" i="29"/>
  <c r="E119" i="29"/>
  <c r="I297" i="2"/>
  <c r="E29" i="26"/>
  <c r="B29" i="26"/>
  <c r="D30" i="26"/>
  <c r="C30" i="26"/>
  <c r="G111" i="5"/>
  <c r="BW111" i="5" s="1"/>
  <c r="BA110" i="5"/>
  <c r="CA110" i="5" s="1"/>
  <c r="H111" i="5"/>
  <c r="BY111" i="5" s="1"/>
  <c r="N33" i="2"/>
  <c r="H45" i="2"/>
  <c r="O350" i="2"/>
  <c r="AA344" i="24" l="1"/>
  <c r="AD343" i="24"/>
  <c r="V453" i="2"/>
  <c r="N503" i="2"/>
  <c r="C121" i="29"/>
  <c r="E120" i="29"/>
  <c r="D121" i="29"/>
  <c r="B120" i="29"/>
  <c r="I298" i="2"/>
  <c r="D31" i="26"/>
  <c r="C31" i="26"/>
  <c r="E30" i="26"/>
  <c r="B30" i="26"/>
  <c r="BA111" i="5"/>
  <c r="CA111" i="5" s="1"/>
  <c r="H112" i="5"/>
  <c r="G112" i="5"/>
  <c r="BW112" i="5" s="1"/>
  <c r="N34" i="2"/>
  <c r="H46" i="2"/>
  <c r="O351" i="2"/>
  <c r="AA345" i="24" l="1"/>
  <c r="AD344" i="24"/>
  <c r="BY112" i="5"/>
  <c r="N504" i="2"/>
  <c r="V454" i="2"/>
  <c r="B121" i="29"/>
  <c r="D122" i="29"/>
  <c r="E121" i="29"/>
  <c r="C122" i="29"/>
  <c r="I299" i="2"/>
  <c r="D32" i="26"/>
  <c r="C32" i="26"/>
  <c r="E31" i="26"/>
  <c r="B31" i="26"/>
  <c r="BA112" i="5"/>
  <c r="CA112" i="5" s="1"/>
  <c r="H113" i="5"/>
  <c r="G113" i="5"/>
  <c r="BW113" i="5" s="1"/>
  <c r="N35" i="2"/>
  <c r="H47" i="2"/>
  <c r="O352" i="2"/>
  <c r="AA346" i="24" l="1"/>
  <c r="AD345" i="24"/>
  <c r="BY113" i="5"/>
  <c r="V455" i="2"/>
  <c r="N505" i="2"/>
  <c r="C123" i="29"/>
  <c r="E122" i="29"/>
  <c r="B122" i="29"/>
  <c r="D123" i="29"/>
  <c r="I300" i="2"/>
  <c r="D33" i="26"/>
  <c r="C33" i="26"/>
  <c r="E32" i="26"/>
  <c r="B32" i="26"/>
  <c r="BA113" i="5"/>
  <c r="CA113" i="5" s="1"/>
  <c r="H114" i="5"/>
  <c r="G114" i="5"/>
  <c r="BW114" i="5" s="1"/>
  <c r="N36" i="2"/>
  <c r="H48" i="2"/>
  <c r="O353" i="2"/>
  <c r="AA347" i="24" l="1"/>
  <c r="AD346" i="24"/>
  <c r="BY114" i="5"/>
  <c r="N506" i="2"/>
  <c r="V456" i="2"/>
  <c r="B123" i="29"/>
  <c r="D124" i="29"/>
  <c r="C124" i="29"/>
  <c r="E123" i="29"/>
  <c r="I301" i="2"/>
  <c r="B33" i="26"/>
  <c r="C34" i="26"/>
  <c r="E33" i="26"/>
  <c r="D34" i="26"/>
  <c r="G115" i="5"/>
  <c r="BW115" i="5" s="1"/>
  <c r="H115" i="5"/>
  <c r="BY115" i="5" s="1"/>
  <c r="BA114" i="5"/>
  <c r="CA114" i="5" s="1"/>
  <c r="N37" i="2"/>
  <c r="H49" i="2"/>
  <c r="O354" i="2"/>
  <c r="AA348" i="24" l="1"/>
  <c r="AD347" i="24"/>
  <c r="V457" i="2"/>
  <c r="N507" i="2"/>
  <c r="C125" i="29"/>
  <c r="E124" i="29"/>
  <c r="D125" i="29"/>
  <c r="B124" i="29"/>
  <c r="I302" i="2"/>
  <c r="D35" i="26"/>
  <c r="C35" i="26"/>
  <c r="E34" i="26"/>
  <c r="B34" i="26"/>
  <c r="G116" i="5"/>
  <c r="BW116" i="5" s="1"/>
  <c r="H116" i="5"/>
  <c r="BY116" i="5" s="1"/>
  <c r="BA115" i="5"/>
  <c r="CA115" i="5" s="1"/>
  <c r="N38" i="2"/>
  <c r="H50" i="2"/>
  <c r="O355" i="2"/>
  <c r="AA349" i="24" l="1"/>
  <c r="AD348" i="24"/>
  <c r="N508" i="2"/>
  <c r="V458" i="2"/>
  <c r="B125" i="29"/>
  <c r="D126" i="29"/>
  <c r="E125" i="29"/>
  <c r="C126" i="29"/>
  <c r="I303" i="2"/>
  <c r="C36" i="26"/>
  <c r="E35" i="26"/>
  <c r="D36" i="26"/>
  <c r="B35" i="26"/>
  <c r="G117" i="5"/>
  <c r="BW117" i="5" s="1"/>
  <c r="H117" i="5"/>
  <c r="BY117" i="5" s="1"/>
  <c r="BA116" i="5"/>
  <c r="CA116" i="5" s="1"/>
  <c r="H51" i="2"/>
  <c r="O356" i="2"/>
  <c r="AA350" i="24" l="1"/>
  <c r="AD349" i="24"/>
  <c r="V459" i="2"/>
  <c r="N509" i="2"/>
  <c r="C127" i="29"/>
  <c r="E126" i="29"/>
  <c r="B126" i="29"/>
  <c r="D127" i="29"/>
  <c r="I304" i="2"/>
  <c r="D37" i="26"/>
  <c r="C37" i="26"/>
  <c r="E36" i="26"/>
  <c r="B36" i="26"/>
  <c r="G118" i="5"/>
  <c r="BW118" i="5" s="1"/>
  <c r="H118" i="5"/>
  <c r="BY118" i="5" s="1"/>
  <c r="BA117" i="5"/>
  <c r="CA117" i="5" s="1"/>
  <c r="H52" i="2"/>
  <c r="O357" i="2"/>
  <c r="AA351" i="24" l="1"/>
  <c r="AD350" i="24"/>
  <c r="N510" i="2"/>
  <c r="V460" i="2"/>
  <c r="B127" i="29"/>
  <c r="D128" i="29"/>
  <c r="C128" i="29"/>
  <c r="E127" i="29"/>
  <c r="I305" i="2"/>
  <c r="D38" i="26"/>
  <c r="B37" i="26"/>
  <c r="C38" i="26"/>
  <c r="E37" i="26"/>
  <c r="G119" i="5"/>
  <c r="BW119" i="5" s="1"/>
  <c r="H119" i="5"/>
  <c r="BY119" i="5" s="1"/>
  <c r="BA118" i="5"/>
  <c r="CA118" i="5" s="1"/>
  <c r="H53" i="2"/>
  <c r="O358" i="2"/>
  <c r="AA352" i="24" l="1"/>
  <c r="AD351" i="24"/>
  <c r="N511" i="2"/>
  <c r="V461" i="2"/>
  <c r="C129" i="29"/>
  <c r="E128" i="29"/>
  <c r="D129" i="29"/>
  <c r="B128" i="29"/>
  <c r="I306" i="2"/>
  <c r="D39" i="26"/>
  <c r="C39" i="26"/>
  <c r="E38" i="26"/>
  <c r="B38" i="26"/>
  <c r="BA119" i="5"/>
  <c r="CA119" i="5" s="1"/>
  <c r="H120" i="5"/>
  <c r="G120" i="5"/>
  <c r="BW120" i="5" s="1"/>
  <c r="H54" i="2"/>
  <c r="O359" i="2"/>
  <c r="AA353" i="24" l="1"/>
  <c r="AD352" i="24"/>
  <c r="BY120" i="5"/>
  <c r="N512" i="2"/>
  <c r="V462" i="2"/>
  <c r="B129" i="29"/>
  <c r="D130" i="29"/>
  <c r="E129" i="29"/>
  <c r="C130" i="29"/>
  <c r="I307" i="2"/>
  <c r="E39" i="26"/>
  <c r="B39" i="26"/>
  <c r="C40" i="26"/>
  <c r="D40" i="26"/>
  <c r="BA120" i="5"/>
  <c r="CA120" i="5" s="1"/>
  <c r="H121" i="5"/>
  <c r="BY121" i="5" s="1"/>
  <c r="G121" i="5"/>
  <c r="BW121" i="5" s="1"/>
  <c r="H55" i="2"/>
  <c r="O360" i="2"/>
  <c r="AA354" i="24" l="1"/>
  <c r="AD353" i="24"/>
  <c r="V463" i="2"/>
  <c r="N513" i="2"/>
  <c r="C131" i="29"/>
  <c r="E130" i="29"/>
  <c r="B130" i="29"/>
  <c r="D131" i="29"/>
  <c r="I308" i="2"/>
  <c r="D41" i="26"/>
  <c r="C41" i="26"/>
  <c r="E40" i="26"/>
  <c r="B40" i="26"/>
  <c r="G122" i="5"/>
  <c r="BW122" i="5" s="1"/>
  <c r="BA121" i="5"/>
  <c r="CA121" i="5" s="1"/>
  <c r="H122" i="5"/>
  <c r="BY122" i="5" s="1"/>
  <c r="H56" i="2"/>
  <c r="O361" i="2"/>
  <c r="AA355" i="24" l="1"/>
  <c r="AD354" i="24"/>
  <c r="N514" i="2"/>
  <c r="V464" i="2"/>
  <c r="B131" i="29"/>
  <c r="D132" i="29"/>
  <c r="C132" i="29"/>
  <c r="E131" i="29"/>
  <c r="I309" i="2"/>
  <c r="D42" i="26"/>
  <c r="C42" i="26"/>
  <c r="E41" i="26"/>
  <c r="B41" i="26"/>
  <c r="BA122" i="5"/>
  <c r="CA122" i="5" s="1"/>
  <c r="H123" i="5"/>
  <c r="G123" i="5"/>
  <c r="BW123" i="5" s="1"/>
  <c r="H57" i="2"/>
  <c r="O362" i="2"/>
  <c r="AA356" i="24" l="1"/>
  <c r="AD355" i="24"/>
  <c r="BY123" i="5"/>
  <c r="V465" i="2"/>
  <c r="N515" i="2"/>
  <c r="C133" i="29"/>
  <c r="E132" i="29"/>
  <c r="D133" i="29"/>
  <c r="B132" i="29"/>
  <c r="I310" i="2"/>
  <c r="D43" i="26"/>
  <c r="C43" i="26"/>
  <c r="E42" i="26"/>
  <c r="B42" i="26"/>
  <c r="G124" i="5"/>
  <c r="BW124" i="5" s="1"/>
  <c r="BA123" i="5"/>
  <c r="CA123" i="5" s="1"/>
  <c r="H124" i="5"/>
  <c r="H58" i="2"/>
  <c r="O363" i="2"/>
  <c r="AA357" i="24" l="1"/>
  <c r="AD356" i="24"/>
  <c r="BY124" i="5"/>
  <c r="N516" i="2"/>
  <c r="V466" i="2"/>
  <c r="B133" i="29"/>
  <c r="D134" i="29"/>
  <c r="E133" i="29"/>
  <c r="C134" i="29"/>
  <c r="I311" i="2"/>
  <c r="E43" i="26"/>
  <c r="D44" i="26"/>
  <c r="C44" i="26"/>
  <c r="B43" i="26"/>
  <c r="G125" i="5"/>
  <c r="BW125" i="5" s="1"/>
  <c r="H125" i="5"/>
  <c r="BA124" i="5"/>
  <c r="CA124" i="5" s="1"/>
  <c r="H59" i="2"/>
  <c r="O364" i="2"/>
  <c r="AA358" i="24" l="1"/>
  <c r="AD357" i="24"/>
  <c r="BY125" i="5"/>
  <c r="V467" i="2"/>
  <c r="N517" i="2"/>
  <c r="C135" i="29"/>
  <c r="E134" i="29"/>
  <c r="B134" i="29"/>
  <c r="D135" i="29"/>
  <c r="I312" i="2"/>
  <c r="D45" i="26"/>
  <c r="C45" i="26"/>
  <c r="E44" i="26"/>
  <c r="B44" i="26"/>
  <c r="H126" i="5"/>
  <c r="BA125" i="5"/>
  <c r="CA125" i="5" s="1"/>
  <c r="G126" i="5"/>
  <c r="BW126" i="5" s="1"/>
  <c r="H60" i="2"/>
  <c r="O365" i="2"/>
  <c r="AA359" i="24" l="1"/>
  <c r="AD358" i="24"/>
  <c r="BY126" i="5"/>
  <c r="V468" i="2"/>
  <c r="N518" i="2"/>
  <c r="B135" i="29"/>
  <c r="D136" i="29"/>
  <c r="C136" i="29"/>
  <c r="E135" i="29"/>
  <c r="I313" i="2"/>
  <c r="E45" i="26"/>
  <c r="B45" i="26"/>
  <c r="D46" i="26"/>
  <c r="C46" i="26"/>
  <c r="BA126" i="5"/>
  <c r="CA126" i="5" s="1"/>
  <c r="H127" i="5"/>
  <c r="G127" i="5"/>
  <c r="BW127" i="5" s="1"/>
  <c r="H61" i="2"/>
  <c r="O366" i="2"/>
  <c r="AA360" i="24" l="1"/>
  <c r="AD359" i="24"/>
  <c r="BY127" i="5"/>
  <c r="N519" i="2"/>
  <c r="V469" i="2"/>
  <c r="C137" i="29"/>
  <c r="E136" i="29"/>
  <c r="D137" i="29"/>
  <c r="B136" i="29"/>
  <c r="I314" i="2"/>
  <c r="D47" i="26"/>
  <c r="C47" i="26"/>
  <c r="E46" i="26"/>
  <c r="B46" i="26"/>
  <c r="BA127" i="5"/>
  <c r="CA127" i="5" s="1"/>
  <c r="H128" i="5"/>
  <c r="BY128" i="5" s="1"/>
  <c r="G128" i="5"/>
  <c r="BW128" i="5" s="1"/>
  <c r="H62" i="2"/>
  <c r="O367" i="2"/>
  <c r="AA361" i="24" l="1"/>
  <c r="AD360" i="24"/>
  <c r="V470" i="2"/>
  <c r="N520" i="2"/>
  <c r="B137" i="29"/>
  <c r="D138" i="29"/>
  <c r="E137" i="29"/>
  <c r="C138" i="29"/>
  <c r="I315" i="2"/>
  <c r="D48" i="26"/>
  <c r="C48" i="26"/>
  <c r="E47" i="26"/>
  <c r="B47" i="26"/>
  <c r="BA128" i="5"/>
  <c r="CA128" i="5" s="1"/>
  <c r="H129" i="5"/>
  <c r="G129" i="5"/>
  <c r="BW129" i="5" s="1"/>
  <c r="H63" i="2"/>
  <c r="O368" i="2"/>
  <c r="AA362" i="24" l="1"/>
  <c r="AD361" i="24"/>
  <c r="BY129" i="5"/>
  <c r="N521" i="2"/>
  <c r="V471" i="2"/>
  <c r="C139" i="29"/>
  <c r="E138" i="29"/>
  <c r="B138" i="29"/>
  <c r="D139" i="29"/>
  <c r="I316" i="2"/>
  <c r="D49" i="26"/>
  <c r="C49" i="26"/>
  <c r="E48" i="26"/>
  <c r="B48" i="26"/>
  <c r="G130" i="5"/>
  <c r="BW130" i="5" s="1"/>
  <c r="H130" i="5"/>
  <c r="BY130" i="5" s="1"/>
  <c r="BA129" i="5"/>
  <c r="CA129" i="5" s="1"/>
  <c r="H64" i="2"/>
  <c r="O369" i="2"/>
  <c r="AA363" i="24" l="1"/>
  <c r="AD362" i="24"/>
  <c r="N522" i="2"/>
  <c r="V472" i="2"/>
  <c r="B139" i="29"/>
  <c r="D140" i="29"/>
  <c r="C140" i="29"/>
  <c r="E139" i="29"/>
  <c r="I317" i="2"/>
  <c r="B49" i="26"/>
  <c r="D50" i="26"/>
  <c r="C50" i="26"/>
  <c r="E49" i="26"/>
  <c r="H131" i="5"/>
  <c r="BA130" i="5"/>
  <c r="CA130" i="5" s="1"/>
  <c r="G131" i="5"/>
  <c r="BW131" i="5" s="1"/>
  <c r="H65" i="2"/>
  <c r="O370" i="2"/>
  <c r="AA364" i="24" l="1"/>
  <c r="AD363" i="24"/>
  <c r="BY131" i="5"/>
  <c r="V473" i="2"/>
  <c r="N523" i="2"/>
  <c r="C141" i="29"/>
  <c r="E140" i="29"/>
  <c r="D141" i="29"/>
  <c r="B140" i="29"/>
  <c r="I318" i="2"/>
  <c r="D51" i="26"/>
  <c r="C51" i="26"/>
  <c r="E50" i="26"/>
  <c r="B50" i="26"/>
  <c r="H132" i="5"/>
  <c r="BY132" i="5" s="1"/>
  <c r="BA131" i="5"/>
  <c r="CA131" i="5" s="1"/>
  <c r="G132" i="5"/>
  <c r="BW132" i="5" s="1"/>
  <c r="H66" i="2"/>
  <c r="AA365" i="24" l="1"/>
  <c r="AD364" i="24"/>
  <c r="N524" i="2"/>
  <c r="V474" i="2"/>
  <c r="B141" i="29"/>
  <c r="D142" i="29"/>
  <c r="E141" i="29"/>
  <c r="C142" i="29"/>
  <c r="I319" i="2"/>
  <c r="C52" i="26"/>
  <c r="E51" i="26"/>
  <c r="B51" i="26"/>
  <c r="D52" i="26"/>
  <c r="G133" i="5"/>
  <c r="BW133" i="5" s="1"/>
  <c r="BA132" i="5"/>
  <c r="CA132" i="5" s="1"/>
  <c r="H133" i="5"/>
  <c r="BY133" i="5" s="1"/>
  <c r="H67" i="2"/>
  <c r="AA366" i="24" l="1"/>
  <c r="AD365" i="24"/>
  <c r="V475" i="2"/>
  <c r="N525" i="2"/>
  <c r="C143" i="29"/>
  <c r="E142" i="29"/>
  <c r="B142" i="29"/>
  <c r="D143" i="29"/>
  <c r="I320" i="2"/>
  <c r="D53" i="26"/>
  <c r="C53" i="26"/>
  <c r="E52" i="26"/>
  <c r="B52" i="26"/>
  <c r="G134" i="5"/>
  <c r="BW134" i="5" s="1"/>
  <c r="BA133" i="5"/>
  <c r="CA133" i="5" s="1"/>
  <c r="H134" i="5"/>
  <c r="BY134" i="5" s="1"/>
  <c r="H68" i="2"/>
  <c r="AA367" i="24" l="1"/>
  <c r="AD366" i="24"/>
  <c r="N526" i="2"/>
  <c r="N527" i="2" s="1"/>
  <c r="V476" i="2"/>
  <c r="B143" i="29"/>
  <c r="D144" i="29"/>
  <c r="C144" i="29"/>
  <c r="E143" i="29"/>
  <c r="I321" i="2"/>
  <c r="D54" i="26"/>
  <c r="B53" i="26"/>
  <c r="C54" i="26"/>
  <c r="E53" i="26"/>
  <c r="BA134" i="5"/>
  <c r="CA134" i="5" s="1"/>
  <c r="H135" i="5"/>
  <c r="G135" i="5"/>
  <c r="BW135" i="5" s="1"/>
  <c r="H69" i="2"/>
  <c r="AA368" i="24" l="1"/>
  <c r="AD367" i="24"/>
  <c r="BY135" i="5"/>
  <c r="V477" i="2"/>
  <c r="N528" i="2"/>
  <c r="C145" i="29"/>
  <c r="E144" i="29"/>
  <c r="D145" i="29"/>
  <c r="B144" i="29"/>
  <c r="I322" i="2"/>
  <c r="D55" i="26"/>
  <c r="C55" i="26"/>
  <c r="E54" i="26"/>
  <c r="B54" i="26"/>
  <c r="G136" i="5"/>
  <c r="BW136" i="5" s="1"/>
  <c r="H136" i="5"/>
  <c r="BA135" i="5"/>
  <c r="CA135" i="5" s="1"/>
  <c r="H70" i="2"/>
  <c r="AA369" i="24" l="1"/>
  <c r="AD368" i="24"/>
  <c r="BY136" i="5"/>
  <c r="N529" i="2"/>
  <c r="V478" i="2"/>
  <c r="B145" i="29"/>
  <c r="D146" i="29"/>
  <c r="E145" i="29"/>
  <c r="C146" i="29"/>
  <c r="I323" i="2"/>
  <c r="E55" i="26"/>
  <c r="B55" i="26"/>
  <c r="C56" i="26"/>
  <c r="D56" i="26"/>
  <c r="H137" i="5"/>
  <c r="BY137" i="5" s="1"/>
  <c r="BA136" i="5"/>
  <c r="CA136" i="5" s="1"/>
  <c r="G137" i="5"/>
  <c r="BW137" i="5" s="1"/>
  <c r="H71" i="2"/>
  <c r="AA370" i="24" l="1"/>
  <c r="AD369" i="24"/>
  <c r="V479" i="2"/>
  <c r="N530" i="2"/>
  <c r="C147" i="29"/>
  <c r="E146" i="29"/>
  <c r="B146" i="29"/>
  <c r="D147" i="29"/>
  <c r="I324" i="2"/>
  <c r="D57" i="26"/>
  <c r="C57" i="26"/>
  <c r="E56" i="26"/>
  <c r="B56" i="26"/>
  <c r="G138" i="5"/>
  <c r="BW138" i="5" s="1"/>
  <c r="H138" i="5"/>
  <c r="BY138" i="5" s="1"/>
  <c r="BA137" i="5"/>
  <c r="CA137" i="5" s="1"/>
  <c r="H72" i="2"/>
  <c r="AA373" i="24" l="1"/>
  <c r="AD373" i="24" s="1"/>
  <c r="AD370" i="24"/>
  <c r="N531" i="2"/>
  <c r="V480" i="2"/>
  <c r="B147" i="29"/>
  <c r="D148" i="29"/>
  <c r="C148" i="29"/>
  <c r="E147" i="29"/>
  <c r="I325" i="2"/>
  <c r="D58" i="26"/>
  <c r="C58" i="26"/>
  <c r="E57" i="26"/>
  <c r="B57" i="26"/>
  <c r="BA138" i="5"/>
  <c r="CA138" i="5" s="1"/>
  <c r="H139" i="5"/>
  <c r="G139" i="5"/>
  <c r="BW139" i="5" s="1"/>
  <c r="H73" i="2"/>
  <c r="BY139" i="5" l="1"/>
  <c r="V481" i="2"/>
  <c r="N532" i="2"/>
  <c r="C149" i="29"/>
  <c r="E148" i="29"/>
  <c r="D149" i="29"/>
  <c r="B148" i="29"/>
  <c r="I326" i="2"/>
  <c r="D59" i="26"/>
  <c r="C59" i="26"/>
  <c r="E58" i="26"/>
  <c r="B58" i="26"/>
  <c r="G140" i="5"/>
  <c r="BW140" i="5" s="1"/>
  <c r="H140" i="5"/>
  <c r="BY140" i="5" s="1"/>
  <c r="BA139" i="5"/>
  <c r="CA139" i="5" s="1"/>
  <c r="H74" i="2"/>
  <c r="N533" i="2" l="1"/>
  <c r="V482" i="2"/>
  <c r="B149" i="29"/>
  <c r="D150" i="29"/>
  <c r="E149" i="29"/>
  <c r="C150" i="29"/>
  <c r="I327" i="2"/>
  <c r="D60" i="26"/>
  <c r="E59" i="26"/>
  <c r="B59" i="26"/>
  <c r="C60" i="26"/>
  <c r="H141" i="5"/>
  <c r="BA140" i="5"/>
  <c r="CA140" i="5" s="1"/>
  <c r="G141" i="5"/>
  <c r="BW141" i="5" s="1"/>
  <c r="H75" i="2"/>
  <c r="BY141" i="5" l="1"/>
  <c r="V483" i="2"/>
  <c r="N534" i="2"/>
  <c r="C151" i="29"/>
  <c r="E150" i="29"/>
  <c r="B150" i="29"/>
  <c r="D151" i="29"/>
  <c r="I328" i="2"/>
  <c r="D61" i="26"/>
  <c r="C61" i="26"/>
  <c r="E60" i="26"/>
  <c r="B60" i="26"/>
  <c r="BA141" i="5"/>
  <c r="CA141" i="5" s="1"/>
  <c r="H142" i="5"/>
  <c r="BY142" i="5" s="1"/>
  <c r="G142" i="5"/>
  <c r="BW142" i="5" s="1"/>
  <c r="H76" i="2"/>
  <c r="N535" i="2" l="1"/>
  <c r="V484" i="2"/>
  <c r="B151" i="29"/>
  <c r="D152" i="29"/>
  <c r="C152" i="29"/>
  <c r="E151" i="29"/>
  <c r="I329" i="2"/>
  <c r="E61" i="26"/>
  <c r="B61" i="26"/>
  <c r="D62" i="26"/>
  <c r="C62" i="26"/>
  <c r="BA142" i="5"/>
  <c r="CA142" i="5" s="1"/>
  <c r="H143" i="5"/>
  <c r="G143" i="5"/>
  <c r="BW143" i="5" s="1"/>
  <c r="H77" i="2"/>
  <c r="BY143" i="5" l="1"/>
  <c r="V485" i="2"/>
  <c r="N536" i="2"/>
  <c r="C153" i="29"/>
  <c r="E152" i="29"/>
  <c r="D153" i="29"/>
  <c r="B152" i="29"/>
  <c r="I330" i="2"/>
  <c r="D63" i="26"/>
  <c r="C63" i="26"/>
  <c r="E62" i="26"/>
  <c r="B62" i="26"/>
  <c r="G144" i="5"/>
  <c r="BW144" i="5" s="1"/>
  <c r="BA143" i="5"/>
  <c r="CA143" i="5" s="1"/>
  <c r="H144" i="5"/>
  <c r="H78" i="2"/>
  <c r="BY144" i="5" l="1"/>
  <c r="V486" i="2"/>
  <c r="N537" i="2"/>
  <c r="B153" i="29"/>
  <c r="D154" i="29"/>
  <c r="E153" i="29"/>
  <c r="C154" i="29"/>
  <c r="I331" i="2"/>
  <c r="D64" i="26"/>
  <c r="C64" i="26"/>
  <c r="E63" i="26"/>
  <c r="B63" i="26"/>
  <c r="BA144" i="5"/>
  <c r="CA144" i="5" s="1"/>
  <c r="H145" i="5"/>
  <c r="BY145" i="5" s="1"/>
  <c r="G145" i="5"/>
  <c r="BW145" i="5" s="1"/>
  <c r="H79" i="2"/>
  <c r="N538" i="2" l="1"/>
  <c r="V487" i="2"/>
  <c r="C155" i="29"/>
  <c r="E154" i="29"/>
  <c r="B154" i="29"/>
  <c r="D155" i="29"/>
  <c r="I332" i="2"/>
  <c r="D65" i="26"/>
  <c r="C65" i="26"/>
  <c r="E64" i="26"/>
  <c r="B64" i="26"/>
  <c r="G146" i="5"/>
  <c r="BW146" i="5" s="1"/>
  <c r="BA145" i="5"/>
  <c r="CA145" i="5" s="1"/>
  <c r="H146" i="5"/>
  <c r="BY146" i="5" s="1"/>
  <c r="H80" i="2"/>
  <c r="V488" i="2" l="1"/>
  <c r="N539" i="2"/>
  <c r="B155" i="29"/>
  <c r="D156" i="29"/>
  <c r="C156" i="29"/>
  <c r="E155" i="29"/>
  <c r="I333" i="2"/>
  <c r="B65" i="26"/>
  <c r="C66" i="26"/>
  <c r="E65" i="26"/>
  <c r="D66" i="26"/>
  <c r="BA146" i="5"/>
  <c r="CA146" i="5" s="1"/>
  <c r="H147" i="5"/>
  <c r="G147" i="5"/>
  <c r="BW147" i="5" s="1"/>
  <c r="H81" i="2"/>
  <c r="BY147" i="5" l="1"/>
  <c r="N540" i="2"/>
  <c r="N541" i="2" s="1"/>
  <c r="V489" i="2"/>
  <c r="C157" i="29"/>
  <c r="E156" i="29"/>
  <c r="D157" i="29"/>
  <c r="B156" i="29"/>
  <c r="I334" i="2"/>
  <c r="D67" i="26"/>
  <c r="C67" i="26"/>
  <c r="E66" i="26"/>
  <c r="B66" i="26"/>
  <c r="BA147" i="5"/>
  <c r="CA147" i="5" s="1"/>
  <c r="H148" i="5"/>
  <c r="BY148" i="5" s="1"/>
  <c r="G148" i="5"/>
  <c r="BW148" i="5" s="1"/>
  <c r="H82" i="2"/>
  <c r="V490" i="2" l="1"/>
  <c r="N542" i="2"/>
  <c r="N543" i="2" s="1"/>
  <c r="B157" i="29"/>
  <c r="D158" i="29"/>
  <c r="C158" i="29"/>
  <c r="E157" i="29"/>
  <c r="I335" i="2"/>
  <c r="C68" i="26"/>
  <c r="E67" i="26"/>
  <c r="B67" i="26"/>
  <c r="D68" i="26"/>
  <c r="G149" i="5"/>
  <c r="BW149" i="5" s="1"/>
  <c r="BA148" i="5"/>
  <c r="CA148" i="5" s="1"/>
  <c r="H149" i="5"/>
  <c r="BY149" i="5" s="1"/>
  <c r="H83" i="2"/>
  <c r="N544" i="2" l="1"/>
  <c r="V491" i="2"/>
  <c r="C159" i="29"/>
  <c r="E158" i="29"/>
  <c r="D159" i="29"/>
  <c r="B158" i="29"/>
  <c r="I336" i="2"/>
  <c r="D69" i="26"/>
  <c r="C69" i="26"/>
  <c r="E68" i="26"/>
  <c r="B68" i="26"/>
  <c r="BA149" i="5"/>
  <c r="CA149" i="5" s="1"/>
  <c r="H150" i="5"/>
  <c r="G150" i="5"/>
  <c r="BW150" i="5" s="1"/>
  <c r="H84" i="2"/>
  <c r="BY150" i="5" l="1"/>
  <c r="N545" i="2"/>
  <c r="V492" i="2"/>
  <c r="B159" i="29"/>
  <c r="D160" i="29"/>
  <c r="C160" i="29"/>
  <c r="E159" i="29"/>
  <c r="I337" i="2"/>
  <c r="D70" i="26"/>
  <c r="C70" i="26"/>
  <c r="B69" i="26"/>
  <c r="E69" i="26"/>
  <c r="H151" i="5"/>
  <c r="BA150" i="5"/>
  <c r="CA150" i="5" s="1"/>
  <c r="G151" i="5"/>
  <c r="BW151" i="5" s="1"/>
  <c r="H85" i="2"/>
  <c r="BY151" i="5" l="1"/>
  <c r="V493" i="2"/>
  <c r="N546" i="2"/>
  <c r="C161" i="29"/>
  <c r="E160" i="29"/>
  <c r="D161" i="29"/>
  <c r="B160" i="29"/>
  <c r="I338" i="2"/>
  <c r="D71" i="26"/>
  <c r="C71" i="26"/>
  <c r="E70" i="26"/>
  <c r="B70" i="26"/>
  <c r="BA151" i="5"/>
  <c r="CA151" i="5" s="1"/>
  <c r="H152" i="5"/>
  <c r="G152" i="5"/>
  <c r="BW152" i="5" s="1"/>
  <c r="H86" i="2"/>
  <c r="BY152" i="5" l="1"/>
  <c r="V494" i="2"/>
  <c r="N547" i="2"/>
  <c r="B161" i="29"/>
  <c r="D162" i="29"/>
  <c r="C162" i="29"/>
  <c r="E161" i="29"/>
  <c r="I339" i="2"/>
  <c r="E71" i="26"/>
  <c r="B71" i="26"/>
  <c r="C72" i="26"/>
  <c r="D72" i="26"/>
  <c r="G153" i="5"/>
  <c r="BW153" i="5" s="1"/>
  <c r="BA152" i="5"/>
  <c r="CA152" i="5" s="1"/>
  <c r="H153" i="5"/>
  <c r="H87" i="2"/>
  <c r="BY153" i="5" l="1"/>
  <c r="N548" i="2"/>
  <c r="V495" i="2"/>
  <c r="C163" i="29"/>
  <c r="E162" i="29"/>
  <c r="D163" i="29"/>
  <c r="B162" i="29"/>
  <c r="I340" i="2"/>
  <c r="D73" i="26"/>
  <c r="C73" i="26"/>
  <c r="E72" i="26"/>
  <c r="B72" i="26"/>
  <c r="BA153" i="5"/>
  <c r="CA153" i="5" s="1"/>
  <c r="H154" i="5"/>
  <c r="G154" i="5"/>
  <c r="BW154" i="5" s="1"/>
  <c r="H88" i="2"/>
  <c r="BY154" i="5" l="1"/>
  <c r="V496" i="2"/>
  <c r="N549" i="2"/>
  <c r="B163" i="29"/>
  <c r="D164" i="29"/>
  <c r="C164" i="29"/>
  <c r="E163" i="29"/>
  <c r="I341" i="2"/>
  <c r="D74" i="26"/>
  <c r="C74" i="26"/>
  <c r="E73" i="26"/>
  <c r="B73" i="26"/>
  <c r="G155" i="5"/>
  <c r="BW155" i="5" s="1"/>
  <c r="H155" i="5"/>
  <c r="BY155" i="5" s="1"/>
  <c r="BA154" i="5"/>
  <c r="CA154" i="5" s="1"/>
  <c r="H89" i="2"/>
  <c r="N550" i="2" l="1"/>
  <c r="V497" i="2"/>
  <c r="C165" i="29"/>
  <c r="E164" i="29"/>
  <c r="B164" i="29"/>
  <c r="D165" i="29"/>
  <c r="I342" i="2"/>
  <c r="D75" i="26"/>
  <c r="C75" i="26"/>
  <c r="E74" i="26"/>
  <c r="B74" i="26"/>
  <c r="G156" i="5"/>
  <c r="BW156" i="5" s="1"/>
  <c r="BA155" i="5"/>
  <c r="CA155" i="5" s="1"/>
  <c r="H156" i="5"/>
  <c r="BY156" i="5" s="1"/>
  <c r="H90" i="2"/>
  <c r="N551" i="2" l="1"/>
  <c r="V498" i="2"/>
  <c r="B165" i="29"/>
  <c r="D166" i="29"/>
  <c r="C166" i="29"/>
  <c r="E165" i="29"/>
  <c r="I343" i="2"/>
  <c r="D76" i="26"/>
  <c r="E75" i="26"/>
  <c r="B75" i="26"/>
  <c r="C76" i="26"/>
  <c r="G157" i="5"/>
  <c r="BW157" i="5" s="1"/>
  <c r="BA156" i="5"/>
  <c r="CA156" i="5" s="1"/>
  <c r="H157" i="5"/>
  <c r="BY157" i="5" s="1"/>
  <c r="H91" i="2"/>
  <c r="V499" i="2" l="1"/>
  <c r="N552" i="2"/>
  <c r="C167" i="29"/>
  <c r="E166" i="29"/>
  <c r="D167" i="29"/>
  <c r="B166" i="29"/>
  <c r="I344" i="2"/>
  <c r="D77" i="26"/>
  <c r="C77" i="26"/>
  <c r="AB77" i="26" s="1"/>
  <c r="E76" i="26"/>
  <c r="B76" i="26"/>
  <c r="BA157" i="5"/>
  <c r="CA157" i="5" s="1"/>
  <c r="H158" i="5"/>
  <c r="G158" i="5"/>
  <c r="BW158" i="5" s="1"/>
  <c r="H92" i="2"/>
  <c r="BY158" i="5" l="1"/>
  <c r="N553" i="2"/>
  <c r="V500" i="2"/>
  <c r="B167" i="29"/>
  <c r="D168" i="29"/>
  <c r="C168" i="29"/>
  <c r="E167" i="29"/>
  <c r="I345" i="2"/>
  <c r="D78" i="26"/>
  <c r="C78" i="26"/>
  <c r="AB78" i="26" s="1"/>
  <c r="E77" i="26"/>
  <c r="AC77" i="26" s="1"/>
  <c r="B77" i="26"/>
  <c r="G159" i="5"/>
  <c r="BW159" i="5" s="1"/>
  <c r="BA158" i="5"/>
  <c r="CA158" i="5" s="1"/>
  <c r="H159" i="5"/>
  <c r="H93" i="2"/>
  <c r="BY159" i="5" l="1"/>
  <c r="V501" i="2"/>
  <c r="N554" i="2"/>
  <c r="C169" i="29"/>
  <c r="E168" i="29"/>
  <c r="D169" i="29"/>
  <c r="B168" i="29"/>
  <c r="I346" i="2"/>
  <c r="E78" i="26"/>
  <c r="AC78" i="26" s="1"/>
  <c r="C79" i="26"/>
  <c r="AB79" i="26" s="1"/>
  <c r="B78" i="26"/>
  <c r="D79" i="26"/>
  <c r="G160" i="5"/>
  <c r="BW160" i="5" s="1"/>
  <c r="BA159" i="5"/>
  <c r="CA159" i="5" s="1"/>
  <c r="H160" i="5"/>
  <c r="H94" i="2"/>
  <c r="BY160" i="5" l="1"/>
  <c r="V502" i="2"/>
  <c r="N555" i="2"/>
  <c r="B169" i="29"/>
  <c r="D170" i="29"/>
  <c r="C170" i="29"/>
  <c r="E169" i="29"/>
  <c r="I347" i="2"/>
  <c r="E79" i="26"/>
  <c r="AC79" i="26" s="1"/>
  <c r="D80" i="26"/>
  <c r="C80" i="26"/>
  <c r="AB80" i="26" s="1"/>
  <c r="B79" i="26"/>
  <c r="G161" i="5"/>
  <c r="BW161" i="5" s="1"/>
  <c r="BA160" i="5"/>
  <c r="CA160" i="5" s="1"/>
  <c r="H161" i="5"/>
  <c r="H95" i="2"/>
  <c r="BY161" i="5" l="1"/>
  <c r="N556" i="2"/>
  <c r="V503" i="2"/>
  <c r="C171" i="29"/>
  <c r="E170" i="29"/>
  <c r="D171" i="29"/>
  <c r="B170" i="29"/>
  <c r="I348" i="2"/>
  <c r="D81" i="26"/>
  <c r="C81" i="26"/>
  <c r="AB81" i="26" s="1"/>
  <c r="E80" i="26"/>
  <c r="AC80" i="26" s="1"/>
  <c r="B80" i="26"/>
  <c r="G162" i="5"/>
  <c r="BW162" i="5" s="1"/>
  <c r="BA161" i="5"/>
  <c r="CA161" i="5" s="1"/>
  <c r="H162" i="5"/>
  <c r="H96" i="2"/>
  <c r="BY162" i="5" l="1"/>
  <c r="V504" i="2"/>
  <c r="N557" i="2"/>
  <c r="B171" i="29"/>
  <c r="D172" i="29"/>
  <c r="C172" i="29"/>
  <c r="E171" i="29"/>
  <c r="I349" i="2"/>
  <c r="E81" i="26"/>
  <c r="AC81" i="26" s="1"/>
  <c r="C82" i="26"/>
  <c r="AB82" i="26" s="1"/>
  <c r="B81" i="26"/>
  <c r="D82" i="26"/>
  <c r="G163" i="5"/>
  <c r="BW163" i="5" s="1"/>
  <c r="BA162" i="5"/>
  <c r="CA162" i="5" s="1"/>
  <c r="H163" i="5"/>
  <c r="H97" i="2"/>
  <c r="BY163" i="5" l="1"/>
  <c r="N558" i="2"/>
  <c r="V505" i="2"/>
  <c r="C173" i="29"/>
  <c r="E172" i="29"/>
  <c r="D173" i="29"/>
  <c r="B172" i="29"/>
  <c r="I350" i="2"/>
  <c r="B82" i="26"/>
  <c r="C83" i="26"/>
  <c r="AB83" i="26" s="1"/>
  <c r="E82" i="26"/>
  <c r="AC82" i="26" s="1"/>
  <c r="D83" i="26"/>
  <c r="BA163" i="5"/>
  <c r="CA163" i="5" s="1"/>
  <c r="H164" i="5"/>
  <c r="BY164" i="5" s="1"/>
  <c r="G164" i="5"/>
  <c r="BW164" i="5" s="1"/>
  <c r="H98" i="2"/>
  <c r="V506" i="2" l="1"/>
  <c r="N559" i="2"/>
  <c r="B173" i="29"/>
  <c r="D174" i="29"/>
  <c r="C174" i="29"/>
  <c r="E173" i="29"/>
  <c r="I351" i="2"/>
  <c r="B83" i="26"/>
  <c r="C84" i="26"/>
  <c r="AB84" i="26" s="1"/>
  <c r="D84" i="26"/>
  <c r="E83" i="26"/>
  <c r="AC83" i="26" s="1"/>
  <c r="G165" i="5"/>
  <c r="BW165" i="5" s="1"/>
  <c r="BA164" i="5"/>
  <c r="CA164" i="5" s="1"/>
  <c r="H165" i="5"/>
  <c r="BY165" i="5" s="1"/>
  <c r="H99" i="2"/>
  <c r="N560" i="2" l="1"/>
  <c r="V507" i="2"/>
  <c r="C175" i="29"/>
  <c r="E174" i="29"/>
  <c r="D175" i="29"/>
  <c r="B174" i="29"/>
  <c r="I352" i="2"/>
  <c r="E84" i="26"/>
  <c r="AC84" i="26" s="1"/>
  <c r="D85" i="26"/>
  <c r="B84" i="26"/>
  <c r="C85" i="26"/>
  <c r="AB85" i="26" s="1"/>
  <c r="G166" i="5"/>
  <c r="BW166" i="5" s="1"/>
  <c r="BA165" i="5"/>
  <c r="CA165" i="5" s="1"/>
  <c r="H166" i="5"/>
  <c r="BY166" i="5" s="1"/>
  <c r="H100" i="2"/>
  <c r="V508" i="2" l="1"/>
  <c r="N561" i="2"/>
  <c r="B175" i="29"/>
  <c r="D176" i="29"/>
  <c r="C176" i="29"/>
  <c r="E175" i="29"/>
  <c r="I353" i="2"/>
  <c r="D86" i="26"/>
  <c r="C86" i="26"/>
  <c r="AB86" i="26" s="1"/>
  <c r="B85" i="26"/>
  <c r="E85" i="26"/>
  <c r="AC85" i="26" s="1"/>
  <c r="BA166" i="5"/>
  <c r="CA166" i="5" s="1"/>
  <c r="H167" i="5"/>
  <c r="G167" i="5"/>
  <c r="BW167" i="5" s="1"/>
  <c r="H101" i="2"/>
  <c r="BY167" i="5" l="1"/>
  <c r="V509" i="2"/>
  <c r="N562" i="2"/>
  <c r="C177" i="29"/>
  <c r="E176" i="29"/>
  <c r="D177" i="29"/>
  <c r="B176" i="29"/>
  <c r="I354" i="2"/>
  <c r="E86" i="26"/>
  <c r="AC86" i="26" s="1"/>
  <c r="D87" i="26"/>
  <c r="C87" i="26"/>
  <c r="AB87" i="26" s="1"/>
  <c r="B86" i="26"/>
  <c r="BA167" i="5"/>
  <c r="CA167" i="5" s="1"/>
  <c r="H168" i="5"/>
  <c r="BY168" i="5" s="1"/>
  <c r="G168" i="5"/>
  <c r="BW168" i="5" s="1"/>
  <c r="H102" i="2"/>
  <c r="N563" i="2" l="1"/>
  <c r="V510" i="2"/>
  <c r="B177" i="29"/>
  <c r="D178" i="29"/>
  <c r="C178" i="29"/>
  <c r="E177" i="29"/>
  <c r="I355" i="2"/>
  <c r="C88" i="26"/>
  <c r="AB88" i="26" s="1"/>
  <c r="E87" i="26"/>
  <c r="AC87" i="26" s="1"/>
  <c r="B87" i="26"/>
  <c r="D88" i="26"/>
  <c r="G169" i="5"/>
  <c r="BW169" i="5" s="1"/>
  <c r="BA168" i="5"/>
  <c r="CA168" i="5" s="1"/>
  <c r="H169" i="5"/>
  <c r="BY169" i="5" s="1"/>
  <c r="H103" i="2"/>
  <c r="V511" i="2" l="1"/>
  <c r="N564" i="2"/>
  <c r="C179" i="29"/>
  <c r="E178" i="29"/>
  <c r="D179" i="29"/>
  <c r="B178" i="29"/>
  <c r="I356" i="2"/>
  <c r="C89" i="26"/>
  <c r="AB89" i="26" s="1"/>
  <c r="B88" i="26"/>
  <c r="D89" i="26"/>
  <c r="E88" i="26"/>
  <c r="AC88" i="26" s="1"/>
  <c r="BA169" i="5"/>
  <c r="CA169" i="5" s="1"/>
  <c r="H170" i="5"/>
  <c r="G170" i="5"/>
  <c r="BW170" i="5" s="1"/>
  <c r="H104" i="2"/>
  <c r="BY170" i="5" l="1"/>
  <c r="N565" i="2"/>
  <c r="V512" i="2"/>
  <c r="B179" i="29"/>
  <c r="D180" i="29"/>
  <c r="C180" i="29"/>
  <c r="E179" i="29"/>
  <c r="I357" i="2"/>
  <c r="D90" i="26"/>
  <c r="C90" i="26"/>
  <c r="AB90" i="26" s="1"/>
  <c r="B89" i="26"/>
  <c r="E89" i="26"/>
  <c r="AC89" i="26" s="1"/>
  <c r="G171" i="5"/>
  <c r="BW171" i="5" s="1"/>
  <c r="BA170" i="5"/>
  <c r="CA170" i="5" s="1"/>
  <c r="H171" i="5"/>
  <c r="H105" i="2"/>
  <c r="BY171" i="5" l="1"/>
  <c r="V513" i="2"/>
  <c r="N566" i="2"/>
  <c r="C181" i="29"/>
  <c r="E180" i="29"/>
  <c r="B180" i="29"/>
  <c r="D181" i="29"/>
  <c r="I358" i="2"/>
  <c r="D91" i="26"/>
  <c r="C91" i="26"/>
  <c r="AB91" i="26" s="1"/>
  <c r="E90" i="26"/>
  <c r="AC90" i="26" s="1"/>
  <c r="B90" i="26"/>
  <c r="BA171" i="5"/>
  <c r="CA171" i="5" s="1"/>
  <c r="H172" i="5"/>
  <c r="BY172" i="5" s="1"/>
  <c r="G172" i="5"/>
  <c r="BW172" i="5" s="1"/>
  <c r="H106" i="2"/>
  <c r="N567" i="2" l="1"/>
  <c r="V514" i="2"/>
  <c r="B181" i="29"/>
  <c r="D182" i="29"/>
  <c r="C182" i="29"/>
  <c r="E181" i="29"/>
  <c r="I359" i="2"/>
  <c r="E91" i="26"/>
  <c r="AC91" i="26" s="1"/>
  <c r="C92" i="26"/>
  <c r="AB92" i="26" s="1"/>
  <c r="B91" i="26"/>
  <c r="D92" i="26"/>
  <c r="G173" i="5"/>
  <c r="BW173" i="5" s="1"/>
  <c r="BA172" i="5"/>
  <c r="CA172" i="5" s="1"/>
  <c r="H173" i="5"/>
  <c r="BY173" i="5" s="1"/>
  <c r="H107" i="2"/>
  <c r="V515" i="2" l="1"/>
  <c r="N568" i="2"/>
  <c r="C183" i="29"/>
  <c r="E182" i="29"/>
  <c r="D183" i="29"/>
  <c r="B182" i="29"/>
  <c r="I360" i="2"/>
  <c r="E92" i="26"/>
  <c r="AC92" i="26" s="1"/>
  <c r="D93" i="26"/>
  <c r="B92" i="26"/>
  <c r="C93" i="26"/>
  <c r="AB93" i="26" s="1"/>
  <c r="BA173" i="5"/>
  <c r="CA173" i="5" s="1"/>
  <c r="H174" i="5"/>
  <c r="G174" i="5"/>
  <c r="BW174" i="5" s="1"/>
  <c r="H108" i="2"/>
  <c r="BY174" i="5" l="1"/>
  <c r="N569" i="2"/>
  <c r="V516" i="2"/>
  <c r="B183" i="29"/>
  <c r="D184" i="29"/>
  <c r="C184" i="29"/>
  <c r="E183" i="29"/>
  <c r="I361" i="2"/>
  <c r="D94" i="26"/>
  <c r="C94" i="26"/>
  <c r="AB94" i="26" s="1"/>
  <c r="E93" i="26"/>
  <c r="AC93" i="26" s="1"/>
  <c r="B93" i="26"/>
  <c r="BA174" i="5"/>
  <c r="CA174" i="5" s="1"/>
  <c r="H175" i="5"/>
  <c r="BY175" i="5" s="1"/>
  <c r="G175" i="5"/>
  <c r="BW175" i="5" s="1"/>
  <c r="H109" i="2"/>
  <c r="V517" i="2" l="1"/>
  <c r="N570" i="2"/>
  <c r="C185" i="29"/>
  <c r="E184" i="29"/>
  <c r="D185" i="29"/>
  <c r="B184" i="29"/>
  <c r="I362" i="2"/>
  <c r="E94" i="26"/>
  <c r="AC94" i="26" s="1"/>
  <c r="D95" i="26"/>
  <c r="C95" i="26"/>
  <c r="AB95" i="26" s="1"/>
  <c r="B94" i="26"/>
  <c r="G176" i="5"/>
  <c r="BW176" i="5" s="1"/>
  <c r="BA175" i="5"/>
  <c r="CA175" i="5" s="1"/>
  <c r="H176" i="5"/>
  <c r="BY176" i="5" s="1"/>
  <c r="H110" i="2"/>
  <c r="N571" i="2" l="1"/>
  <c r="V518" i="2"/>
  <c r="B185" i="29"/>
  <c r="D186" i="29"/>
  <c r="C186" i="29"/>
  <c r="E185" i="29"/>
  <c r="I363" i="2"/>
  <c r="B95" i="26"/>
  <c r="C96" i="26"/>
  <c r="AB96" i="26" s="1"/>
  <c r="E95" i="26"/>
  <c r="AC95" i="26" s="1"/>
  <c r="D96" i="26"/>
  <c r="BA176" i="5"/>
  <c r="CA176" i="5" s="1"/>
  <c r="H177" i="5"/>
  <c r="G177" i="5"/>
  <c r="BW177" i="5" s="1"/>
  <c r="H111" i="2"/>
  <c r="BY177" i="5" l="1"/>
  <c r="V519" i="2"/>
  <c r="N572" i="2"/>
  <c r="C187" i="29"/>
  <c r="E186" i="29"/>
  <c r="D187" i="29"/>
  <c r="B186" i="29"/>
  <c r="I364" i="2"/>
  <c r="D97" i="26"/>
  <c r="E96" i="26"/>
  <c r="AC96" i="26" s="1"/>
  <c r="B96" i="26"/>
  <c r="C97" i="26"/>
  <c r="AB97" i="26" s="1"/>
  <c r="BA177" i="5"/>
  <c r="CA177" i="5" s="1"/>
  <c r="H178" i="5"/>
  <c r="BY178" i="5" s="1"/>
  <c r="G178" i="5"/>
  <c r="BW178" i="5" s="1"/>
  <c r="H112" i="2"/>
  <c r="V520" i="2" l="1"/>
  <c r="N573" i="2"/>
  <c r="B187" i="29"/>
  <c r="D188" i="29"/>
  <c r="C188" i="29"/>
  <c r="E187" i="29"/>
  <c r="I365" i="2"/>
  <c r="B97" i="26"/>
  <c r="D98" i="26"/>
  <c r="C98" i="26"/>
  <c r="AB98" i="26" s="1"/>
  <c r="E97" i="26"/>
  <c r="AC97" i="26" s="1"/>
  <c r="BA178" i="5"/>
  <c r="CA178" i="5" s="1"/>
  <c r="H179" i="5"/>
  <c r="G179" i="5"/>
  <c r="BW179" i="5" s="1"/>
  <c r="H113" i="2"/>
  <c r="BY179" i="5" l="1"/>
  <c r="N574" i="2"/>
  <c r="V521" i="2"/>
  <c r="C189" i="29"/>
  <c r="E188" i="29"/>
  <c r="D189" i="29"/>
  <c r="B188" i="29"/>
  <c r="I366" i="2"/>
  <c r="B98" i="26"/>
  <c r="D99" i="26"/>
  <c r="C99" i="26"/>
  <c r="AB99" i="26" s="1"/>
  <c r="E98" i="26"/>
  <c r="AC98" i="26" s="1"/>
  <c r="G180" i="5"/>
  <c r="BW180" i="5" s="1"/>
  <c r="BA179" i="5"/>
  <c r="CA179" i="5" s="1"/>
  <c r="H180" i="5"/>
  <c r="H114" i="2"/>
  <c r="BY180" i="5" l="1"/>
  <c r="V522" i="2"/>
  <c r="N575" i="2"/>
  <c r="B189" i="29"/>
  <c r="D190" i="29"/>
  <c r="C190" i="29"/>
  <c r="E189" i="29"/>
  <c r="I367" i="2"/>
  <c r="C100" i="26"/>
  <c r="AB100" i="26" s="1"/>
  <c r="B99" i="26"/>
  <c r="E99" i="26"/>
  <c r="AC99" i="26" s="1"/>
  <c r="D100" i="26"/>
  <c r="BA180" i="5"/>
  <c r="CA180" i="5" s="1"/>
  <c r="H181" i="5"/>
  <c r="BY181" i="5" s="1"/>
  <c r="G181" i="5"/>
  <c r="BW181" i="5" s="1"/>
  <c r="H115" i="2"/>
  <c r="V523" i="2" l="1"/>
  <c r="N576" i="2"/>
  <c r="C191" i="29"/>
  <c r="E190" i="29"/>
  <c r="D191" i="29"/>
  <c r="B190" i="29"/>
  <c r="I368" i="2"/>
  <c r="D101" i="26"/>
  <c r="C101" i="26"/>
  <c r="AB101" i="26" s="1"/>
  <c r="B100" i="26"/>
  <c r="E100" i="26"/>
  <c r="AC100" i="26" s="1"/>
  <c r="G182" i="5"/>
  <c r="BW182" i="5" s="1"/>
  <c r="BA181" i="5"/>
  <c r="CA181" i="5" s="1"/>
  <c r="H182" i="5"/>
  <c r="BY182" i="5" s="1"/>
  <c r="H116" i="2"/>
  <c r="N577" i="2" l="1"/>
  <c r="N578" i="2" s="1"/>
  <c r="V524" i="2"/>
  <c r="B191" i="29"/>
  <c r="D192" i="29"/>
  <c r="C192" i="29"/>
  <c r="E191" i="29"/>
  <c r="I369" i="2"/>
  <c r="D102" i="26"/>
  <c r="C102" i="26"/>
  <c r="AB102" i="26" s="1"/>
  <c r="E101" i="26"/>
  <c r="AC101" i="26" s="1"/>
  <c r="B101" i="26"/>
  <c r="G183" i="5"/>
  <c r="BW183" i="5" s="1"/>
  <c r="BA182" i="5"/>
  <c r="CA182" i="5" s="1"/>
  <c r="H183" i="5"/>
  <c r="BY183" i="5" s="1"/>
  <c r="H117" i="2"/>
  <c r="N579" i="2" l="1"/>
  <c r="V525" i="2"/>
  <c r="I373" i="2"/>
  <c r="C193" i="29"/>
  <c r="E192" i="29"/>
  <c r="D193" i="29"/>
  <c r="B192" i="29"/>
  <c r="I370" i="2"/>
  <c r="E102" i="26"/>
  <c r="AC102" i="26" s="1"/>
  <c r="C103" i="26"/>
  <c r="AB103" i="26" s="1"/>
  <c r="B102" i="26"/>
  <c r="D103" i="26"/>
  <c r="G184" i="5"/>
  <c r="BW184" i="5" s="1"/>
  <c r="BA183" i="5"/>
  <c r="CA183" i="5" s="1"/>
  <c r="H184" i="5"/>
  <c r="H118" i="2"/>
  <c r="BY184" i="5" l="1"/>
  <c r="V526" i="2"/>
  <c r="N580" i="2"/>
  <c r="I374" i="2"/>
  <c r="B193" i="29"/>
  <c r="D194" i="29"/>
  <c r="C194" i="29"/>
  <c r="E193" i="29"/>
  <c r="E103" i="26"/>
  <c r="AC103" i="26" s="1"/>
  <c r="D104" i="26"/>
  <c r="C104" i="26"/>
  <c r="AB104" i="26" s="1"/>
  <c r="B103" i="26"/>
  <c r="G185" i="5"/>
  <c r="BW185" i="5" s="1"/>
  <c r="BA184" i="5"/>
  <c r="CA184" i="5" s="1"/>
  <c r="H185" i="5"/>
  <c r="H119" i="2"/>
  <c r="BY185" i="5" l="1"/>
  <c r="N581" i="2"/>
  <c r="V527" i="2"/>
  <c r="I375" i="2"/>
  <c r="C195" i="29"/>
  <c r="E194" i="29"/>
  <c r="D195" i="29"/>
  <c r="B194" i="29"/>
  <c r="D105" i="26"/>
  <c r="C105" i="26"/>
  <c r="AB105" i="26" s="1"/>
  <c r="E104" i="26"/>
  <c r="AC104" i="26" s="1"/>
  <c r="B104" i="26"/>
  <c r="G186" i="5"/>
  <c r="BW186" i="5" s="1"/>
  <c r="BA185" i="5"/>
  <c r="CA185" i="5" s="1"/>
  <c r="H186" i="5"/>
  <c r="H120" i="2"/>
  <c r="BY186" i="5" l="1"/>
  <c r="V528" i="2"/>
  <c r="N582" i="2"/>
  <c r="I376" i="2"/>
  <c r="B195" i="29"/>
  <c r="D196" i="29"/>
  <c r="C196" i="29"/>
  <c r="E195" i="29"/>
  <c r="E105" i="26"/>
  <c r="AC105" i="26" s="1"/>
  <c r="C106" i="26"/>
  <c r="AB106" i="26" s="1"/>
  <c r="B105" i="26"/>
  <c r="D106" i="26"/>
  <c r="G187" i="5"/>
  <c r="BW187" i="5" s="1"/>
  <c r="BA186" i="5"/>
  <c r="CA186" i="5" s="1"/>
  <c r="H187" i="5"/>
  <c r="H121" i="2"/>
  <c r="BY187" i="5" l="1"/>
  <c r="N583" i="2"/>
  <c r="V529" i="2"/>
  <c r="I377" i="2"/>
  <c r="C197" i="29"/>
  <c r="E196" i="29"/>
  <c r="B196" i="29"/>
  <c r="D197" i="29"/>
  <c r="B106" i="26"/>
  <c r="C107" i="26"/>
  <c r="AB107" i="26" s="1"/>
  <c r="E106" i="26"/>
  <c r="AC106" i="26" s="1"/>
  <c r="D107" i="26"/>
  <c r="BA187" i="5"/>
  <c r="CA187" i="5" s="1"/>
  <c r="H188" i="5"/>
  <c r="BY188" i="5" s="1"/>
  <c r="G188" i="5"/>
  <c r="BW188" i="5" s="1"/>
  <c r="H122" i="2"/>
  <c r="V530" i="2" l="1"/>
  <c r="N584" i="2"/>
  <c r="I378" i="2"/>
  <c r="B197" i="29"/>
  <c r="D198" i="29"/>
  <c r="C198" i="29"/>
  <c r="E197" i="29"/>
  <c r="C108" i="26"/>
  <c r="AB108" i="26" s="1"/>
  <c r="B107" i="26"/>
  <c r="E107" i="26"/>
  <c r="AC107" i="26" s="1"/>
  <c r="D108" i="26"/>
  <c r="G189" i="5"/>
  <c r="BW189" i="5" s="1"/>
  <c r="BA188" i="5"/>
  <c r="CA188" i="5" s="1"/>
  <c r="H189" i="5"/>
  <c r="BY189" i="5" s="1"/>
  <c r="H123" i="2"/>
  <c r="N585" i="2" l="1"/>
  <c r="V531" i="2"/>
  <c r="I379" i="2"/>
  <c r="C199" i="29"/>
  <c r="E198" i="29"/>
  <c r="D199" i="29"/>
  <c r="B198" i="29"/>
  <c r="D109" i="26"/>
  <c r="C109" i="26"/>
  <c r="AB109" i="26" s="1"/>
  <c r="B108" i="26"/>
  <c r="E108" i="26"/>
  <c r="AC108" i="26" s="1"/>
  <c r="BA189" i="5"/>
  <c r="CA189" i="5" s="1"/>
  <c r="H190" i="5"/>
  <c r="G190" i="5"/>
  <c r="BW190" i="5" s="1"/>
  <c r="H124" i="2"/>
  <c r="BY190" i="5" l="1"/>
  <c r="V532" i="2"/>
  <c r="N586" i="2"/>
  <c r="I380" i="2"/>
  <c r="B199" i="29"/>
  <c r="D200" i="29"/>
  <c r="C200" i="29"/>
  <c r="E199" i="29"/>
  <c r="D110" i="26"/>
  <c r="E109" i="26"/>
  <c r="AC109" i="26" s="1"/>
  <c r="B109" i="26"/>
  <c r="C110" i="26"/>
  <c r="AB110" i="26" s="1"/>
  <c r="G191" i="5"/>
  <c r="BW191" i="5" s="1"/>
  <c r="BA190" i="5"/>
  <c r="CA190" i="5" s="1"/>
  <c r="H191" i="5"/>
  <c r="H125" i="2"/>
  <c r="BY191" i="5" l="1"/>
  <c r="N587" i="2"/>
  <c r="V533" i="2"/>
  <c r="I381" i="2"/>
  <c r="D201" i="29"/>
  <c r="C201" i="29"/>
  <c r="E200" i="29"/>
  <c r="B200" i="29"/>
  <c r="D111" i="26"/>
  <c r="E110" i="26"/>
  <c r="AC110" i="26" s="1"/>
  <c r="C111" i="26"/>
  <c r="AB111" i="26" s="1"/>
  <c r="B110" i="26"/>
  <c r="BA191" i="5"/>
  <c r="CA191" i="5" s="1"/>
  <c r="H192" i="5"/>
  <c r="BY192" i="5" s="1"/>
  <c r="G192" i="5"/>
  <c r="BW192" i="5" s="1"/>
  <c r="H126" i="2"/>
  <c r="V534" i="2" l="1"/>
  <c r="N588" i="2"/>
  <c r="I382" i="2"/>
  <c r="B201" i="29"/>
  <c r="D202" i="29"/>
  <c r="E201" i="29"/>
  <c r="C202" i="29"/>
  <c r="C112" i="26"/>
  <c r="AB112" i="26" s="1"/>
  <c r="B111" i="26"/>
  <c r="D112" i="26"/>
  <c r="E111" i="26"/>
  <c r="AC111" i="26" s="1"/>
  <c r="G193" i="5"/>
  <c r="BW193" i="5" s="1"/>
  <c r="BA192" i="5"/>
  <c r="CA192" i="5" s="1"/>
  <c r="H193" i="5"/>
  <c r="BY193" i="5" s="1"/>
  <c r="H127" i="2"/>
  <c r="V535" i="2" l="1"/>
  <c r="N589" i="2"/>
  <c r="I383" i="2"/>
  <c r="D203" i="29"/>
  <c r="C203" i="29"/>
  <c r="E202" i="29"/>
  <c r="B202" i="29"/>
  <c r="E112" i="26"/>
  <c r="AC112" i="26" s="1"/>
  <c r="D113" i="26"/>
  <c r="C113" i="26"/>
  <c r="AB113" i="26" s="1"/>
  <c r="B112" i="26"/>
  <c r="G194" i="5"/>
  <c r="BW194" i="5" s="1"/>
  <c r="BA193" i="5"/>
  <c r="CA193" i="5" s="1"/>
  <c r="H194" i="5"/>
  <c r="BY194" i="5" s="1"/>
  <c r="H128" i="2"/>
  <c r="V536" i="2" l="1"/>
  <c r="N590" i="2"/>
  <c r="I384" i="2"/>
  <c r="E203" i="29"/>
  <c r="B203" i="29"/>
  <c r="D204" i="29"/>
  <c r="C204" i="29"/>
  <c r="C114" i="26"/>
  <c r="AB114" i="26" s="1"/>
  <c r="B113" i="26"/>
  <c r="E113" i="26"/>
  <c r="AC113" i="26" s="1"/>
  <c r="D114" i="26"/>
  <c r="G195" i="5"/>
  <c r="BW195" i="5" s="1"/>
  <c r="BA194" i="5"/>
  <c r="CA194" i="5" s="1"/>
  <c r="H195" i="5"/>
  <c r="BY195" i="5" s="1"/>
  <c r="H129" i="2"/>
  <c r="N591" i="2" l="1"/>
  <c r="V537" i="2"/>
  <c r="I385" i="2"/>
  <c r="D205" i="29"/>
  <c r="E204" i="29"/>
  <c r="C205" i="29"/>
  <c r="B204" i="29"/>
  <c r="E114" i="26"/>
  <c r="AC114" i="26" s="1"/>
  <c r="D115" i="26"/>
  <c r="C115" i="26"/>
  <c r="AB115" i="26" s="1"/>
  <c r="B114" i="26"/>
  <c r="G196" i="5"/>
  <c r="BW196" i="5" s="1"/>
  <c r="BA195" i="5"/>
  <c r="CA195" i="5" s="1"/>
  <c r="H196" i="5"/>
  <c r="BY196" i="5" s="1"/>
  <c r="H130" i="2"/>
  <c r="N592" i="2" l="1"/>
  <c r="V538" i="2"/>
  <c r="I386" i="2"/>
  <c r="E205" i="29"/>
  <c r="B205" i="29"/>
  <c r="D206" i="29"/>
  <c r="C206" i="29"/>
  <c r="D116" i="26"/>
  <c r="C116" i="26"/>
  <c r="AB116" i="26" s="1"/>
  <c r="E115" i="26"/>
  <c r="AC115" i="26" s="1"/>
  <c r="B115" i="26"/>
  <c r="BA196" i="5"/>
  <c r="CA196" i="5" s="1"/>
  <c r="H197" i="5"/>
  <c r="G197" i="5"/>
  <c r="BW197" i="5" s="1"/>
  <c r="H131" i="2"/>
  <c r="BY197" i="5" l="1"/>
  <c r="V539" i="2"/>
  <c r="N593" i="2"/>
  <c r="I387" i="2"/>
  <c r="D207" i="29"/>
  <c r="C207" i="29"/>
  <c r="E206" i="29"/>
  <c r="B206" i="29"/>
  <c r="C117" i="26"/>
  <c r="AB117" i="26" s="1"/>
  <c r="D117" i="26"/>
  <c r="E116" i="26"/>
  <c r="AC116" i="26" s="1"/>
  <c r="B116" i="26"/>
  <c r="BA197" i="5"/>
  <c r="CA197" i="5" s="1"/>
  <c r="H198" i="5"/>
  <c r="G198" i="5"/>
  <c r="BW198" i="5" s="1"/>
  <c r="H132" i="2"/>
  <c r="BY198" i="5" l="1"/>
  <c r="N594" i="2"/>
  <c r="V540" i="2"/>
  <c r="I388" i="2"/>
  <c r="E207" i="29"/>
  <c r="B207" i="29"/>
  <c r="D208" i="29"/>
  <c r="C208" i="29"/>
  <c r="D118" i="26"/>
  <c r="C118" i="26"/>
  <c r="AB118" i="26" s="1"/>
  <c r="B117" i="26"/>
  <c r="E117" i="26"/>
  <c r="AC117" i="26" s="1"/>
  <c r="BA198" i="5"/>
  <c r="CA198" i="5" s="1"/>
  <c r="H199" i="5"/>
  <c r="BY199" i="5" s="1"/>
  <c r="G199" i="5"/>
  <c r="BW199" i="5" s="1"/>
  <c r="H133" i="2"/>
  <c r="V541" i="2" l="1"/>
  <c r="N595" i="2"/>
  <c r="I389" i="2"/>
  <c r="D209" i="29"/>
  <c r="C209" i="29"/>
  <c r="E208" i="29"/>
  <c r="B208" i="29"/>
  <c r="D119" i="26"/>
  <c r="C119" i="26"/>
  <c r="AB119" i="26" s="1"/>
  <c r="B118" i="26"/>
  <c r="E118" i="26"/>
  <c r="AC118" i="26" s="1"/>
  <c r="BA199" i="5"/>
  <c r="CA199" i="5" s="1"/>
  <c r="H200" i="5"/>
  <c r="G200" i="5"/>
  <c r="BW200" i="5" s="1"/>
  <c r="H134" i="2"/>
  <c r="BY200" i="5" l="1"/>
  <c r="N596" i="2"/>
  <c r="V542" i="2"/>
  <c r="I390" i="2"/>
  <c r="E209" i="29"/>
  <c r="B209" i="29"/>
  <c r="D210" i="29"/>
  <c r="C210" i="29"/>
  <c r="E119" i="26"/>
  <c r="AC119" i="26" s="1"/>
  <c r="D120" i="26"/>
  <c r="B119" i="26"/>
  <c r="C120" i="26"/>
  <c r="AB120" i="26" s="1"/>
  <c r="BA200" i="5"/>
  <c r="CA200" i="5" s="1"/>
  <c r="H201" i="5"/>
  <c r="BY201" i="5" s="1"/>
  <c r="G201" i="5"/>
  <c r="BW201" i="5" s="1"/>
  <c r="H135" i="2"/>
  <c r="V543" i="2" l="1"/>
  <c r="N597" i="2"/>
  <c r="I391" i="2"/>
  <c r="D211" i="29"/>
  <c r="C211" i="29"/>
  <c r="E210" i="29"/>
  <c r="B210" i="29"/>
  <c r="E120" i="26"/>
  <c r="AC120" i="26" s="1"/>
  <c r="C121" i="26"/>
  <c r="AB121" i="26" s="1"/>
  <c r="D121" i="26"/>
  <c r="B120" i="26"/>
  <c r="BA201" i="5"/>
  <c r="CA201" i="5" s="1"/>
  <c r="H202" i="5"/>
  <c r="G202" i="5"/>
  <c r="BW202" i="5" s="1"/>
  <c r="H136" i="2"/>
  <c r="BY202" i="5" l="1"/>
  <c r="V544" i="2"/>
  <c r="N598" i="2"/>
  <c r="I392" i="2"/>
  <c r="E211" i="29"/>
  <c r="B211" i="29"/>
  <c r="D212" i="29"/>
  <c r="C212" i="29"/>
  <c r="E121" i="26"/>
  <c r="AC121" i="26" s="1"/>
  <c r="D122" i="26"/>
  <c r="C122" i="26"/>
  <c r="AB122" i="26" s="1"/>
  <c r="B121" i="26"/>
  <c r="G203" i="5"/>
  <c r="BW203" i="5" s="1"/>
  <c r="BA202" i="5"/>
  <c r="CA202" i="5" s="1"/>
  <c r="H203" i="5"/>
  <c r="H137" i="2"/>
  <c r="BY203" i="5" l="1"/>
  <c r="N599" i="2"/>
  <c r="V545" i="2"/>
  <c r="I393" i="2"/>
  <c r="D213" i="29"/>
  <c r="C213" i="29"/>
  <c r="E212" i="29"/>
  <c r="B212" i="29"/>
  <c r="C123" i="26"/>
  <c r="AB123" i="26" s="1"/>
  <c r="E122" i="26"/>
  <c r="AC122" i="26" s="1"/>
  <c r="D123" i="26"/>
  <c r="B122" i="26"/>
  <c r="BA203" i="5"/>
  <c r="CA203" i="5" s="1"/>
  <c r="H204" i="5"/>
  <c r="BY204" i="5" s="1"/>
  <c r="G204" i="5"/>
  <c r="BW204" i="5" s="1"/>
  <c r="H138" i="2"/>
  <c r="V546" i="2" l="1"/>
  <c r="N600" i="2"/>
  <c r="I394" i="2"/>
  <c r="E213" i="29"/>
  <c r="B213" i="29"/>
  <c r="D214" i="29"/>
  <c r="C214" i="29"/>
  <c r="B123" i="26"/>
  <c r="D124" i="26"/>
  <c r="C124" i="26"/>
  <c r="AB124" i="26" s="1"/>
  <c r="E123" i="26"/>
  <c r="AC123" i="26" s="1"/>
  <c r="BA204" i="5"/>
  <c r="CA204" i="5" s="1"/>
  <c r="H205" i="5"/>
  <c r="G205" i="5"/>
  <c r="BW205" i="5" s="1"/>
  <c r="H139" i="2"/>
  <c r="BY205" i="5" l="1"/>
  <c r="V547" i="2"/>
  <c r="N601" i="2"/>
  <c r="I395" i="2"/>
  <c r="D215" i="29"/>
  <c r="C215" i="29"/>
  <c r="E214" i="29"/>
  <c r="B214" i="29"/>
  <c r="C125" i="26"/>
  <c r="AB125" i="26" s="1"/>
  <c r="B124" i="26"/>
  <c r="D125" i="26"/>
  <c r="E124" i="26"/>
  <c r="AC124" i="26" s="1"/>
  <c r="BA205" i="5"/>
  <c r="CA205" i="5" s="1"/>
  <c r="H206" i="5"/>
  <c r="BY206" i="5" s="1"/>
  <c r="G206" i="5"/>
  <c r="BW206" i="5" s="1"/>
  <c r="H140" i="2"/>
  <c r="V548" i="2" l="1"/>
  <c r="N602" i="2"/>
  <c r="I396" i="2"/>
  <c r="E215" i="29"/>
  <c r="B215" i="29"/>
  <c r="D216" i="29"/>
  <c r="C216" i="29"/>
  <c r="D126" i="26"/>
  <c r="C126" i="26"/>
  <c r="AB126" i="26" s="1"/>
  <c r="B125" i="26"/>
  <c r="E125" i="26"/>
  <c r="AC125" i="26" s="1"/>
  <c r="BA206" i="5"/>
  <c r="CA206" i="5" s="1"/>
  <c r="H207" i="5"/>
  <c r="G207" i="5"/>
  <c r="BW207" i="5" s="1"/>
  <c r="H141" i="2"/>
  <c r="BY207" i="5" l="1"/>
  <c r="N603" i="2"/>
  <c r="V549" i="2"/>
  <c r="I397" i="2"/>
  <c r="D217" i="29"/>
  <c r="C217" i="29"/>
  <c r="E216" i="29"/>
  <c r="B216" i="29"/>
  <c r="D127" i="26"/>
  <c r="C127" i="26"/>
  <c r="AB127" i="26" s="1"/>
  <c r="B126" i="26"/>
  <c r="E126" i="26"/>
  <c r="AC126" i="26" s="1"/>
  <c r="G208" i="5"/>
  <c r="BW208" i="5" s="1"/>
  <c r="BA207" i="5"/>
  <c r="CA207" i="5" s="1"/>
  <c r="H208" i="5"/>
  <c r="H142" i="2"/>
  <c r="BY208" i="5" l="1"/>
  <c r="V550" i="2"/>
  <c r="N604" i="2"/>
  <c r="I398" i="2"/>
  <c r="E217" i="29"/>
  <c r="B217" i="29"/>
  <c r="D218" i="29"/>
  <c r="C218" i="29"/>
  <c r="E127" i="26"/>
  <c r="AC127" i="26" s="1"/>
  <c r="D128" i="26"/>
  <c r="B127" i="26"/>
  <c r="C128" i="26"/>
  <c r="AB128" i="26" s="1"/>
  <c r="BA208" i="5"/>
  <c r="CA208" i="5" s="1"/>
  <c r="H209" i="5"/>
  <c r="BY209" i="5" s="1"/>
  <c r="G209" i="5"/>
  <c r="BW209" i="5" s="1"/>
  <c r="H143" i="2"/>
  <c r="N605" i="2" l="1"/>
  <c r="V551" i="2"/>
  <c r="I399" i="2"/>
  <c r="D219" i="29"/>
  <c r="C219" i="29"/>
  <c r="E218" i="29"/>
  <c r="B218" i="29"/>
  <c r="E128" i="26"/>
  <c r="AC128" i="26" s="1"/>
  <c r="D129" i="26"/>
  <c r="B128" i="26"/>
  <c r="C129" i="26"/>
  <c r="AB129" i="26" s="1"/>
  <c r="G210" i="5"/>
  <c r="BW210" i="5" s="1"/>
  <c r="BA209" i="5"/>
  <c r="CA209" i="5" s="1"/>
  <c r="H210" i="5"/>
  <c r="BY210" i="5" s="1"/>
  <c r="H144" i="2"/>
  <c r="N606" i="2" l="1"/>
  <c r="V552" i="2"/>
  <c r="I400" i="2"/>
  <c r="E219" i="29"/>
  <c r="B219" i="29"/>
  <c r="D220" i="29"/>
  <c r="C220" i="29"/>
  <c r="E129" i="26"/>
  <c r="AC129" i="26" s="1"/>
  <c r="B129" i="26"/>
  <c r="D130" i="26"/>
  <c r="C130" i="26"/>
  <c r="G211" i="5"/>
  <c r="BW211" i="5" s="1"/>
  <c r="BA210" i="5"/>
  <c r="CA210" i="5" s="1"/>
  <c r="H211" i="5"/>
  <c r="BY211" i="5" s="1"/>
  <c r="H145" i="2"/>
  <c r="N607" i="2" l="1"/>
  <c r="V553" i="2"/>
  <c r="I401" i="2"/>
  <c r="D221" i="29"/>
  <c r="C221" i="29"/>
  <c r="E220" i="29"/>
  <c r="B220" i="29"/>
  <c r="AB130" i="26"/>
  <c r="C131" i="26"/>
  <c r="AB131" i="26" s="1"/>
  <c r="E130" i="26"/>
  <c r="AC130" i="26" s="1"/>
  <c r="B130" i="26"/>
  <c r="D131" i="26"/>
  <c r="G212" i="5"/>
  <c r="BW212" i="5" s="1"/>
  <c r="BA211" i="5"/>
  <c r="CA211" i="5" s="1"/>
  <c r="H212" i="5"/>
  <c r="H146" i="2"/>
  <c r="BY212" i="5" l="1"/>
  <c r="V554" i="2"/>
  <c r="N608" i="2"/>
  <c r="I402" i="2"/>
  <c r="E221" i="29"/>
  <c r="B221" i="29"/>
  <c r="D222" i="29"/>
  <c r="C222" i="29"/>
  <c r="E131" i="26"/>
  <c r="AC131" i="26" s="1"/>
  <c r="C132" i="26"/>
  <c r="AB132" i="26" s="1"/>
  <c r="D132" i="26"/>
  <c r="B131" i="26"/>
  <c r="G213" i="5"/>
  <c r="BW213" i="5" s="1"/>
  <c r="BA212" i="5"/>
  <c r="CA212" i="5" s="1"/>
  <c r="H213" i="5"/>
  <c r="H147" i="2"/>
  <c r="BY213" i="5" l="1"/>
  <c r="V555" i="2"/>
  <c r="N609" i="2"/>
  <c r="I403" i="2"/>
  <c r="D223" i="29"/>
  <c r="C223" i="29"/>
  <c r="E222" i="29"/>
  <c r="B222" i="29"/>
  <c r="E132" i="26"/>
  <c r="AC132" i="26" s="1"/>
  <c r="C133" i="26"/>
  <c r="AB133" i="26" s="1"/>
  <c r="B132" i="26"/>
  <c r="D133" i="26"/>
  <c r="G214" i="5"/>
  <c r="BW214" i="5" s="1"/>
  <c r="BA213" i="5"/>
  <c r="CA213" i="5" s="1"/>
  <c r="H214" i="5"/>
  <c r="H148" i="2"/>
  <c r="BY214" i="5" l="1"/>
  <c r="N610" i="2"/>
  <c r="V556" i="2"/>
  <c r="I404" i="2"/>
  <c r="I405" i="2" s="1"/>
  <c r="I406" i="2" s="1"/>
  <c r="E223" i="29"/>
  <c r="B223" i="29"/>
  <c r="D224" i="29"/>
  <c r="C224" i="29"/>
  <c r="C134" i="26"/>
  <c r="AB134" i="26" s="1"/>
  <c r="B133" i="26"/>
  <c r="E133" i="26"/>
  <c r="AC133" i="26" s="1"/>
  <c r="D134" i="26"/>
  <c r="BA214" i="5"/>
  <c r="CA214" i="5" s="1"/>
  <c r="H215" i="5"/>
  <c r="BY215" i="5" s="1"/>
  <c r="G215" i="5"/>
  <c r="BW215" i="5" s="1"/>
  <c r="H149" i="2"/>
  <c r="V557" i="2" l="1"/>
  <c r="I407" i="2"/>
  <c r="I408" i="2" s="1"/>
  <c r="I409" i="2" s="1"/>
  <c r="I410" i="2" s="1"/>
  <c r="N611" i="2"/>
  <c r="D225" i="29"/>
  <c r="C225" i="29"/>
  <c r="E224" i="29"/>
  <c r="B224" i="29"/>
  <c r="D135" i="26"/>
  <c r="C135" i="26"/>
  <c r="AB135" i="26" s="1"/>
  <c r="B134" i="26"/>
  <c r="E134" i="26"/>
  <c r="AC134" i="26" s="1"/>
  <c r="G216" i="5"/>
  <c r="BW216" i="5" s="1"/>
  <c r="BA215" i="5"/>
  <c r="CA215" i="5" s="1"/>
  <c r="H216" i="5"/>
  <c r="BY216" i="5" s="1"/>
  <c r="H150" i="2"/>
  <c r="N612" i="2" l="1"/>
  <c r="I411" i="2"/>
  <c r="V558" i="2"/>
  <c r="E225" i="29"/>
  <c r="B225" i="29"/>
  <c r="D226" i="29"/>
  <c r="C226" i="29"/>
  <c r="D136" i="26"/>
  <c r="C136" i="26"/>
  <c r="AB136" i="26" s="1"/>
  <c r="B135" i="26"/>
  <c r="E135" i="26"/>
  <c r="AC135" i="26" s="1"/>
  <c r="G217" i="5"/>
  <c r="BW217" i="5" s="1"/>
  <c r="BA216" i="5"/>
  <c r="CA216" i="5" s="1"/>
  <c r="H217" i="5"/>
  <c r="BY217" i="5" s="1"/>
  <c r="H151" i="2"/>
  <c r="V559" i="2" l="1"/>
  <c r="I412" i="2"/>
  <c r="I413" i="2" s="1"/>
  <c r="N613" i="2"/>
  <c r="D227" i="29"/>
  <c r="C227" i="29"/>
  <c r="E226" i="29"/>
  <c r="B226" i="29"/>
  <c r="E136" i="26"/>
  <c r="AC136" i="26" s="1"/>
  <c r="D137" i="26"/>
  <c r="C137" i="26"/>
  <c r="AB137" i="26" s="1"/>
  <c r="B136" i="26"/>
  <c r="BA217" i="5"/>
  <c r="CA217" i="5" s="1"/>
  <c r="H218" i="5"/>
  <c r="G218" i="5"/>
  <c r="BW218" i="5" s="1"/>
  <c r="H152" i="2"/>
  <c r="BY218" i="5" l="1"/>
  <c r="N614" i="2"/>
  <c r="V560" i="2"/>
  <c r="I414" i="2"/>
  <c r="E227" i="29"/>
  <c r="B227" i="29"/>
  <c r="D228" i="29"/>
  <c r="C228" i="29"/>
  <c r="E137" i="26"/>
  <c r="AC137" i="26" s="1"/>
  <c r="D138" i="26"/>
  <c r="C138" i="26"/>
  <c r="AB138" i="26" s="1"/>
  <c r="B137" i="26"/>
  <c r="BA218" i="5"/>
  <c r="CA218" i="5" s="1"/>
  <c r="H219" i="5"/>
  <c r="BY219" i="5" s="1"/>
  <c r="G219" i="5"/>
  <c r="BW219" i="5" s="1"/>
  <c r="H153" i="2"/>
  <c r="I415" i="2" l="1"/>
  <c r="V561" i="2"/>
  <c r="N615" i="2"/>
  <c r="D229" i="29"/>
  <c r="C229" i="29"/>
  <c r="E228" i="29"/>
  <c r="B228" i="29"/>
  <c r="E138" i="26"/>
  <c r="AC138" i="26" s="1"/>
  <c r="C139" i="26"/>
  <c r="AB139" i="26" s="1"/>
  <c r="B138" i="26"/>
  <c r="D139" i="26"/>
  <c r="G220" i="5"/>
  <c r="BW220" i="5" s="1"/>
  <c r="BA219" i="5"/>
  <c r="CA219" i="5" s="1"/>
  <c r="H220" i="5"/>
  <c r="BY220" i="5" s="1"/>
  <c r="H154" i="2"/>
  <c r="V562" i="2" l="1"/>
  <c r="N616" i="2"/>
  <c r="I416" i="2"/>
  <c r="E229" i="29"/>
  <c r="B229" i="29"/>
  <c r="D230" i="29"/>
  <c r="C230" i="29"/>
  <c r="E139" i="26"/>
  <c r="AC139" i="26" s="1"/>
  <c r="C140" i="26"/>
  <c r="AB140" i="26" s="1"/>
  <c r="B139" i="26"/>
  <c r="D140" i="26"/>
  <c r="BA220" i="5"/>
  <c r="CA220" i="5" s="1"/>
  <c r="H221" i="5"/>
  <c r="G221" i="5"/>
  <c r="BW221" i="5" s="1"/>
  <c r="H155" i="2"/>
  <c r="BY221" i="5" l="1"/>
  <c r="I417" i="2"/>
  <c r="N617" i="2"/>
  <c r="V563" i="2"/>
  <c r="D231" i="29"/>
  <c r="C231" i="29"/>
  <c r="E230" i="29"/>
  <c r="B230" i="29"/>
  <c r="C141" i="26"/>
  <c r="AB141" i="26" s="1"/>
  <c r="B140" i="26"/>
  <c r="D141" i="26"/>
  <c r="E140" i="26"/>
  <c r="AC140" i="26" s="1"/>
  <c r="BA221" i="5"/>
  <c r="CA221" i="5" s="1"/>
  <c r="H222" i="5"/>
  <c r="BY222" i="5" s="1"/>
  <c r="G222" i="5"/>
  <c r="BW222" i="5" s="1"/>
  <c r="H156" i="2"/>
  <c r="N618" i="2" l="1"/>
  <c r="V564" i="2"/>
  <c r="I418" i="2"/>
  <c r="E231" i="29"/>
  <c r="B231" i="29"/>
  <c r="D232" i="29"/>
  <c r="C232" i="29"/>
  <c r="C142" i="26"/>
  <c r="AB142" i="26" s="1"/>
  <c r="B141" i="26"/>
  <c r="D142" i="26"/>
  <c r="E141" i="26"/>
  <c r="AC141" i="26" s="1"/>
  <c r="G223" i="5"/>
  <c r="BW223" i="5" s="1"/>
  <c r="BA222" i="5"/>
  <c r="CA222" i="5" s="1"/>
  <c r="H223" i="5"/>
  <c r="BY223" i="5" s="1"/>
  <c r="H157" i="2"/>
  <c r="N619" i="2" l="1"/>
  <c r="I419" i="2"/>
  <c r="V565" i="2"/>
  <c r="D233" i="29"/>
  <c r="C233" i="29"/>
  <c r="E232" i="29"/>
  <c r="B232" i="29"/>
  <c r="D143" i="26"/>
  <c r="C143" i="26"/>
  <c r="AB143" i="26" s="1"/>
  <c r="B142" i="26"/>
  <c r="E142" i="26"/>
  <c r="AC142" i="26" s="1"/>
  <c r="G224" i="5"/>
  <c r="BW224" i="5" s="1"/>
  <c r="BA223" i="5"/>
  <c r="CA223" i="5" s="1"/>
  <c r="H224" i="5"/>
  <c r="BY224" i="5" s="1"/>
  <c r="H158" i="2"/>
  <c r="V566" i="2" l="1"/>
  <c r="I420" i="2"/>
  <c r="N620" i="2"/>
  <c r="E233" i="29"/>
  <c r="B233" i="29"/>
  <c r="D234" i="29"/>
  <c r="C234" i="29"/>
  <c r="D144" i="26"/>
  <c r="C144" i="26"/>
  <c r="AB144" i="26" s="1"/>
  <c r="B143" i="26"/>
  <c r="E143" i="26"/>
  <c r="AC143" i="26" s="1"/>
  <c r="BA224" i="5"/>
  <c r="CA224" i="5" s="1"/>
  <c r="H225" i="5"/>
  <c r="G225" i="5"/>
  <c r="BW225" i="5" s="1"/>
  <c r="H159" i="2"/>
  <c r="BY225" i="5" l="1"/>
  <c r="N621" i="2"/>
  <c r="V567" i="2"/>
  <c r="I421" i="2"/>
  <c r="D235" i="29"/>
  <c r="C235" i="29"/>
  <c r="E234" i="29"/>
  <c r="B234" i="29"/>
  <c r="E144" i="26"/>
  <c r="AC144" i="26" s="1"/>
  <c r="D145" i="26"/>
  <c r="C145" i="26"/>
  <c r="AB145" i="26" s="1"/>
  <c r="B144" i="26"/>
  <c r="BA225" i="5"/>
  <c r="CA225" i="5" s="1"/>
  <c r="H226" i="5"/>
  <c r="BY226" i="5" s="1"/>
  <c r="G226" i="5"/>
  <c r="BW226" i="5" s="1"/>
  <c r="H160" i="2"/>
  <c r="I422" i="2" l="1"/>
  <c r="N622" i="2"/>
  <c r="V568" i="2"/>
  <c r="E235" i="29"/>
  <c r="B235" i="29"/>
  <c r="D236" i="29"/>
  <c r="C236" i="29"/>
  <c r="E145" i="26"/>
  <c r="AC145" i="26" s="1"/>
  <c r="D146" i="26"/>
  <c r="C146" i="26"/>
  <c r="AB146" i="26" s="1"/>
  <c r="B145" i="26"/>
  <c r="BA226" i="5"/>
  <c r="CA226" i="5" s="1"/>
  <c r="H227" i="5"/>
  <c r="G227" i="5"/>
  <c r="BW227" i="5" s="1"/>
  <c r="H161" i="2"/>
  <c r="BY227" i="5" l="1"/>
  <c r="I423" i="2"/>
  <c r="I424" i="2" s="1"/>
  <c r="V569" i="2"/>
  <c r="N623" i="2"/>
  <c r="D237" i="29"/>
  <c r="C237" i="29"/>
  <c r="E236" i="29"/>
  <c r="B236" i="29"/>
  <c r="E146" i="26"/>
  <c r="AC146" i="26" s="1"/>
  <c r="D147" i="26"/>
  <c r="C147" i="26"/>
  <c r="AB147" i="26" s="1"/>
  <c r="B146" i="26"/>
  <c r="G228" i="5"/>
  <c r="BW228" i="5" s="1"/>
  <c r="BA227" i="5"/>
  <c r="CA227" i="5" s="1"/>
  <c r="H228" i="5"/>
  <c r="H162" i="2"/>
  <c r="BY228" i="5" l="1"/>
  <c r="V570" i="2"/>
  <c r="N624" i="2"/>
  <c r="I425" i="2"/>
  <c r="E237" i="29"/>
  <c r="B237" i="29"/>
  <c r="D238" i="29"/>
  <c r="C238" i="29"/>
  <c r="E147" i="26"/>
  <c r="AC147" i="26" s="1"/>
  <c r="D148" i="26"/>
  <c r="C148" i="26"/>
  <c r="AB148" i="26" s="1"/>
  <c r="B147" i="26"/>
  <c r="BA228" i="5"/>
  <c r="CA228" i="5" s="1"/>
  <c r="H229" i="5"/>
  <c r="BY229" i="5" s="1"/>
  <c r="G229" i="5"/>
  <c r="BW229" i="5" s="1"/>
  <c r="H163" i="2"/>
  <c r="N625" i="2" l="1"/>
  <c r="V571" i="2"/>
  <c r="I426" i="2"/>
  <c r="D239" i="29"/>
  <c r="C239" i="29"/>
  <c r="E238" i="29"/>
  <c r="B238" i="29"/>
  <c r="E148" i="26"/>
  <c r="AC148" i="26" s="1"/>
  <c r="C149" i="26"/>
  <c r="AB149" i="26" s="1"/>
  <c r="B148" i="26"/>
  <c r="D149" i="26"/>
  <c r="G230" i="5"/>
  <c r="BW230" i="5" s="1"/>
  <c r="BA229" i="5"/>
  <c r="CA229" i="5" s="1"/>
  <c r="H230" i="5"/>
  <c r="BY230" i="5" s="1"/>
  <c r="H164" i="2"/>
  <c r="V572" i="2" l="1"/>
  <c r="N626" i="2"/>
  <c r="I427" i="2"/>
  <c r="E239" i="29"/>
  <c r="B239" i="29"/>
  <c r="D240" i="29"/>
  <c r="C240" i="29"/>
  <c r="C150" i="26"/>
  <c r="AB150" i="26" s="1"/>
  <c r="B149" i="26"/>
  <c r="D150" i="26"/>
  <c r="E149" i="26"/>
  <c r="AC149" i="26" s="1"/>
  <c r="BA230" i="5"/>
  <c r="CA230" i="5" s="1"/>
  <c r="H231" i="5"/>
  <c r="G231" i="5"/>
  <c r="BW231" i="5" s="1"/>
  <c r="H165" i="2"/>
  <c r="BY231" i="5" l="1"/>
  <c r="N627" i="2"/>
  <c r="V573" i="2"/>
  <c r="I428" i="2"/>
  <c r="I429" i="2" s="1"/>
  <c r="I430" i="2" s="1"/>
  <c r="I431" i="2" s="1"/>
  <c r="I432" i="2" s="1"/>
  <c r="D241" i="29"/>
  <c r="C241" i="29"/>
  <c r="E240" i="29"/>
  <c r="B240" i="29"/>
  <c r="D151" i="26"/>
  <c r="C151" i="26"/>
  <c r="AB151" i="26" s="1"/>
  <c r="B150" i="26"/>
  <c r="E150" i="26"/>
  <c r="AC150" i="26" s="1"/>
  <c r="BA231" i="5"/>
  <c r="CA231" i="5" s="1"/>
  <c r="H232" i="5"/>
  <c r="G232" i="5"/>
  <c r="BW232" i="5" s="1"/>
  <c r="H166" i="2"/>
  <c r="BY232" i="5" l="1"/>
  <c r="V574" i="2"/>
  <c r="I433" i="2"/>
  <c r="N628" i="2"/>
  <c r="E241" i="29"/>
  <c r="B241" i="29"/>
  <c r="D242" i="29"/>
  <c r="C242" i="29"/>
  <c r="D152" i="26"/>
  <c r="C152" i="26"/>
  <c r="AB152" i="26" s="1"/>
  <c r="B151" i="26"/>
  <c r="E151" i="26"/>
  <c r="AC151" i="26" s="1"/>
  <c r="BA232" i="5"/>
  <c r="CA232" i="5" s="1"/>
  <c r="H233" i="5"/>
  <c r="G233" i="5"/>
  <c r="BW233" i="5" s="1"/>
  <c r="H167" i="2"/>
  <c r="BY233" i="5" l="1"/>
  <c r="I434" i="2"/>
  <c r="N629" i="2"/>
  <c r="V575" i="2"/>
  <c r="D243" i="29"/>
  <c r="C243" i="29"/>
  <c r="E242" i="29"/>
  <c r="B242" i="29"/>
  <c r="E152" i="26"/>
  <c r="AC152" i="26" s="1"/>
  <c r="D153" i="26"/>
  <c r="C153" i="26"/>
  <c r="AB153" i="26" s="1"/>
  <c r="B152" i="26"/>
  <c r="BA233" i="5"/>
  <c r="CA233" i="5" s="1"/>
  <c r="H234" i="5"/>
  <c r="BY234" i="5" s="1"/>
  <c r="G234" i="5"/>
  <c r="BW234" i="5" s="1"/>
  <c r="H168" i="2"/>
  <c r="V576" i="2" l="1"/>
  <c r="N630" i="2"/>
  <c r="I435" i="2"/>
  <c r="E243" i="29"/>
  <c r="B243" i="29"/>
  <c r="D244" i="29"/>
  <c r="C244" i="29"/>
  <c r="E153" i="26"/>
  <c r="AC153" i="26" s="1"/>
  <c r="D154" i="26"/>
  <c r="C154" i="26"/>
  <c r="AB154" i="26" s="1"/>
  <c r="B153" i="26"/>
  <c r="G235" i="5"/>
  <c r="BW235" i="5" s="1"/>
  <c r="BA234" i="5"/>
  <c r="CA234" i="5" s="1"/>
  <c r="H235" i="5"/>
  <c r="BY235" i="5" s="1"/>
  <c r="H169" i="2"/>
  <c r="I436" i="2" l="1"/>
  <c r="N631" i="2"/>
  <c r="V577" i="2"/>
  <c r="D245" i="29"/>
  <c r="C245" i="29"/>
  <c r="E244" i="29"/>
  <c r="B244" i="29"/>
  <c r="E154" i="26"/>
  <c r="AC154" i="26" s="1"/>
  <c r="D155" i="26"/>
  <c r="C155" i="26"/>
  <c r="AB155" i="26" s="1"/>
  <c r="B154" i="26"/>
  <c r="G236" i="5"/>
  <c r="BW236" i="5" s="1"/>
  <c r="BA235" i="5"/>
  <c r="CA235" i="5" s="1"/>
  <c r="H236" i="5"/>
  <c r="BY236" i="5" s="1"/>
  <c r="H170" i="2"/>
  <c r="V578" i="2" l="1"/>
  <c r="N632" i="2"/>
  <c r="I437" i="2"/>
  <c r="E245" i="29"/>
  <c r="B245" i="29"/>
  <c r="D246" i="29"/>
  <c r="C246" i="29"/>
  <c r="E155" i="26"/>
  <c r="AC155" i="26" s="1"/>
  <c r="B155" i="26"/>
  <c r="D156" i="26"/>
  <c r="C156" i="26"/>
  <c r="AB156" i="26" s="1"/>
  <c r="G237" i="5"/>
  <c r="BW237" i="5" s="1"/>
  <c r="BA236" i="5"/>
  <c r="CA236" i="5" s="1"/>
  <c r="H237" i="5"/>
  <c r="BY237" i="5" s="1"/>
  <c r="H171" i="2"/>
  <c r="I438" i="2" l="1"/>
  <c r="I439" i="2" s="1"/>
  <c r="I440" i="2" s="1"/>
  <c r="I441" i="2" s="1"/>
  <c r="I442" i="2" s="1"/>
  <c r="V579" i="2"/>
  <c r="N633" i="2"/>
  <c r="D247" i="29"/>
  <c r="C247" i="29"/>
  <c r="E246" i="29"/>
  <c r="B246" i="29"/>
  <c r="E156" i="26"/>
  <c r="AC156" i="26" s="1"/>
  <c r="D157" i="26"/>
  <c r="B156" i="26"/>
  <c r="C157" i="26"/>
  <c r="AB157" i="26" s="1"/>
  <c r="BA237" i="5"/>
  <c r="CA237" i="5" s="1"/>
  <c r="H238" i="5"/>
  <c r="G238" i="5"/>
  <c r="BW238" i="5" s="1"/>
  <c r="H172" i="2"/>
  <c r="BY238" i="5" l="1"/>
  <c r="N634" i="2"/>
  <c r="V580" i="2"/>
  <c r="I443" i="2"/>
  <c r="E247" i="29"/>
  <c r="B247" i="29"/>
  <c r="D248" i="29"/>
  <c r="C248" i="29"/>
  <c r="C158" i="26"/>
  <c r="AB158" i="26" s="1"/>
  <c r="B157" i="26"/>
  <c r="D158" i="26"/>
  <c r="E157" i="26"/>
  <c r="AC157" i="26" s="1"/>
  <c r="BA238" i="5"/>
  <c r="CA238" i="5" s="1"/>
  <c r="H239" i="5"/>
  <c r="G239" i="5"/>
  <c r="BW239" i="5" s="1"/>
  <c r="H173" i="2"/>
  <c r="BY239" i="5" l="1"/>
  <c r="V581" i="2"/>
  <c r="I444" i="2"/>
  <c r="N635" i="2"/>
  <c r="D249" i="29"/>
  <c r="C249" i="29"/>
  <c r="E248" i="29"/>
  <c r="B248" i="29"/>
  <c r="D159" i="26"/>
  <c r="C159" i="26"/>
  <c r="B158" i="26"/>
  <c r="E158" i="26"/>
  <c r="AC158" i="26" s="1"/>
  <c r="G240" i="5"/>
  <c r="BW240" i="5" s="1"/>
  <c r="BA239" i="5"/>
  <c r="CA239" i="5" s="1"/>
  <c r="H240" i="5"/>
  <c r="H174" i="2"/>
  <c r="BY240" i="5" l="1"/>
  <c r="I445" i="2"/>
  <c r="N636" i="2"/>
  <c r="V582" i="2"/>
  <c r="E249" i="29"/>
  <c r="B249" i="29"/>
  <c r="D250" i="29"/>
  <c r="C250" i="29"/>
  <c r="AB159" i="26"/>
  <c r="C160" i="26"/>
  <c r="AB160" i="26" s="1"/>
  <c r="B159" i="26"/>
  <c r="D160" i="26"/>
  <c r="E159" i="26"/>
  <c r="AC159" i="26" s="1"/>
  <c r="G241" i="5"/>
  <c r="BW241" i="5" s="1"/>
  <c r="BA240" i="5"/>
  <c r="CA240" i="5" s="1"/>
  <c r="H241" i="5"/>
  <c r="H175" i="2"/>
  <c r="BY241" i="5" l="1"/>
  <c r="V583" i="2"/>
  <c r="N637" i="2"/>
  <c r="I446" i="2"/>
  <c r="D251" i="29"/>
  <c r="C251" i="29"/>
  <c r="E250" i="29"/>
  <c r="B250" i="29"/>
  <c r="D161" i="26"/>
  <c r="C161" i="26"/>
  <c r="AB161" i="26" s="1"/>
  <c r="B160" i="26"/>
  <c r="E160" i="26"/>
  <c r="AC160" i="26" s="1"/>
  <c r="BA241" i="5"/>
  <c r="CA241" i="5" s="1"/>
  <c r="H242" i="5"/>
  <c r="BY242" i="5" s="1"/>
  <c r="G242" i="5"/>
  <c r="BW242" i="5" s="1"/>
  <c r="H176" i="2"/>
  <c r="N638" i="2" l="1"/>
  <c r="I447" i="2"/>
  <c r="V584" i="2"/>
  <c r="E251" i="29"/>
  <c r="B251" i="29"/>
  <c r="D252" i="29"/>
  <c r="C252" i="29"/>
  <c r="D162" i="26"/>
  <c r="C162" i="26"/>
  <c r="AB162" i="26" s="1"/>
  <c r="B161" i="26"/>
  <c r="E161" i="26"/>
  <c r="AC161" i="26" s="1"/>
  <c r="G243" i="5"/>
  <c r="BW243" i="5" s="1"/>
  <c r="BA242" i="5"/>
  <c r="CA242" i="5" s="1"/>
  <c r="H243" i="5"/>
  <c r="BY243" i="5" s="1"/>
  <c r="H177" i="2"/>
  <c r="I448" i="2" l="1"/>
  <c r="I449" i="2" s="1"/>
  <c r="N639" i="2"/>
  <c r="V585" i="2"/>
  <c r="D253" i="29"/>
  <c r="C253" i="29"/>
  <c r="E252" i="29"/>
  <c r="B252" i="29"/>
  <c r="E162" i="26"/>
  <c r="AC162" i="26" s="1"/>
  <c r="D163" i="26"/>
  <c r="C163" i="26"/>
  <c r="AB163" i="26" s="1"/>
  <c r="B162" i="26"/>
  <c r="BA243" i="5"/>
  <c r="CA243" i="5" s="1"/>
  <c r="H244" i="5"/>
  <c r="G244" i="5"/>
  <c r="BW244" i="5" s="1"/>
  <c r="H178" i="2"/>
  <c r="BY244" i="5" l="1"/>
  <c r="V586" i="2"/>
  <c r="N640" i="2"/>
  <c r="I450" i="2"/>
  <c r="E253" i="29"/>
  <c r="B253" i="29"/>
  <c r="D254" i="29"/>
  <c r="C254" i="29"/>
  <c r="E163" i="26"/>
  <c r="AC163" i="26" s="1"/>
  <c r="D164" i="26"/>
  <c r="C164" i="26"/>
  <c r="AB164" i="26" s="1"/>
  <c r="B163" i="26"/>
  <c r="G245" i="5"/>
  <c r="BW245" i="5" s="1"/>
  <c r="BA244" i="5"/>
  <c r="CA244" i="5" s="1"/>
  <c r="H245" i="5"/>
  <c r="H179" i="2"/>
  <c r="BY245" i="5" l="1"/>
  <c r="N641" i="2"/>
  <c r="I451" i="2"/>
  <c r="V587" i="2"/>
  <c r="D255" i="29"/>
  <c r="C255" i="29"/>
  <c r="E254" i="29"/>
  <c r="B254" i="29"/>
  <c r="E164" i="26"/>
  <c r="AC164" i="26" s="1"/>
  <c r="D165" i="26"/>
  <c r="C165" i="26"/>
  <c r="AB165" i="26" s="1"/>
  <c r="B164" i="26"/>
  <c r="BA245" i="5"/>
  <c r="CA245" i="5" s="1"/>
  <c r="H246" i="5"/>
  <c r="G246" i="5"/>
  <c r="BW246" i="5" s="1"/>
  <c r="H180" i="2"/>
  <c r="BY246" i="5" l="1"/>
  <c r="V588" i="2"/>
  <c r="I452" i="2"/>
  <c r="N642" i="2"/>
  <c r="E255" i="29"/>
  <c r="B255" i="29"/>
  <c r="D256" i="29"/>
  <c r="C256" i="29"/>
  <c r="E165" i="26"/>
  <c r="AC165" i="26" s="1"/>
  <c r="D166" i="26"/>
  <c r="B165" i="26"/>
  <c r="C166" i="26"/>
  <c r="AB166" i="26" s="1"/>
  <c r="BA246" i="5"/>
  <c r="CA246" i="5" s="1"/>
  <c r="H247" i="5"/>
  <c r="BY247" i="5" s="1"/>
  <c r="G247" i="5"/>
  <c r="BW247" i="5" s="1"/>
  <c r="H181" i="2"/>
  <c r="N643" i="2" l="1"/>
  <c r="V589" i="2"/>
  <c r="I453" i="2"/>
  <c r="D257" i="29"/>
  <c r="C257" i="29"/>
  <c r="E256" i="29"/>
  <c r="B256" i="29"/>
  <c r="E166" i="26"/>
  <c r="AC166" i="26" s="1"/>
  <c r="D167" i="26"/>
  <c r="B166" i="26"/>
  <c r="C167" i="26"/>
  <c r="AB167" i="26" s="1"/>
  <c r="BA247" i="5"/>
  <c r="CA247" i="5" s="1"/>
  <c r="H248" i="5"/>
  <c r="G248" i="5"/>
  <c r="BW248" i="5" s="1"/>
  <c r="H182" i="2"/>
  <c r="BY248" i="5" l="1"/>
  <c r="V590" i="2"/>
  <c r="I454" i="2"/>
  <c r="I455" i="2" s="1"/>
  <c r="N644" i="2"/>
  <c r="E257" i="29"/>
  <c r="B257" i="29"/>
  <c r="D258" i="29"/>
  <c r="C258" i="29"/>
  <c r="B167" i="26"/>
  <c r="D168" i="26"/>
  <c r="C168" i="26"/>
  <c r="AB168" i="26" s="1"/>
  <c r="E167" i="26"/>
  <c r="AC167" i="26" s="1"/>
  <c r="BA248" i="5"/>
  <c r="CA248" i="5" s="1"/>
  <c r="H249" i="5"/>
  <c r="BY249" i="5" s="1"/>
  <c r="G249" i="5"/>
  <c r="BW249" i="5" s="1"/>
  <c r="H183" i="2"/>
  <c r="N645" i="2" l="1"/>
  <c r="I456" i="2"/>
  <c r="V591" i="2"/>
  <c r="D259" i="29"/>
  <c r="C259" i="29"/>
  <c r="E258" i="29"/>
  <c r="B258" i="29"/>
  <c r="E168" i="26"/>
  <c r="AC168" i="26" s="1"/>
  <c r="D169" i="26"/>
  <c r="B168" i="26"/>
  <c r="C169" i="26"/>
  <c r="AB169" i="26" s="1"/>
  <c r="BA249" i="5"/>
  <c r="CA249" i="5" s="1"/>
  <c r="H250" i="5"/>
  <c r="G250" i="5"/>
  <c r="BW250" i="5" s="1"/>
  <c r="H184" i="2"/>
  <c r="BY250" i="5" l="1"/>
  <c r="V592" i="2"/>
  <c r="I457" i="2"/>
  <c r="I458" i="2" s="1"/>
  <c r="N646" i="2"/>
  <c r="E259" i="29"/>
  <c r="B259" i="29"/>
  <c r="D260" i="29"/>
  <c r="C260" i="29"/>
  <c r="H251" i="5"/>
  <c r="BA250" i="5"/>
  <c r="CA250" i="5" s="1"/>
  <c r="C170" i="26"/>
  <c r="AB170" i="26" s="1"/>
  <c r="B169" i="26"/>
  <c r="E169" i="26"/>
  <c r="AC169" i="26" s="1"/>
  <c r="D170" i="26"/>
  <c r="G251" i="5"/>
  <c r="BW251" i="5" s="1"/>
  <c r="H185" i="2"/>
  <c r="BY251" i="5" l="1"/>
  <c r="V593" i="2"/>
  <c r="N647" i="2"/>
  <c r="I459" i="2"/>
  <c r="D261" i="29"/>
  <c r="C261" i="29"/>
  <c r="E260" i="29"/>
  <c r="B260" i="29"/>
  <c r="H252" i="5"/>
  <c r="BY252" i="5" s="1"/>
  <c r="BA251" i="5"/>
  <c r="CA251" i="5" s="1"/>
  <c r="D171" i="26"/>
  <c r="C171" i="26"/>
  <c r="AB171" i="26" s="1"/>
  <c r="B170" i="26"/>
  <c r="E170" i="26"/>
  <c r="AC170" i="26" s="1"/>
  <c r="G252" i="5"/>
  <c r="BW252" i="5" s="1"/>
  <c r="H186" i="2"/>
  <c r="I460" i="2" l="1"/>
  <c r="N648" i="2"/>
  <c r="V594" i="2"/>
  <c r="E261" i="29"/>
  <c r="B261" i="29"/>
  <c r="D262" i="29"/>
  <c r="C262" i="29"/>
  <c r="H253" i="5"/>
  <c r="BA252" i="5"/>
  <c r="CA252" i="5" s="1"/>
  <c r="D172" i="26"/>
  <c r="C172" i="26"/>
  <c r="AB172" i="26" s="1"/>
  <c r="B171" i="26"/>
  <c r="E171" i="26"/>
  <c r="AC171" i="26" s="1"/>
  <c r="G253" i="5"/>
  <c r="BW253" i="5" s="1"/>
  <c r="H187" i="2"/>
  <c r="BY253" i="5" l="1"/>
  <c r="V595" i="2"/>
  <c r="N649" i="2"/>
  <c r="I461" i="2"/>
  <c r="D263" i="29"/>
  <c r="C263" i="29"/>
  <c r="E262" i="29"/>
  <c r="B262" i="29"/>
  <c r="BA253" i="5"/>
  <c r="CA253" i="5" s="1"/>
  <c r="H254" i="5"/>
  <c r="BY254" i="5" s="1"/>
  <c r="E172" i="26"/>
  <c r="AC172" i="26" s="1"/>
  <c r="D173" i="26"/>
  <c r="C173" i="26"/>
  <c r="AB173" i="26" s="1"/>
  <c r="B172" i="26"/>
  <c r="G254" i="5"/>
  <c r="BW254" i="5" s="1"/>
  <c r="H188" i="2"/>
  <c r="I462" i="2" l="1"/>
  <c r="N650" i="2"/>
  <c r="V596" i="2"/>
  <c r="E263" i="29"/>
  <c r="B263" i="29"/>
  <c r="D264" i="29"/>
  <c r="C264" i="29"/>
  <c r="H255" i="5"/>
  <c r="BA254" i="5"/>
  <c r="CA254" i="5" s="1"/>
  <c r="E173" i="26"/>
  <c r="AC173" i="26" s="1"/>
  <c r="D174" i="26"/>
  <c r="C174" i="26"/>
  <c r="AB174" i="26" s="1"/>
  <c r="B173" i="26"/>
  <c r="G255" i="5"/>
  <c r="BW255" i="5" s="1"/>
  <c r="H189" i="2"/>
  <c r="BY255" i="5" l="1"/>
  <c r="V597" i="2"/>
  <c r="N651" i="2"/>
  <c r="I463" i="2"/>
  <c r="G256" i="5"/>
  <c r="BW256" i="5" s="1"/>
  <c r="D265" i="29"/>
  <c r="C265" i="29"/>
  <c r="E264" i="29"/>
  <c r="B264" i="29"/>
  <c r="H256" i="5"/>
  <c r="BY256" i="5" s="1"/>
  <c r="BA255" i="5"/>
  <c r="CA255" i="5" s="1"/>
  <c r="E174" i="26"/>
  <c r="AC174" i="26" s="1"/>
  <c r="D175" i="26"/>
  <c r="C175" i="26"/>
  <c r="AB175" i="26" s="1"/>
  <c r="B174" i="26"/>
  <c r="H190" i="2"/>
  <c r="I464" i="2" l="1"/>
  <c r="N652" i="2"/>
  <c r="V598" i="2"/>
  <c r="E265" i="29"/>
  <c r="B265" i="29"/>
  <c r="D266" i="29"/>
  <c r="C266" i="29"/>
  <c r="BA256" i="5"/>
  <c r="CA256" i="5" s="1"/>
  <c r="H257" i="5"/>
  <c r="E175" i="26"/>
  <c r="AC175" i="26" s="1"/>
  <c r="D176" i="26"/>
  <c r="B175" i="26"/>
  <c r="C176" i="26"/>
  <c r="AB176" i="26" s="1"/>
  <c r="G257" i="5"/>
  <c r="BW257" i="5" s="1"/>
  <c r="H191" i="2"/>
  <c r="BY257" i="5" l="1"/>
  <c r="V599" i="2"/>
  <c r="N653" i="2"/>
  <c r="I465" i="2"/>
  <c r="D267" i="29"/>
  <c r="C267" i="29"/>
  <c r="E266" i="29"/>
  <c r="B266" i="29"/>
  <c r="BA257" i="5"/>
  <c r="CA257" i="5" s="1"/>
  <c r="H258" i="5"/>
  <c r="BY258" i="5" s="1"/>
  <c r="E176" i="26"/>
  <c r="AC176" i="26" s="1"/>
  <c r="C177" i="26"/>
  <c r="AB177" i="26" s="1"/>
  <c r="D177" i="26"/>
  <c r="B176" i="26"/>
  <c r="G258" i="5"/>
  <c r="BW258" i="5" s="1"/>
  <c r="H192" i="2"/>
  <c r="I466" i="2" l="1"/>
  <c r="I467" i="2" s="1"/>
  <c r="I468" i="2" s="1"/>
  <c r="I469" i="2" s="1"/>
  <c r="N654" i="2"/>
  <c r="V600" i="2"/>
  <c r="E267" i="29"/>
  <c r="B267" i="29"/>
  <c r="D268" i="29"/>
  <c r="C268" i="29"/>
  <c r="BA258" i="5"/>
  <c r="CA258" i="5" s="1"/>
  <c r="H259" i="5"/>
  <c r="C178" i="26"/>
  <c r="AB178" i="26" s="1"/>
  <c r="B177" i="26"/>
  <c r="E177" i="26"/>
  <c r="AC177" i="26" s="1"/>
  <c r="D178" i="26"/>
  <c r="G259" i="5"/>
  <c r="BW259" i="5" s="1"/>
  <c r="H193" i="2"/>
  <c r="BY259" i="5" l="1"/>
  <c r="N655" i="2"/>
  <c r="V601" i="2"/>
  <c r="I470" i="2"/>
  <c r="D269" i="29"/>
  <c r="C269" i="29"/>
  <c r="E268" i="29"/>
  <c r="B268" i="29"/>
  <c r="BA259" i="5"/>
  <c r="CA259" i="5" s="1"/>
  <c r="H260" i="5"/>
  <c r="BY260" i="5" s="1"/>
  <c r="D179" i="26"/>
  <c r="C179" i="26"/>
  <c r="AB179" i="26" s="1"/>
  <c r="B178" i="26"/>
  <c r="E178" i="26"/>
  <c r="AC178" i="26" s="1"/>
  <c r="G260" i="5"/>
  <c r="BW260" i="5" s="1"/>
  <c r="H194" i="2"/>
  <c r="N656" i="2" l="1"/>
  <c r="I471" i="2"/>
  <c r="V602" i="2"/>
  <c r="E269" i="29"/>
  <c r="B269" i="29"/>
  <c r="D270" i="29"/>
  <c r="C270" i="29"/>
  <c r="BA260" i="5"/>
  <c r="CA260" i="5" s="1"/>
  <c r="H261" i="5"/>
  <c r="BY261" i="5" s="1"/>
  <c r="D180" i="26"/>
  <c r="C180" i="26"/>
  <c r="AB180" i="26" s="1"/>
  <c r="B179" i="26"/>
  <c r="E179" i="26"/>
  <c r="AC179" i="26" s="1"/>
  <c r="H267" i="5"/>
  <c r="G261" i="5"/>
  <c r="BW261" i="5" s="1"/>
  <c r="H195" i="2"/>
  <c r="V603" i="2" l="1"/>
  <c r="I472" i="2"/>
  <c r="I473" i="2" s="1"/>
  <c r="N657" i="2"/>
  <c r="BA267" i="5"/>
  <c r="CA267" i="5" s="1"/>
  <c r="D271" i="29"/>
  <c r="C271" i="29"/>
  <c r="E270" i="29"/>
  <c r="B270" i="29"/>
  <c r="BA261" i="5"/>
  <c r="CA261" i="5" s="1"/>
  <c r="H262" i="5"/>
  <c r="BY262" i="5" s="1"/>
  <c r="E180" i="26"/>
  <c r="AC180" i="26" s="1"/>
  <c r="D181" i="26"/>
  <c r="C181" i="26"/>
  <c r="AB181" i="26" s="1"/>
  <c r="B180" i="26"/>
  <c r="H268" i="5"/>
  <c r="G262" i="5"/>
  <c r="BW262" i="5" s="1"/>
  <c r="H196" i="2"/>
  <c r="I474" i="2" l="1"/>
  <c r="N658" i="2"/>
  <c r="V604" i="2"/>
  <c r="BA268" i="5"/>
  <c r="E271" i="29"/>
  <c r="B271" i="29"/>
  <c r="D272" i="29"/>
  <c r="C272" i="29"/>
  <c r="BA262" i="5"/>
  <c r="CA262" i="5" s="1"/>
  <c r="H263" i="5"/>
  <c r="BY263" i="5" s="1"/>
  <c r="E181" i="26"/>
  <c r="AC181" i="26" s="1"/>
  <c r="D182" i="26"/>
  <c r="C182" i="26"/>
  <c r="AB182" i="26" s="1"/>
  <c r="B181" i="26"/>
  <c r="H269" i="5"/>
  <c r="G263" i="5"/>
  <c r="BW263" i="5" s="1"/>
  <c r="H197" i="2"/>
  <c r="V605" i="2" l="1"/>
  <c r="N659" i="2"/>
  <c r="I475" i="2"/>
  <c r="BA269" i="5"/>
  <c r="D273" i="29"/>
  <c r="C273" i="29"/>
  <c r="E272" i="29"/>
  <c r="B272" i="29"/>
  <c r="BA263" i="5"/>
  <c r="CA263" i="5" s="1"/>
  <c r="H264" i="5"/>
  <c r="BY264" i="5" s="1"/>
  <c r="E182" i="26"/>
  <c r="AC182" i="26" s="1"/>
  <c r="D183" i="26"/>
  <c r="C183" i="26"/>
  <c r="AB183" i="26" s="1"/>
  <c r="B182" i="26"/>
  <c r="H270" i="5"/>
  <c r="G264" i="5"/>
  <c r="BW264" i="5" s="1"/>
  <c r="H198" i="2"/>
  <c r="I476" i="2" l="1"/>
  <c r="I477" i="2" s="1"/>
  <c r="N660" i="2"/>
  <c r="V606" i="2"/>
  <c r="BA270" i="5"/>
  <c r="E273" i="29"/>
  <c r="B273" i="29"/>
  <c r="D274" i="29"/>
  <c r="C274" i="29"/>
  <c r="BA264" i="5"/>
  <c r="CA264" i="5" s="1"/>
  <c r="H265" i="5"/>
  <c r="BY265" i="5" s="1"/>
  <c r="E183" i="26"/>
  <c r="AC183" i="26" s="1"/>
  <c r="D184" i="26"/>
  <c r="B183" i="26"/>
  <c r="C184" i="26"/>
  <c r="AB184" i="26" s="1"/>
  <c r="G265" i="5"/>
  <c r="BW265" i="5" s="1"/>
  <c r="H271" i="5"/>
  <c r="H199" i="2"/>
  <c r="N661" i="2" l="1"/>
  <c r="V607" i="2"/>
  <c r="I478" i="2"/>
  <c r="BA271" i="5"/>
  <c r="BA265" i="5"/>
  <c r="CA265" i="5" s="1"/>
  <c r="D275" i="29"/>
  <c r="C275" i="29"/>
  <c r="E274" i="29"/>
  <c r="B274" i="29"/>
  <c r="E184" i="26"/>
  <c r="AC184" i="26" s="1"/>
  <c r="D185" i="26"/>
  <c r="B184" i="26"/>
  <c r="C185" i="26"/>
  <c r="AB185" i="26" s="1"/>
  <c r="H272" i="5"/>
  <c r="G266" i="5"/>
  <c r="H200" i="2"/>
  <c r="BW266" i="5" l="1"/>
  <c r="BY266" i="5"/>
  <c r="I479" i="2"/>
  <c r="V608" i="2"/>
  <c r="N662" i="2"/>
  <c r="BA272" i="5"/>
  <c r="E275" i="29"/>
  <c r="B275" i="29"/>
  <c r="D276" i="29"/>
  <c r="C276" i="29"/>
  <c r="B185" i="26"/>
  <c r="D186" i="26"/>
  <c r="C186" i="26"/>
  <c r="AB186" i="26" s="1"/>
  <c r="E185" i="26"/>
  <c r="AC185" i="26" s="1"/>
  <c r="G267" i="5"/>
  <c r="H273" i="5"/>
  <c r="H201" i="2"/>
  <c r="BW267" i="5" l="1"/>
  <c r="V609" i="2"/>
  <c r="N663" i="2"/>
  <c r="I480" i="2"/>
  <c r="BA273" i="5"/>
  <c r="D277" i="29"/>
  <c r="C277" i="29"/>
  <c r="E276" i="29"/>
  <c r="B276" i="29"/>
  <c r="C187" i="26"/>
  <c r="AB187" i="26" s="1"/>
  <c r="E186" i="26"/>
  <c r="AC186" i="26" s="1"/>
  <c r="B186" i="26"/>
  <c r="D187" i="26"/>
  <c r="H274" i="5"/>
  <c r="G268" i="5"/>
  <c r="H202" i="2"/>
  <c r="BW268" i="5" l="1"/>
  <c r="BA274" i="5"/>
  <c r="I481" i="2"/>
  <c r="I482" i="2" s="1"/>
  <c r="N664" i="2"/>
  <c r="V610" i="2"/>
  <c r="E277" i="29"/>
  <c r="B277" i="29"/>
  <c r="D278" i="29"/>
  <c r="C278" i="29"/>
  <c r="B187" i="26"/>
  <c r="D188" i="26"/>
  <c r="E187" i="26"/>
  <c r="AC187" i="26" s="1"/>
  <c r="C188" i="26"/>
  <c r="H275" i="5"/>
  <c r="G269" i="5"/>
  <c r="H203" i="2"/>
  <c r="BW269" i="5" l="1"/>
  <c r="V611" i="2"/>
  <c r="N665" i="2"/>
  <c r="I483" i="2"/>
  <c r="I484" i="2" s="1"/>
  <c r="BA275" i="5"/>
  <c r="D279" i="29"/>
  <c r="C279" i="29"/>
  <c r="E278" i="29"/>
  <c r="B278" i="29"/>
  <c r="B188" i="26"/>
  <c r="C189" i="26"/>
  <c r="AB189" i="26" s="1"/>
  <c r="E188" i="26"/>
  <c r="AC188" i="26" s="1"/>
  <c r="D189" i="26"/>
  <c r="AB188" i="26"/>
  <c r="H276" i="5"/>
  <c r="G270" i="5"/>
  <c r="H204" i="2"/>
  <c r="BW270" i="5" l="1"/>
  <c r="I485" i="2"/>
  <c r="I486" i="2" s="1"/>
  <c r="N666" i="2"/>
  <c r="V612" i="2"/>
  <c r="BA276" i="5"/>
  <c r="E279" i="29"/>
  <c r="B279" i="29"/>
  <c r="D280" i="29"/>
  <c r="C280" i="29"/>
  <c r="B189" i="26"/>
  <c r="D190" i="26"/>
  <c r="C190" i="26"/>
  <c r="AB190" i="26" s="1"/>
  <c r="E189" i="26"/>
  <c r="AC189" i="26" s="1"/>
  <c r="H277" i="5"/>
  <c r="G271" i="5"/>
  <c r="H205" i="2"/>
  <c r="BW271" i="5" l="1"/>
  <c r="V613" i="2"/>
  <c r="N667" i="2"/>
  <c r="I487" i="2"/>
  <c r="I488" i="2" s="1"/>
  <c r="I489" i="2" s="1"/>
  <c r="BA277" i="5"/>
  <c r="D281" i="29"/>
  <c r="C281" i="29"/>
  <c r="E280" i="29"/>
  <c r="B280" i="29"/>
  <c r="C191" i="26"/>
  <c r="AB191" i="26" s="1"/>
  <c r="B190" i="26"/>
  <c r="D191" i="26"/>
  <c r="E190" i="26"/>
  <c r="AC190" i="26" s="1"/>
  <c r="H278" i="5"/>
  <c r="G272" i="5"/>
  <c r="H206" i="2"/>
  <c r="BW272" i="5" l="1"/>
  <c r="V614" i="2"/>
  <c r="I490" i="2"/>
  <c r="N668" i="2"/>
  <c r="BA278" i="5"/>
  <c r="E281" i="29"/>
  <c r="B281" i="29"/>
  <c r="D282" i="29"/>
  <c r="C282" i="29"/>
  <c r="D192" i="26"/>
  <c r="C192" i="26"/>
  <c r="AB192" i="26" s="1"/>
  <c r="B191" i="26"/>
  <c r="E191" i="26"/>
  <c r="AC191" i="26" s="1"/>
  <c r="G273" i="5"/>
  <c r="H279" i="5"/>
  <c r="H207" i="2"/>
  <c r="BW273" i="5" l="1"/>
  <c r="N669" i="2"/>
  <c r="I491" i="2"/>
  <c r="V615" i="2"/>
  <c r="D283" i="29"/>
  <c r="C283" i="29"/>
  <c r="E282" i="29"/>
  <c r="B282" i="29"/>
  <c r="BA279" i="5"/>
  <c r="D193" i="26"/>
  <c r="C193" i="26"/>
  <c r="AB193" i="26" s="1"/>
  <c r="E192" i="26"/>
  <c r="AC192" i="26" s="1"/>
  <c r="B192" i="26"/>
  <c r="H280" i="5"/>
  <c r="G274" i="5"/>
  <c r="H208" i="2"/>
  <c r="BW274" i="5" l="1"/>
  <c r="V616" i="2"/>
  <c r="I492" i="2"/>
  <c r="N670" i="2"/>
  <c r="E283" i="29"/>
  <c r="B283" i="29"/>
  <c r="D284" i="29"/>
  <c r="C284" i="29"/>
  <c r="BA280" i="5"/>
  <c r="G275" i="5"/>
  <c r="E193" i="26"/>
  <c r="AC193" i="26" s="1"/>
  <c r="B193" i="26"/>
  <c r="D194" i="26"/>
  <c r="C194" i="26"/>
  <c r="AB194" i="26" s="1"/>
  <c r="H281" i="5"/>
  <c r="H209" i="2"/>
  <c r="BW275" i="5" l="1"/>
  <c r="I493" i="2"/>
  <c r="V617" i="2"/>
  <c r="N671" i="2"/>
  <c r="D285" i="29"/>
  <c r="C285" i="29"/>
  <c r="E284" i="29"/>
  <c r="B284" i="29"/>
  <c r="BA281" i="5"/>
  <c r="E194" i="26"/>
  <c r="AC194" i="26" s="1"/>
  <c r="D195" i="26"/>
  <c r="C195" i="26"/>
  <c r="AB195" i="26" s="1"/>
  <c r="B194" i="26"/>
  <c r="H282" i="5"/>
  <c r="G276" i="5"/>
  <c r="H210" i="2"/>
  <c r="BW276" i="5" l="1"/>
  <c r="N672" i="2"/>
  <c r="V618" i="2"/>
  <c r="I494" i="2"/>
  <c r="E285" i="29"/>
  <c r="B285" i="29"/>
  <c r="D286" i="29"/>
  <c r="C286" i="29"/>
  <c r="BA282" i="5"/>
  <c r="D196" i="26"/>
  <c r="B195" i="26"/>
  <c r="E195" i="26"/>
  <c r="AC195" i="26" s="1"/>
  <c r="C196" i="26"/>
  <c r="AB196" i="26" s="1"/>
  <c r="G277" i="5"/>
  <c r="H283" i="5"/>
  <c r="H211" i="2"/>
  <c r="BW277" i="5" l="1"/>
  <c r="I495" i="2"/>
  <c r="V619" i="2"/>
  <c r="N673" i="2"/>
  <c r="D287" i="29"/>
  <c r="C287" i="29"/>
  <c r="E286" i="29"/>
  <c r="B286" i="29"/>
  <c r="BA283" i="5"/>
  <c r="D197" i="26"/>
  <c r="C197" i="26"/>
  <c r="AB197" i="26" s="1"/>
  <c r="E196" i="26"/>
  <c r="AC196" i="26" s="1"/>
  <c r="B196" i="26"/>
  <c r="G278" i="5"/>
  <c r="H284" i="5"/>
  <c r="H212" i="2"/>
  <c r="BW278" i="5" l="1"/>
  <c r="V620" i="2"/>
  <c r="N674" i="2"/>
  <c r="I496" i="2"/>
  <c r="I497" i="2" s="1"/>
  <c r="I498" i="2" s="1"/>
  <c r="I499" i="2" s="1"/>
  <c r="E287" i="29"/>
  <c r="B287" i="29"/>
  <c r="D288" i="29"/>
  <c r="C288" i="29"/>
  <c r="BA284" i="5"/>
  <c r="C198" i="26"/>
  <c r="AB198" i="26" s="1"/>
  <c r="E197" i="26"/>
  <c r="AC197" i="26" s="1"/>
  <c r="B197" i="26"/>
  <c r="D198" i="26"/>
  <c r="H285" i="5"/>
  <c r="G279" i="5"/>
  <c r="H213" i="2"/>
  <c r="BW279" i="5" l="1"/>
  <c r="I500" i="2"/>
  <c r="N675" i="2"/>
  <c r="V621" i="2"/>
  <c r="D289" i="29"/>
  <c r="C289" i="29"/>
  <c r="E288" i="29"/>
  <c r="B288" i="29"/>
  <c r="BA285" i="5"/>
  <c r="D199" i="26"/>
  <c r="B198" i="26"/>
  <c r="C199" i="26"/>
  <c r="AB199" i="26" s="1"/>
  <c r="E198" i="26"/>
  <c r="AC198" i="26" s="1"/>
  <c r="H286" i="5"/>
  <c r="G280" i="5"/>
  <c r="H214" i="2"/>
  <c r="BW280" i="5" l="1"/>
  <c r="V622" i="2"/>
  <c r="N676" i="2"/>
  <c r="I501" i="2"/>
  <c r="E289" i="29"/>
  <c r="B289" i="29"/>
  <c r="D290" i="29"/>
  <c r="C290" i="29"/>
  <c r="BA286" i="5"/>
  <c r="D200" i="26"/>
  <c r="C200" i="26"/>
  <c r="AB200" i="26" s="1"/>
  <c r="E199" i="26"/>
  <c r="AC199" i="26" s="1"/>
  <c r="B199" i="26"/>
  <c r="H287" i="5"/>
  <c r="G281" i="5"/>
  <c r="H215" i="2"/>
  <c r="BW281" i="5" l="1"/>
  <c r="I502" i="2"/>
  <c r="V623" i="2"/>
  <c r="N677" i="2"/>
  <c r="D291" i="29"/>
  <c r="C291" i="29"/>
  <c r="E290" i="29"/>
  <c r="B290" i="29"/>
  <c r="BA287" i="5"/>
  <c r="E200" i="26"/>
  <c r="AC200" i="26" s="1"/>
  <c r="D201" i="26"/>
  <c r="C201" i="26"/>
  <c r="AB201" i="26" s="1"/>
  <c r="B200" i="26"/>
  <c r="H288" i="5"/>
  <c r="G282" i="5"/>
  <c r="H216" i="2"/>
  <c r="BW282" i="5" l="1"/>
  <c r="N678" i="2"/>
  <c r="V624" i="2"/>
  <c r="I503" i="2"/>
  <c r="I504" i="2" s="1"/>
  <c r="I505" i="2" s="1"/>
  <c r="E291" i="29"/>
  <c r="B291" i="29"/>
  <c r="D292" i="29"/>
  <c r="C292" i="29"/>
  <c r="BA288" i="5"/>
  <c r="C202" i="26"/>
  <c r="AB202" i="26" s="1"/>
  <c r="B201" i="26"/>
  <c r="E201" i="26"/>
  <c r="AC201" i="26" s="1"/>
  <c r="D202" i="26"/>
  <c r="H289" i="5"/>
  <c r="G283" i="5"/>
  <c r="H217" i="2"/>
  <c r="BW283" i="5" l="1"/>
  <c r="I506" i="2"/>
  <c r="V625" i="2"/>
  <c r="N679" i="2"/>
  <c r="D293" i="29"/>
  <c r="C293" i="29"/>
  <c r="E292" i="29"/>
  <c r="B292" i="29"/>
  <c r="BA289" i="5"/>
  <c r="D203" i="26"/>
  <c r="C203" i="26"/>
  <c r="AB203" i="26" s="1"/>
  <c r="B202" i="26"/>
  <c r="E202" i="26"/>
  <c r="AC202" i="26" s="1"/>
  <c r="G284" i="5"/>
  <c r="H290" i="5"/>
  <c r="H218" i="2"/>
  <c r="BW284" i="5" l="1"/>
  <c r="N680" i="2"/>
  <c r="V626" i="2"/>
  <c r="I507" i="2"/>
  <c r="E293" i="29"/>
  <c r="B293" i="29"/>
  <c r="D294" i="29"/>
  <c r="C294" i="29"/>
  <c r="BA290" i="5"/>
  <c r="D204" i="26"/>
  <c r="C204" i="26"/>
  <c r="AB204" i="26" s="1"/>
  <c r="E203" i="26"/>
  <c r="AC203" i="26" s="1"/>
  <c r="B203" i="26"/>
  <c r="H291" i="5"/>
  <c r="G285" i="5"/>
  <c r="H219" i="2"/>
  <c r="BW285" i="5" l="1"/>
  <c r="I508" i="2"/>
  <c r="I509" i="2" s="1"/>
  <c r="V627" i="2"/>
  <c r="N681" i="2"/>
  <c r="D295" i="29"/>
  <c r="C295" i="29"/>
  <c r="E294" i="29"/>
  <c r="B294" i="29"/>
  <c r="BA291" i="5"/>
  <c r="E204" i="26"/>
  <c r="AC204" i="26" s="1"/>
  <c r="D205" i="26"/>
  <c r="C205" i="26"/>
  <c r="AB205" i="26" s="1"/>
  <c r="B204" i="26"/>
  <c r="H292" i="5"/>
  <c r="G286" i="5"/>
  <c r="H220" i="2"/>
  <c r="BW286" i="5" l="1"/>
  <c r="N682" i="2"/>
  <c r="V628" i="2"/>
  <c r="I510" i="2"/>
  <c r="I511" i="2" s="1"/>
  <c r="E295" i="29"/>
  <c r="B295" i="29"/>
  <c r="D296" i="29"/>
  <c r="C296" i="29"/>
  <c r="BA292" i="5"/>
  <c r="E205" i="26"/>
  <c r="AC205" i="26" s="1"/>
  <c r="C206" i="26"/>
  <c r="AB206" i="26" s="1"/>
  <c r="B205" i="26"/>
  <c r="D206" i="26"/>
  <c r="H293" i="5"/>
  <c r="G287" i="5"/>
  <c r="H221" i="2"/>
  <c r="BW287" i="5" l="1"/>
  <c r="I512" i="2"/>
  <c r="I513" i="2" s="1"/>
  <c r="V629" i="2"/>
  <c r="N683" i="2"/>
  <c r="H222" i="2"/>
  <c r="G288" i="5"/>
  <c r="D297" i="29"/>
  <c r="C297" i="29"/>
  <c r="E296" i="29"/>
  <c r="B296" i="29"/>
  <c r="BA293" i="5"/>
  <c r="C207" i="26"/>
  <c r="AB207" i="26" s="1"/>
  <c r="D207" i="26"/>
  <c r="E206" i="26"/>
  <c r="AC206" i="26" s="1"/>
  <c r="B206" i="26"/>
  <c r="H294" i="5"/>
  <c r="BW288" i="5" l="1"/>
  <c r="V630" i="2"/>
  <c r="N684" i="2"/>
  <c r="I514" i="2"/>
  <c r="E297" i="29"/>
  <c r="B297" i="29"/>
  <c r="D298" i="29"/>
  <c r="C298" i="29"/>
  <c r="BA294" i="5"/>
  <c r="D208" i="26"/>
  <c r="B207" i="26"/>
  <c r="E207" i="26"/>
  <c r="AC207" i="26" s="1"/>
  <c r="C208" i="26"/>
  <c r="AB208" i="26" s="1"/>
  <c r="H295" i="5"/>
  <c r="G289" i="5"/>
  <c r="H223" i="2"/>
  <c r="BW289" i="5" l="1"/>
  <c r="I515" i="2"/>
  <c r="I516" i="2" s="1"/>
  <c r="I517" i="2" s="1"/>
  <c r="N685" i="2"/>
  <c r="V631" i="2"/>
  <c r="D299" i="29"/>
  <c r="C299" i="29"/>
  <c r="E298" i="29"/>
  <c r="B298" i="29"/>
  <c r="BA295" i="5"/>
  <c r="E208" i="26"/>
  <c r="AC208" i="26" s="1"/>
  <c r="C209" i="26"/>
  <c r="AB209" i="26" s="1"/>
  <c r="B208" i="26"/>
  <c r="D209" i="26"/>
  <c r="H296" i="5"/>
  <c r="G290" i="5"/>
  <c r="H224" i="2"/>
  <c r="BW290" i="5" l="1"/>
  <c r="V632" i="2"/>
  <c r="N686" i="2"/>
  <c r="I518" i="2"/>
  <c r="H225" i="2"/>
  <c r="E299" i="29"/>
  <c r="B299" i="29"/>
  <c r="D300" i="29"/>
  <c r="C300" i="29"/>
  <c r="BA296" i="5"/>
  <c r="E209" i="26"/>
  <c r="AC209" i="26" s="1"/>
  <c r="B209" i="26"/>
  <c r="C210" i="26"/>
  <c r="AB210" i="26" s="1"/>
  <c r="D210" i="26"/>
  <c r="H297" i="5"/>
  <c r="G291" i="5"/>
  <c r="BW291" i="5" l="1"/>
  <c r="V633" i="2"/>
  <c r="I519" i="2"/>
  <c r="I520" i="2" s="1"/>
  <c r="I521" i="2" s="1"/>
  <c r="N687" i="2"/>
  <c r="D301" i="29"/>
  <c r="C301" i="29"/>
  <c r="E300" i="29"/>
  <c r="B300" i="29"/>
  <c r="BA297" i="5"/>
  <c r="D211" i="26"/>
  <c r="B210" i="26"/>
  <c r="C211" i="26"/>
  <c r="AB211" i="26" s="1"/>
  <c r="E210" i="26"/>
  <c r="AC210" i="26" s="1"/>
  <c r="H298" i="5"/>
  <c r="G292" i="5"/>
  <c r="H226" i="2"/>
  <c r="BW292" i="5" l="1"/>
  <c r="I522" i="2"/>
  <c r="V634" i="2"/>
  <c r="N688" i="2"/>
  <c r="E301" i="29"/>
  <c r="B301" i="29"/>
  <c r="D302" i="29"/>
  <c r="C302" i="29"/>
  <c r="BA298" i="5"/>
  <c r="D212" i="26"/>
  <c r="C212" i="26"/>
  <c r="AB212" i="26" s="1"/>
  <c r="E211" i="26"/>
  <c r="AC211" i="26" s="1"/>
  <c r="B211" i="26"/>
  <c r="H299" i="5"/>
  <c r="G293" i="5"/>
  <c r="H227" i="2"/>
  <c r="BW293" i="5" l="1"/>
  <c r="N689" i="2"/>
  <c r="V635" i="2"/>
  <c r="I523" i="2"/>
  <c r="H228" i="2"/>
  <c r="D303" i="29"/>
  <c r="C303" i="29"/>
  <c r="E302" i="29"/>
  <c r="B302" i="29"/>
  <c r="BA299" i="5"/>
  <c r="D213" i="26"/>
  <c r="E212" i="26"/>
  <c r="AC212" i="26" s="1"/>
  <c r="C213" i="26"/>
  <c r="AB213" i="26" s="1"/>
  <c r="B212" i="26"/>
  <c r="H300" i="5"/>
  <c r="G294" i="5"/>
  <c r="BW294" i="5" l="1"/>
  <c r="I524" i="2"/>
  <c r="V636" i="2"/>
  <c r="N690" i="2"/>
  <c r="E303" i="29"/>
  <c r="B303" i="29"/>
  <c r="D304" i="29"/>
  <c r="C304" i="29"/>
  <c r="BA300" i="5"/>
  <c r="B213" i="26"/>
  <c r="C214" i="26"/>
  <c r="AB214" i="26" s="1"/>
  <c r="E213" i="26"/>
  <c r="AC213" i="26" s="1"/>
  <c r="D214" i="26"/>
  <c r="H301" i="5"/>
  <c r="G295" i="5"/>
  <c r="H229" i="2"/>
  <c r="BW295" i="5" l="1"/>
  <c r="V637" i="2"/>
  <c r="N691" i="2"/>
  <c r="I525" i="2"/>
  <c r="D305" i="29"/>
  <c r="C305" i="29"/>
  <c r="E304" i="29"/>
  <c r="B304" i="29"/>
  <c r="BA301" i="5"/>
  <c r="C215" i="26"/>
  <c r="AB215" i="26" s="1"/>
  <c r="B214" i="26"/>
  <c r="D215" i="26"/>
  <c r="E214" i="26"/>
  <c r="AC214" i="26" s="1"/>
  <c r="H302" i="5"/>
  <c r="G296" i="5"/>
  <c r="H230" i="2"/>
  <c r="BW296" i="5" l="1"/>
  <c r="N692" i="2"/>
  <c r="I526" i="2"/>
  <c r="I527" i="2" s="1"/>
  <c r="I528" i="2" s="1"/>
  <c r="V638" i="2"/>
  <c r="E305" i="29"/>
  <c r="B305" i="29"/>
  <c r="D306" i="29"/>
  <c r="C306" i="29"/>
  <c r="BA302" i="5"/>
  <c r="D216" i="26"/>
  <c r="E215" i="26"/>
  <c r="AC215" i="26" s="1"/>
  <c r="C216" i="26"/>
  <c r="AB216" i="26" s="1"/>
  <c r="B215" i="26"/>
  <c r="H303" i="5"/>
  <c r="G297" i="5"/>
  <c r="H231" i="2"/>
  <c r="BW297" i="5" l="1"/>
  <c r="V639" i="2"/>
  <c r="I529" i="2"/>
  <c r="N693" i="2"/>
  <c r="G298" i="5"/>
  <c r="D307" i="29"/>
  <c r="C307" i="29"/>
  <c r="E306" i="29"/>
  <c r="B306" i="29"/>
  <c r="BA303" i="5"/>
  <c r="D217" i="26"/>
  <c r="C217" i="26"/>
  <c r="AB217" i="26" s="1"/>
  <c r="B216" i="26"/>
  <c r="E216" i="26"/>
  <c r="AC216" i="26" s="1"/>
  <c r="H304" i="5"/>
  <c r="H232" i="2"/>
  <c r="BW298" i="5" l="1"/>
  <c r="N694" i="2"/>
  <c r="V640" i="2"/>
  <c r="I530" i="2"/>
  <c r="E307" i="29"/>
  <c r="B307" i="29"/>
  <c r="D308" i="29"/>
  <c r="C308" i="29"/>
  <c r="BA304" i="5"/>
  <c r="E217" i="26"/>
  <c r="AC217" i="26" s="1"/>
  <c r="D218" i="26"/>
  <c r="C218" i="26"/>
  <c r="AB218" i="26" s="1"/>
  <c r="B217" i="26"/>
  <c r="H305" i="5"/>
  <c r="G299" i="5"/>
  <c r="H233" i="2"/>
  <c r="BW299" i="5" l="1"/>
  <c r="N695" i="2"/>
  <c r="I531" i="2"/>
  <c r="I532" i="2" s="1"/>
  <c r="I533" i="2" s="1"/>
  <c r="V641" i="2"/>
  <c r="D309" i="29"/>
  <c r="C309" i="29"/>
  <c r="E308" i="29"/>
  <c r="B308" i="29"/>
  <c r="BA305" i="5"/>
  <c r="D219" i="26"/>
  <c r="E218" i="26"/>
  <c r="AC218" i="26" s="1"/>
  <c r="B218" i="26"/>
  <c r="C219" i="26"/>
  <c r="AB219" i="26" s="1"/>
  <c r="H306" i="5"/>
  <c r="G300" i="5"/>
  <c r="H234" i="2"/>
  <c r="BW300" i="5" l="1"/>
  <c r="V642" i="2"/>
  <c r="I534" i="2"/>
  <c r="I535" i="2" s="1"/>
  <c r="I536" i="2" s="1"/>
  <c r="I537" i="2" s="1"/>
  <c r="N696" i="2"/>
  <c r="E309" i="29"/>
  <c r="B309" i="29"/>
  <c r="D310" i="29"/>
  <c r="C310" i="29"/>
  <c r="BA306" i="5"/>
  <c r="E219" i="26"/>
  <c r="AC219" i="26" s="1"/>
  <c r="D220" i="26"/>
  <c r="C220" i="26"/>
  <c r="AB220" i="26" s="1"/>
  <c r="B219" i="26"/>
  <c r="H307" i="5"/>
  <c r="H235" i="2"/>
  <c r="G301" i="5"/>
  <c r="BW301" i="5" l="1"/>
  <c r="N697" i="2"/>
  <c r="V643" i="2"/>
  <c r="I538" i="2"/>
  <c r="I539" i="2" s="1"/>
  <c r="I540" i="2" s="1"/>
  <c r="D311" i="29"/>
  <c r="C311" i="29"/>
  <c r="E310" i="29"/>
  <c r="B310" i="29"/>
  <c r="BA307" i="5"/>
  <c r="D221" i="26"/>
  <c r="C221" i="26"/>
  <c r="E220" i="26"/>
  <c r="AC220" i="26" s="1"/>
  <c r="B220" i="26"/>
  <c r="G302" i="5"/>
  <c r="H236" i="2"/>
  <c r="BW302" i="5" l="1"/>
  <c r="V644" i="2"/>
  <c r="N698" i="2"/>
  <c r="I541" i="2"/>
  <c r="I542" i="2" s="1"/>
  <c r="E311" i="29"/>
  <c r="B311" i="29"/>
  <c r="D312" i="29"/>
  <c r="C312" i="29"/>
  <c r="AB221" i="26"/>
  <c r="D222" i="26"/>
  <c r="E221" i="26"/>
  <c r="AC221" i="26" s="1"/>
  <c r="B221" i="26"/>
  <c r="C222" i="26"/>
  <c r="AB222" i="26" s="1"/>
  <c r="H309" i="5"/>
  <c r="G303" i="5"/>
  <c r="H237" i="2"/>
  <c r="BW303" i="5" l="1"/>
  <c r="I543" i="2"/>
  <c r="N699" i="2"/>
  <c r="V645" i="2"/>
  <c r="D313" i="29"/>
  <c r="C313" i="29"/>
  <c r="E312" i="29"/>
  <c r="B312" i="29"/>
  <c r="BA309" i="5"/>
  <c r="E222" i="26"/>
  <c r="AC222" i="26" s="1"/>
  <c r="C223" i="26"/>
  <c r="AB223" i="26" s="1"/>
  <c r="D223" i="26"/>
  <c r="B222" i="26"/>
  <c r="H310" i="5"/>
  <c r="G304" i="5"/>
  <c r="H238" i="2"/>
  <c r="BW304" i="5" l="1"/>
  <c r="BA310" i="5"/>
  <c r="N700" i="2"/>
  <c r="V646" i="2"/>
  <c r="I544" i="2"/>
  <c r="I545" i="2" s="1"/>
  <c r="G305" i="5"/>
  <c r="E313" i="29"/>
  <c r="B313" i="29"/>
  <c r="D314" i="29"/>
  <c r="C314" i="29"/>
  <c r="C224" i="26"/>
  <c r="AB224" i="26" s="1"/>
  <c r="D224" i="26"/>
  <c r="E223" i="26"/>
  <c r="AC223" i="26" s="1"/>
  <c r="B223" i="26"/>
  <c r="H311" i="5"/>
  <c r="H239" i="2"/>
  <c r="BW305" i="5" l="1"/>
  <c r="BA311" i="5"/>
  <c r="I546" i="2"/>
  <c r="I547" i="2" s="1"/>
  <c r="I548" i="2" s="1"/>
  <c r="I549" i="2" s="1"/>
  <c r="I550" i="2" s="1"/>
  <c r="V647" i="2"/>
  <c r="N701" i="2"/>
  <c r="D315" i="29"/>
  <c r="C315" i="29"/>
  <c r="E314" i="29"/>
  <c r="B314" i="29"/>
  <c r="C225" i="26"/>
  <c r="AB225" i="26" s="1"/>
  <c r="B224" i="26"/>
  <c r="E224" i="26"/>
  <c r="AC224" i="26" s="1"/>
  <c r="D225" i="26"/>
  <c r="H312" i="5"/>
  <c r="G306" i="5"/>
  <c r="H240" i="2"/>
  <c r="BW306" i="5" l="1"/>
  <c r="BA312" i="5"/>
  <c r="N702" i="2"/>
  <c r="V648" i="2"/>
  <c r="I551" i="2"/>
  <c r="I552" i="2" s="1"/>
  <c r="I553" i="2" s="1"/>
  <c r="E315" i="29"/>
  <c r="B315" i="29"/>
  <c r="D316" i="29"/>
  <c r="C316" i="29"/>
  <c r="D226" i="26"/>
  <c r="E225" i="26"/>
  <c r="AC225" i="26" s="1"/>
  <c r="C226" i="26"/>
  <c r="AB226" i="26" s="1"/>
  <c r="B225" i="26"/>
  <c r="H313" i="5"/>
  <c r="G307" i="5"/>
  <c r="H241" i="2"/>
  <c r="BA313" i="5" l="1"/>
  <c r="BW307" i="5"/>
  <c r="I554" i="2"/>
  <c r="V649" i="2"/>
  <c r="N703" i="2"/>
  <c r="D317" i="29"/>
  <c r="C317" i="29"/>
  <c r="E316" i="29"/>
  <c r="B316" i="29"/>
  <c r="B226" i="26"/>
  <c r="C227" i="26"/>
  <c r="AB227" i="26" s="1"/>
  <c r="E226" i="26"/>
  <c r="AC226" i="26" s="1"/>
  <c r="D227" i="26"/>
  <c r="H314" i="5"/>
  <c r="G308" i="5"/>
  <c r="H242" i="2"/>
  <c r="BW308" i="5" l="1"/>
  <c r="N704" i="2"/>
  <c r="V650" i="2"/>
  <c r="I555" i="2"/>
  <c r="I556" i="2" s="1"/>
  <c r="I557" i="2" s="1"/>
  <c r="I558" i="2" s="1"/>
  <c r="BA314" i="5"/>
  <c r="E317" i="29"/>
  <c r="B317" i="29"/>
  <c r="D318" i="29"/>
  <c r="C318" i="29"/>
  <c r="E227" i="26"/>
  <c r="AC227" i="26" s="1"/>
  <c r="B227" i="26"/>
  <c r="D228" i="26"/>
  <c r="C228" i="26"/>
  <c r="AB228" i="26" s="1"/>
  <c r="H315" i="5"/>
  <c r="H243" i="2"/>
  <c r="G309" i="5"/>
  <c r="BW309" i="5" l="1"/>
  <c r="BA315" i="5"/>
  <c r="V651" i="2"/>
  <c r="I559" i="2"/>
  <c r="N705" i="2"/>
  <c r="D319" i="29"/>
  <c r="C319" i="29"/>
  <c r="E318" i="29"/>
  <c r="B318" i="29"/>
  <c r="E228" i="26"/>
  <c r="AC228" i="26" s="1"/>
  <c r="C229" i="26"/>
  <c r="AB229" i="26" s="1"/>
  <c r="D229" i="26"/>
  <c r="B228" i="26"/>
  <c r="H316" i="5"/>
  <c r="G310" i="5"/>
  <c r="H244" i="2"/>
  <c r="BW310" i="5" l="1"/>
  <c r="N706" i="2"/>
  <c r="I560" i="2"/>
  <c r="I561" i="2" s="1"/>
  <c r="V652" i="2"/>
  <c r="BA316" i="5"/>
  <c r="E319" i="29"/>
  <c r="B319" i="29"/>
  <c r="D320" i="29"/>
  <c r="C320" i="29"/>
  <c r="C230" i="26"/>
  <c r="AB230" i="26" s="1"/>
  <c r="B229" i="26"/>
  <c r="D230" i="26"/>
  <c r="E229" i="26"/>
  <c r="AC229" i="26" s="1"/>
  <c r="H317" i="5"/>
  <c r="H245" i="2"/>
  <c r="G311" i="5"/>
  <c r="BW311" i="5" l="1"/>
  <c r="V653" i="2"/>
  <c r="I562" i="2"/>
  <c r="N707" i="2"/>
  <c r="BA317" i="5"/>
  <c r="D321" i="29"/>
  <c r="C321" i="29"/>
  <c r="E320" i="29"/>
  <c r="B320" i="29"/>
  <c r="D231" i="26"/>
  <c r="E230" i="26"/>
  <c r="AC230" i="26" s="1"/>
  <c r="B230" i="26"/>
  <c r="C231" i="26"/>
  <c r="AB231" i="26" s="1"/>
  <c r="H318" i="5"/>
  <c r="H246" i="2"/>
  <c r="G312" i="5"/>
  <c r="BW312" i="5" l="1"/>
  <c r="N708" i="2"/>
  <c r="I563" i="2"/>
  <c r="I564" i="2" s="1"/>
  <c r="V654" i="2"/>
  <c r="G313" i="5"/>
  <c r="BA318" i="5"/>
  <c r="E321" i="29"/>
  <c r="B321" i="29"/>
  <c r="D322" i="29"/>
  <c r="C322" i="29"/>
  <c r="B231" i="26"/>
  <c r="D232" i="26"/>
  <c r="C232" i="26"/>
  <c r="AB232" i="26" s="1"/>
  <c r="E231" i="26"/>
  <c r="AC231" i="26" s="1"/>
  <c r="H319" i="5"/>
  <c r="H247" i="2"/>
  <c r="BW313" i="5" l="1"/>
  <c r="V655" i="2"/>
  <c r="I565" i="2"/>
  <c r="I566" i="2" s="1"/>
  <c r="I567" i="2" s="1"/>
  <c r="N709" i="2"/>
  <c r="BA319" i="5"/>
  <c r="D323" i="29"/>
  <c r="C323" i="29"/>
  <c r="E322" i="29"/>
  <c r="B322" i="29"/>
  <c r="C233" i="26"/>
  <c r="AB233" i="26" s="1"/>
  <c r="B232" i="26"/>
  <c r="E232" i="26"/>
  <c r="AC232" i="26" s="1"/>
  <c r="D233" i="26"/>
  <c r="H320" i="5"/>
  <c r="G314" i="5"/>
  <c r="H248" i="2"/>
  <c r="BW314" i="5" l="1"/>
  <c r="I568" i="2"/>
  <c r="I569" i="2" s="1"/>
  <c r="V656" i="2"/>
  <c r="N710" i="2"/>
  <c r="BA320" i="5"/>
  <c r="E323" i="29"/>
  <c r="B323" i="29"/>
  <c r="D324" i="29"/>
  <c r="C324" i="29"/>
  <c r="D234" i="26"/>
  <c r="C234" i="26"/>
  <c r="AB234" i="26" s="1"/>
  <c r="B233" i="26"/>
  <c r="E233" i="26"/>
  <c r="AC233" i="26" s="1"/>
  <c r="H321" i="5"/>
  <c r="G315" i="5"/>
  <c r="H249" i="2"/>
  <c r="BW315" i="5" l="1"/>
  <c r="N711" i="2"/>
  <c r="V657" i="2"/>
  <c r="I570" i="2"/>
  <c r="BA321" i="5"/>
  <c r="D325" i="29"/>
  <c r="C325" i="29"/>
  <c r="E324" i="29"/>
  <c r="B324" i="29"/>
  <c r="D235" i="26"/>
  <c r="E234" i="26"/>
  <c r="AC234" i="26" s="1"/>
  <c r="B234" i="26"/>
  <c r="C235" i="26"/>
  <c r="AB235" i="26" s="1"/>
  <c r="H322" i="5"/>
  <c r="G316" i="5"/>
  <c r="H250" i="2"/>
  <c r="BW316" i="5" l="1"/>
  <c r="I571" i="2"/>
  <c r="V658" i="2"/>
  <c r="N712" i="2"/>
  <c r="BA322" i="5"/>
  <c r="E325" i="29"/>
  <c r="B325" i="29"/>
  <c r="D326" i="29"/>
  <c r="C326" i="29"/>
  <c r="E235" i="26"/>
  <c r="AC235" i="26" s="1"/>
  <c r="C236" i="26"/>
  <c r="AB236" i="26" s="1"/>
  <c r="B235" i="26"/>
  <c r="D236" i="26"/>
  <c r="H323" i="5"/>
  <c r="G317" i="5"/>
  <c r="H251" i="2"/>
  <c r="BW317" i="5" l="1"/>
  <c r="N713" i="2"/>
  <c r="V659" i="2"/>
  <c r="I572" i="2"/>
  <c r="I573" i="2" s="1"/>
  <c r="I574" i="2" s="1"/>
  <c r="I575" i="2" s="1"/>
  <c r="BA323" i="5"/>
  <c r="D327" i="29"/>
  <c r="C327" i="29"/>
  <c r="E326" i="29"/>
  <c r="B326" i="29"/>
  <c r="E236" i="26"/>
  <c r="AC236" i="26" s="1"/>
  <c r="C237" i="26"/>
  <c r="AB237" i="26" s="1"/>
  <c r="D237" i="26"/>
  <c r="B236" i="26"/>
  <c r="H324" i="5"/>
  <c r="H252" i="2"/>
  <c r="G318" i="5"/>
  <c r="BW318" i="5" l="1"/>
  <c r="I576" i="2"/>
  <c r="I577" i="2" s="1"/>
  <c r="N714" i="2"/>
  <c r="V660" i="2"/>
  <c r="BA324" i="5"/>
  <c r="E327" i="29"/>
  <c r="B327" i="29"/>
  <c r="D328" i="29"/>
  <c r="C328" i="29"/>
  <c r="C238" i="26"/>
  <c r="AB238" i="26" s="1"/>
  <c r="B237" i="26"/>
  <c r="D238" i="26"/>
  <c r="E237" i="26"/>
  <c r="AC237" i="26" s="1"/>
  <c r="H325" i="5"/>
  <c r="H253" i="2"/>
  <c r="G319" i="5"/>
  <c r="BW319" i="5" l="1"/>
  <c r="V661" i="2"/>
  <c r="N715" i="2"/>
  <c r="I578" i="2"/>
  <c r="BA325" i="5"/>
  <c r="D329" i="29"/>
  <c r="C329" i="29"/>
  <c r="E328" i="29"/>
  <c r="B328" i="29"/>
  <c r="D239" i="26"/>
  <c r="B238" i="26"/>
  <c r="E238" i="26"/>
  <c r="AC238" i="26" s="1"/>
  <c r="C239" i="26"/>
  <c r="AB239" i="26" s="1"/>
  <c r="H326" i="5"/>
  <c r="G320" i="5"/>
  <c r="H254" i="2"/>
  <c r="BW320" i="5" l="1"/>
  <c r="I579" i="2"/>
  <c r="N716" i="2"/>
  <c r="V662" i="2"/>
  <c r="BA326" i="5"/>
  <c r="E329" i="29"/>
  <c r="B329" i="29"/>
  <c r="D330" i="29"/>
  <c r="C330" i="29"/>
  <c r="C240" i="26"/>
  <c r="AB240" i="26" s="1"/>
  <c r="E239" i="26"/>
  <c r="AC239" i="26" s="1"/>
  <c r="D240" i="26"/>
  <c r="B239" i="26"/>
  <c r="H327" i="5"/>
  <c r="G321" i="5"/>
  <c r="H255" i="2"/>
  <c r="BW321" i="5" l="1"/>
  <c r="V663" i="2"/>
  <c r="N717" i="2"/>
  <c r="I580" i="2"/>
  <c r="I581" i="2" s="1"/>
  <c r="G322" i="5"/>
  <c r="BA327" i="5"/>
  <c r="D331" i="29"/>
  <c r="C331" i="29"/>
  <c r="E330" i="29"/>
  <c r="B330" i="29"/>
  <c r="C241" i="26"/>
  <c r="AB241" i="26" s="1"/>
  <c r="B240" i="26"/>
  <c r="E240" i="26"/>
  <c r="AC240" i="26" s="1"/>
  <c r="D241" i="26"/>
  <c r="H328" i="5"/>
  <c r="H256" i="2"/>
  <c r="BW322" i="5" l="1"/>
  <c r="I582" i="2"/>
  <c r="I583" i="2" s="1"/>
  <c r="N718" i="2"/>
  <c r="V664" i="2"/>
  <c r="BA328" i="5"/>
  <c r="E331" i="29"/>
  <c r="B331" i="29"/>
  <c r="D332" i="29"/>
  <c r="C332" i="29"/>
  <c r="D242" i="26"/>
  <c r="B241" i="26"/>
  <c r="C242" i="26"/>
  <c r="AB242" i="26" s="1"/>
  <c r="E241" i="26"/>
  <c r="AC241" i="26" s="1"/>
  <c r="H329" i="5"/>
  <c r="G323" i="5"/>
  <c r="H257" i="2"/>
  <c r="BW323" i="5" l="1"/>
  <c r="N719" i="2"/>
  <c r="V665" i="2"/>
  <c r="I584" i="2"/>
  <c r="I585" i="2" s="1"/>
  <c r="I586" i="2" s="1"/>
  <c r="I587" i="2" s="1"/>
  <c r="BA329" i="5"/>
  <c r="D333" i="29"/>
  <c r="C333" i="29"/>
  <c r="E332" i="29"/>
  <c r="B332" i="29"/>
  <c r="E242" i="26"/>
  <c r="AC242" i="26" s="1"/>
  <c r="C243" i="26"/>
  <c r="AB243" i="26" s="1"/>
  <c r="D243" i="26"/>
  <c r="B242" i="26"/>
  <c r="H330" i="5"/>
  <c r="H258" i="2"/>
  <c r="G324" i="5"/>
  <c r="BW324" i="5" l="1"/>
  <c r="N720" i="2"/>
  <c r="I588" i="2"/>
  <c r="I589" i="2" s="1"/>
  <c r="V666" i="2"/>
  <c r="H259" i="2"/>
  <c r="BA330" i="5"/>
  <c r="E333" i="29"/>
  <c r="B333" i="29"/>
  <c r="D334" i="29"/>
  <c r="C334" i="29"/>
  <c r="C244" i="26"/>
  <c r="AB244" i="26" s="1"/>
  <c r="B243" i="26"/>
  <c r="D244" i="26"/>
  <c r="E243" i="26"/>
  <c r="AC243" i="26" s="1"/>
  <c r="H331" i="5"/>
  <c r="G325" i="5"/>
  <c r="BW325" i="5" l="1"/>
  <c r="V667" i="2"/>
  <c r="I590" i="2"/>
  <c r="I591" i="2" s="1"/>
  <c r="I592" i="2" s="1"/>
  <c r="N721" i="2"/>
  <c r="BA331" i="5"/>
  <c r="D335" i="29"/>
  <c r="C335" i="29"/>
  <c r="E334" i="29"/>
  <c r="B334" i="29"/>
  <c r="B244" i="26"/>
  <c r="D245" i="26"/>
  <c r="E244" i="26"/>
  <c r="AC244" i="26" s="1"/>
  <c r="C245" i="26"/>
  <c r="AB245" i="26" s="1"/>
  <c r="H332" i="5"/>
  <c r="G326" i="5"/>
  <c r="H260" i="2"/>
  <c r="BW326" i="5" l="1"/>
  <c r="V668" i="2"/>
  <c r="N722" i="2"/>
  <c r="I593" i="2"/>
  <c r="I594" i="2" s="1"/>
  <c r="I595" i="2" s="1"/>
  <c r="I596" i="2" s="1"/>
  <c r="BA332" i="5"/>
  <c r="E335" i="29"/>
  <c r="B335" i="29"/>
  <c r="D336" i="29"/>
  <c r="C336" i="29"/>
  <c r="E245" i="26"/>
  <c r="AC245" i="26" s="1"/>
  <c r="C246" i="26"/>
  <c r="AB246" i="26" s="1"/>
  <c r="D246" i="26"/>
  <c r="B245" i="26"/>
  <c r="H333" i="5"/>
  <c r="G327" i="5"/>
  <c r="H261" i="2"/>
  <c r="BW327" i="5" l="1"/>
  <c r="I597" i="2"/>
  <c r="I598" i="2" s="1"/>
  <c r="I599" i="2" s="1"/>
  <c r="I600" i="2" s="1"/>
  <c r="N723" i="2"/>
  <c r="V669" i="2"/>
  <c r="BA333" i="5"/>
  <c r="D337" i="29"/>
  <c r="C337" i="29"/>
  <c r="E336" i="29"/>
  <c r="B336" i="29"/>
  <c r="C247" i="26"/>
  <c r="AB247" i="26" s="1"/>
  <c r="B246" i="26"/>
  <c r="D247" i="26"/>
  <c r="E246" i="26"/>
  <c r="AC246" i="26" s="1"/>
  <c r="H334" i="5"/>
  <c r="G328" i="5"/>
  <c r="H262" i="2"/>
  <c r="BW328" i="5" l="1"/>
  <c r="V670" i="2"/>
  <c r="N724" i="2"/>
  <c r="I601" i="2"/>
  <c r="I602" i="2" s="1"/>
  <c r="BA334" i="5"/>
  <c r="E337" i="29"/>
  <c r="B337" i="29"/>
  <c r="D338" i="29"/>
  <c r="C338" i="29"/>
  <c r="C248" i="26"/>
  <c r="AB248" i="26" s="1"/>
  <c r="B247" i="26"/>
  <c r="E247" i="26"/>
  <c r="AC247" i="26" s="1"/>
  <c r="D248" i="26"/>
  <c r="H335" i="5"/>
  <c r="G329" i="5"/>
  <c r="H263" i="2"/>
  <c r="BW329" i="5" l="1"/>
  <c r="V671" i="2"/>
  <c r="I603" i="2"/>
  <c r="N725" i="2"/>
  <c r="H264" i="2"/>
  <c r="BA335" i="5"/>
  <c r="D339" i="29"/>
  <c r="C339" i="29"/>
  <c r="E338" i="29"/>
  <c r="B338" i="29"/>
  <c r="D249" i="26"/>
  <c r="E248" i="26"/>
  <c r="AC248" i="26" s="1"/>
  <c r="C249" i="26"/>
  <c r="AB249" i="26" s="1"/>
  <c r="B248" i="26"/>
  <c r="H336" i="5"/>
  <c r="G330" i="5"/>
  <c r="H339" i="29" l="1"/>
  <c r="BD339" i="5" s="1"/>
  <c r="BW330" i="5"/>
  <c r="N726" i="2"/>
  <c r="I604" i="2"/>
  <c r="V672" i="2"/>
  <c r="BA336" i="5"/>
  <c r="H338" i="29"/>
  <c r="E339" i="29"/>
  <c r="B339" i="29"/>
  <c r="D340" i="29"/>
  <c r="C340" i="29"/>
  <c r="B249" i="26"/>
  <c r="C250" i="26"/>
  <c r="E249" i="26"/>
  <c r="AC249" i="26" s="1"/>
  <c r="D250" i="26"/>
  <c r="H337" i="5"/>
  <c r="G331" i="5"/>
  <c r="H265" i="2"/>
  <c r="BW331" i="5" l="1"/>
  <c r="V673" i="2"/>
  <c r="I605" i="2"/>
  <c r="I606" i="2" s="1"/>
  <c r="I607" i="2" s="1"/>
  <c r="N727" i="2"/>
  <c r="I338" i="29"/>
  <c r="BE338" i="5" s="1"/>
  <c r="BD338" i="5"/>
  <c r="BA337" i="5"/>
  <c r="I339" i="29"/>
  <c r="BE339" i="5" s="1"/>
  <c r="H337" i="29"/>
  <c r="D341" i="29"/>
  <c r="C341" i="29"/>
  <c r="E340" i="29"/>
  <c r="B340" i="29"/>
  <c r="D251" i="26"/>
  <c r="E250" i="26"/>
  <c r="AC250" i="26" s="1"/>
  <c r="B250" i="26"/>
  <c r="C251" i="26"/>
  <c r="AB251" i="26" s="1"/>
  <c r="AB250" i="26"/>
  <c r="H338" i="5"/>
  <c r="G332" i="5"/>
  <c r="H266" i="2"/>
  <c r="AF404" i="29" l="1"/>
  <c r="AF403" i="29"/>
  <c r="AF402" i="29"/>
  <c r="AF401" i="29"/>
  <c r="AF400" i="29"/>
  <c r="AF399" i="29"/>
  <c r="AF398" i="29"/>
  <c r="AF397" i="29"/>
  <c r="AF396" i="29"/>
  <c r="AF395" i="29"/>
  <c r="AF394" i="29"/>
  <c r="AF393" i="29"/>
  <c r="AF392" i="29"/>
  <c r="AF391" i="29"/>
  <c r="AF390" i="29"/>
  <c r="AF389" i="29"/>
  <c r="AF388" i="29"/>
  <c r="AF387" i="29"/>
  <c r="AF386" i="29"/>
  <c r="AF385" i="29"/>
  <c r="AF384" i="29"/>
  <c r="AF383" i="29"/>
  <c r="AF382" i="29"/>
  <c r="AF381" i="29"/>
  <c r="AF380" i="29"/>
  <c r="AF379" i="29"/>
  <c r="AF378" i="29"/>
  <c r="AF377" i="29"/>
  <c r="AF376" i="29"/>
  <c r="AF375" i="29"/>
  <c r="AF374" i="29"/>
  <c r="I404" i="29"/>
  <c r="I403" i="29"/>
  <c r="I402" i="29"/>
  <c r="I401" i="29"/>
  <c r="I400" i="29"/>
  <c r="I399" i="29"/>
  <c r="I398" i="29"/>
  <c r="I397" i="29"/>
  <c r="I396" i="29"/>
  <c r="I395" i="29"/>
  <c r="I394" i="29"/>
  <c r="I393" i="29"/>
  <c r="I392" i="29"/>
  <c r="I391" i="29"/>
  <c r="I390" i="29"/>
  <c r="I389" i="29"/>
  <c r="I388" i="29"/>
  <c r="I387" i="29"/>
  <c r="I386" i="29"/>
  <c r="I385" i="29"/>
  <c r="I384" i="29"/>
  <c r="I383" i="29"/>
  <c r="I382" i="29"/>
  <c r="I381" i="29"/>
  <c r="I380" i="29"/>
  <c r="I379" i="29"/>
  <c r="I378" i="29"/>
  <c r="I377" i="29"/>
  <c r="I376" i="29"/>
  <c r="I375" i="29"/>
  <c r="I374" i="29"/>
  <c r="BW332" i="5"/>
  <c r="V674" i="2"/>
  <c r="N728" i="2"/>
  <c r="I608" i="2"/>
  <c r="I337" i="29"/>
  <c r="BD337" i="5"/>
  <c r="L338" i="29"/>
  <c r="BF338" i="5" s="1"/>
  <c r="BA338" i="5"/>
  <c r="H336" i="29"/>
  <c r="E341" i="29"/>
  <c r="B341" i="29"/>
  <c r="D342" i="29"/>
  <c r="C342" i="29"/>
  <c r="B251" i="26"/>
  <c r="D252" i="26"/>
  <c r="C252" i="26"/>
  <c r="AB252" i="26" s="1"/>
  <c r="E251" i="26"/>
  <c r="AC251" i="26" s="1"/>
  <c r="H339" i="5"/>
  <c r="G333" i="5"/>
  <c r="H267" i="2"/>
  <c r="BE384" i="5" l="1"/>
  <c r="BT384" i="5"/>
  <c r="BT398" i="5"/>
  <c r="BE399" i="5"/>
  <c r="BT392" i="5"/>
  <c r="BE400" i="5"/>
  <c r="BT400" i="5"/>
  <c r="BE396" i="5"/>
  <c r="BE383" i="5"/>
  <c r="BE397" i="5"/>
  <c r="BE386" i="5"/>
  <c r="BT377" i="5"/>
  <c r="BT378" i="5"/>
  <c r="BE387" i="5"/>
  <c r="BT386" i="5"/>
  <c r="BE402" i="5"/>
  <c r="BT393" i="5"/>
  <c r="BE375" i="5"/>
  <c r="BE389" i="5"/>
  <c r="BE403" i="5"/>
  <c r="BT394" i="5"/>
  <c r="BT401" i="5"/>
  <c r="BT385" i="5"/>
  <c r="BE376" i="5"/>
  <c r="BT380" i="5"/>
  <c r="BT387" i="5"/>
  <c r="BE401" i="5"/>
  <c r="BE404" i="5"/>
  <c r="BE377" i="5"/>
  <c r="BT388" i="5"/>
  <c r="BT395" i="5"/>
  <c r="BT402" i="5"/>
  <c r="BT399" i="5"/>
  <c r="BE391" i="5"/>
  <c r="BE378" i="5"/>
  <c r="BE392" i="5"/>
  <c r="BT381" i="5"/>
  <c r="BT391" i="5"/>
  <c r="BE388" i="5"/>
  <c r="BE393" i="5"/>
  <c r="BT382" i="5"/>
  <c r="BT389" i="5"/>
  <c r="BT383" i="5"/>
  <c r="BE398" i="5"/>
  <c r="BE385" i="5"/>
  <c r="BT379" i="5"/>
  <c r="BE390" i="5"/>
  <c r="BE379" i="5"/>
  <c r="BE394" i="5"/>
  <c r="BT375" i="5"/>
  <c r="BT396" i="5"/>
  <c r="BT403" i="5"/>
  <c r="BE382" i="5"/>
  <c r="BT390" i="5"/>
  <c r="BE380" i="5"/>
  <c r="BE381" i="5"/>
  <c r="BE395" i="5"/>
  <c r="BT376" i="5"/>
  <c r="BT397" i="5"/>
  <c r="BT404" i="5"/>
  <c r="AJ404" i="29"/>
  <c r="BT374" i="5"/>
  <c r="M404" i="29"/>
  <c r="BE374" i="5"/>
  <c r="BA339" i="5"/>
  <c r="BW333" i="5"/>
  <c r="I609" i="2"/>
  <c r="V675" i="2"/>
  <c r="N729" i="2"/>
  <c r="I336" i="29"/>
  <c r="BD336" i="5"/>
  <c r="BE337" i="5"/>
  <c r="L337" i="29"/>
  <c r="BF337" i="5" s="1"/>
  <c r="G334" i="5"/>
  <c r="L339" i="29"/>
  <c r="H335" i="29"/>
  <c r="D343" i="29"/>
  <c r="C343" i="29"/>
  <c r="E342" i="29"/>
  <c r="B342" i="29"/>
  <c r="E252" i="26"/>
  <c r="AC252" i="26" s="1"/>
  <c r="C253" i="26"/>
  <c r="AB253" i="26" s="1"/>
  <c r="D253" i="26"/>
  <c r="B252" i="26"/>
  <c r="H340" i="5"/>
  <c r="H268" i="2"/>
  <c r="BW334" i="5" l="1"/>
  <c r="BA340" i="5"/>
  <c r="N730" i="2"/>
  <c r="V676" i="2"/>
  <c r="I610" i="2"/>
  <c r="I611" i="2" s="1"/>
  <c r="BF339" i="5"/>
  <c r="I335" i="29"/>
  <c r="BD335" i="5"/>
  <c r="BE336" i="5"/>
  <c r="L336" i="29"/>
  <c r="BF336" i="5" s="1"/>
  <c r="G335" i="5"/>
  <c r="H334" i="29"/>
  <c r="E343" i="29"/>
  <c r="B343" i="29"/>
  <c r="D344" i="29"/>
  <c r="C344" i="29"/>
  <c r="D254" i="26"/>
  <c r="E253" i="26"/>
  <c r="AC253" i="26" s="1"/>
  <c r="B253" i="26"/>
  <c r="C254" i="26"/>
  <c r="AB254" i="26" s="1"/>
  <c r="H341" i="5"/>
  <c r="H269" i="2"/>
  <c r="BW335" i="5" l="1"/>
  <c r="BA341" i="5"/>
  <c r="V677" i="2"/>
  <c r="I612" i="2"/>
  <c r="N731" i="2"/>
  <c r="I334" i="29"/>
  <c r="BD334" i="5"/>
  <c r="BE335" i="5"/>
  <c r="L335" i="29"/>
  <c r="BF335" i="5" s="1"/>
  <c r="H333" i="29"/>
  <c r="D345" i="29"/>
  <c r="C345" i="29"/>
  <c r="E344" i="29"/>
  <c r="B344" i="29"/>
  <c r="B254" i="26"/>
  <c r="D255" i="26"/>
  <c r="E254" i="26"/>
  <c r="AC254" i="26" s="1"/>
  <c r="C255" i="26"/>
  <c r="AB255" i="26" s="1"/>
  <c r="H342" i="5"/>
  <c r="G336" i="5"/>
  <c r="H270" i="2"/>
  <c r="BW336" i="5" l="1"/>
  <c r="BA342" i="5"/>
  <c r="I613" i="2"/>
  <c r="I614" i="2" s="1"/>
  <c r="I615" i="2" s="1"/>
  <c r="I616" i="2" s="1"/>
  <c r="N732" i="2"/>
  <c r="V678" i="2"/>
  <c r="H271" i="2"/>
  <c r="I333" i="29"/>
  <c r="BD333" i="5"/>
  <c r="BE334" i="5"/>
  <c r="L334" i="29"/>
  <c r="BF334" i="5" s="1"/>
  <c r="H332" i="29"/>
  <c r="E345" i="29"/>
  <c r="B345" i="29"/>
  <c r="D346" i="29"/>
  <c r="C346" i="29"/>
  <c r="E255" i="26"/>
  <c r="AC255" i="26" s="1"/>
  <c r="C256" i="26"/>
  <c r="AB256" i="26" s="1"/>
  <c r="B255" i="26"/>
  <c r="D256" i="26"/>
  <c r="H343" i="5"/>
  <c r="G337" i="5"/>
  <c r="BW337" i="5" l="1"/>
  <c r="BA343" i="5"/>
  <c r="V679" i="2"/>
  <c r="N733" i="2"/>
  <c r="I617" i="2"/>
  <c r="I332" i="29"/>
  <c r="BD332" i="5"/>
  <c r="BE333" i="5"/>
  <c r="L333" i="29"/>
  <c r="BF333" i="5" s="1"/>
  <c r="H331" i="29"/>
  <c r="D347" i="29"/>
  <c r="C347" i="29"/>
  <c r="E346" i="29"/>
  <c r="B346" i="29"/>
  <c r="C257" i="26"/>
  <c r="AB257" i="26" s="1"/>
  <c r="E256" i="26"/>
  <c r="AC256" i="26" s="1"/>
  <c r="B256" i="26"/>
  <c r="D257" i="26"/>
  <c r="H344" i="5"/>
  <c r="G338" i="5"/>
  <c r="H272" i="2"/>
  <c r="BW338" i="5" l="1"/>
  <c r="BA344" i="5"/>
  <c r="I618" i="2"/>
  <c r="I619" i="2" s="1"/>
  <c r="N734" i="2"/>
  <c r="V680" i="2"/>
  <c r="H273" i="2"/>
  <c r="I331" i="29"/>
  <c r="BD331" i="5"/>
  <c r="BE332" i="5"/>
  <c r="L332" i="29"/>
  <c r="BF332" i="5" s="1"/>
  <c r="H330" i="29"/>
  <c r="E347" i="29"/>
  <c r="B347" i="29"/>
  <c r="D348" i="29"/>
  <c r="C348" i="29"/>
  <c r="C258" i="26"/>
  <c r="AB258" i="26" s="1"/>
  <c r="B257" i="26"/>
  <c r="E257" i="26"/>
  <c r="AC257" i="26" s="1"/>
  <c r="D258" i="26"/>
  <c r="H345" i="5"/>
  <c r="G339" i="5"/>
  <c r="BW339" i="5" l="1"/>
  <c r="BA345" i="5"/>
  <c r="V681" i="2"/>
  <c r="N735" i="2"/>
  <c r="I620" i="2"/>
  <c r="H274" i="2"/>
  <c r="I330" i="29"/>
  <c r="BD330" i="5"/>
  <c r="BE331" i="5"/>
  <c r="L331" i="29"/>
  <c r="BF331" i="5" s="1"/>
  <c r="H329" i="29"/>
  <c r="D349" i="29"/>
  <c r="C349" i="29"/>
  <c r="E348" i="29"/>
  <c r="B348" i="29"/>
  <c r="D259" i="26"/>
  <c r="E258" i="26"/>
  <c r="AC258" i="26" s="1"/>
  <c r="B258" i="26"/>
  <c r="C259" i="26"/>
  <c r="AB259" i="26" s="1"/>
  <c r="H346" i="5"/>
  <c r="G340" i="5"/>
  <c r="BW340" i="5" l="1"/>
  <c r="BA346" i="5"/>
  <c r="I621" i="2"/>
  <c r="N736" i="2"/>
  <c r="V682" i="2"/>
  <c r="I329" i="29"/>
  <c r="BD329" i="5"/>
  <c r="BE330" i="5"/>
  <c r="L330" i="29"/>
  <c r="BF330" i="5" s="1"/>
  <c r="H328" i="29"/>
  <c r="E349" i="29"/>
  <c r="B349" i="29"/>
  <c r="D350" i="29"/>
  <c r="C350" i="29"/>
  <c r="D260" i="26"/>
  <c r="C260" i="26"/>
  <c r="AB260" i="26" s="1"/>
  <c r="B259" i="26"/>
  <c r="E259" i="26"/>
  <c r="AC259" i="26" s="1"/>
  <c r="H347" i="5"/>
  <c r="G341" i="5"/>
  <c r="H275" i="2"/>
  <c r="BW341" i="5" l="1"/>
  <c r="BA347" i="5"/>
  <c r="V683" i="2"/>
  <c r="N737" i="2"/>
  <c r="I622" i="2"/>
  <c r="I623" i="2" s="1"/>
  <c r="I624" i="2" s="1"/>
  <c r="I328" i="29"/>
  <c r="BD328" i="5"/>
  <c r="BE329" i="5"/>
  <c r="L329" i="29"/>
  <c r="BF329" i="5" s="1"/>
  <c r="G342" i="5"/>
  <c r="H327" i="29"/>
  <c r="D351" i="29"/>
  <c r="C351" i="29"/>
  <c r="E350" i="29"/>
  <c r="B350" i="29"/>
  <c r="D261" i="26"/>
  <c r="B260" i="26"/>
  <c r="C261" i="26"/>
  <c r="AB261" i="26" s="1"/>
  <c r="E260" i="26"/>
  <c r="AC260" i="26" s="1"/>
  <c r="H348" i="5"/>
  <c r="H276" i="2"/>
  <c r="BW342" i="5" l="1"/>
  <c r="BA348" i="5"/>
  <c r="V684" i="2"/>
  <c r="I625" i="2"/>
  <c r="I626" i="2" s="1"/>
  <c r="I327" i="29"/>
  <c r="BD327" i="5"/>
  <c r="BE328" i="5"/>
  <c r="L328" i="29"/>
  <c r="BF328" i="5" s="1"/>
  <c r="H326" i="29"/>
  <c r="E351" i="29"/>
  <c r="B351" i="29"/>
  <c r="D352" i="29"/>
  <c r="C352" i="29"/>
  <c r="H5" i="25"/>
  <c r="B261" i="26"/>
  <c r="E261" i="26"/>
  <c r="AC261" i="26" s="1"/>
  <c r="D262" i="26"/>
  <c r="C262" i="26"/>
  <c r="AB262" i="26" s="1"/>
  <c r="D6" i="24"/>
  <c r="C6" i="24"/>
  <c r="H6" i="24" s="1"/>
  <c r="H349" i="5"/>
  <c r="D6" i="5"/>
  <c r="E5" i="5"/>
  <c r="I5" i="5" s="1"/>
  <c r="BZ5" i="5" s="1"/>
  <c r="B5" i="5"/>
  <c r="C6" i="5"/>
  <c r="G343" i="5"/>
  <c r="H277" i="2"/>
  <c r="BW343" i="5" l="1"/>
  <c r="BA349" i="5"/>
  <c r="V685" i="2"/>
  <c r="I627" i="2"/>
  <c r="I628" i="2" s="1"/>
  <c r="H278" i="2"/>
  <c r="I326" i="29"/>
  <c r="BD326" i="5"/>
  <c r="BE327" i="5"/>
  <c r="L327" i="29"/>
  <c r="BF327" i="5" s="1"/>
  <c r="H325" i="29"/>
  <c r="D353" i="29"/>
  <c r="C353" i="29"/>
  <c r="E352" i="29"/>
  <c r="B352" i="29"/>
  <c r="E5" i="25"/>
  <c r="B5" i="25"/>
  <c r="D6" i="25"/>
  <c r="C6" i="25"/>
  <c r="H6" i="25" s="1"/>
  <c r="D263" i="26"/>
  <c r="C263" i="26"/>
  <c r="AB263" i="26" s="1"/>
  <c r="E262" i="26"/>
  <c r="AC262" i="26" s="1"/>
  <c r="B262" i="26"/>
  <c r="H7" i="24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5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H65" i="24" s="1"/>
  <c r="H66" i="24" s="1"/>
  <c r="H67" i="24" s="1"/>
  <c r="H68" i="24" s="1"/>
  <c r="H69" i="24" s="1"/>
  <c r="H70" i="24" s="1"/>
  <c r="H71" i="24" s="1"/>
  <c r="H72" i="24" s="1"/>
  <c r="H73" i="24" s="1"/>
  <c r="H74" i="24" s="1"/>
  <c r="H75" i="24" s="1"/>
  <c r="H76" i="24" s="1"/>
  <c r="H77" i="24" s="1"/>
  <c r="H78" i="24" s="1"/>
  <c r="H79" i="24" s="1"/>
  <c r="H80" i="24" s="1"/>
  <c r="H81" i="24" s="1"/>
  <c r="H82" i="24" s="1"/>
  <c r="H83" i="24" s="1"/>
  <c r="H84" i="24" s="1"/>
  <c r="H85" i="24" s="1"/>
  <c r="H86" i="24" s="1"/>
  <c r="H87" i="24" s="1"/>
  <c r="H88" i="24" s="1"/>
  <c r="H89" i="24" s="1"/>
  <c r="H90" i="24" s="1"/>
  <c r="H91" i="24" s="1"/>
  <c r="H92" i="24" s="1"/>
  <c r="H93" i="24" s="1"/>
  <c r="H94" i="24" s="1"/>
  <c r="H95" i="24" s="1"/>
  <c r="H96" i="24" s="1"/>
  <c r="H97" i="24" s="1"/>
  <c r="H98" i="24" s="1"/>
  <c r="H99" i="24" s="1"/>
  <c r="H100" i="24" s="1"/>
  <c r="H101" i="24" s="1"/>
  <c r="H102" i="24" s="1"/>
  <c r="H103" i="24" s="1"/>
  <c r="H104" i="24" s="1"/>
  <c r="H105" i="24" s="1"/>
  <c r="H106" i="24" s="1"/>
  <c r="H107" i="24" s="1"/>
  <c r="H108" i="24" s="1"/>
  <c r="H109" i="24" s="1"/>
  <c r="H110" i="24" s="1"/>
  <c r="H111" i="24" s="1"/>
  <c r="H112" i="24" s="1"/>
  <c r="H113" i="24" s="1"/>
  <c r="H114" i="24" s="1"/>
  <c r="H115" i="24" s="1"/>
  <c r="H116" i="24" s="1"/>
  <c r="H117" i="24" s="1"/>
  <c r="H118" i="24" s="1"/>
  <c r="H119" i="24" s="1"/>
  <c r="H120" i="24" s="1"/>
  <c r="H121" i="24" s="1"/>
  <c r="H122" i="24" s="1"/>
  <c r="H123" i="24" s="1"/>
  <c r="H124" i="24" s="1"/>
  <c r="H125" i="24" s="1"/>
  <c r="H126" i="24" s="1"/>
  <c r="H127" i="24" s="1"/>
  <c r="H128" i="24" s="1"/>
  <c r="H129" i="24" s="1"/>
  <c r="H130" i="24" s="1"/>
  <c r="H131" i="24" s="1"/>
  <c r="H132" i="24" s="1"/>
  <c r="H133" i="24" s="1"/>
  <c r="H134" i="24" s="1"/>
  <c r="H135" i="24" s="1"/>
  <c r="H136" i="24" s="1"/>
  <c r="H137" i="24" s="1"/>
  <c r="H138" i="24" s="1"/>
  <c r="H139" i="24" s="1"/>
  <c r="H140" i="24" s="1"/>
  <c r="H141" i="24" s="1"/>
  <c r="H142" i="24" s="1"/>
  <c r="H143" i="24" s="1"/>
  <c r="H144" i="24" s="1"/>
  <c r="H145" i="24" s="1"/>
  <c r="H146" i="24" s="1"/>
  <c r="H147" i="24" s="1"/>
  <c r="H148" i="24" s="1"/>
  <c r="H149" i="24" s="1"/>
  <c r="H150" i="24" s="1"/>
  <c r="H151" i="24" s="1"/>
  <c r="H152" i="24" s="1"/>
  <c r="H153" i="24" s="1"/>
  <c r="H154" i="24" s="1"/>
  <c r="H155" i="24" s="1"/>
  <c r="H156" i="24" s="1"/>
  <c r="H157" i="24" s="1"/>
  <c r="H158" i="24" s="1"/>
  <c r="H159" i="24" s="1"/>
  <c r="H160" i="24" s="1"/>
  <c r="H161" i="24" s="1"/>
  <c r="H162" i="24" s="1"/>
  <c r="H163" i="24" s="1"/>
  <c r="H164" i="24" s="1"/>
  <c r="H165" i="24" s="1"/>
  <c r="H166" i="24" s="1"/>
  <c r="H167" i="24" s="1"/>
  <c r="H168" i="24" s="1"/>
  <c r="H169" i="24" s="1"/>
  <c r="H170" i="24" s="1"/>
  <c r="H171" i="24" s="1"/>
  <c r="H172" i="24" s="1"/>
  <c r="H173" i="24" s="1"/>
  <c r="H174" i="24" s="1"/>
  <c r="H175" i="24" s="1"/>
  <c r="H176" i="24" s="1"/>
  <c r="H177" i="24" s="1"/>
  <c r="H178" i="24" s="1"/>
  <c r="H179" i="24" s="1"/>
  <c r="H180" i="24" s="1"/>
  <c r="H181" i="24" s="1"/>
  <c r="H182" i="24" s="1"/>
  <c r="H183" i="24" s="1"/>
  <c r="H184" i="24" s="1"/>
  <c r="H185" i="24" s="1"/>
  <c r="H186" i="24" s="1"/>
  <c r="H187" i="24" s="1"/>
  <c r="H188" i="24" s="1"/>
  <c r="H189" i="24" s="1"/>
  <c r="H190" i="24" s="1"/>
  <c r="H191" i="24" s="1"/>
  <c r="H192" i="24" s="1"/>
  <c r="H193" i="24" s="1"/>
  <c r="H194" i="24" s="1"/>
  <c r="H195" i="24" s="1"/>
  <c r="H196" i="24" s="1"/>
  <c r="H197" i="24" s="1"/>
  <c r="H198" i="24" s="1"/>
  <c r="H199" i="24" s="1"/>
  <c r="H200" i="24" s="1"/>
  <c r="H201" i="24" s="1"/>
  <c r="H202" i="24" s="1"/>
  <c r="H203" i="24" s="1"/>
  <c r="H204" i="24" s="1"/>
  <c r="H205" i="24" s="1"/>
  <c r="H206" i="24" s="1"/>
  <c r="H207" i="24" s="1"/>
  <c r="H208" i="24" s="1"/>
  <c r="H209" i="24" s="1"/>
  <c r="H210" i="24" s="1"/>
  <c r="H211" i="24" s="1"/>
  <c r="H212" i="24" s="1"/>
  <c r="H213" i="24" s="1"/>
  <c r="H214" i="24" s="1"/>
  <c r="H215" i="24" s="1"/>
  <c r="H216" i="24" s="1"/>
  <c r="H217" i="24" s="1"/>
  <c r="H218" i="24" s="1"/>
  <c r="H219" i="24" s="1"/>
  <c r="H220" i="24" s="1"/>
  <c r="H221" i="24" s="1"/>
  <c r="H222" i="24" s="1"/>
  <c r="H223" i="24" s="1"/>
  <c r="H224" i="24" s="1"/>
  <c r="H225" i="24" s="1"/>
  <c r="H226" i="24" s="1"/>
  <c r="H227" i="24" s="1"/>
  <c r="H228" i="24" s="1"/>
  <c r="H229" i="24" s="1"/>
  <c r="H230" i="24" s="1"/>
  <c r="H231" i="24" s="1"/>
  <c r="H232" i="24" s="1"/>
  <c r="H233" i="24" s="1"/>
  <c r="H234" i="24" s="1"/>
  <c r="H235" i="24" s="1"/>
  <c r="H236" i="24" s="1"/>
  <c r="H237" i="24" s="1"/>
  <c r="H238" i="24" s="1"/>
  <c r="H239" i="24" s="1"/>
  <c r="H240" i="24" s="1"/>
  <c r="H241" i="24" s="1"/>
  <c r="H242" i="24" s="1"/>
  <c r="H243" i="24" s="1"/>
  <c r="H244" i="24" s="1"/>
  <c r="H245" i="24" s="1"/>
  <c r="H246" i="24" s="1"/>
  <c r="H247" i="24" s="1"/>
  <c r="H248" i="24" s="1"/>
  <c r="H249" i="24" s="1"/>
  <c r="H250" i="24" s="1"/>
  <c r="H251" i="24" s="1"/>
  <c r="H252" i="24" s="1"/>
  <c r="H253" i="24" s="1"/>
  <c r="H254" i="24" s="1"/>
  <c r="H255" i="24" s="1"/>
  <c r="H256" i="24" s="1"/>
  <c r="H257" i="24" s="1"/>
  <c r="H258" i="24" s="1"/>
  <c r="H259" i="24" s="1"/>
  <c r="H260" i="24" s="1"/>
  <c r="H261" i="24" s="1"/>
  <c r="H262" i="24" s="1"/>
  <c r="H263" i="24" s="1"/>
  <c r="H264" i="24" s="1"/>
  <c r="H265" i="24" s="1"/>
  <c r="H266" i="24" s="1"/>
  <c r="H267" i="24" s="1"/>
  <c r="H268" i="24" s="1"/>
  <c r="H269" i="24" s="1"/>
  <c r="H270" i="24" s="1"/>
  <c r="H271" i="24" s="1"/>
  <c r="H272" i="24" s="1"/>
  <c r="H273" i="24" s="1"/>
  <c r="H274" i="24" s="1"/>
  <c r="H275" i="24" s="1"/>
  <c r="H276" i="24" s="1"/>
  <c r="H277" i="24" s="1"/>
  <c r="H278" i="24" s="1"/>
  <c r="H279" i="24" s="1"/>
  <c r="H280" i="24" s="1"/>
  <c r="H281" i="24" s="1"/>
  <c r="H282" i="24" s="1"/>
  <c r="H283" i="24" s="1"/>
  <c r="H284" i="24" s="1"/>
  <c r="H285" i="24" s="1"/>
  <c r="H286" i="24" s="1"/>
  <c r="H287" i="24" s="1"/>
  <c r="H288" i="24" s="1"/>
  <c r="H289" i="24" s="1"/>
  <c r="H290" i="24" s="1"/>
  <c r="H291" i="24" s="1"/>
  <c r="H292" i="24" s="1"/>
  <c r="H293" i="24" s="1"/>
  <c r="H294" i="24" s="1"/>
  <c r="H295" i="24" s="1"/>
  <c r="H296" i="24" s="1"/>
  <c r="H297" i="24" s="1"/>
  <c r="H298" i="24" s="1"/>
  <c r="H299" i="24" s="1"/>
  <c r="H300" i="24" s="1"/>
  <c r="H301" i="24" s="1"/>
  <c r="H302" i="24" s="1"/>
  <c r="H303" i="24" s="1"/>
  <c r="H304" i="24" s="1"/>
  <c r="H305" i="24" s="1"/>
  <c r="H306" i="24" s="1"/>
  <c r="H307" i="24" s="1"/>
  <c r="H308" i="24" s="1"/>
  <c r="H309" i="24" s="1"/>
  <c r="H310" i="24" s="1"/>
  <c r="H311" i="24" s="1"/>
  <c r="H312" i="24" s="1"/>
  <c r="H313" i="24" s="1"/>
  <c r="H314" i="24" s="1"/>
  <c r="H315" i="24" s="1"/>
  <c r="H316" i="24" s="1"/>
  <c r="H317" i="24" s="1"/>
  <c r="H318" i="24" s="1"/>
  <c r="H319" i="24" s="1"/>
  <c r="H320" i="24" s="1"/>
  <c r="H321" i="24" s="1"/>
  <c r="H322" i="24" s="1"/>
  <c r="H323" i="24" s="1"/>
  <c r="H324" i="24" s="1"/>
  <c r="H325" i="24" s="1"/>
  <c r="H326" i="24" s="1"/>
  <c r="H327" i="24" s="1"/>
  <c r="H328" i="24" s="1"/>
  <c r="H329" i="24" s="1"/>
  <c r="H330" i="24" s="1"/>
  <c r="H331" i="24" s="1"/>
  <c r="H332" i="24" s="1"/>
  <c r="H333" i="24" s="1"/>
  <c r="H334" i="24" s="1"/>
  <c r="H335" i="24" s="1"/>
  <c r="H336" i="24" s="1"/>
  <c r="H337" i="24" s="1"/>
  <c r="H338" i="24" s="1"/>
  <c r="H339" i="24" s="1"/>
  <c r="H340" i="24" s="1"/>
  <c r="H341" i="24" s="1"/>
  <c r="H342" i="24" s="1"/>
  <c r="H343" i="24" s="1"/>
  <c r="H344" i="24" s="1"/>
  <c r="H345" i="24" s="1"/>
  <c r="H346" i="24" s="1"/>
  <c r="H347" i="24" s="1"/>
  <c r="H348" i="24" s="1"/>
  <c r="H349" i="24" s="1"/>
  <c r="H350" i="24" s="1"/>
  <c r="H351" i="24" s="1"/>
  <c r="H352" i="24" s="1"/>
  <c r="H353" i="24" s="1"/>
  <c r="H354" i="24" s="1"/>
  <c r="H355" i="24" s="1"/>
  <c r="H356" i="24" s="1"/>
  <c r="H357" i="24" s="1"/>
  <c r="H358" i="24" s="1"/>
  <c r="H359" i="24" s="1"/>
  <c r="H360" i="24" s="1"/>
  <c r="H361" i="24" s="1"/>
  <c r="H362" i="24" s="1"/>
  <c r="H363" i="24" s="1"/>
  <c r="H364" i="24" s="1"/>
  <c r="H365" i="24" s="1"/>
  <c r="H366" i="24" s="1"/>
  <c r="H367" i="24" s="1"/>
  <c r="B6" i="24"/>
  <c r="E6" i="24"/>
  <c r="D7" i="24"/>
  <c r="C7" i="24"/>
  <c r="J5" i="5"/>
  <c r="G344" i="5"/>
  <c r="B6" i="5"/>
  <c r="D7" i="5"/>
  <c r="E6" i="5"/>
  <c r="I6" i="5" s="1"/>
  <c r="BZ6" i="5" s="1"/>
  <c r="C7" i="5"/>
  <c r="BW344" i="5" l="1"/>
  <c r="I629" i="2"/>
  <c r="V686" i="2"/>
  <c r="H279" i="2"/>
  <c r="I325" i="29"/>
  <c r="BD325" i="5"/>
  <c r="BE326" i="5"/>
  <c r="L326" i="29"/>
  <c r="BF326" i="5" s="1"/>
  <c r="H324" i="29"/>
  <c r="E353" i="29"/>
  <c r="B353" i="29"/>
  <c r="D354" i="29"/>
  <c r="C354" i="29"/>
  <c r="E6" i="25"/>
  <c r="C7" i="25"/>
  <c r="H7" i="25" s="1"/>
  <c r="D7" i="25"/>
  <c r="B6" i="25"/>
  <c r="B263" i="26"/>
  <c r="E263" i="26"/>
  <c r="AC263" i="26" s="1"/>
  <c r="D264" i="26"/>
  <c r="C264" i="26"/>
  <c r="AB264" i="26" s="1"/>
  <c r="J6" i="5"/>
  <c r="H351" i="5"/>
  <c r="B7" i="24"/>
  <c r="D8" i="24"/>
  <c r="C8" i="24"/>
  <c r="E7" i="24"/>
  <c r="G345" i="5"/>
  <c r="D8" i="5"/>
  <c r="C8" i="5"/>
  <c r="E7" i="5"/>
  <c r="I7" i="5" s="1"/>
  <c r="BZ7" i="5" s="1"/>
  <c r="B7" i="5"/>
  <c r="C6" i="2"/>
  <c r="D6" i="2" s="1"/>
  <c r="BW345" i="5" l="1"/>
  <c r="BA351" i="5"/>
  <c r="V687" i="2"/>
  <c r="I630" i="2"/>
  <c r="I324" i="29"/>
  <c r="BD324" i="5"/>
  <c r="BE325" i="5"/>
  <c r="L325" i="29"/>
  <c r="BF325" i="5" s="1"/>
  <c r="H323" i="29"/>
  <c r="D355" i="29"/>
  <c r="C355" i="29"/>
  <c r="E354" i="29"/>
  <c r="B354" i="29"/>
  <c r="D8" i="25"/>
  <c r="E7" i="25"/>
  <c r="B7" i="25"/>
  <c r="C8" i="25"/>
  <c r="H8" i="25" s="1"/>
  <c r="C265" i="26"/>
  <c r="AB265" i="26" s="1"/>
  <c r="B264" i="26"/>
  <c r="E264" i="26"/>
  <c r="AC264" i="26" s="1"/>
  <c r="D265" i="26"/>
  <c r="H352" i="5"/>
  <c r="B8" i="24"/>
  <c r="C9" i="24"/>
  <c r="E8" i="24"/>
  <c r="D9" i="24"/>
  <c r="B8" i="5"/>
  <c r="D9" i="5"/>
  <c r="E8" i="5"/>
  <c r="I8" i="5" s="1"/>
  <c r="BZ8" i="5" s="1"/>
  <c r="C9" i="5"/>
  <c r="J7" i="5"/>
  <c r="G346" i="5"/>
  <c r="H280" i="2"/>
  <c r="E6" i="2"/>
  <c r="C7" i="2"/>
  <c r="B6" i="2"/>
  <c r="D7" i="2"/>
  <c r="BW346" i="5" l="1"/>
  <c r="BA352" i="5"/>
  <c r="I631" i="2"/>
  <c r="V688" i="2"/>
  <c r="I323" i="29"/>
  <c r="BD323" i="5"/>
  <c r="BE324" i="5"/>
  <c r="L324" i="29"/>
  <c r="BF324" i="5" s="1"/>
  <c r="H322" i="29"/>
  <c r="E355" i="29"/>
  <c r="B355" i="29"/>
  <c r="D356" i="29"/>
  <c r="C356" i="29"/>
  <c r="J8" i="5"/>
  <c r="C9" i="25"/>
  <c r="H9" i="25" s="1"/>
  <c r="B8" i="25"/>
  <c r="E8" i="25"/>
  <c r="D9" i="25"/>
  <c r="D266" i="26"/>
  <c r="C266" i="26"/>
  <c r="AB266" i="26" s="1"/>
  <c r="B265" i="26"/>
  <c r="E265" i="26"/>
  <c r="AC265" i="26" s="1"/>
  <c r="H353" i="5"/>
  <c r="B9" i="24"/>
  <c r="D10" i="24"/>
  <c r="C10" i="24"/>
  <c r="E9" i="24"/>
  <c r="B9" i="5"/>
  <c r="E9" i="5"/>
  <c r="I9" i="5" s="1"/>
  <c r="BZ9" i="5" s="1"/>
  <c r="C10" i="5"/>
  <c r="D10" i="5"/>
  <c r="G347" i="5"/>
  <c r="J6" i="2"/>
  <c r="K6" i="2" s="1"/>
  <c r="P6" i="2"/>
  <c r="R6" i="2" s="1"/>
  <c r="H281" i="2"/>
  <c r="C8" i="2"/>
  <c r="E7" i="2"/>
  <c r="D8" i="2"/>
  <c r="B7" i="2"/>
  <c r="BW347" i="5" l="1"/>
  <c r="BA353" i="5"/>
  <c r="V689" i="2"/>
  <c r="I632" i="2"/>
  <c r="I322" i="29"/>
  <c r="BD322" i="5"/>
  <c r="BE323" i="5"/>
  <c r="L323" i="29"/>
  <c r="BF323" i="5" s="1"/>
  <c r="H321" i="29"/>
  <c r="D357" i="29"/>
  <c r="C357" i="29"/>
  <c r="E356" i="29"/>
  <c r="B356" i="29"/>
  <c r="E9" i="25"/>
  <c r="D10" i="25"/>
  <c r="C10" i="25"/>
  <c r="H10" i="25" s="1"/>
  <c r="B9" i="25"/>
  <c r="E266" i="26"/>
  <c r="AC266" i="26" s="1"/>
  <c r="D267" i="26"/>
  <c r="B266" i="26"/>
  <c r="C267" i="26"/>
  <c r="AB267" i="26" s="1"/>
  <c r="H354" i="5"/>
  <c r="B10" i="24"/>
  <c r="E10" i="24"/>
  <c r="D11" i="24"/>
  <c r="C11" i="24"/>
  <c r="E10" i="5"/>
  <c r="I10" i="5" s="1"/>
  <c r="BZ10" i="5" s="1"/>
  <c r="D11" i="5"/>
  <c r="C11" i="5"/>
  <c r="B10" i="5"/>
  <c r="G348" i="5"/>
  <c r="J9" i="5"/>
  <c r="J7" i="2"/>
  <c r="P7" i="2"/>
  <c r="R7" i="2" s="1"/>
  <c r="E8" i="2"/>
  <c r="D9" i="2"/>
  <c r="C9" i="2"/>
  <c r="B8" i="2"/>
  <c r="H282" i="2"/>
  <c r="Q6" i="2"/>
  <c r="BW348" i="5" l="1"/>
  <c r="BA354" i="5"/>
  <c r="I633" i="2"/>
  <c r="I634" i="2" s="1"/>
  <c r="I635" i="2" s="1"/>
  <c r="V690" i="2"/>
  <c r="Q7" i="2"/>
  <c r="I321" i="29"/>
  <c r="BD321" i="5"/>
  <c r="BE322" i="5"/>
  <c r="L322" i="29"/>
  <c r="BF322" i="5" s="1"/>
  <c r="G349" i="5"/>
  <c r="H320" i="29"/>
  <c r="E357" i="29"/>
  <c r="B357" i="29"/>
  <c r="D358" i="29"/>
  <c r="C358" i="29"/>
  <c r="B10" i="25"/>
  <c r="C11" i="25"/>
  <c r="H11" i="25" s="1"/>
  <c r="E10" i="25"/>
  <c r="D11" i="25"/>
  <c r="E267" i="26"/>
  <c r="AC267" i="26" s="1"/>
  <c r="B267" i="26"/>
  <c r="D268" i="26"/>
  <c r="C268" i="26"/>
  <c r="AB268" i="26" s="1"/>
  <c r="J10" i="5"/>
  <c r="H355" i="5"/>
  <c r="B11" i="24"/>
  <c r="D12" i="24"/>
  <c r="C12" i="24"/>
  <c r="E11" i="24"/>
  <c r="C12" i="5"/>
  <c r="B11" i="5"/>
  <c r="E11" i="5"/>
  <c r="I11" i="5" s="1"/>
  <c r="BZ11" i="5" s="1"/>
  <c r="D12" i="5"/>
  <c r="H283" i="2"/>
  <c r="C10" i="2"/>
  <c r="D10" i="2"/>
  <c r="E9" i="2"/>
  <c r="B9" i="2"/>
  <c r="K7" i="2"/>
  <c r="J8" i="2"/>
  <c r="P8" i="2"/>
  <c r="BW349" i="5" l="1"/>
  <c r="BA355" i="5"/>
  <c r="V691" i="2"/>
  <c r="I636" i="2"/>
  <c r="I637" i="2" s="1"/>
  <c r="H284" i="2"/>
  <c r="I320" i="29"/>
  <c r="BD320" i="5"/>
  <c r="BE321" i="5"/>
  <c r="L321" i="29"/>
  <c r="BF321" i="5" s="1"/>
  <c r="H319" i="29"/>
  <c r="D359" i="29"/>
  <c r="C359" i="29"/>
  <c r="E358" i="29"/>
  <c r="B358" i="29"/>
  <c r="E11" i="25"/>
  <c r="B11" i="25"/>
  <c r="D12" i="25"/>
  <c r="C12" i="25"/>
  <c r="H12" i="25" s="1"/>
  <c r="B268" i="26"/>
  <c r="D269" i="26"/>
  <c r="E268" i="26"/>
  <c r="AC268" i="26" s="1"/>
  <c r="C269" i="26"/>
  <c r="AB269" i="26" s="1"/>
  <c r="H356" i="5"/>
  <c r="B12" i="24"/>
  <c r="C13" i="24"/>
  <c r="E12" i="24"/>
  <c r="D13" i="24"/>
  <c r="G350" i="5"/>
  <c r="C13" i="5"/>
  <c r="E12" i="5"/>
  <c r="I12" i="5" s="1"/>
  <c r="BZ12" i="5" s="1"/>
  <c r="B12" i="5"/>
  <c r="D13" i="5"/>
  <c r="J11" i="5"/>
  <c r="K8" i="2"/>
  <c r="J9" i="2"/>
  <c r="P9" i="2"/>
  <c r="R9" i="2" s="1"/>
  <c r="B10" i="2"/>
  <c r="D11" i="2"/>
  <c r="E10" i="2"/>
  <c r="C11" i="2"/>
  <c r="R8" i="2"/>
  <c r="Q8" i="2"/>
  <c r="BW350" i="5" l="1"/>
  <c r="BA356" i="5"/>
  <c r="I638" i="2"/>
  <c r="I639" i="2" s="1"/>
  <c r="I640" i="2" s="1"/>
  <c r="V692" i="2"/>
  <c r="I319" i="29"/>
  <c r="BD319" i="5"/>
  <c r="BE320" i="5"/>
  <c r="L320" i="29"/>
  <c r="BF320" i="5" s="1"/>
  <c r="J12" i="5"/>
  <c r="H318" i="29"/>
  <c r="E359" i="29"/>
  <c r="B359" i="29"/>
  <c r="D360" i="29"/>
  <c r="C360" i="29"/>
  <c r="C13" i="25"/>
  <c r="H13" i="25" s="1"/>
  <c r="D13" i="25"/>
  <c r="B12" i="25"/>
  <c r="E12" i="25"/>
  <c r="C270" i="26"/>
  <c r="AB270" i="26" s="1"/>
  <c r="B269" i="26"/>
  <c r="D270" i="26"/>
  <c r="E269" i="26"/>
  <c r="AC269" i="26" s="1"/>
  <c r="B13" i="24"/>
  <c r="D14" i="24"/>
  <c r="C14" i="24"/>
  <c r="E13" i="24"/>
  <c r="H357" i="5"/>
  <c r="K9" i="2"/>
  <c r="E13" i="5"/>
  <c r="I13" i="5" s="1"/>
  <c r="BZ13" i="5" s="1"/>
  <c r="B13" i="5"/>
  <c r="C14" i="5"/>
  <c r="D14" i="5"/>
  <c r="G351" i="5"/>
  <c r="J10" i="2"/>
  <c r="P10" i="2"/>
  <c r="R10" i="2" s="1"/>
  <c r="B11" i="2"/>
  <c r="C12" i="2"/>
  <c r="D12" i="2"/>
  <c r="E11" i="2"/>
  <c r="H285" i="2"/>
  <c r="Q9" i="2"/>
  <c r="BW351" i="5" l="1"/>
  <c r="BA357" i="5"/>
  <c r="V693" i="2"/>
  <c r="I641" i="2"/>
  <c r="I642" i="2" s="1"/>
  <c r="I643" i="2" s="1"/>
  <c r="I644" i="2" s="1"/>
  <c r="I645" i="2" s="1"/>
  <c r="I318" i="29"/>
  <c r="BD318" i="5"/>
  <c r="BE319" i="5"/>
  <c r="L319" i="29"/>
  <c r="BF319" i="5" s="1"/>
  <c r="H317" i="29"/>
  <c r="D361" i="29"/>
  <c r="C361" i="29"/>
  <c r="E360" i="29"/>
  <c r="B360" i="29"/>
  <c r="B13" i="25"/>
  <c r="C14" i="25"/>
  <c r="H14" i="25" s="1"/>
  <c r="D14" i="25"/>
  <c r="E13" i="25"/>
  <c r="D271" i="26"/>
  <c r="E270" i="26"/>
  <c r="AC270" i="26" s="1"/>
  <c r="C271" i="26"/>
  <c r="AB271" i="26" s="1"/>
  <c r="B270" i="26"/>
  <c r="H358" i="5"/>
  <c r="B14" i="24"/>
  <c r="E14" i="24"/>
  <c r="D15" i="24"/>
  <c r="C15" i="24"/>
  <c r="K10" i="2"/>
  <c r="B14" i="5"/>
  <c r="E14" i="5"/>
  <c r="I14" i="5" s="1"/>
  <c r="BZ14" i="5" s="1"/>
  <c r="D15" i="5"/>
  <c r="C15" i="5"/>
  <c r="J13" i="5"/>
  <c r="G352" i="5"/>
  <c r="D13" i="2"/>
  <c r="B12" i="2"/>
  <c r="E12" i="2"/>
  <c r="C13" i="2"/>
  <c r="H286" i="2"/>
  <c r="J11" i="2"/>
  <c r="P11" i="2"/>
  <c r="R11" i="2" s="1"/>
  <c r="Q10" i="2"/>
  <c r="BW352" i="5" l="1"/>
  <c r="BA358" i="5"/>
  <c r="I646" i="2"/>
  <c r="I647" i="2" s="1"/>
  <c r="I648" i="2" s="1"/>
  <c r="V694" i="2"/>
  <c r="K11" i="2"/>
  <c r="I317" i="29"/>
  <c r="BD317" i="5"/>
  <c r="BE318" i="5"/>
  <c r="L318" i="29"/>
  <c r="BF318" i="5" s="1"/>
  <c r="H316" i="29"/>
  <c r="E361" i="29"/>
  <c r="B361" i="29"/>
  <c r="D362" i="29"/>
  <c r="C362" i="29"/>
  <c r="J14" i="5"/>
  <c r="E14" i="25"/>
  <c r="B14" i="25"/>
  <c r="C15" i="25"/>
  <c r="H15" i="25" s="1"/>
  <c r="D15" i="25"/>
  <c r="C272" i="26"/>
  <c r="AB272" i="26" s="1"/>
  <c r="B271" i="26"/>
  <c r="E271" i="26"/>
  <c r="AC271" i="26" s="1"/>
  <c r="D272" i="26"/>
  <c r="B15" i="24"/>
  <c r="D16" i="24"/>
  <c r="C16" i="24"/>
  <c r="E15" i="24"/>
  <c r="H359" i="5"/>
  <c r="G353" i="5"/>
  <c r="B15" i="5"/>
  <c r="D16" i="5"/>
  <c r="C16" i="5"/>
  <c r="E15" i="5"/>
  <c r="I15" i="5" s="1"/>
  <c r="BZ15" i="5" s="1"/>
  <c r="J12" i="2"/>
  <c r="P12" i="2"/>
  <c r="R12" i="2" s="1"/>
  <c r="H287" i="2"/>
  <c r="D14" i="2"/>
  <c r="C14" i="2"/>
  <c r="B13" i="2"/>
  <c r="E13" i="2"/>
  <c r="Q11" i="2"/>
  <c r="BW353" i="5" l="1"/>
  <c r="BA359" i="5"/>
  <c r="K12" i="2"/>
  <c r="V695" i="2"/>
  <c r="I649" i="2"/>
  <c r="I316" i="29"/>
  <c r="BD316" i="5"/>
  <c r="BE317" i="5"/>
  <c r="L317" i="29"/>
  <c r="BF317" i="5" s="1"/>
  <c r="D363" i="29"/>
  <c r="C363" i="29"/>
  <c r="E362" i="29"/>
  <c r="B362" i="29"/>
  <c r="B15" i="25"/>
  <c r="D16" i="25"/>
  <c r="C16" i="25"/>
  <c r="H16" i="25" s="1"/>
  <c r="E15" i="25"/>
  <c r="H288" i="2"/>
  <c r="E272" i="26"/>
  <c r="AC272" i="26" s="1"/>
  <c r="D273" i="26"/>
  <c r="C273" i="26"/>
  <c r="AB273" i="26" s="1"/>
  <c r="B272" i="26"/>
  <c r="H360" i="5"/>
  <c r="B16" i="24"/>
  <c r="C17" i="24"/>
  <c r="D17" i="24"/>
  <c r="E16" i="24"/>
  <c r="B16" i="5"/>
  <c r="E16" i="5"/>
  <c r="I16" i="5" s="1"/>
  <c r="BZ16" i="5" s="1"/>
  <c r="C17" i="5"/>
  <c r="D17" i="5"/>
  <c r="J15" i="5"/>
  <c r="G354" i="5"/>
  <c r="Q12" i="2"/>
  <c r="B14" i="2"/>
  <c r="E14" i="2"/>
  <c r="D15" i="2"/>
  <c r="C15" i="2"/>
  <c r="J13" i="2"/>
  <c r="K13" i="2" s="1"/>
  <c r="P13" i="2"/>
  <c r="R13" i="2" s="1"/>
  <c r="BW354" i="5" l="1"/>
  <c r="BA360" i="5"/>
  <c r="V696" i="2"/>
  <c r="I650" i="2"/>
  <c r="BE316" i="5"/>
  <c r="L316" i="29"/>
  <c r="E363" i="29"/>
  <c r="B363" i="29"/>
  <c r="D364" i="29"/>
  <c r="C364" i="29"/>
  <c r="B16" i="25"/>
  <c r="C17" i="25"/>
  <c r="H17" i="25" s="1"/>
  <c r="E16" i="25"/>
  <c r="D17" i="25"/>
  <c r="D274" i="26"/>
  <c r="E273" i="26"/>
  <c r="AC273" i="26" s="1"/>
  <c r="C274" i="26"/>
  <c r="AB274" i="26" s="1"/>
  <c r="B273" i="26"/>
  <c r="B17" i="24"/>
  <c r="E17" i="24"/>
  <c r="D18" i="24"/>
  <c r="C18" i="24"/>
  <c r="H361" i="5"/>
  <c r="J16" i="5"/>
  <c r="G355" i="5"/>
  <c r="B17" i="5"/>
  <c r="D18" i="5"/>
  <c r="E17" i="5"/>
  <c r="I17" i="5" s="1"/>
  <c r="BZ17" i="5" s="1"/>
  <c r="C18" i="5"/>
  <c r="Q13" i="2"/>
  <c r="J14" i="2"/>
  <c r="K14" i="2" s="1"/>
  <c r="P14" i="2"/>
  <c r="R14" i="2" s="1"/>
  <c r="H289" i="2"/>
  <c r="D16" i="2"/>
  <c r="B15" i="2"/>
  <c r="C16" i="2"/>
  <c r="E15" i="2"/>
  <c r="BW355" i="5" l="1"/>
  <c r="BA361" i="5"/>
  <c r="I651" i="2"/>
  <c r="V697" i="2"/>
  <c r="Q14" i="2"/>
  <c r="BF316" i="5"/>
  <c r="D365" i="29"/>
  <c r="C365" i="29"/>
  <c r="E364" i="29"/>
  <c r="B364" i="29"/>
  <c r="E17" i="25"/>
  <c r="D18" i="25"/>
  <c r="C18" i="25"/>
  <c r="H18" i="25" s="1"/>
  <c r="B17" i="25"/>
  <c r="H290" i="2"/>
  <c r="E274" i="26"/>
  <c r="AC274" i="26" s="1"/>
  <c r="C275" i="26"/>
  <c r="AB275" i="26" s="1"/>
  <c r="B274" i="26"/>
  <c r="D275" i="26"/>
  <c r="H362" i="5"/>
  <c r="B18" i="24"/>
  <c r="E18" i="24"/>
  <c r="D19" i="24"/>
  <c r="C19" i="24"/>
  <c r="B18" i="5"/>
  <c r="C19" i="5"/>
  <c r="E18" i="5"/>
  <c r="I18" i="5" s="1"/>
  <c r="BZ18" i="5" s="1"/>
  <c r="D19" i="5"/>
  <c r="J17" i="5"/>
  <c r="G356" i="5"/>
  <c r="B16" i="2"/>
  <c r="D17" i="2"/>
  <c r="E16" i="2"/>
  <c r="C17" i="2"/>
  <c r="J15" i="2"/>
  <c r="K15" i="2" s="1"/>
  <c r="P15" i="2"/>
  <c r="R15" i="2" s="1"/>
  <c r="BW356" i="5" l="1"/>
  <c r="BA362" i="5"/>
  <c r="V698" i="2"/>
  <c r="I652" i="2"/>
  <c r="G357" i="5"/>
  <c r="E365" i="29"/>
  <c r="B365" i="29"/>
  <c r="D366" i="29"/>
  <c r="C366" i="29"/>
  <c r="B18" i="25"/>
  <c r="C19" i="25"/>
  <c r="H19" i="25" s="1"/>
  <c r="D19" i="25"/>
  <c r="E18" i="25"/>
  <c r="H291" i="2"/>
  <c r="E275" i="26"/>
  <c r="AC275" i="26" s="1"/>
  <c r="C276" i="26"/>
  <c r="AB276" i="26" s="1"/>
  <c r="B275" i="26"/>
  <c r="D276" i="26"/>
  <c r="B19" i="24"/>
  <c r="E19" i="24"/>
  <c r="D20" i="24"/>
  <c r="C20" i="24"/>
  <c r="J18" i="5"/>
  <c r="H363" i="5"/>
  <c r="C20" i="5"/>
  <c r="D20" i="5"/>
  <c r="E19" i="5"/>
  <c r="I19" i="5" s="1"/>
  <c r="BZ19" i="5" s="1"/>
  <c r="B19" i="5"/>
  <c r="J16" i="2"/>
  <c r="K16" i="2" s="1"/>
  <c r="P16" i="2"/>
  <c r="R16" i="2" s="1"/>
  <c r="D18" i="2"/>
  <c r="C18" i="2"/>
  <c r="E17" i="2"/>
  <c r="B17" i="2"/>
  <c r="Q15" i="2"/>
  <c r="BW357" i="5" l="1"/>
  <c r="BA363" i="5"/>
  <c r="I653" i="2"/>
  <c r="I654" i="2" s="1"/>
  <c r="V699" i="2"/>
  <c r="Q16" i="2"/>
  <c r="G358" i="5"/>
  <c r="D367" i="29"/>
  <c r="C367" i="29"/>
  <c r="E366" i="29"/>
  <c r="B366" i="29"/>
  <c r="E19" i="25"/>
  <c r="B19" i="25"/>
  <c r="D20" i="25"/>
  <c r="C20" i="25"/>
  <c r="H20" i="25" s="1"/>
  <c r="C277" i="26"/>
  <c r="AB277" i="26" s="1"/>
  <c r="B276" i="26"/>
  <c r="D277" i="26"/>
  <c r="E276" i="26"/>
  <c r="AC276" i="26" s="1"/>
  <c r="B20" i="24"/>
  <c r="E20" i="24"/>
  <c r="C21" i="24"/>
  <c r="D21" i="24"/>
  <c r="H364" i="5"/>
  <c r="D21" i="5"/>
  <c r="B20" i="5"/>
  <c r="C21" i="5"/>
  <c r="E20" i="5"/>
  <c r="I20" i="5" s="1"/>
  <c r="BZ20" i="5" s="1"/>
  <c r="J19" i="5"/>
  <c r="H292" i="2"/>
  <c r="E18" i="2"/>
  <c r="B18" i="2"/>
  <c r="D19" i="2"/>
  <c r="C19" i="2"/>
  <c r="J17" i="2"/>
  <c r="K17" i="2" s="1"/>
  <c r="P17" i="2"/>
  <c r="R17" i="2" s="1"/>
  <c r="BW358" i="5" l="1"/>
  <c r="BA364" i="5"/>
  <c r="V700" i="2"/>
  <c r="I655" i="2"/>
  <c r="I656" i="2" s="1"/>
  <c r="E367" i="29"/>
  <c r="B367" i="29"/>
  <c r="D368" i="29"/>
  <c r="C368" i="29"/>
  <c r="C21" i="25"/>
  <c r="H21" i="25" s="1"/>
  <c r="D21" i="25"/>
  <c r="B20" i="25"/>
  <c r="E20" i="25"/>
  <c r="H293" i="2"/>
  <c r="C278" i="26"/>
  <c r="AB278" i="26" s="1"/>
  <c r="B277" i="26"/>
  <c r="D278" i="26"/>
  <c r="E277" i="26"/>
  <c r="AC277" i="26" s="1"/>
  <c r="B21" i="24"/>
  <c r="D22" i="24"/>
  <c r="C22" i="24"/>
  <c r="E21" i="24"/>
  <c r="H365" i="5"/>
  <c r="G359" i="5"/>
  <c r="J20" i="5"/>
  <c r="C22" i="5"/>
  <c r="B21" i="5"/>
  <c r="D22" i="5"/>
  <c r="E21" i="5"/>
  <c r="I21" i="5" s="1"/>
  <c r="BZ21" i="5" s="1"/>
  <c r="D20" i="2"/>
  <c r="E19" i="2"/>
  <c r="B19" i="2"/>
  <c r="C20" i="2"/>
  <c r="J18" i="2"/>
  <c r="K18" i="2" s="1"/>
  <c r="P18" i="2"/>
  <c r="R18" i="2" s="1"/>
  <c r="Q17" i="2"/>
  <c r="BW359" i="5" l="1"/>
  <c r="BA365" i="5"/>
  <c r="I657" i="2"/>
  <c r="V701" i="2"/>
  <c r="D369" i="29"/>
  <c r="C369" i="29"/>
  <c r="E368" i="29"/>
  <c r="B368" i="29"/>
  <c r="B21" i="25"/>
  <c r="C22" i="25"/>
  <c r="H22" i="25" s="1"/>
  <c r="E21" i="25"/>
  <c r="D22" i="25"/>
  <c r="D279" i="26"/>
  <c r="C279" i="26"/>
  <c r="AB279" i="26" s="1"/>
  <c r="E278" i="26"/>
  <c r="AC278" i="26" s="1"/>
  <c r="B278" i="26"/>
  <c r="H366" i="5"/>
  <c r="B22" i="24"/>
  <c r="E22" i="24"/>
  <c r="D23" i="24"/>
  <c r="C23" i="24"/>
  <c r="B22" i="5"/>
  <c r="D23" i="5"/>
  <c r="C23" i="5"/>
  <c r="E22" i="5"/>
  <c r="I22" i="5" s="1"/>
  <c r="BZ22" i="5" s="1"/>
  <c r="J21" i="5"/>
  <c r="G360" i="5"/>
  <c r="J19" i="2"/>
  <c r="K19" i="2" s="1"/>
  <c r="P19" i="2"/>
  <c r="R19" i="2" s="1"/>
  <c r="E20" i="2"/>
  <c r="B20" i="2"/>
  <c r="C21" i="2"/>
  <c r="D21" i="2"/>
  <c r="H294" i="2"/>
  <c r="Q18" i="2"/>
  <c r="D373" i="29" l="1"/>
  <c r="C373" i="29"/>
  <c r="G361" i="5"/>
  <c r="BW360" i="5"/>
  <c r="BA366" i="5"/>
  <c r="V702" i="2"/>
  <c r="I658" i="2"/>
  <c r="I659" i="2" s="1"/>
  <c r="E369" i="29"/>
  <c r="B369" i="29"/>
  <c r="E22" i="25"/>
  <c r="B22" i="25"/>
  <c r="D23" i="25"/>
  <c r="C23" i="25"/>
  <c r="H23" i="25" s="1"/>
  <c r="C280" i="26"/>
  <c r="B279" i="26"/>
  <c r="E279" i="26"/>
  <c r="AC279" i="26" s="1"/>
  <c r="D280" i="26"/>
  <c r="B23" i="24"/>
  <c r="D24" i="24"/>
  <c r="C24" i="24"/>
  <c r="E23" i="24"/>
  <c r="H367" i="5"/>
  <c r="J22" i="5"/>
  <c r="D24" i="5"/>
  <c r="E23" i="5"/>
  <c r="I23" i="5" s="1"/>
  <c r="BZ23" i="5" s="1"/>
  <c r="B23" i="5"/>
  <c r="C24" i="5"/>
  <c r="Q19" i="2"/>
  <c r="B21" i="2"/>
  <c r="D22" i="2"/>
  <c r="E21" i="2"/>
  <c r="C22" i="2"/>
  <c r="J20" i="2"/>
  <c r="K20" i="2" s="1"/>
  <c r="P20" i="2"/>
  <c r="R20" i="2" s="1"/>
  <c r="H295" i="2"/>
  <c r="P373" i="29" l="1"/>
  <c r="H373" i="29"/>
  <c r="B373" i="29"/>
  <c r="E373" i="29"/>
  <c r="C374" i="29"/>
  <c r="D374" i="29" s="1"/>
  <c r="G362" i="5"/>
  <c r="BW361" i="5"/>
  <c r="BA367" i="5"/>
  <c r="I660" i="2"/>
  <c r="V703" i="2"/>
  <c r="D24" i="25"/>
  <c r="C24" i="25"/>
  <c r="H24" i="25" s="1"/>
  <c r="E23" i="25"/>
  <c r="B23" i="25"/>
  <c r="D281" i="26"/>
  <c r="E280" i="26"/>
  <c r="AC280" i="26" s="1"/>
  <c r="B280" i="26"/>
  <c r="C281" i="26"/>
  <c r="AB281" i="26" s="1"/>
  <c r="AB280" i="26"/>
  <c r="H368" i="5"/>
  <c r="B24" i="24"/>
  <c r="C25" i="24"/>
  <c r="E24" i="24"/>
  <c r="D25" i="24"/>
  <c r="E24" i="5"/>
  <c r="I24" i="5" s="1"/>
  <c r="BZ24" i="5" s="1"/>
  <c r="B24" i="5"/>
  <c r="D25" i="5"/>
  <c r="C25" i="5"/>
  <c r="J23" i="5"/>
  <c r="H296" i="2"/>
  <c r="D23" i="2"/>
  <c r="E22" i="2"/>
  <c r="B22" i="2"/>
  <c r="C23" i="2"/>
  <c r="Q20" i="2"/>
  <c r="J21" i="2"/>
  <c r="K21" i="2" s="1"/>
  <c r="P21" i="2"/>
  <c r="R21" i="2" s="1"/>
  <c r="Q373" i="29" l="1"/>
  <c r="D375" i="29"/>
  <c r="C375" i="29"/>
  <c r="E374" i="29"/>
  <c r="B374" i="29"/>
  <c r="BJ373" i="5"/>
  <c r="P369" i="29"/>
  <c r="Q369" i="29" s="1"/>
  <c r="BI373" i="5"/>
  <c r="I373" i="29"/>
  <c r="BE373" i="5" s="1"/>
  <c r="H369" i="29"/>
  <c r="BD373" i="5"/>
  <c r="BW362" i="5"/>
  <c r="BA368" i="5"/>
  <c r="V704" i="2"/>
  <c r="I661" i="2"/>
  <c r="I662" i="2" s="1"/>
  <c r="I663" i="2" s="1"/>
  <c r="D25" i="25"/>
  <c r="B24" i="25"/>
  <c r="E24" i="25"/>
  <c r="C25" i="25"/>
  <c r="H25" i="25" s="1"/>
  <c r="D282" i="26"/>
  <c r="B281" i="26"/>
  <c r="C282" i="26"/>
  <c r="AB282" i="26" s="1"/>
  <c r="E281" i="26"/>
  <c r="AC281" i="26" s="1"/>
  <c r="B25" i="24"/>
  <c r="D26" i="24"/>
  <c r="C26" i="24"/>
  <c r="E25" i="24"/>
  <c r="J24" i="5"/>
  <c r="H369" i="5"/>
  <c r="E25" i="5"/>
  <c r="I25" i="5" s="1"/>
  <c r="BZ25" i="5" s="1"/>
  <c r="B25" i="5"/>
  <c r="D26" i="5"/>
  <c r="C26" i="5"/>
  <c r="G363" i="5"/>
  <c r="Q21" i="2"/>
  <c r="B23" i="2"/>
  <c r="D24" i="2"/>
  <c r="C24" i="2"/>
  <c r="E23" i="2"/>
  <c r="H297" i="2"/>
  <c r="J22" i="2"/>
  <c r="K22" i="2" s="1"/>
  <c r="P22" i="2"/>
  <c r="R22" i="2" s="1"/>
  <c r="Q374" i="29" l="1"/>
  <c r="AI374" i="29"/>
  <c r="L374" i="29"/>
  <c r="BF374" i="5" s="1"/>
  <c r="BI369" i="5"/>
  <c r="BJ369" i="5"/>
  <c r="P368" i="29"/>
  <c r="Q368" i="29" s="1"/>
  <c r="BD369" i="5"/>
  <c r="I369" i="29"/>
  <c r="BE369" i="5" s="1"/>
  <c r="H368" i="29"/>
  <c r="D376" i="29"/>
  <c r="B375" i="29"/>
  <c r="E375" i="29"/>
  <c r="C376" i="29"/>
  <c r="BW363" i="5"/>
  <c r="BA369" i="5"/>
  <c r="H373" i="5"/>
  <c r="I664" i="2"/>
  <c r="V705" i="2"/>
  <c r="E25" i="25"/>
  <c r="B25" i="25"/>
  <c r="D26" i="25"/>
  <c r="C26" i="25"/>
  <c r="H26" i="25" s="1"/>
  <c r="D283" i="26"/>
  <c r="B282" i="26"/>
  <c r="E282" i="26"/>
  <c r="AC282" i="26" s="1"/>
  <c r="C283" i="26"/>
  <c r="AB283" i="26" s="1"/>
  <c r="B26" i="24"/>
  <c r="D27" i="24"/>
  <c r="E26" i="24"/>
  <c r="C27" i="24"/>
  <c r="D27" i="5"/>
  <c r="C27" i="5"/>
  <c r="E26" i="5"/>
  <c r="I26" i="5" s="1"/>
  <c r="BZ26" i="5" s="1"/>
  <c r="B26" i="5"/>
  <c r="G364" i="5"/>
  <c r="J25" i="5"/>
  <c r="Q22" i="2"/>
  <c r="E24" i="2"/>
  <c r="C25" i="2"/>
  <c r="B24" i="2"/>
  <c r="D25" i="2"/>
  <c r="J23" i="2"/>
  <c r="K23" i="2" s="1"/>
  <c r="P23" i="2"/>
  <c r="R23" i="2" s="1"/>
  <c r="H298" i="2"/>
  <c r="Q375" i="29" l="1"/>
  <c r="AI375" i="29"/>
  <c r="L375" i="29"/>
  <c r="BF375" i="5" s="1"/>
  <c r="L369" i="29"/>
  <c r="BF369" i="5" s="1"/>
  <c r="U374" i="29"/>
  <c r="BK374" i="5" s="1"/>
  <c r="BJ374" i="5"/>
  <c r="U369" i="29"/>
  <c r="BK369" i="5" s="1"/>
  <c r="D377" i="29"/>
  <c r="C377" i="29"/>
  <c r="E376" i="29"/>
  <c r="B376" i="29"/>
  <c r="BI368" i="5"/>
  <c r="P367" i="29"/>
  <c r="Q367" i="29" s="1"/>
  <c r="BD368" i="5"/>
  <c r="I368" i="29"/>
  <c r="H367" i="29"/>
  <c r="BW364" i="5"/>
  <c r="H374" i="5"/>
  <c r="L373" i="29"/>
  <c r="U373" i="29"/>
  <c r="BA373" i="5"/>
  <c r="V706" i="2"/>
  <c r="I665" i="2"/>
  <c r="I666" i="2" s="1"/>
  <c r="B26" i="25"/>
  <c r="D27" i="25"/>
  <c r="E26" i="25"/>
  <c r="C27" i="25"/>
  <c r="H27" i="25" s="1"/>
  <c r="E283" i="26"/>
  <c r="AC283" i="26" s="1"/>
  <c r="D284" i="26"/>
  <c r="B283" i="26"/>
  <c r="C284" i="26"/>
  <c r="AB284" i="26" s="1"/>
  <c r="B27" i="24"/>
  <c r="D28" i="24"/>
  <c r="E27" i="24"/>
  <c r="C28" i="24"/>
  <c r="J26" i="5"/>
  <c r="G365" i="5"/>
  <c r="D28" i="5"/>
  <c r="C28" i="5"/>
  <c r="B27" i="5"/>
  <c r="E27" i="5"/>
  <c r="I27" i="5" s="1"/>
  <c r="BZ27" i="5" s="1"/>
  <c r="J24" i="2"/>
  <c r="K24" i="2" s="1"/>
  <c r="P24" i="2"/>
  <c r="R24" i="2" s="1"/>
  <c r="E25" i="2"/>
  <c r="B25" i="2"/>
  <c r="D26" i="2"/>
  <c r="C26" i="2"/>
  <c r="H299" i="2"/>
  <c r="Q23" i="2"/>
  <c r="Q376" i="29" l="1"/>
  <c r="AI376" i="29"/>
  <c r="L376" i="29"/>
  <c r="BF376" i="5" s="1"/>
  <c r="U375" i="29"/>
  <c r="BK375" i="5" s="1"/>
  <c r="BJ375" i="5"/>
  <c r="BJ368" i="5"/>
  <c r="U368" i="29"/>
  <c r="BK368" i="5" s="1"/>
  <c r="BE368" i="5"/>
  <c r="L368" i="29"/>
  <c r="BF368" i="5" s="1"/>
  <c r="BI367" i="5"/>
  <c r="P366" i="29"/>
  <c r="Q366" i="29" s="1"/>
  <c r="BD367" i="5"/>
  <c r="I367" i="29"/>
  <c r="H366" i="29"/>
  <c r="E377" i="29"/>
  <c r="B377" i="29"/>
  <c r="D378" i="29"/>
  <c r="C378" i="29"/>
  <c r="BW365" i="5"/>
  <c r="H375" i="5"/>
  <c r="BK373" i="5"/>
  <c r="BF373" i="5"/>
  <c r="I667" i="2"/>
  <c r="I668" i="2" s="1"/>
  <c r="V707" i="2"/>
  <c r="E27" i="25"/>
  <c r="B27" i="25"/>
  <c r="C28" i="25"/>
  <c r="H28" i="25" s="1"/>
  <c r="D28" i="25"/>
  <c r="H300" i="2"/>
  <c r="E284" i="26"/>
  <c r="AC284" i="26" s="1"/>
  <c r="D285" i="26"/>
  <c r="B284" i="26"/>
  <c r="C285" i="26"/>
  <c r="AB285" i="26" s="1"/>
  <c r="B28" i="24"/>
  <c r="C29" i="24"/>
  <c r="E28" i="24"/>
  <c r="D29" i="24"/>
  <c r="B28" i="5"/>
  <c r="E28" i="5"/>
  <c r="I28" i="5" s="1"/>
  <c r="BZ28" i="5" s="1"/>
  <c r="D29" i="5"/>
  <c r="C29" i="5"/>
  <c r="G366" i="5"/>
  <c r="J27" i="5"/>
  <c r="B26" i="2"/>
  <c r="E26" i="2"/>
  <c r="D27" i="2"/>
  <c r="C27" i="2"/>
  <c r="J25" i="2"/>
  <c r="K25" i="2" s="1"/>
  <c r="P25" i="2"/>
  <c r="R25" i="2" s="1"/>
  <c r="Q24" i="2"/>
  <c r="Q377" i="29" l="1"/>
  <c r="L377" i="29"/>
  <c r="BF377" i="5" s="1"/>
  <c r="AI377" i="29"/>
  <c r="U376" i="29"/>
  <c r="BK376" i="5" s="1"/>
  <c r="BJ376" i="5"/>
  <c r="BJ367" i="5"/>
  <c r="U367" i="29"/>
  <c r="BK367" i="5" s="1"/>
  <c r="BD366" i="5"/>
  <c r="I366" i="29"/>
  <c r="H365" i="29"/>
  <c r="BI366" i="5"/>
  <c r="P365" i="29"/>
  <c r="Q365" i="29" s="1"/>
  <c r="C379" i="29"/>
  <c r="E378" i="29"/>
  <c r="B378" i="29"/>
  <c r="D379" i="29"/>
  <c r="BE367" i="5"/>
  <c r="L367" i="29"/>
  <c r="BF367" i="5" s="1"/>
  <c r="H376" i="5"/>
  <c r="BW366" i="5"/>
  <c r="V708" i="2"/>
  <c r="I669" i="2"/>
  <c r="I670" i="2" s="1"/>
  <c r="C29" i="25"/>
  <c r="H29" i="25" s="1"/>
  <c r="E28" i="25"/>
  <c r="B28" i="25"/>
  <c r="D29" i="25"/>
  <c r="E285" i="26"/>
  <c r="AC285" i="26" s="1"/>
  <c r="D286" i="26"/>
  <c r="C286" i="26"/>
  <c r="AB286" i="26" s="1"/>
  <c r="B285" i="26"/>
  <c r="J28" i="5"/>
  <c r="B29" i="24"/>
  <c r="D30" i="24"/>
  <c r="C30" i="24"/>
  <c r="E29" i="24"/>
  <c r="Q25" i="2"/>
  <c r="G367" i="5"/>
  <c r="D30" i="5"/>
  <c r="C30" i="5"/>
  <c r="E29" i="5"/>
  <c r="I29" i="5" s="1"/>
  <c r="BZ29" i="5" s="1"/>
  <c r="B29" i="5"/>
  <c r="J26" i="2"/>
  <c r="K26" i="2" s="1"/>
  <c r="P26" i="2"/>
  <c r="R26" i="2" s="1"/>
  <c r="H301" i="2"/>
  <c r="E27" i="2"/>
  <c r="B27" i="2"/>
  <c r="C28" i="2"/>
  <c r="D28" i="2"/>
  <c r="Q378" i="29" l="1"/>
  <c r="L378" i="29"/>
  <c r="BF378" i="5" s="1"/>
  <c r="AI378" i="29"/>
  <c r="U377" i="29"/>
  <c r="BK377" i="5" s="1"/>
  <c r="BJ377" i="5"/>
  <c r="BJ366" i="5"/>
  <c r="U366" i="29"/>
  <c r="BK366" i="5" s="1"/>
  <c r="D380" i="29"/>
  <c r="E379" i="29"/>
  <c r="B379" i="29"/>
  <c r="C380" i="29"/>
  <c r="BD365" i="5"/>
  <c r="I365" i="29"/>
  <c r="H364" i="29"/>
  <c r="BI365" i="5"/>
  <c r="P364" i="29"/>
  <c r="Q364" i="29" s="1"/>
  <c r="BE366" i="5"/>
  <c r="L366" i="29"/>
  <c r="BF366" i="5" s="1"/>
  <c r="BW367" i="5"/>
  <c r="H377" i="5"/>
  <c r="I671" i="2"/>
  <c r="V709" i="2"/>
  <c r="C30" i="25"/>
  <c r="H30" i="25" s="1"/>
  <c r="D30" i="25"/>
  <c r="E29" i="25"/>
  <c r="B29" i="25"/>
  <c r="H302" i="2"/>
  <c r="E286" i="26"/>
  <c r="AC286" i="26" s="1"/>
  <c r="B286" i="26"/>
  <c r="D287" i="26"/>
  <c r="C287" i="26"/>
  <c r="AB287" i="26" s="1"/>
  <c r="B30" i="24"/>
  <c r="E30" i="24"/>
  <c r="D31" i="24"/>
  <c r="C31" i="24"/>
  <c r="G368" i="5"/>
  <c r="C31" i="5"/>
  <c r="E30" i="5"/>
  <c r="I30" i="5" s="1"/>
  <c r="BZ30" i="5" s="1"/>
  <c r="B30" i="5"/>
  <c r="D31" i="5"/>
  <c r="J29" i="5"/>
  <c r="J27" i="2"/>
  <c r="K27" i="2" s="1"/>
  <c r="P27" i="2"/>
  <c r="R27" i="2" s="1"/>
  <c r="C29" i="2"/>
  <c r="B28" i="2"/>
  <c r="D29" i="2"/>
  <c r="E28" i="2"/>
  <c r="Q26" i="2"/>
  <c r="Q379" i="29" l="1"/>
  <c r="L379" i="29"/>
  <c r="BF379" i="5" s="1"/>
  <c r="AI379" i="29"/>
  <c r="U378" i="29"/>
  <c r="BK378" i="5" s="1"/>
  <c r="BJ378" i="5"/>
  <c r="BI364" i="5"/>
  <c r="P363" i="29"/>
  <c r="Q363" i="29" s="1"/>
  <c r="BE365" i="5"/>
  <c r="L365" i="29"/>
  <c r="BF365" i="5" s="1"/>
  <c r="D381" i="29"/>
  <c r="E380" i="29"/>
  <c r="C381" i="29"/>
  <c r="B380" i="29"/>
  <c r="BJ365" i="5"/>
  <c r="U365" i="29"/>
  <c r="BK365" i="5" s="1"/>
  <c r="BD364" i="5"/>
  <c r="I364" i="29"/>
  <c r="H363" i="29"/>
  <c r="BW368" i="5"/>
  <c r="H378" i="5"/>
  <c r="V710" i="2"/>
  <c r="I672" i="2"/>
  <c r="E30" i="25"/>
  <c r="D31" i="25"/>
  <c r="C31" i="25"/>
  <c r="H31" i="25" s="1"/>
  <c r="B30" i="25"/>
  <c r="E287" i="26"/>
  <c r="AC287" i="26" s="1"/>
  <c r="C288" i="26"/>
  <c r="AB288" i="26" s="1"/>
  <c r="B287" i="26"/>
  <c r="D288" i="26"/>
  <c r="D32" i="24"/>
  <c r="B31" i="24"/>
  <c r="C32" i="24"/>
  <c r="E31" i="24"/>
  <c r="J30" i="5"/>
  <c r="E31" i="5"/>
  <c r="I31" i="5" s="1"/>
  <c r="BZ31" i="5" s="1"/>
  <c r="D32" i="5"/>
  <c r="B31" i="5"/>
  <c r="C32" i="5"/>
  <c r="G369" i="5"/>
  <c r="Q27" i="2"/>
  <c r="J28" i="2"/>
  <c r="K28" i="2" s="1"/>
  <c r="P28" i="2"/>
  <c r="R28" i="2" s="1"/>
  <c r="H303" i="2"/>
  <c r="D30" i="2"/>
  <c r="B29" i="2"/>
  <c r="E29" i="2"/>
  <c r="C30" i="2"/>
  <c r="Q380" i="29" l="1"/>
  <c r="L380" i="29"/>
  <c r="BF380" i="5" s="1"/>
  <c r="AI380" i="29"/>
  <c r="U379" i="29"/>
  <c r="BK379" i="5" s="1"/>
  <c r="BJ379" i="5"/>
  <c r="BE364" i="5"/>
  <c r="L364" i="29"/>
  <c r="BF364" i="5" s="1"/>
  <c r="D382" i="29"/>
  <c r="B381" i="29"/>
  <c r="C382" i="29"/>
  <c r="E381" i="29"/>
  <c r="BJ364" i="5"/>
  <c r="U364" i="29"/>
  <c r="BK364" i="5" s="1"/>
  <c r="BD363" i="5"/>
  <c r="I363" i="29"/>
  <c r="H362" i="29"/>
  <c r="BI363" i="5"/>
  <c r="P362" i="29"/>
  <c r="Q362" i="29" s="1"/>
  <c r="H379" i="5"/>
  <c r="G373" i="5"/>
  <c r="BW369" i="5"/>
  <c r="G374" i="5"/>
  <c r="I673" i="2"/>
  <c r="I674" i="2" s="1"/>
  <c r="V711" i="2"/>
  <c r="Q28" i="2"/>
  <c r="D32" i="25"/>
  <c r="C32" i="25"/>
  <c r="H32" i="25" s="1"/>
  <c r="E31" i="25"/>
  <c r="B31" i="25"/>
  <c r="E288" i="26"/>
  <c r="AC288" i="26" s="1"/>
  <c r="B288" i="26"/>
  <c r="D289" i="26"/>
  <c r="C289" i="26"/>
  <c r="AB289" i="26" s="1"/>
  <c r="B32" i="24"/>
  <c r="E32" i="24"/>
  <c r="D33" i="24"/>
  <c r="C33" i="24"/>
  <c r="D33" i="5"/>
  <c r="E32" i="5"/>
  <c r="I32" i="5" s="1"/>
  <c r="BZ32" i="5" s="1"/>
  <c r="B32" i="5"/>
  <c r="C33" i="5"/>
  <c r="J31" i="5"/>
  <c r="H304" i="2"/>
  <c r="J29" i="2"/>
  <c r="K29" i="2" s="1"/>
  <c r="P29" i="2"/>
  <c r="R29" i="2" s="1"/>
  <c r="B30" i="2"/>
  <c r="C31" i="2"/>
  <c r="D31" i="2"/>
  <c r="E30" i="2"/>
  <c r="Q381" i="29" l="1"/>
  <c r="L381" i="29"/>
  <c r="BF381" i="5" s="1"/>
  <c r="AI381" i="29"/>
  <c r="U380" i="29"/>
  <c r="BK380" i="5" s="1"/>
  <c r="BJ380" i="5"/>
  <c r="D383" i="29"/>
  <c r="C383" i="29"/>
  <c r="E382" i="29"/>
  <c r="B382" i="29"/>
  <c r="BI362" i="5"/>
  <c r="P361" i="29"/>
  <c r="Q361" i="29" s="1"/>
  <c r="BD362" i="5"/>
  <c r="I362" i="29"/>
  <c r="H361" i="29"/>
  <c r="BE363" i="5"/>
  <c r="L363" i="29"/>
  <c r="BF363" i="5" s="1"/>
  <c r="BJ363" i="5"/>
  <c r="U363" i="29"/>
  <c r="BK363" i="5" s="1"/>
  <c r="BW374" i="5"/>
  <c r="BW373" i="5"/>
  <c r="H380" i="5"/>
  <c r="G375" i="5"/>
  <c r="V712" i="2"/>
  <c r="I675" i="2"/>
  <c r="J32" i="5"/>
  <c r="C33" i="25"/>
  <c r="H33" i="25" s="1"/>
  <c r="B32" i="25"/>
  <c r="E32" i="25"/>
  <c r="D33" i="25"/>
  <c r="H305" i="2"/>
  <c r="E289" i="26"/>
  <c r="AC289" i="26" s="1"/>
  <c r="D290" i="26"/>
  <c r="C290" i="26"/>
  <c r="AB290" i="26" s="1"/>
  <c r="B289" i="26"/>
  <c r="B33" i="24"/>
  <c r="E33" i="24"/>
  <c r="C34" i="24"/>
  <c r="D34" i="24"/>
  <c r="C34" i="5"/>
  <c r="E33" i="5"/>
  <c r="I33" i="5" s="1"/>
  <c r="BZ33" i="5" s="1"/>
  <c r="D34" i="5"/>
  <c r="B33" i="5"/>
  <c r="Q29" i="2"/>
  <c r="B31" i="2"/>
  <c r="D32" i="2"/>
  <c r="E31" i="2"/>
  <c r="C32" i="2"/>
  <c r="J30" i="2"/>
  <c r="K30" i="2" s="1"/>
  <c r="P30" i="2"/>
  <c r="R30" i="2" s="1"/>
  <c r="Q382" i="29" l="1"/>
  <c r="L382" i="29"/>
  <c r="BF382" i="5" s="1"/>
  <c r="AI382" i="29"/>
  <c r="U381" i="29"/>
  <c r="BK381" i="5" s="1"/>
  <c r="BJ381" i="5"/>
  <c r="BE362" i="5"/>
  <c r="L362" i="29"/>
  <c r="BF362" i="5" s="1"/>
  <c r="BI361" i="5"/>
  <c r="P360" i="29"/>
  <c r="Q360" i="29" s="1"/>
  <c r="BJ362" i="5"/>
  <c r="U362" i="29"/>
  <c r="BK362" i="5" s="1"/>
  <c r="BD361" i="5"/>
  <c r="I361" i="29"/>
  <c r="H360" i="29"/>
  <c r="B383" i="29"/>
  <c r="D384" i="29"/>
  <c r="C384" i="29"/>
  <c r="E383" i="29"/>
  <c r="BW375" i="5"/>
  <c r="H381" i="5"/>
  <c r="G376" i="5"/>
  <c r="V713" i="2"/>
  <c r="I676" i="2"/>
  <c r="B33" i="25"/>
  <c r="D34" i="25"/>
  <c r="E33" i="25"/>
  <c r="C34" i="25"/>
  <c r="H34" i="25" s="1"/>
  <c r="H306" i="2"/>
  <c r="E290" i="26"/>
  <c r="AC290" i="26" s="1"/>
  <c r="B290" i="26"/>
  <c r="D291" i="26"/>
  <c r="C291" i="26"/>
  <c r="AB291" i="26" s="1"/>
  <c r="E34" i="24"/>
  <c r="D35" i="24"/>
  <c r="B34" i="24"/>
  <c r="C35" i="24"/>
  <c r="B34" i="5"/>
  <c r="D35" i="5"/>
  <c r="E34" i="5"/>
  <c r="I34" i="5" s="1"/>
  <c r="BZ34" i="5" s="1"/>
  <c r="C35" i="5"/>
  <c r="J33" i="5"/>
  <c r="Q30" i="2"/>
  <c r="B32" i="2"/>
  <c r="E32" i="2"/>
  <c r="C33" i="2"/>
  <c r="D33" i="2"/>
  <c r="J31" i="2"/>
  <c r="K31" i="2" s="1"/>
  <c r="P31" i="2"/>
  <c r="R31" i="2" s="1"/>
  <c r="Q383" i="29" l="1"/>
  <c r="L383" i="29"/>
  <c r="BF383" i="5" s="1"/>
  <c r="AI383" i="29"/>
  <c r="U382" i="29"/>
  <c r="BK382" i="5" s="1"/>
  <c r="BJ382" i="5"/>
  <c r="D385" i="29"/>
  <c r="E384" i="29"/>
  <c r="B384" i="29"/>
  <c r="C385" i="29"/>
  <c r="BD360" i="5"/>
  <c r="I360" i="29"/>
  <c r="H359" i="29"/>
  <c r="BI360" i="5"/>
  <c r="P359" i="29"/>
  <c r="Q359" i="29" s="1"/>
  <c r="BE361" i="5"/>
  <c r="L361" i="29"/>
  <c r="BF361" i="5" s="1"/>
  <c r="BJ361" i="5"/>
  <c r="U361" i="29"/>
  <c r="BK361" i="5" s="1"/>
  <c r="BW376" i="5"/>
  <c r="H382" i="5"/>
  <c r="G377" i="5"/>
  <c r="V714" i="2"/>
  <c r="I677" i="2"/>
  <c r="B34" i="25"/>
  <c r="E34" i="25"/>
  <c r="D35" i="25"/>
  <c r="C35" i="25"/>
  <c r="H35" i="25" s="1"/>
  <c r="H307" i="2"/>
  <c r="E291" i="26"/>
  <c r="AC291" i="26" s="1"/>
  <c r="D292" i="26"/>
  <c r="B291" i="26"/>
  <c r="C292" i="26"/>
  <c r="AB292" i="26" s="1"/>
  <c r="J34" i="5"/>
  <c r="D36" i="24"/>
  <c r="E35" i="24"/>
  <c r="C36" i="24"/>
  <c r="B35" i="24"/>
  <c r="D36" i="5"/>
  <c r="B35" i="5"/>
  <c r="E35" i="5"/>
  <c r="I35" i="5" s="1"/>
  <c r="BZ35" i="5" s="1"/>
  <c r="C36" i="5"/>
  <c r="Q31" i="2"/>
  <c r="E33" i="2"/>
  <c r="C34" i="2"/>
  <c r="B33" i="2"/>
  <c r="D34" i="2"/>
  <c r="J32" i="2"/>
  <c r="K32" i="2" s="1"/>
  <c r="P32" i="2"/>
  <c r="R32" i="2" s="1"/>
  <c r="Q384" i="29" l="1"/>
  <c r="L384" i="29"/>
  <c r="BF384" i="5" s="1"/>
  <c r="AI384" i="29"/>
  <c r="U383" i="29"/>
  <c r="BK383" i="5" s="1"/>
  <c r="BJ383" i="5"/>
  <c r="BI359" i="5"/>
  <c r="P358" i="29"/>
  <c r="Q358" i="29" s="1"/>
  <c r="BJ360" i="5"/>
  <c r="U360" i="29"/>
  <c r="BK360" i="5" s="1"/>
  <c r="BD359" i="5"/>
  <c r="I359" i="29"/>
  <c r="H358" i="29"/>
  <c r="BE360" i="5"/>
  <c r="L360" i="29"/>
  <c r="BF360" i="5" s="1"/>
  <c r="D386" i="29"/>
  <c r="B385" i="29"/>
  <c r="C386" i="29"/>
  <c r="E385" i="29"/>
  <c r="H383" i="5"/>
  <c r="BW377" i="5"/>
  <c r="G378" i="5"/>
  <c r="I678" i="2"/>
  <c r="V715" i="2"/>
  <c r="E35" i="25"/>
  <c r="D36" i="25"/>
  <c r="C36" i="25"/>
  <c r="H36" i="25" s="1"/>
  <c r="B35" i="25"/>
  <c r="E292" i="26"/>
  <c r="AC292" i="26" s="1"/>
  <c r="B292" i="26"/>
  <c r="D293" i="26"/>
  <c r="C293" i="26"/>
  <c r="AB293" i="26" s="1"/>
  <c r="C37" i="24"/>
  <c r="B36" i="24"/>
  <c r="E36" i="24"/>
  <c r="D37" i="24"/>
  <c r="J35" i="5"/>
  <c r="E36" i="5"/>
  <c r="I36" i="5" s="1"/>
  <c r="BZ36" i="5" s="1"/>
  <c r="B36" i="5"/>
  <c r="D37" i="5"/>
  <c r="C37" i="5"/>
  <c r="E34" i="2"/>
  <c r="B34" i="2"/>
  <c r="D35" i="2"/>
  <c r="C35" i="2"/>
  <c r="H308" i="2"/>
  <c r="Q32" i="2"/>
  <c r="J33" i="2"/>
  <c r="K33" i="2" s="1"/>
  <c r="P33" i="2"/>
  <c r="R33" i="2" s="1"/>
  <c r="Q385" i="29" l="1"/>
  <c r="AI385" i="29"/>
  <c r="L385" i="29"/>
  <c r="BF385" i="5" s="1"/>
  <c r="U384" i="29"/>
  <c r="BK384" i="5" s="1"/>
  <c r="BJ384" i="5"/>
  <c r="BJ359" i="5"/>
  <c r="U359" i="29"/>
  <c r="BK359" i="5" s="1"/>
  <c r="D387" i="29"/>
  <c r="C387" i="29"/>
  <c r="E386" i="29"/>
  <c r="B386" i="29"/>
  <c r="BD358" i="5"/>
  <c r="I358" i="29"/>
  <c r="H357" i="29"/>
  <c r="BE359" i="5"/>
  <c r="L359" i="29"/>
  <c r="BF359" i="5" s="1"/>
  <c r="BI358" i="5"/>
  <c r="P357" i="29"/>
  <c r="Q357" i="29" s="1"/>
  <c r="BW378" i="5"/>
  <c r="H384" i="5"/>
  <c r="G379" i="5"/>
  <c r="V716" i="2"/>
  <c r="I679" i="2"/>
  <c r="I680" i="2" s="1"/>
  <c r="C37" i="25"/>
  <c r="H37" i="25" s="1"/>
  <c r="D37" i="25"/>
  <c r="B36" i="25"/>
  <c r="E36" i="25"/>
  <c r="E293" i="26"/>
  <c r="AC293" i="26" s="1"/>
  <c r="B293" i="26"/>
  <c r="D294" i="26"/>
  <c r="C294" i="26"/>
  <c r="AB294" i="26" s="1"/>
  <c r="E37" i="24"/>
  <c r="B37" i="24"/>
  <c r="D38" i="24"/>
  <c r="C38" i="24"/>
  <c r="B37" i="5"/>
  <c r="E37" i="5"/>
  <c r="I37" i="5" s="1"/>
  <c r="BZ37" i="5" s="1"/>
  <c r="D38" i="5"/>
  <c r="C38" i="5"/>
  <c r="J36" i="5"/>
  <c r="E35" i="2"/>
  <c r="C36" i="2"/>
  <c r="D36" i="2"/>
  <c r="B35" i="2"/>
  <c r="J34" i="2"/>
  <c r="K34" i="2" s="1"/>
  <c r="P34" i="2"/>
  <c r="R34" i="2" s="1"/>
  <c r="Q33" i="2"/>
  <c r="H309" i="2"/>
  <c r="Q386" i="29" l="1"/>
  <c r="AI386" i="29"/>
  <c r="L386" i="29"/>
  <c r="BF386" i="5" s="1"/>
  <c r="U385" i="29"/>
  <c r="BK385" i="5" s="1"/>
  <c r="BJ385" i="5"/>
  <c r="BD357" i="5"/>
  <c r="I357" i="29"/>
  <c r="H356" i="29"/>
  <c r="BI357" i="5"/>
  <c r="P356" i="29"/>
  <c r="Q356" i="29" s="1"/>
  <c r="BJ358" i="5"/>
  <c r="U358" i="29"/>
  <c r="BK358" i="5" s="1"/>
  <c r="BE358" i="5"/>
  <c r="L358" i="29"/>
  <c r="BF358" i="5" s="1"/>
  <c r="E387" i="29"/>
  <c r="B387" i="29"/>
  <c r="D388" i="29"/>
  <c r="C388" i="29"/>
  <c r="BW379" i="5"/>
  <c r="H385" i="5"/>
  <c r="G380" i="5"/>
  <c r="I681" i="2"/>
  <c r="I682" i="2" s="1"/>
  <c r="I683" i="2" s="1"/>
  <c r="I684" i="2" s="1"/>
  <c r="I685" i="2" s="1"/>
  <c r="V717" i="2"/>
  <c r="D38" i="25"/>
  <c r="C38" i="25"/>
  <c r="H38" i="25" s="1"/>
  <c r="B37" i="25"/>
  <c r="E37" i="25"/>
  <c r="E294" i="26"/>
  <c r="AC294" i="26" s="1"/>
  <c r="B294" i="26"/>
  <c r="D295" i="26"/>
  <c r="C295" i="26"/>
  <c r="AB295" i="26" s="1"/>
  <c r="J37" i="5"/>
  <c r="C39" i="24"/>
  <c r="B38" i="24"/>
  <c r="E38" i="24"/>
  <c r="D39" i="24"/>
  <c r="D39" i="5"/>
  <c r="E38" i="5"/>
  <c r="I38" i="5" s="1"/>
  <c r="BZ38" i="5" s="1"/>
  <c r="C39" i="5"/>
  <c r="B38" i="5"/>
  <c r="J35" i="2"/>
  <c r="K35" i="2" s="1"/>
  <c r="P35" i="2"/>
  <c r="R35" i="2" s="1"/>
  <c r="Q34" i="2"/>
  <c r="H310" i="2"/>
  <c r="B36" i="2"/>
  <c r="C37" i="2"/>
  <c r="E36" i="2"/>
  <c r="D37" i="2"/>
  <c r="Q387" i="29" l="1"/>
  <c r="AI387" i="29"/>
  <c r="L387" i="29"/>
  <c r="BF387" i="5" s="1"/>
  <c r="U386" i="29"/>
  <c r="BK386" i="5" s="1"/>
  <c r="BJ386" i="5"/>
  <c r="BJ357" i="5"/>
  <c r="U357" i="29"/>
  <c r="BK357" i="5" s="1"/>
  <c r="BD356" i="5"/>
  <c r="I356" i="29"/>
  <c r="H355" i="29"/>
  <c r="D389" i="29"/>
  <c r="C389" i="29"/>
  <c r="E388" i="29"/>
  <c r="B388" i="29"/>
  <c r="BI356" i="5"/>
  <c r="P355" i="29"/>
  <c r="Q355" i="29" s="1"/>
  <c r="BE357" i="5"/>
  <c r="L357" i="29"/>
  <c r="BF357" i="5" s="1"/>
  <c r="BW380" i="5"/>
  <c r="H386" i="5"/>
  <c r="G381" i="5"/>
  <c r="V718" i="2"/>
  <c r="I686" i="2"/>
  <c r="I687" i="2" s="1"/>
  <c r="I688" i="2" s="1"/>
  <c r="I689" i="2" s="1"/>
  <c r="B38" i="25"/>
  <c r="D39" i="25"/>
  <c r="E38" i="25"/>
  <c r="C39" i="25"/>
  <c r="H39" i="25" s="1"/>
  <c r="Q35" i="2"/>
  <c r="E295" i="26"/>
  <c r="AC295" i="26" s="1"/>
  <c r="C296" i="26"/>
  <c r="AB296" i="26" s="1"/>
  <c r="B295" i="26"/>
  <c r="D296" i="26"/>
  <c r="C40" i="24"/>
  <c r="D40" i="24"/>
  <c r="B39" i="24"/>
  <c r="E39" i="24"/>
  <c r="C40" i="5"/>
  <c r="B39" i="5"/>
  <c r="D40" i="5"/>
  <c r="E39" i="5"/>
  <c r="I39" i="5" s="1"/>
  <c r="BZ39" i="5" s="1"/>
  <c r="J38" i="5"/>
  <c r="B37" i="2"/>
  <c r="D38" i="2"/>
  <c r="E37" i="2"/>
  <c r="C38" i="2"/>
  <c r="J36" i="2"/>
  <c r="K36" i="2" s="1"/>
  <c r="P36" i="2"/>
  <c r="R36" i="2" s="1"/>
  <c r="H311" i="2"/>
  <c r="Q388" i="29" l="1"/>
  <c r="L388" i="29"/>
  <c r="BF388" i="5" s="1"/>
  <c r="AI388" i="29"/>
  <c r="U387" i="29"/>
  <c r="BK387" i="5" s="1"/>
  <c r="BJ387" i="5"/>
  <c r="BI355" i="5"/>
  <c r="P354" i="29"/>
  <c r="Q354" i="29" s="1"/>
  <c r="BD355" i="5"/>
  <c r="I355" i="29"/>
  <c r="H354" i="29"/>
  <c r="BJ356" i="5"/>
  <c r="U356" i="29"/>
  <c r="BK356" i="5" s="1"/>
  <c r="D390" i="29"/>
  <c r="B389" i="29"/>
  <c r="E389" i="29"/>
  <c r="C390" i="29"/>
  <c r="BE356" i="5"/>
  <c r="L356" i="29"/>
  <c r="BF356" i="5" s="1"/>
  <c r="BW381" i="5"/>
  <c r="H387" i="5"/>
  <c r="G382" i="5"/>
  <c r="V719" i="2"/>
  <c r="I690" i="2"/>
  <c r="I691" i="2" s="1"/>
  <c r="I692" i="2" s="1"/>
  <c r="D40" i="25"/>
  <c r="C40" i="25"/>
  <c r="H40" i="25" s="1"/>
  <c r="E39" i="25"/>
  <c r="B39" i="25"/>
  <c r="Q36" i="2"/>
  <c r="H312" i="2"/>
  <c r="E296" i="26"/>
  <c r="AC296" i="26" s="1"/>
  <c r="B296" i="26"/>
  <c r="D297" i="26"/>
  <c r="C297" i="26"/>
  <c r="AB297" i="26" s="1"/>
  <c r="C41" i="24"/>
  <c r="E40" i="24"/>
  <c r="B40" i="24"/>
  <c r="D41" i="24"/>
  <c r="C41" i="5"/>
  <c r="E40" i="5"/>
  <c r="I40" i="5" s="1"/>
  <c r="BZ40" i="5" s="1"/>
  <c r="D41" i="5"/>
  <c r="B40" i="5"/>
  <c r="J39" i="5"/>
  <c r="J37" i="2"/>
  <c r="K37" i="2" s="1"/>
  <c r="P37" i="2"/>
  <c r="R37" i="2" s="1"/>
  <c r="B38" i="2"/>
  <c r="C39" i="2"/>
  <c r="D39" i="2"/>
  <c r="E38" i="2"/>
  <c r="Q389" i="29" l="1"/>
  <c r="AI389" i="29"/>
  <c r="L389" i="29"/>
  <c r="BF389" i="5" s="1"/>
  <c r="U388" i="29"/>
  <c r="BK388" i="5" s="1"/>
  <c r="BJ388" i="5"/>
  <c r="BD354" i="5"/>
  <c r="I354" i="29"/>
  <c r="H353" i="29"/>
  <c r="BI354" i="5"/>
  <c r="P353" i="29"/>
  <c r="Q353" i="29" s="1"/>
  <c r="D391" i="29"/>
  <c r="E390" i="29"/>
  <c r="C391" i="29"/>
  <c r="B390" i="29"/>
  <c r="BE355" i="5"/>
  <c r="L355" i="29"/>
  <c r="BF355" i="5" s="1"/>
  <c r="BJ355" i="5"/>
  <c r="U355" i="29"/>
  <c r="BK355" i="5" s="1"/>
  <c r="BW382" i="5"/>
  <c r="H388" i="5"/>
  <c r="G383" i="5"/>
  <c r="I693" i="2"/>
  <c r="V720" i="2"/>
  <c r="B40" i="25"/>
  <c r="C41" i="25"/>
  <c r="H41" i="25" s="1"/>
  <c r="E40" i="25"/>
  <c r="D41" i="25"/>
  <c r="E297" i="26"/>
  <c r="AC297" i="26" s="1"/>
  <c r="C298" i="26"/>
  <c r="AB298" i="26" s="1"/>
  <c r="B297" i="26"/>
  <c r="D298" i="26"/>
  <c r="J40" i="5"/>
  <c r="D42" i="24"/>
  <c r="C42" i="24"/>
  <c r="B41" i="24"/>
  <c r="E41" i="24"/>
  <c r="X370" i="2"/>
  <c r="C42" i="5"/>
  <c r="E41" i="5"/>
  <c r="I41" i="5" s="1"/>
  <c r="BZ41" i="5" s="1"/>
  <c r="D42" i="5"/>
  <c r="B41" i="5"/>
  <c r="Q37" i="2"/>
  <c r="Q370" i="2" s="1"/>
  <c r="E39" i="2"/>
  <c r="C40" i="2"/>
  <c r="B39" i="2"/>
  <c r="D40" i="2"/>
  <c r="J38" i="2"/>
  <c r="K38" i="2" s="1"/>
  <c r="P38" i="2"/>
  <c r="R38" i="2" s="1"/>
  <c r="H313" i="2"/>
  <c r="Q390" i="29" l="1"/>
  <c r="L390" i="29"/>
  <c r="BF390" i="5" s="1"/>
  <c r="AI390" i="29"/>
  <c r="U389" i="29"/>
  <c r="BK389" i="5" s="1"/>
  <c r="BJ389" i="5"/>
  <c r="BI353" i="5"/>
  <c r="P352" i="29"/>
  <c r="Q352" i="29" s="1"/>
  <c r="BE354" i="5"/>
  <c r="L354" i="29"/>
  <c r="BF354" i="5" s="1"/>
  <c r="D392" i="29"/>
  <c r="B391" i="29"/>
  <c r="C392" i="29"/>
  <c r="E391" i="29"/>
  <c r="BJ354" i="5"/>
  <c r="U354" i="29"/>
  <c r="BK354" i="5" s="1"/>
  <c r="BD353" i="5"/>
  <c r="I353" i="29"/>
  <c r="H352" i="29"/>
  <c r="BW383" i="5"/>
  <c r="H389" i="5"/>
  <c r="G384" i="5"/>
  <c r="V721" i="2"/>
  <c r="I694" i="2"/>
  <c r="E41" i="25"/>
  <c r="B41" i="25"/>
  <c r="D42" i="25"/>
  <c r="C42" i="25"/>
  <c r="H42" i="25" s="1"/>
  <c r="H314" i="2"/>
  <c r="E298" i="26"/>
  <c r="AC298" i="26" s="1"/>
  <c r="B298" i="26"/>
  <c r="D299" i="26"/>
  <c r="C299" i="26"/>
  <c r="AB299" i="26" s="1"/>
  <c r="B42" i="24"/>
  <c r="E42" i="24"/>
  <c r="D43" i="24"/>
  <c r="C43" i="24"/>
  <c r="E42" i="5"/>
  <c r="C43" i="5"/>
  <c r="B42" i="5"/>
  <c r="D43" i="5"/>
  <c r="J41" i="5"/>
  <c r="E40" i="2"/>
  <c r="D41" i="2"/>
  <c r="B40" i="2"/>
  <c r="C41" i="2"/>
  <c r="J39" i="2"/>
  <c r="K39" i="2" s="1"/>
  <c r="Q38" i="2"/>
  <c r="Q391" i="29" l="1"/>
  <c r="L391" i="29"/>
  <c r="BF391" i="5" s="1"/>
  <c r="AI391" i="29"/>
  <c r="U390" i="29"/>
  <c r="BK390" i="5" s="1"/>
  <c r="BJ390" i="5"/>
  <c r="BD352" i="5"/>
  <c r="I352" i="29"/>
  <c r="H351" i="29"/>
  <c r="BE353" i="5"/>
  <c r="L353" i="29"/>
  <c r="BF353" i="5" s="1"/>
  <c r="BI352" i="5"/>
  <c r="P351" i="29"/>
  <c r="Q351" i="29" s="1"/>
  <c r="D393" i="29"/>
  <c r="C393" i="29"/>
  <c r="E392" i="29"/>
  <c r="B392" i="29"/>
  <c r="BJ353" i="5"/>
  <c r="U353" i="29"/>
  <c r="BK353" i="5" s="1"/>
  <c r="BW384" i="5"/>
  <c r="H390" i="5"/>
  <c r="G385" i="5"/>
  <c r="V722" i="2"/>
  <c r="I695" i="2"/>
  <c r="I696" i="2" s="1"/>
  <c r="B42" i="25"/>
  <c r="D43" i="25"/>
  <c r="E42" i="25"/>
  <c r="C43" i="25"/>
  <c r="H43" i="25" s="1"/>
  <c r="E299" i="26"/>
  <c r="AC299" i="26" s="1"/>
  <c r="C300" i="26"/>
  <c r="AB300" i="26" s="1"/>
  <c r="D300" i="26"/>
  <c r="B299" i="26"/>
  <c r="D44" i="24"/>
  <c r="E43" i="24"/>
  <c r="C44" i="24"/>
  <c r="B43" i="24"/>
  <c r="B43" i="5"/>
  <c r="E43" i="5"/>
  <c r="C44" i="5"/>
  <c r="D44" i="5"/>
  <c r="I42" i="5"/>
  <c r="BZ42" i="5" s="1"/>
  <c r="J40" i="2"/>
  <c r="K40" i="2" s="1"/>
  <c r="H315" i="2"/>
  <c r="C42" i="2"/>
  <c r="D42" i="2"/>
  <c r="B41" i="2"/>
  <c r="E41" i="2"/>
  <c r="Q392" i="29" l="1"/>
  <c r="L392" i="29"/>
  <c r="BF392" i="5" s="1"/>
  <c r="AI392" i="29"/>
  <c r="U391" i="29"/>
  <c r="BK391" i="5" s="1"/>
  <c r="BJ391" i="5"/>
  <c r="B393" i="29"/>
  <c r="D394" i="29"/>
  <c r="C394" i="29"/>
  <c r="E393" i="29"/>
  <c r="BI351" i="5"/>
  <c r="P350" i="29"/>
  <c r="Q350" i="29" s="1"/>
  <c r="BJ352" i="5"/>
  <c r="U352" i="29"/>
  <c r="BK352" i="5" s="1"/>
  <c r="BD351" i="5"/>
  <c r="I351" i="29"/>
  <c r="H350" i="29"/>
  <c r="BE352" i="5"/>
  <c r="L352" i="29"/>
  <c r="BF352" i="5" s="1"/>
  <c r="BW385" i="5"/>
  <c r="H391" i="5"/>
  <c r="G386" i="5"/>
  <c r="V723" i="2"/>
  <c r="I697" i="2"/>
  <c r="E43" i="25"/>
  <c r="B43" i="25"/>
  <c r="D44" i="25"/>
  <c r="C44" i="25"/>
  <c r="H44" i="25" s="1"/>
  <c r="E300" i="26"/>
  <c r="AC300" i="26" s="1"/>
  <c r="B300" i="26"/>
  <c r="D301" i="26"/>
  <c r="C301" i="26"/>
  <c r="AB301" i="26" s="1"/>
  <c r="B44" i="24"/>
  <c r="C45" i="24"/>
  <c r="E44" i="24"/>
  <c r="D45" i="24"/>
  <c r="I43" i="5"/>
  <c r="BZ43" i="5" s="1"/>
  <c r="J42" i="5"/>
  <c r="C45" i="5"/>
  <c r="B44" i="5"/>
  <c r="D45" i="5"/>
  <c r="E44" i="5"/>
  <c r="J41" i="2"/>
  <c r="K41" i="2" s="1"/>
  <c r="C43" i="2"/>
  <c r="E42" i="2"/>
  <c r="D43" i="2"/>
  <c r="B42" i="2"/>
  <c r="H316" i="2"/>
  <c r="Q393" i="29" l="1"/>
  <c r="L393" i="29"/>
  <c r="BF393" i="5" s="1"/>
  <c r="AI393" i="29"/>
  <c r="U392" i="29"/>
  <c r="BK392" i="5" s="1"/>
  <c r="BJ392" i="5"/>
  <c r="BJ351" i="5"/>
  <c r="U351" i="29"/>
  <c r="BK351" i="5" s="1"/>
  <c r="BE351" i="5"/>
  <c r="L351" i="29"/>
  <c r="BF351" i="5" s="1"/>
  <c r="BI350" i="5"/>
  <c r="P349" i="29"/>
  <c r="Q349" i="29" s="1"/>
  <c r="D395" i="29"/>
  <c r="C395" i="29"/>
  <c r="E394" i="29"/>
  <c r="B394" i="29"/>
  <c r="BD350" i="5"/>
  <c r="I350" i="29"/>
  <c r="H349" i="29"/>
  <c r="BW386" i="5"/>
  <c r="H392" i="5"/>
  <c r="G387" i="5"/>
  <c r="I698" i="2"/>
  <c r="I699" i="2" s="1"/>
  <c r="V724" i="2"/>
  <c r="C45" i="25"/>
  <c r="H45" i="25" s="1"/>
  <c r="E44" i="25"/>
  <c r="B44" i="25"/>
  <c r="D45" i="25"/>
  <c r="E301" i="26"/>
  <c r="AC301" i="26" s="1"/>
  <c r="C302" i="26"/>
  <c r="AB302" i="26" s="1"/>
  <c r="D302" i="26"/>
  <c r="B301" i="26"/>
  <c r="B45" i="24"/>
  <c r="C46" i="24"/>
  <c r="D46" i="24"/>
  <c r="E45" i="24"/>
  <c r="J43" i="5"/>
  <c r="I44" i="5"/>
  <c r="BZ44" i="5" s="1"/>
  <c r="C46" i="5"/>
  <c r="E45" i="5"/>
  <c r="D46" i="5"/>
  <c r="B45" i="5"/>
  <c r="E43" i="2"/>
  <c r="C44" i="2"/>
  <c r="D44" i="2"/>
  <c r="B43" i="2"/>
  <c r="H317" i="2"/>
  <c r="J42" i="2"/>
  <c r="K42" i="2" s="1"/>
  <c r="Q394" i="29" l="1"/>
  <c r="L394" i="29"/>
  <c r="BF394" i="5" s="1"/>
  <c r="AI394" i="29"/>
  <c r="U393" i="29"/>
  <c r="BK393" i="5" s="1"/>
  <c r="BJ393" i="5"/>
  <c r="BJ350" i="5"/>
  <c r="U350" i="29"/>
  <c r="BK350" i="5" s="1"/>
  <c r="BE350" i="5"/>
  <c r="L350" i="29"/>
  <c r="BF350" i="5" s="1"/>
  <c r="D396" i="29"/>
  <c r="B395" i="29"/>
  <c r="C396" i="29"/>
  <c r="E395" i="29"/>
  <c r="BD349" i="5"/>
  <c r="I349" i="29"/>
  <c r="H348" i="29"/>
  <c r="BI349" i="5"/>
  <c r="P348" i="29"/>
  <c r="Q348" i="29" s="1"/>
  <c r="BW387" i="5"/>
  <c r="H393" i="5"/>
  <c r="G388" i="5"/>
  <c r="V725" i="2"/>
  <c r="I700" i="2"/>
  <c r="B45" i="25"/>
  <c r="C46" i="25"/>
  <c r="H46" i="25" s="1"/>
  <c r="E45" i="25"/>
  <c r="D46" i="25"/>
  <c r="E302" i="26"/>
  <c r="AC302" i="26" s="1"/>
  <c r="B302" i="26"/>
  <c r="D303" i="26"/>
  <c r="C303" i="26"/>
  <c r="AB303" i="26" s="1"/>
  <c r="J44" i="5"/>
  <c r="E46" i="24"/>
  <c r="B46" i="24"/>
  <c r="D47" i="24"/>
  <c r="C47" i="24"/>
  <c r="D47" i="5"/>
  <c r="E46" i="5"/>
  <c r="B46" i="5"/>
  <c r="C47" i="5"/>
  <c r="I45" i="5"/>
  <c r="BZ45" i="5" s="1"/>
  <c r="J43" i="2"/>
  <c r="K43" i="2" s="1"/>
  <c r="H318" i="2"/>
  <c r="E44" i="2"/>
  <c r="C45" i="2"/>
  <c r="D45" i="2"/>
  <c r="B44" i="2"/>
  <c r="Q395" i="29" l="1"/>
  <c r="L395" i="29"/>
  <c r="BF395" i="5" s="1"/>
  <c r="AI395" i="29"/>
  <c r="U394" i="29"/>
  <c r="BK394" i="5" s="1"/>
  <c r="BJ394" i="5"/>
  <c r="BJ349" i="5"/>
  <c r="U349" i="29"/>
  <c r="BK349" i="5" s="1"/>
  <c r="BD348" i="5"/>
  <c r="I348" i="29"/>
  <c r="H347" i="29"/>
  <c r="D397" i="29"/>
  <c r="C397" i="29"/>
  <c r="E396" i="29"/>
  <c r="B396" i="29"/>
  <c r="BI348" i="5"/>
  <c r="P347" i="29"/>
  <c r="Q347" i="29" s="1"/>
  <c r="BE349" i="5"/>
  <c r="L349" i="29"/>
  <c r="BF349" i="5" s="1"/>
  <c r="BW388" i="5"/>
  <c r="H394" i="5"/>
  <c r="G389" i="5"/>
  <c r="I701" i="2"/>
  <c r="V726" i="2"/>
  <c r="E46" i="25"/>
  <c r="D47" i="25"/>
  <c r="C47" i="25"/>
  <c r="H47" i="25" s="1"/>
  <c r="B46" i="25"/>
  <c r="E303" i="26"/>
  <c r="AC303" i="26" s="1"/>
  <c r="C304" i="26"/>
  <c r="AB304" i="26" s="1"/>
  <c r="D304" i="26"/>
  <c r="B303" i="26"/>
  <c r="E47" i="24"/>
  <c r="C48" i="24"/>
  <c r="D48" i="24"/>
  <c r="B47" i="24"/>
  <c r="I46" i="5"/>
  <c r="BZ46" i="5" s="1"/>
  <c r="B47" i="5"/>
  <c r="E47" i="5"/>
  <c r="C48" i="5"/>
  <c r="D48" i="5"/>
  <c r="J45" i="5"/>
  <c r="H319" i="2"/>
  <c r="C46" i="2"/>
  <c r="E45" i="2"/>
  <c r="D46" i="2"/>
  <c r="B45" i="2"/>
  <c r="J44" i="2"/>
  <c r="K44" i="2" s="1"/>
  <c r="Q396" i="29" l="1"/>
  <c r="AI396" i="29"/>
  <c r="L396" i="29"/>
  <c r="BF396" i="5" s="1"/>
  <c r="U395" i="29"/>
  <c r="BK395" i="5" s="1"/>
  <c r="BJ395" i="5"/>
  <c r="BJ348" i="5"/>
  <c r="U348" i="29"/>
  <c r="BK348" i="5" s="1"/>
  <c r="B397" i="29"/>
  <c r="D398" i="29"/>
  <c r="C398" i="29"/>
  <c r="E397" i="29"/>
  <c r="BD347" i="5"/>
  <c r="I347" i="29"/>
  <c r="H346" i="29"/>
  <c r="BI347" i="5"/>
  <c r="P346" i="29"/>
  <c r="Q346" i="29" s="1"/>
  <c r="BE348" i="5"/>
  <c r="L348" i="29"/>
  <c r="BF348" i="5" s="1"/>
  <c r="BW389" i="5"/>
  <c r="H395" i="5"/>
  <c r="G390" i="5"/>
  <c r="V727" i="2"/>
  <c r="I702" i="2"/>
  <c r="I703" i="2" s="1"/>
  <c r="D48" i="25"/>
  <c r="C48" i="25"/>
  <c r="H48" i="25" s="1"/>
  <c r="E47" i="25"/>
  <c r="B47" i="25"/>
  <c r="E304" i="26"/>
  <c r="AC304" i="26" s="1"/>
  <c r="B304" i="26"/>
  <c r="D305" i="26"/>
  <c r="C305" i="26"/>
  <c r="AB305" i="26" s="1"/>
  <c r="E48" i="24"/>
  <c r="C49" i="24"/>
  <c r="B48" i="24"/>
  <c r="D49" i="24"/>
  <c r="I47" i="5"/>
  <c r="BZ47" i="5" s="1"/>
  <c r="J46" i="5"/>
  <c r="B48" i="5"/>
  <c r="C49" i="5"/>
  <c r="D49" i="5"/>
  <c r="E48" i="5"/>
  <c r="C47" i="2"/>
  <c r="B46" i="2"/>
  <c r="E46" i="2"/>
  <c r="D47" i="2"/>
  <c r="J45" i="2"/>
  <c r="K45" i="2" s="1"/>
  <c r="H320" i="2"/>
  <c r="Q397" i="29" l="1"/>
  <c r="AI397" i="29"/>
  <c r="L397" i="29"/>
  <c r="BF397" i="5" s="1"/>
  <c r="U396" i="29"/>
  <c r="BK396" i="5" s="1"/>
  <c r="BJ396" i="5"/>
  <c r="BJ347" i="5"/>
  <c r="U347" i="29"/>
  <c r="BK347" i="5" s="1"/>
  <c r="BI346" i="5"/>
  <c r="P345" i="29"/>
  <c r="Q345" i="29" s="1"/>
  <c r="BD346" i="5"/>
  <c r="I346" i="29"/>
  <c r="H345" i="29"/>
  <c r="BE347" i="5"/>
  <c r="L347" i="29"/>
  <c r="BF347" i="5" s="1"/>
  <c r="D399" i="29"/>
  <c r="C399" i="29"/>
  <c r="E398" i="29"/>
  <c r="B398" i="29"/>
  <c r="BW390" i="5"/>
  <c r="H396" i="5"/>
  <c r="G391" i="5"/>
  <c r="I704" i="2"/>
  <c r="V728" i="2"/>
  <c r="D49" i="25"/>
  <c r="C49" i="25"/>
  <c r="H49" i="25" s="1"/>
  <c r="B48" i="25"/>
  <c r="E48" i="25"/>
  <c r="E305" i="26"/>
  <c r="AC305" i="26" s="1"/>
  <c r="C306" i="26"/>
  <c r="AB306" i="26" s="1"/>
  <c r="B305" i="26"/>
  <c r="D306" i="26"/>
  <c r="J47" i="5"/>
  <c r="E49" i="24"/>
  <c r="C50" i="24"/>
  <c r="D50" i="24"/>
  <c r="B49" i="24"/>
  <c r="I48" i="5"/>
  <c r="BZ48" i="5" s="1"/>
  <c r="E49" i="5"/>
  <c r="B49" i="5"/>
  <c r="D50" i="5"/>
  <c r="C50" i="5"/>
  <c r="H321" i="2"/>
  <c r="E47" i="2"/>
  <c r="C48" i="2"/>
  <c r="D48" i="2"/>
  <c r="B47" i="2"/>
  <c r="J46" i="2"/>
  <c r="K46" i="2" s="1"/>
  <c r="Q398" i="29" l="1"/>
  <c r="L398" i="29"/>
  <c r="BF398" i="5" s="1"/>
  <c r="AI398" i="29"/>
  <c r="U397" i="29"/>
  <c r="BK397" i="5" s="1"/>
  <c r="BJ397" i="5"/>
  <c r="D400" i="29"/>
  <c r="B399" i="29"/>
  <c r="C400" i="29"/>
  <c r="E399" i="29"/>
  <c r="BI345" i="5"/>
  <c r="P344" i="29"/>
  <c r="Q344" i="29" s="1"/>
  <c r="BD345" i="5"/>
  <c r="I345" i="29"/>
  <c r="H344" i="29"/>
  <c r="BE346" i="5"/>
  <c r="L346" i="29"/>
  <c r="BF346" i="5" s="1"/>
  <c r="BJ346" i="5"/>
  <c r="U346" i="29"/>
  <c r="BK346" i="5" s="1"/>
  <c r="BW391" i="5"/>
  <c r="H397" i="5"/>
  <c r="G392" i="5"/>
  <c r="V729" i="2"/>
  <c r="I705" i="2"/>
  <c r="I706" i="2" s="1"/>
  <c r="I707" i="2" s="1"/>
  <c r="I708" i="2" s="1"/>
  <c r="I709" i="2" s="1"/>
  <c r="I710" i="2" s="1"/>
  <c r="D50" i="25"/>
  <c r="E49" i="25"/>
  <c r="C50" i="25"/>
  <c r="H50" i="25" s="1"/>
  <c r="B49" i="25"/>
  <c r="H322" i="2"/>
  <c r="E306" i="26"/>
  <c r="AC306" i="26" s="1"/>
  <c r="B306" i="26"/>
  <c r="D307" i="26"/>
  <c r="C307" i="26"/>
  <c r="AB307" i="26" s="1"/>
  <c r="D51" i="24"/>
  <c r="B50" i="24"/>
  <c r="C51" i="24"/>
  <c r="E50" i="24"/>
  <c r="B50" i="5"/>
  <c r="D51" i="5"/>
  <c r="C51" i="5"/>
  <c r="E50" i="5"/>
  <c r="I49" i="5"/>
  <c r="BZ49" i="5" s="1"/>
  <c r="J48" i="5"/>
  <c r="C49" i="2"/>
  <c r="D49" i="2"/>
  <c r="B48" i="2"/>
  <c r="E48" i="2"/>
  <c r="J47" i="2"/>
  <c r="K47" i="2" s="1"/>
  <c r="Q399" i="29" l="1"/>
  <c r="AI399" i="29"/>
  <c r="L399" i="29"/>
  <c r="BF399" i="5" s="1"/>
  <c r="U398" i="29"/>
  <c r="BK398" i="5" s="1"/>
  <c r="BJ398" i="5"/>
  <c r="BE345" i="5"/>
  <c r="L345" i="29"/>
  <c r="BF345" i="5" s="1"/>
  <c r="BJ345" i="5"/>
  <c r="U345" i="29"/>
  <c r="BK345" i="5" s="1"/>
  <c r="BI344" i="5"/>
  <c r="P343" i="29"/>
  <c r="Q343" i="29" s="1"/>
  <c r="BD344" i="5"/>
  <c r="I344" i="29"/>
  <c r="H343" i="29"/>
  <c r="D401" i="29"/>
  <c r="C401" i="29"/>
  <c r="E400" i="29"/>
  <c r="B400" i="29"/>
  <c r="BW392" i="5"/>
  <c r="H398" i="5"/>
  <c r="G393" i="5"/>
  <c r="I711" i="2"/>
  <c r="V730" i="2"/>
  <c r="C51" i="25"/>
  <c r="H51" i="25" s="1"/>
  <c r="D51" i="25"/>
  <c r="B50" i="25"/>
  <c r="E50" i="25"/>
  <c r="E307" i="26"/>
  <c r="AC307" i="26" s="1"/>
  <c r="C308" i="26"/>
  <c r="B307" i="26"/>
  <c r="D308" i="26"/>
  <c r="D52" i="24"/>
  <c r="C52" i="24"/>
  <c r="E51" i="24"/>
  <c r="B51" i="24"/>
  <c r="I50" i="5"/>
  <c r="BZ50" i="5" s="1"/>
  <c r="J49" i="5"/>
  <c r="D52" i="5"/>
  <c r="C52" i="5"/>
  <c r="E51" i="5"/>
  <c r="B51" i="5"/>
  <c r="J48" i="2"/>
  <c r="K48" i="2" s="1"/>
  <c r="E49" i="2"/>
  <c r="C50" i="2"/>
  <c r="B49" i="2"/>
  <c r="D50" i="2"/>
  <c r="H323" i="2"/>
  <c r="Q400" i="29" l="1"/>
  <c r="AI400" i="29"/>
  <c r="L400" i="29"/>
  <c r="BF400" i="5" s="1"/>
  <c r="U399" i="29"/>
  <c r="BK399" i="5" s="1"/>
  <c r="BJ399" i="5"/>
  <c r="BE344" i="5"/>
  <c r="L344" i="29"/>
  <c r="BF344" i="5" s="1"/>
  <c r="BJ344" i="5"/>
  <c r="U344" i="29"/>
  <c r="BK344" i="5" s="1"/>
  <c r="D402" i="29"/>
  <c r="B401" i="29"/>
  <c r="C402" i="29"/>
  <c r="E401" i="29"/>
  <c r="BD343" i="5"/>
  <c r="I343" i="29"/>
  <c r="H342" i="29"/>
  <c r="BI343" i="5"/>
  <c r="P342" i="29"/>
  <c r="Q342" i="29" s="1"/>
  <c r="BW393" i="5"/>
  <c r="H399" i="5"/>
  <c r="G394" i="5"/>
  <c r="V731" i="2"/>
  <c r="I712" i="2"/>
  <c r="B51" i="25"/>
  <c r="D52" i="25"/>
  <c r="E51" i="25"/>
  <c r="C52" i="25"/>
  <c r="H52" i="25" s="1"/>
  <c r="E308" i="26"/>
  <c r="AC308" i="26" s="1"/>
  <c r="B308" i="26"/>
  <c r="D309" i="26"/>
  <c r="C309" i="26"/>
  <c r="J50" i="5"/>
  <c r="E52" i="24"/>
  <c r="B52" i="24"/>
  <c r="C53" i="24"/>
  <c r="D53" i="24"/>
  <c r="E52" i="5"/>
  <c r="C53" i="5"/>
  <c r="B52" i="5"/>
  <c r="D53" i="5"/>
  <c r="I51" i="5"/>
  <c r="BZ51" i="5" s="1"/>
  <c r="B50" i="2"/>
  <c r="E50" i="2"/>
  <c r="C51" i="2"/>
  <c r="D51" i="2"/>
  <c r="H324" i="2"/>
  <c r="J49" i="2"/>
  <c r="K49" i="2" s="1"/>
  <c r="Q401" i="29" l="1"/>
  <c r="L401" i="29"/>
  <c r="BF401" i="5" s="1"/>
  <c r="AI401" i="29"/>
  <c r="U400" i="29"/>
  <c r="BK400" i="5" s="1"/>
  <c r="BJ400" i="5"/>
  <c r="BI342" i="5"/>
  <c r="P341" i="29"/>
  <c r="Q341" i="29" s="1"/>
  <c r="BE343" i="5"/>
  <c r="L343" i="29"/>
  <c r="BF343" i="5" s="1"/>
  <c r="D403" i="29"/>
  <c r="C403" i="29"/>
  <c r="E402" i="29"/>
  <c r="B402" i="29"/>
  <c r="BJ343" i="5"/>
  <c r="U343" i="29"/>
  <c r="BK343" i="5" s="1"/>
  <c r="BD342" i="5"/>
  <c r="I342" i="29"/>
  <c r="H341" i="29"/>
  <c r="BW394" i="5"/>
  <c r="H400" i="5"/>
  <c r="G395" i="5"/>
  <c r="I713" i="2"/>
  <c r="I714" i="2" s="1"/>
  <c r="I715" i="2" s="1"/>
  <c r="V732" i="2"/>
  <c r="C53" i="25"/>
  <c r="H53" i="25" s="1"/>
  <c r="E52" i="25"/>
  <c r="B52" i="25"/>
  <c r="D53" i="25"/>
  <c r="D310" i="26"/>
  <c r="E309" i="26"/>
  <c r="C310" i="26"/>
  <c r="AB310" i="26" s="1"/>
  <c r="B309" i="26"/>
  <c r="D54" i="24"/>
  <c r="E53" i="24"/>
  <c r="B53" i="24"/>
  <c r="C54" i="24"/>
  <c r="D54" i="5"/>
  <c r="E53" i="5"/>
  <c r="B53" i="5"/>
  <c r="C54" i="5"/>
  <c r="J51" i="5"/>
  <c r="I52" i="5"/>
  <c r="BZ52" i="5" s="1"/>
  <c r="H325" i="2"/>
  <c r="E51" i="2"/>
  <c r="C52" i="2"/>
  <c r="D52" i="2"/>
  <c r="B51" i="2"/>
  <c r="J50" i="2"/>
  <c r="K50" i="2" s="1"/>
  <c r="Q402" i="29" l="1"/>
  <c r="L402" i="29"/>
  <c r="BF402" i="5" s="1"/>
  <c r="AI402" i="29"/>
  <c r="U401" i="29"/>
  <c r="BK401" i="5" s="1"/>
  <c r="BJ401" i="5"/>
  <c r="BE342" i="5"/>
  <c r="L342" i="29"/>
  <c r="BF342" i="5" s="1"/>
  <c r="BD341" i="5"/>
  <c r="I341" i="29"/>
  <c r="H340" i="29"/>
  <c r="D404" i="29"/>
  <c r="C404" i="29"/>
  <c r="E403" i="29"/>
  <c r="B403" i="29"/>
  <c r="BI341" i="5"/>
  <c r="P340" i="29"/>
  <c r="Q340" i="29" s="1"/>
  <c r="BJ342" i="5"/>
  <c r="U342" i="29"/>
  <c r="BK342" i="5" s="1"/>
  <c r="BW395" i="5"/>
  <c r="H401" i="5"/>
  <c r="G396" i="5"/>
  <c r="V733" i="2"/>
  <c r="I716" i="2"/>
  <c r="I717" i="2" s="1"/>
  <c r="AC309" i="26"/>
  <c r="AK309" i="2" s="1"/>
  <c r="B53" i="25"/>
  <c r="D54" i="25"/>
  <c r="E53" i="25"/>
  <c r="C54" i="25"/>
  <c r="H54" i="25" s="1"/>
  <c r="B310" i="26"/>
  <c r="D311" i="26"/>
  <c r="C311" i="26"/>
  <c r="AB311" i="26" s="1"/>
  <c r="E310" i="26"/>
  <c r="AC310" i="26" s="1"/>
  <c r="AK310" i="2" s="1"/>
  <c r="J52" i="5"/>
  <c r="C55" i="24"/>
  <c r="D55" i="24"/>
  <c r="B54" i="24"/>
  <c r="E54" i="24"/>
  <c r="I53" i="5"/>
  <c r="BZ53" i="5" s="1"/>
  <c r="D55" i="5"/>
  <c r="E54" i="5"/>
  <c r="C55" i="5"/>
  <c r="B54" i="5"/>
  <c r="H326" i="2"/>
  <c r="B52" i="2"/>
  <c r="E52" i="2"/>
  <c r="C53" i="2"/>
  <c r="D53" i="2"/>
  <c r="J51" i="2"/>
  <c r="K51" i="2" s="1"/>
  <c r="Q403" i="29" l="1"/>
  <c r="L403" i="29"/>
  <c r="BF403" i="5" s="1"/>
  <c r="AI403" i="29"/>
  <c r="U402" i="29"/>
  <c r="BK402" i="5" s="1"/>
  <c r="BJ402" i="5"/>
  <c r="BI340" i="5"/>
  <c r="BJ341" i="5"/>
  <c r="U341" i="29"/>
  <c r="BK341" i="5" s="1"/>
  <c r="BD340" i="5"/>
  <c r="I340" i="29"/>
  <c r="B404" i="29"/>
  <c r="D405" i="29"/>
  <c r="C405" i="29"/>
  <c r="E404" i="29"/>
  <c r="BE341" i="5"/>
  <c r="L341" i="29"/>
  <c r="BF341" i="5" s="1"/>
  <c r="BW396" i="5"/>
  <c r="H402" i="5"/>
  <c r="G397" i="5"/>
  <c r="V734" i="2"/>
  <c r="I718" i="2"/>
  <c r="D55" i="25"/>
  <c r="E54" i="25"/>
  <c r="C55" i="25"/>
  <c r="H55" i="25" s="1"/>
  <c r="B54" i="25"/>
  <c r="H327" i="2"/>
  <c r="E311" i="26"/>
  <c r="AC311" i="26" s="1"/>
  <c r="B311" i="26"/>
  <c r="C312" i="26"/>
  <c r="AB312" i="26" s="1"/>
  <c r="D312" i="26"/>
  <c r="C56" i="24"/>
  <c r="D56" i="24"/>
  <c r="E55" i="24"/>
  <c r="B55" i="24"/>
  <c r="D56" i="5"/>
  <c r="B55" i="5"/>
  <c r="E55" i="5"/>
  <c r="C56" i="5"/>
  <c r="I54" i="5"/>
  <c r="BZ54" i="5" s="1"/>
  <c r="J53" i="5"/>
  <c r="J52" i="2"/>
  <c r="K52" i="2" s="1"/>
  <c r="B53" i="2"/>
  <c r="E53" i="2"/>
  <c r="C54" i="2"/>
  <c r="D54" i="2"/>
  <c r="Q404" i="29" l="1"/>
  <c r="L404" i="29"/>
  <c r="BF404" i="5" s="1"/>
  <c r="AI404" i="29"/>
  <c r="U403" i="29"/>
  <c r="BK403" i="5" s="1"/>
  <c r="BJ403" i="5"/>
  <c r="C406" i="29"/>
  <c r="D406" i="29"/>
  <c r="B405" i="29"/>
  <c r="E405" i="29"/>
  <c r="BE340" i="5"/>
  <c r="L340" i="29"/>
  <c r="BJ340" i="5"/>
  <c r="U340" i="29"/>
  <c r="BW397" i="5"/>
  <c r="H403" i="5"/>
  <c r="G398" i="5"/>
  <c r="I719" i="2"/>
  <c r="I720" i="2" s="1"/>
  <c r="I721" i="2" s="1"/>
  <c r="V735" i="2"/>
  <c r="AK311" i="2"/>
  <c r="E55" i="25"/>
  <c r="D56" i="25"/>
  <c r="B55" i="25"/>
  <c r="C56" i="25"/>
  <c r="H56" i="25" s="1"/>
  <c r="H328" i="2"/>
  <c r="B312" i="26"/>
  <c r="D313" i="26"/>
  <c r="C313" i="26"/>
  <c r="AA313" i="26" s="1"/>
  <c r="E312" i="26"/>
  <c r="AC312" i="26" s="1"/>
  <c r="AK312" i="2" s="1"/>
  <c r="B56" i="24"/>
  <c r="C57" i="24"/>
  <c r="D57" i="24"/>
  <c r="E56" i="24"/>
  <c r="J54" i="5"/>
  <c r="I55" i="5"/>
  <c r="BZ55" i="5" s="1"/>
  <c r="E56" i="5"/>
  <c r="D57" i="5"/>
  <c r="B56" i="5"/>
  <c r="C57" i="5"/>
  <c r="J53" i="2"/>
  <c r="K53" i="2" s="1"/>
  <c r="D55" i="2"/>
  <c r="B54" i="2"/>
  <c r="E54" i="2"/>
  <c r="C55" i="2"/>
  <c r="U404" i="29" l="1"/>
  <c r="BK404" i="5" s="1"/>
  <c r="BJ404" i="5"/>
  <c r="V404" i="29"/>
  <c r="B406" i="29"/>
  <c r="D407" i="29"/>
  <c r="C407" i="29"/>
  <c r="E406" i="29"/>
  <c r="BK340" i="5"/>
  <c r="BF340" i="5"/>
  <c r="BW398" i="5"/>
  <c r="H404" i="5"/>
  <c r="G399" i="5"/>
  <c r="V736" i="2"/>
  <c r="I722" i="2"/>
  <c r="I723" i="2" s="1"/>
  <c r="AI313" i="2"/>
  <c r="AA312" i="26"/>
  <c r="C57" i="25"/>
  <c r="H57" i="25" s="1"/>
  <c r="B56" i="25"/>
  <c r="E56" i="25"/>
  <c r="D57" i="25"/>
  <c r="I101" i="19"/>
  <c r="AB313" i="26"/>
  <c r="E313" i="26"/>
  <c r="AC313" i="26" s="1"/>
  <c r="D314" i="26"/>
  <c r="B313" i="26"/>
  <c r="C314" i="26"/>
  <c r="AB314" i="26" s="1"/>
  <c r="C58" i="24"/>
  <c r="E57" i="24"/>
  <c r="D58" i="24"/>
  <c r="B57" i="24"/>
  <c r="I56" i="5"/>
  <c r="BZ56" i="5" s="1"/>
  <c r="B57" i="5"/>
  <c r="C58" i="5"/>
  <c r="E57" i="5"/>
  <c r="D58" i="5"/>
  <c r="J55" i="5"/>
  <c r="E55" i="2"/>
  <c r="B55" i="2"/>
  <c r="C56" i="2"/>
  <c r="D56" i="2"/>
  <c r="J54" i="2"/>
  <c r="K54" i="2" s="1"/>
  <c r="H329" i="2"/>
  <c r="B407" i="29" l="1"/>
  <c r="E407" i="29"/>
  <c r="C408" i="29"/>
  <c r="D408" i="29"/>
  <c r="BW399" i="5"/>
  <c r="H405" i="5"/>
  <c r="H406" i="5" s="1"/>
  <c r="H407" i="5" s="1"/>
  <c r="G400" i="5"/>
  <c r="I724" i="2"/>
  <c r="I725" i="2" s="1"/>
  <c r="V737" i="2"/>
  <c r="AK313" i="2"/>
  <c r="AA311" i="26"/>
  <c r="AI312" i="2"/>
  <c r="E57" i="25"/>
  <c r="B57" i="25"/>
  <c r="D58" i="25"/>
  <c r="C58" i="25"/>
  <c r="H58" i="25" s="1"/>
  <c r="D315" i="26"/>
  <c r="C315" i="26"/>
  <c r="AB315" i="26" s="1"/>
  <c r="B314" i="26"/>
  <c r="E314" i="26"/>
  <c r="AC314" i="26" s="1"/>
  <c r="AK314" i="2" s="1"/>
  <c r="J56" i="5"/>
  <c r="E58" i="24"/>
  <c r="D59" i="24"/>
  <c r="C59" i="24"/>
  <c r="B58" i="24"/>
  <c r="I57" i="5"/>
  <c r="BZ57" i="5" s="1"/>
  <c r="E58" i="5"/>
  <c r="C59" i="5"/>
  <c r="D59" i="5"/>
  <c r="B58" i="5"/>
  <c r="C57" i="2"/>
  <c r="D57" i="2"/>
  <c r="E56" i="2"/>
  <c r="B56" i="2"/>
  <c r="J55" i="2"/>
  <c r="K55" i="2" s="1"/>
  <c r="H330" i="2"/>
  <c r="D409" i="29" l="1"/>
  <c r="E408" i="29"/>
  <c r="C409" i="29"/>
  <c r="B408" i="29"/>
  <c r="BW400" i="5"/>
  <c r="H408" i="5"/>
  <c r="G401" i="5"/>
  <c r="I726" i="2"/>
  <c r="AA310" i="26"/>
  <c r="AI311" i="2"/>
  <c r="C59" i="25"/>
  <c r="H59" i="25" s="1"/>
  <c r="D59" i="25"/>
  <c r="B58" i="25"/>
  <c r="E58" i="25"/>
  <c r="J57" i="5"/>
  <c r="B315" i="26"/>
  <c r="D316" i="26"/>
  <c r="C316" i="26"/>
  <c r="AB316" i="26" s="1"/>
  <c r="E315" i="26"/>
  <c r="AC315" i="26" s="1"/>
  <c r="AK315" i="2" s="1"/>
  <c r="E59" i="24"/>
  <c r="D60" i="24"/>
  <c r="C60" i="24"/>
  <c r="B59" i="24"/>
  <c r="I58" i="5"/>
  <c r="BZ58" i="5" s="1"/>
  <c r="C60" i="5"/>
  <c r="B59" i="5"/>
  <c r="D60" i="5"/>
  <c r="E59" i="5"/>
  <c r="J56" i="2"/>
  <c r="K56" i="2" s="1"/>
  <c r="B57" i="2"/>
  <c r="E57" i="2"/>
  <c r="C58" i="2"/>
  <c r="D58" i="2"/>
  <c r="H331" i="2"/>
  <c r="C410" i="29" l="1"/>
  <c r="E409" i="29"/>
  <c r="B409" i="29"/>
  <c r="D410" i="29"/>
  <c r="BW401" i="5"/>
  <c r="H409" i="5"/>
  <c r="H410" i="5" s="1"/>
  <c r="G402" i="5"/>
  <c r="I727" i="2"/>
  <c r="AA309" i="26"/>
  <c r="AI309" i="2" s="1"/>
  <c r="AI310" i="2"/>
  <c r="C60" i="25"/>
  <c r="H60" i="25" s="1"/>
  <c r="B59" i="25"/>
  <c r="E59" i="25"/>
  <c r="D60" i="25"/>
  <c r="D317" i="26"/>
  <c r="C317" i="26"/>
  <c r="AB317" i="26" s="1"/>
  <c r="E316" i="26"/>
  <c r="AC316" i="26" s="1"/>
  <c r="AK316" i="2" s="1"/>
  <c r="B316" i="26"/>
  <c r="J58" i="5"/>
  <c r="E60" i="24"/>
  <c r="C61" i="24"/>
  <c r="D61" i="24"/>
  <c r="B60" i="24"/>
  <c r="I59" i="5"/>
  <c r="BZ59" i="5" s="1"/>
  <c r="C61" i="5"/>
  <c r="B60" i="5"/>
  <c r="D61" i="5"/>
  <c r="E60" i="5"/>
  <c r="H332" i="2"/>
  <c r="J57" i="2"/>
  <c r="K57" i="2" s="1"/>
  <c r="C59" i="2"/>
  <c r="D59" i="2"/>
  <c r="E58" i="2"/>
  <c r="B58" i="2"/>
  <c r="E410" i="29" l="1"/>
  <c r="B410" i="29"/>
  <c r="D411" i="29"/>
  <c r="C411" i="29"/>
  <c r="BW402" i="5"/>
  <c r="H411" i="5"/>
  <c r="H412" i="5" s="1"/>
  <c r="H413" i="5" s="1"/>
  <c r="G403" i="5"/>
  <c r="I728" i="2"/>
  <c r="I729" i="2" s="1"/>
  <c r="E60" i="25"/>
  <c r="C61" i="25"/>
  <c r="H61" i="25" s="1"/>
  <c r="B60" i="25"/>
  <c r="D61" i="25"/>
  <c r="B317" i="26"/>
  <c r="D318" i="26"/>
  <c r="E317" i="26"/>
  <c r="AC317" i="26" s="1"/>
  <c r="AK317" i="2" s="1"/>
  <c r="C318" i="26"/>
  <c r="AB318" i="26" s="1"/>
  <c r="D62" i="24"/>
  <c r="B61" i="24"/>
  <c r="E61" i="24"/>
  <c r="C62" i="24"/>
  <c r="I60" i="5"/>
  <c r="BZ60" i="5" s="1"/>
  <c r="E61" i="5"/>
  <c r="B61" i="5"/>
  <c r="C62" i="5"/>
  <c r="D62" i="5"/>
  <c r="J59" i="5"/>
  <c r="B59" i="2"/>
  <c r="E59" i="2"/>
  <c r="C60" i="2"/>
  <c r="D60" i="2"/>
  <c r="H333" i="2"/>
  <c r="J58" i="2"/>
  <c r="K58" i="2" s="1"/>
  <c r="E411" i="29" l="1"/>
  <c r="B411" i="29"/>
  <c r="D412" i="29"/>
  <c r="C412" i="29"/>
  <c r="BW403" i="5"/>
  <c r="H414" i="5"/>
  <c r="H415" i="5" s="1"/>
  <c r="G404" i="5"/>
  <c r="I730" i="2"/>
  <c r="C62" i="25"/>
  <c r="H62" i="25" s="1"/>
  <c r="B61" i="25"/>
  <c r="D62" i="25"/>
  <c r="E61" i="25"/>
  <c r="H334" i="2"/>
  <c r="D319" i="26"/>
  <c r="C319" i="26"/>
  <c r="AB319" i="26" s="1"/>
  <c r="B318" i="26"/>
  <c r="E318" i="26"/>
  <c r="AC318" i="26" s="1"/>
  <c r="AK318" i="2" s="1"/>
  <c r="J60" i="5"/>
  <c r="C63" i="24"/>
  <c r="D63" i="24"/>
  <c r="B62" i="24"/>
  <c r="E62" i="24"/>
  <c r="C63" i="5"/>
  <c r="E62" i="5"/>
  <c r="D63" i="5"/>
  <c r="B62" i="5"/>
  <c r="I61" i="5"/>
  <c r="BZ61" i="5" s="1"/>
  <c r="J59" i="2"/>
  <c r="K59" i="2" s="1"/>
  <c r="C61" i="2"/>
  <c r="D61" i="2"/>
  <c r="B60" i="2"/>
  <c r="E60" i="2"/>
  <c r="B412" i="29" l="1"/>
  <c r="C413" i="29"/>
  <c r="D413" i="29"/>
  <c r="E412" i="29"/>
  <c r="G405" i="5"/>
  <c r="BW404" i="5"/>
  <c r="H416" i="5"/>
  <c r="H417" i="5" s="1"/>
  <c r="I731" i="2"/>
  <c r="I732" i="2" s="1"/>
  <c r="I733" i="2" s="1"/>
  <c r="B62" i="25"/>
  <c r="D63" i="25"/>
  <c r="C63" i="25"/>
  <c r="H63" i="25" s="1"/>
  <c r="E62" i="25"/>
  <c r="H335" i="2"/>
  <c r="B319" i="26"/>
  <c r="D320" i="26"/>
  <c r="C320" i="26"/>
  <c r="AB320" i="26" s="1"/>
  <c r="E319" i="26"/>
  <c r="AC319" i="26" s="1"/>
  <c r="AK319" i="2" s="1"/>
  <c r="E63" i="24"/>
  <c r="C64" i="24"/>
  <c r="D64" i="24"/>
  <c r="B63" i="24"/>
  <c r="J61" i="5"/>
  <c r="D64" i="5"/>
  <c r="E63" i="5"/>
  <c r="C64" i="5"/>
  <c r="B63" i="5"/>
  <c r="I62" i="5"/>
  <c r="BZ62" i="5" s="1"/>
  <c r="B61" i="2"/>
  <c r="E61" i="2"/>
  <c r="C62" i="2"/>
  <c r="D62" i="2"/>
  <c r="J60" i="2"/>
  <c r="K60" i="2" s="1"/>
  <c r="C414" i="29" l="1"/>
  <c r="E413" i="29"/>
  <c r="D414" i="29"/>
  <c r="B413" i="29"/>
  <c r="H418" i="5"/>
  <c r="G406" i="5"/>
  <c r="BW405" i="5"/>
  <c r="I734" i="2"/>
  <c r="I735" i="2" s="1"/>
  <c r="E63" i="25"/>
  <c r="D64" i="25"/>
  <c r="C64" i="25"/>
  <c r="H64" i="25" s="1"/>
  <c r="B63" i="25"/>
  <c r="D321" i="26"/>
  <c r="C321" i="26"/>
  <c r="AB321" i="26" s="1"/>
  <c r="E320" i="26"/>
  <c r="AC320" i="26" s="1"/>
  <c r="AK320" i="2" s="1"/>
  <c r="B320" i="26"/>
  <c r="J62" i="5"/>
  <c r="D65" i="24"/>
  <c r="E64" i="24"/>
  <c r="C65" i="24"/>
  <c r="B64" i="24"/>
  <c r="I63" i="5"/>
  <c r="BZ63" i="5" s="1"/>
  <c r="E64" i="5"/>
  <c r="D65" i="5"/>
  <c r="C65" i="5"/>
  <c r="B64" i="5"/>
  <c r="E62" i="2"/>
  <c r="C63" i="2"/>
  <c r="D63" i="2"/>
  <c r="B62" i="2"/>
  <c r="H336" i="2"/>
  <c r="J61" i="2"/>
  <c r="K61" i="2" s="1"/>
  <c r="B414" i="29" l="1"/>
  <c r="E414" i="29"/>
  <c r="C415" i="29"/>
  <c r="D415" i="29"/>
  <c r="G407" i="5"/>
  <c r="BW406" i="5"/>
  <c r="H419" i="5"/>
  <c r="H420" i="5" s="1"/>
  <c r="H421" i="5" s="1"/>
  <c r="I736" i="2"/>
  <c r="I737" i="2" s="1"/>
  <c r="C65" i="25"/>
  <c r="H65" i="25" s="1"/>
  <c r="D65" i="25"/>
  <c r="E64" i="25"/>
  <c r="B64" i="25"/>
  <c r="B321" i="26"/>
  <c r="D322" i="26"/>
  <c r="E321" i="26"/>
  <c r="AC321" i="26" s="1"/>
  <c r="AK321" i="2" s="1"/>
  <c r="C322" i="26"/>
  <c r="AB322" i="26" s="1"/>
  <c r="J63" i="5"/>
  <c r="C66" i="24"/>
  <c r="E65" i="24"/>
  <c r="D66" i="24"/>
  <c r="B65" i="24"/>
  <c r="C66" i="5"/>
  <c r="D66" i="5"/>
  <c r="E65" i="5"/>
  <c r="B65" i="5"/>
  <c r="I64" i="5"/>
  <c r="BZ64" i="5" s="1"/>
  <c r="H337" i="2"/>
  <c r="J62" i="2"/>
  <c r="K62" i="2" s="1"/>
  <c r="E63" i="2"/>
  <c r="B63" i="2"/>
  <c r="D64" i="2"/>
  <c r="C64" i="2"/>
  <c r="K83" i="20" l="1"/>
  <c r="J85" i="20"/>
  <c r="J82" i="20"/>
  <c r="J93" i="20" s="1"/>
  <c r="F22" i="32" s="1"/>
  <c r="I83" i="20"/>
  <c r="K82" i="20"/>
  <c r="J83" i="20"/>
  <c r="K85" i="20"/>
  <c r="K88" i="20" s="1"/>
  <c r="K84" i="20"/>
  <c r="I82" i="20"/>
  <c r="J84" i="20"/>
  <c r="I85" i="20"/>
  <c r="B415" i="29"/>
  <c r="E415" i="29"/>
  <c r="H422" i="5"/>
  <c r="BW407" i="5"/>
  <c r="C66" i="25"/>
  <c r="H66" i="25" s="1"/>
  <c r="B65" i="25"/>
  <c r="D66" i="25"/>
  <c r="E65" i="25"/>
  <c r="D323" i="26"/>
  <c r="C323" i="26"/>
  <c r="AB323" i="26" s="1"/>
  <c r="B322" i="26"/>
  <c r="E322" i="26"/>
  <c r="AC322" i="26" s="1"/>
  <c r="AK322" i="2" s="1"/>
  <c r="C67" i="24"/>
  <c r="B66" i="24"/>
  <c r="D67" i="24"/>
  <c r="E66" i="24"/>
  <c r="I65" i="5"/>
  <c r="BZ65" i="5" s="1"/>
  <c r="D67" i="5"/>
  <c r="B66" i="5"/>
  <c r="C67" i="5"/>
  <c r="E66" i="5"/>
  <c r="J64" i="5"/>
  <c r="H338" i="2"/>
  <c r="J63" i="2"/>
  <c r="K63" i="2" s="1"/>
  <c r="B64" i="2"/>
  <c r="E64" i="2"/>
  <c r="C65" i="2"/>
  <c r="D65" i="2"/>
  <c r="M82" i="20" l="1"/>
  <c r="F8" i="30"/>
  <c r="J105" i="20"/>
  <c r="J86" i="20"/>
  <c r="J88" i="20"/>
  <c r="K93" i="20"/>
  <c r="G22" i="32" s="1"/>
  <c r="K86" i="20"/>
  <c r="BW408" i="5"/>
  <c r="H423" i="5"/>
  <c r="B66" i="25"/>
  <c r="E66" i="25"/>
  <c r="D67" i="25"/>
  <c r="C67" i="25"/>
  <c r="H67" i="25" s="1"/>
  <c r="B323" i="26"/>
  <c r="D324" i="26"/>
  <c r="C324" i="26"/>
  <c r="AB324" i="26" s="1"/>
  <c r="E323" i="26"/>
  <c r="AC323" i="26" s="1"/>
  <c r="AK323" i="2" s="1"/>
  <c r="D68" i="24"/>
  <c r="E67" i="24"/>
  <c r="B67" i="24"/>
  <c r="C68" i="24"/>
  <c r="J65" i="5"/>
  <c r="D68" i="5"/>
  <c r="E67" i="5"/>
  <c r="B67" i="5"/>
  <c r="C68" i="5"/>
  <c r="I66" i="5"/>
  <c r="BZ66" i="5" s="1"/>
  <c r="H339" i="2"/>
  <c r="B65" i="2"/>
  <c r="E65" i="2"/>
  <c r="C66" i="2"/>
  <c r="D66" i="2"/>
  <c r="J64" i="2"/>
  <c r="K64" i="2" s="1"/>
  <c r="F21" i="30" l="1"/>
  <c r="F34" i="32"/>
  <c r="K105" i="20"/>
  <c r="G8" i="30"/>
  <c r="H424" i="5"/>
  <c r="BW409" i="5"/>
  <c r="B67" i="25"/>
  <c r="C68" i="25"/>
  <c r="H68" i="25" s="1"/>
  <c r="D68" i="25"/>
  <c r="E67" i="25"/>
  <c r="H340" i="2"/>
  <c r="D325" i="26"/>
  <c r="C325" i="26"/>
  <c r="AB325" i="26" s="1"/>
  <c r="E324" i="26"/>
  <c r="AC324" i="26" s="1"/>
  <c r="AK324" i="2" s="1"/>
  <c r="B324" i="26"/>
  <c r="B68" i="24"/>
  <c r="D69" i="24"/>
  <c r="C69" i="24"/>
  <c r="E68" i="24"/>
  <c r="I67" i="5"/>
  <c r="BZ67" i="5" s="1"/>
  <c r="E68" i="5"/>
  <c r="B68" i="5"/>
  <c r="C69" i="5"/>
  <c r="D69" i="5"/>
  <c r="J66" i="5"/>
  <c r="E66" i="2"/>
  <c r="C67" i="2"/>
  <c r="D67" i="2"/>
  <c r="B66" i="2"/>
  <c r="J65" i="2"/>
  <c r="K65" i="2" s="1"/>
  <c r="G21" i="30" l="1"/>
  <c r="G34" i="32"/>
  <c r="G10" i="30"/>
  <c r="G12" i="30"/>
  <c r="G13" i="30" s="1"/>
  <c r="G23" i="30"/>
  <c r="G25" i="30"/>
  <c r="G411" i="5"/>
  <c r="BW410" i="5"/>
  <c r="H425" i="5"/>
  <c r="H426" i="5" s="1"/>
  <c r="D69" i="25"/>
  <c r="E68" i="25"/>
  <c r="C69" i="25"/>
  <c r="H69" i="25" s="1"/>
  <c r="B68" i="25"/>
  <c r="B325" i="26"/>
  <c r="D326" i="26"/>
  <c r="E325" i="26"/>
  <c r="AC325" i="26" s="1"/>
  <c r="AK325" i="2" s="1"/>
  <c r="C326" i="26"/>
  <c r="AB326" i="26" s="1"/>
  <c r="J67" i="5"/>
  <c r="C70" i="24"/>
  <c r="B69" i="24"/>
  <c r="D70" i="24"/>
  <c r="E69" i="24"/>
  <c r="E69" i="5"/>
  <c r="D70" i="5"/>
  <c r="B69" i="5"/>
  <c r="C70" i="5"/>
  <c r="I68" i="5"/>
  <c r="BZ68" i="5" s="1"/>
  <c r="E67" i="2"/>
  <c r="B67" i="2"/>
  <c r="C68" i="2"/>
  <c r="D68" i="2"/>
  <c r="J66" i="2"/>
  <c r="K66" i="2" s="1"/>
  <c r="H341" i="2"/>
  <c r="G26" i="30" l="1"/>
  <c r="H427" i="5"/>
  <c r="G412" i="5"/>
  <c r="BW411" i="5"/>
  <c r="B69" i="25"/>
  <c r="C70" i="25"/>
  <c r="H70" i="25" s="1"/>
  <c r="D70" i="25"/>
  <c r="E69" i="25"/>
  <c r="D327" i="26"/>
  <c r="C327" i="26"/>
  <c r="AB327" i="26" s="1"/>
  <c r="B326" i="26"/>
  <c r="E326" i="26"/>
  <c r="AC326" i="26" s="1"/>
  <c r="AK326" i="2" s="1"/>
  <c r="D71" i="24"/>
  <c r="B70" i="24"/>
  <c r="C71" i="24"/>
  <c r="E70" i="24"/>
  <c r="J68" i="5"/>
  <c r="E70" i="5"/>
  <c r="C71" i="5"/>
  <c r="D71" i="5"/>
  <c r="B70" i="5"/>
  <c r="I69" i="5"/>
  <c r="BZ69" i="5" s="1"/>
  <c r="J67" i="2"/>
  <c r="K67" i="2" s="1"/>
  <c r="H342" i="2"/>
  <c r="C69" i="2"/>
  <c r="D69" i="2"/>
  <c r="B68" i="2"/>
  <c r="E68" i="2"/>
  <c r="G413" i="5" l="1"/>
  <c r="BW412" i="5"/>
  <c r="H428" i="5"/>
  <c r="H343" i="2"/>
  <c r="B70" i="25"/>
  <c r="E70" i="25"/>
  <c r="C71" i="25"/>
  <c r="H71" i="25" s="1"/>
  <c r="D71" i="25"/>
  <c r="B327" i="26"/>
  <c r="D328" i="26"/>
  <c r="C328" i="26"/>
  <c r="AB328" i="26" s="1"/>
  <c r="E327" i="26"/>
  <c r="AC327" i="26" s="1"/>
  <c r="AK327" i="2" s="1"/>
  <c r="J69" i="5"/>
  <c r="D72" i="24"/>
  <c r="E71" i="24"/>
  <c r="B71" i="24"/>
  <c r="C72" i="24"/>
  <c r="C72" i="5"/>
  <c r="E71" i="5"/>
  <c r="B71" i="5"/>
  <c r="D72" i="5"/>
  <c r="I70" i="5"/>
  <c r="BZ70" i="5" s="1"/>
  <c r="J68" i="2"/>
  <c r="K68" i="2" s="1"/>
  <c r="B69" i="2"/>
  <c r="E69" i="2"/>
  <c r="C70" i="2"/>
  <c r="D70" i="2"/>
  <c r="H429" i="5" l="1"/>
  <c r="BW413" i="5"/>
  <c r="C72" i="25"/>
  <c r="H72" i="25" s="1"/>
  <c r="E71" i="25"/>
  <c r="B71" i="25"/>
  <c r="D72" i="25"/>
  <c r="D329" i="26"/>
  <c r="C329" i="26"/>
  <c r="AB329" i="26" s="1"/>
  <c r="E328" i="26"/>
  <c r="AC328" i="26" s="1"/>
  <c r="AK328" i="2" s="1"/>
  <c r="B328" i="26"/>
  <c r="B72" i="24"/>
  <c r="C73" i="24"/>
  <c r="D73" i="24"/>
  <c r="E72" i="24"/>
  <c r="D73" i="5"/>
  <c r="B72" i="5"/>
  <c r="E72" i="5"/>
  <c r="C73" i="5"/>
  <c r="J70" i="5"/>
  <c r="I71" i="5"/>
  <c r="BZ71" i="5" s="1"/>
  <c r="H344" i="2"/>
  <c r="C71" i="2"/>
  <c r="D71" i="2"/>
  <c r="E70" i="2"/>
  <c r="B70" i="2"/>
  <c r="J69" i="2"/>
  <c r="K69" i="2" s="1"/>
  <c r="H430" i="5" l="1"/>
  <c r="BW414" i="5"/>
  <c r="BY414" i="5" s="1"/>
  <c r="C73" i="25"/>
  <c r="H73" i="25" s="1"/>
  <c r="B72" i="25"/>
  <c r="E72" i="25"/>
  <c r="D73" i="25"/>
  <c r="B329" i="26"/>
  <c r="D330" i="26"/>
  <c r="E329" i="26"/>
  <c r="AC329" i="26" s="1"/>
  <c r="AK329" i="2" s="1"/>
  <c r="C330" i="26"/>
  <c r="AB330" i="26" s="1"/>
  <c r="C74" i="24"/>
  <c r="D74" i="24"/>
  <c r="B73" i="24"/>
  <c r="E73" i="24"/>
  <c r="J71" i="5"/>
  <c r="I72" i="5"/>
  <c r="BZ72" i="5" s="1"/>
  <c r="D74" i="5"/>
  <c r="C74" i="5"/>
  <c r="B73" i="5"/>
  <c r="E73" i="5"/>
  <c r="H345" i="2"/>
  <c r="J70" i="2"/>
  <c r="K70" i="2" s="1"/>
  <c r="E71" i="2"/>
  <c r="C72" i="2"/>
  <c r="B71" i="2"/>
  <c r="D72" i="2"/>
  <c r="G416" i="5" l="1"/>
  <c r="BW415" i="5"/>
  <c r="BY415" i="5" s="1"/>
  <c r="H431" i="5"/>
  <c r="B73" i="25"/>
  <c r="E73" i="25"/>
  <c r="D74" i="25"/>
  <c r="C74" i="25"/>
  <c r="H74" i="25" s="1"/>
  <c r="D331" i="26"/>
  <c r="C331" i="26"/>
  <c r="AB331" i="26" s="1"/>
  <c r="B330" i="26"/>
  <c r="E330" i="26"/>
  <c r="AC330" i="26" s="1"/>
  <c r="AK330" i="2" s="1"/>
  <c r="C75" i="24"/>
  <c r="D75" i="24"/>
  <c r="B74" i="24"/>
  <c r="E74" i="24"/>
  <c r="I73" i="5"/>
  <c r="BZ73" i="5" s="1"/>
  <c r="C75" i="5"/>
  <c r="D75" i="5"/>
  <c r="E74" i="5"/>
  <c r="B74" i="5"/>
  <c r="J72" i="5"/>
  <c r="H346" i="2"/>
  <c r="J71" i="2"/>
  <c r="K71" i="2" s="1"/>
  <c r="C73" i="2"/>
  <c r="D73" i="2"/>
  <c r="E72" i="2"/>
  <c r="B72" i="2"/>
  <c r="H432" i="5" l="1"/>
  <c r="G417" i="5"/>
  <c r="BW416" i="5"/>
  <c r="BY416" i="5" s="1"/>
  <c r="H347" i="2"/>
  <c r="B74" i="25"/>
  <c r="C75" i="25"/>
  <c r="H75" i="25" s="1"/>
  <c r="D75" i="25"/>
  <c r="E74" i="25"/>
  <c r="B331" i="26"/>
  <c r="D332" i="26"/>
  <c r="C332" i="26"/>
  <c r="AB332" i="26" s="1"/>
  <c r="E331" i="26"/>
  <c r="AC331" i="26" s="1"/>
  <c r="AK331" i="2" s="1"/>
  <c r="J73" i="5"/>
  <c r="C76" i="24"/>
  <c r="D76" i="24"/>
  <c r="E75" i="24"/>
  <c r="B75" i="24"/>
  <c r="D76" i="5"/>
  <c r="C76" i="5"/>
  <c r="B75" i="5"/>
  <c r="E75" i="5"/>
  <c r="I74" i="5"/>
  <c r="BZ74" i="5" s="1"/>
  <c r="J72" i="2"/>
  <c r="K72" i="2" s="1"/>
  <c r="E73" i="2"/>
  <c r="B73" i="2"/>
  <c r="D74" i="2"/>
  <c r="C74" i="2"/>
  <c r="BW417" i="5" l="1"/>
  <c r="BY417" i="5" s="1"/>
  <c r="G418" i="5"/>
  <c r="H433" i="5"/>
  <c r="C76" i="25"/>
  <c r="H76" i="25" s="1"/>
  <c r="E75" i="25"/>
  <c r="B75" i="25"/>
  <c r="D76" i="25"/>
  <c r="D333" i="26"/>
  <c r="C333" i="26"/>
  <c r="AB333" i="26" s="1"/>
  <c r="E332" i="26"/>
  <c r="AC332" i="26" s="1"/>
  <c r="AK332" i="2" s="1"/>
  <c r="B332" i="26"/>
  <c r="D77" i="24"/>
  <c r="C77" i="24"/>
  <c r="E76" i="24"/>
  <c r="B76" i="24"/>
  <c r="J74" i="5"/>
  <c r="I75" i="5"/>
  <c r="BZ75" i="5" s="1"/>
  <c r="E76" i="5"/>
  <c r="C77" i="5"/>
  <c r="D77" i="5"/>
  <c r="B76" i="5"/>
  <c r="J73" i="2"/>
  <c r="K73" i="2" s="1"/>
  <c r="E74" i="2"/>
  <c r="D75" i="2"/>
  <c r="B74" i="2"/>
  <c r="C75" i="2"/>
  <c r="H348" i="2"/>
  <c r="H349" i="2" s="1"/>
  <c r="H350" i="2" s="1"/>
  <c r="H434" i="5" l="1"/>
  <c r="BW418" i="5"/>
  <c r="BY418" i="5" s="1"/>
  <c r="G419" i="5"/>
  <c r="C77" i="25"/>
  <c r="H77" i="25" s="1"/>
  <c r="E76" i="25"/>
  <c r="B76" i="25"/>
  <c r="D77" i="25"/>
  <c r="B333" i="26"/>
  <c r="D334" i="26"/>
  <c r="E333" i="26"/>
  <c r="AC333" i="26" s="1"/>
  <c r="AK333" i="2" s="1"/>
  <c r="C334" i="26"/>
  <c r="AB334" i="26" s="1"/>
  <c r="D78" i="24"/>
  <c r="B77" i="24"/>
  <c r="E77" i="24"/>
  <c r="C78" i="24"/>
  <c r="I76" i="5"/>
  <c r="BZ76" i="5" s="1"/>
  <c r="E77" i="5"/>
  <c r="D78" i="5"/>
  <c r="B77" i="5"/>
  <c r="C78" i="5"/>
  <c r="J75" i="5"/>
  <c r="E75" i="2"/>
  <c r="C76" i="2"/>
  <c r="D76" i="2"/>
  <c r="B75" i="2"/>
  <c r="J74" i="2"/>
  <c r="G420" i="5" l="1"/>
  <c r="BW419" i="5"/>
  <c r="BY419" i="5" s="1"/>
  <c r="H435" i="5"/>
  <c r="K74" i="2"/>
  <c r="D78" i="25"/>
  <c r="C78" i="25"/>
  <c r="H78" i="25" s="1"/>
  <c r="E77" i="25"/>
  <c r="B77" i="25"/>
  <c r="D335" i="26"/>
  <c r="C335" i="26"/>
  <c r="AB335" i="26" s="1"/>
  <c r="B334" i="26"/>
  <c r="E334" i="26"/>
  <c r="AC334" i="26" s="1"/>
  <c r="AK334" i="2" s="1"/>
  <c r="J76" i="5"/>
  <c r="C79" i="24"/>
  <c r="E78" i="24"/>
  <c r="D79" i="24"/>
  <c r="B78" i="24"/>
  <c r="E78" i="5"/>
  <c r="C79" i="5"/>
  <c r="B78" i="5"/>
  <c r="D79" i="5"/>
  <c r="I77" i="5"/>
  <c r="BZ77" i="5" s="1"/>
  <c r="D77" i="2"/>
  <c r="B76" i="2"/>
  <c r="E76" i="2"/>
  <c r="C77" i="2"/>
  <c r="J75" i="2"/>
  <c r="H436" i="5" l="1"/>
  <c r="G421" i="5"/>
  <c r="BW420" i="5"/>
  <c r="BY420" i="5" s="1"/>
  <c r="K75" i="2"/>
  <c r="D79" i="25"/>
  <c r="B78" i="25"/>
  <c r="C79" i="25"/>
  <c r="H79" i="25" s="1"/>
  <c r="E78" i="25"/>
  <c r="B335" i="26"/>
  <c r="D336" i="26"/>
  <c r="C336" i="26"/>
  <c r="AB336" i="26" s="1"/>
  <c r="E335" i="26"/>
  <c r="AC335" i="26" s="1"/>
  <c r="AK335" i="2" s="1"/>
  <c r="C80" i="24"/>
  <c r="D80" i="24"/>
  <c r="E79" i="24"/>
  <c r="B79" i="24"/>
  <c r="C80" i="5"/>
  <c r="E79" i="5"/>
  <c r="D80" i="5"/>
  <c r="B79" i="5"/>
  <c r="J77" i="5"/>
  <c r="I78" i="5"/>
  <c r="BZ78" i="5" s="1"/>
  <c r="J76" i="2"/>
  <c r="H351" i="2"/>
  <c r="E77" i="2"/>
  <c r="B77" i="2"/>
  <c r="C78" i="2"/>
  <c r="D78" i="2"/>
  <c r="G422" i="5" l="1"/>
  <c r="BW421" i="5"/>
  <c r="BY421" i="5" s="1"/>
  <c r="H437" i="5"/>
  <c r="K76" i="2"/>
  <c r="E79" i="25"/>
  <c r="C80" i="25"/>
  <c r="H80" i="25" s="1"/>
  <c r="B79" i="25"/>
  <c r="D80" i="25"/>
  <c r="D337" i="26"/>
  <c r="C337" i="26"/>
  <c r="E336" i="26"/>
  <c r="AC336" i="26" s="1"/>
  <c r="AK336" i="2" s="1"/>
  <c r="B336" i="26"/>
  <c r="J78" i="5"/>
  <c r="E80" i="24"/>
  <c r="D81" i="24"/>
  <c r="B80" i="24"/>
  <c r="C81" i="24"/>
  <c r="D81" i="5"/>
  <c r="C81" i="5"/>
  <c r="B80" i="5"/>
  <c r="E80" i="5"/>
  <c r="I79" i="5"/>
  <c r="BZ79" i="5" s="1"/>
  <c r="C79" i="2"/>
  <c r="E78" i="2"/>
  <c r="D79" i="2"/>
  <c r="B78" i="2"/>
  <c r="H352" i="2"/>
  <c r="J77" i="2"/>
  <c r="H438" i="5" l="1"/>
  <c r="H439" i="5" s="1"/>
  <c r="H440" i="5" s="1"/>
  <c r="BW422" i="5"/>
  <c r="BY422" i="5" s="1"/>
  <c r="G423" i="5"/>
  <c r="K77" i="2"/>
  <c r="AB337" i="26"/>
  <c r="AA337" i="26"/>
  <c r="D81" i="25"/>
  <c r="B80" i="25"/>
  <c r="E80" i="25"/>
  <c r="C81" i="25"/>
  <c r="H81" i="25" s="1"/>
  <c r="B337" i="26"/>
  <c r="D338" i="26"/>
  <c r="E337" i="26"/>
  <c r="AC337" i="26" s="1"/>
  <c r="C338" i="26"/>
  <c r="AB338" i="26" s="1"/>
  <c r="C82" i="24"/>
  <c r="B81" i="24"/>
  <c r="D82" i="24"/>
  <c r="E81" i="24"/>
  <c r="J79" i="5"/>
  <c r="I80" i="5"/>
  <c r="BZ80" i="5" s="1"/>
  <c r="E81" i="5"/>
  <c r="C82" i="5"/>
  <c r="D82" i="5"/>
  <c r="B81" i="5"/>
  <c r="J78" i="2"/>
  <c r="H353" i="2"/>
  <c r="H354" i="2" s="1"/>
  <c r="B79" i="2"/>
  <c r="D80" i="2"/>
  <c r="E79" i="2"/>
  <c r="C80" i="2"/>
  <c r="G424" i="5" l="1"/>
  <c r="BW423" i="5"/>
  <c r="BY423" i="5" s="1"/>
  <c r="H441" i="5"/>
  <c r="K78" i="2"/>
  <c r="AK337" i="2"/>
  <c r="AA336" i="26"/>
  <c r="AI337" i="2"/>
  <c r="B81" i="25"/>
  <c r="E81" i="25"/>
  <c r="D82" i="25"/>
  <c r="C82" i="25"/>
  <c r="H82" i="25" s="1"/>
  <c r="D339" i="26"/>
  <c r="C339" i="26"/>
  <c r="AB339" i="26" s="1"/>
  <c r="B338" i="26"/>
  <c r="E338" i="26"/>
  <c r="AC338" i="26" s="1"/>
  <c r="AK338" i="2" s="1"/>
  <c r="E82" i="24"/>
  <c r="C83" i="24"/>
  <c r="D83" i="24"/>
  <c r="B82" i="24"/>
  <c r="I81" i="5"/>
  <c r="BZ81" i="5" s="1"/>
  <c r="C83" i="5"/>
  <c r="D83" i="5"/>
  <c r="E82" i="5"/>
  <c r="B82" i="5"/>
  <c r="J80" i="5"/>
  <c r="J79" i="2"/>
  <c r="B80" i="2"/>
  <c r="C81" i="2"/>
  <c r="D81" i="2"/>
  <c r="E80" i="2"/>
  <c r="H442" i="5" l="1"/>
  <c r="BW424" i="5"/>
  <c r="BY424" i="5" s="1"/>
  <c r="G425" i="5"/>
  <c r="K79" i="2"/>
  <c r="AI338" i="2"/>
  <c r="AA335" i="26"/>
  <c r="AI336" i="2"/>
  <c r="B82" i="25"/>
  <c r="E82" i="25"/>
  <c r="D83" i="25"/>
  <c r="C83" i="25"/>
  <c r="H83" i="25" s="1"/>
  <c r="B339" i="26"/>
  <c r="D340" i="26"/>
  <c r="C340" i="26"/>
  <c r="AB340" i="26" s="1"/>
  <c r="E339" i="26"/>
  <c r="AC339" i="26" s="1"/>
  <c r="D84" i="24"/>
  <c r="E83" i="24"/>
  <c r="C84" i="24"/>
  <c r="B83" i="24"/>
  <c r="I82" i="5"/>
  <c r="BZ82" i="5" s="1"/>
  <c r="E83" i="5"/>
  <c r="D84" i="5"/>
  <c r="C84" i="5"/>
  <c r="B83" i="5"/>
  <c r="J81" i="5"/>
  <c r="H355" i="2"/>
  <c r="J80" i="2"/>
  <c r="E81" i="2"/>
  <c r="D82" i="2"/>
  <c r="B81" i="2"/>
  <c r="C82" i="2"/>
  <c r="G426" i="5" l="1"/>
  <c r="BW425" i="5"/>
  <c r="BY425" i="5" s="1"/>
  <c r="H443" i="5"/>
  <c r="AK339" i="2"/>
  <c r="K80" i="2"/>
  <c r="AI335" i="2"/>
  <c r="AA334" i="26"/>
  <c r="B83" i="25"/>
  <c r="D84" i="25"/>
  <c r="C84" i="25"/>
  <c r="H84" i="25" s="1"/>
  <c r="E83" i="25"/>
  <c r="D341" i="26"/>
  <c r="C341" i="26"/>
  <c r="AB341" i="26" s="1"/>
  <c r="E340" i="26"/>
  <c r="AC340" i="26" s="1"/>
  <c r="AK340" i="2" s="1"/>
  <c r="B340" i="26"/>
  <c r="J82" i="5"/>
  <c r="D85" i="24"/>
  <c r="C85" i="24"/>
  <c r="E84" i="24"/>
  <c r="B84" i="24"/>
  <c r="D85" i="5"/>
  <c r="B84" i="5"/>
  <c r="E84" i="5"/>
  <c r="C85" i="5"/>
  <c r="I83" i="5"/>
  <c r="BZ83" i="5" s="1"/>
  <c r="E82" i="2"/>
  <c r="B82" i="2"/>
  <c r="C83" i="2"/>
  <c r="D83" i="2"/>
  <c r="J81" i="2"/>
  <c r="H356" i="2"/>
  <c r="H357" i="2" s="1"/>
  <c r="H444" i="5" l="1"/>
  <c r="G427" i="5"/>
  <c r="BW426" i="5"/>
  <c r="BY426" i="5" s="1"/>
  <c r="K81" i="2"/>
  <c r="AA333" i="26"/>
  <c r="AI334" i="2"/>
  <c r="C85" i="25"/>
  <c r="H85" i="25" s="1"/>
  <c r="D85" i="25"/>
  <c r="E84" i="25"/>
  <c r="B84" i="25"/>
  <c r="B341" i="26"/>
  <c r="D342" i="26"/>
  <c r="E341" i="26"/>
  <c r="AC341" i="26" s="1"/>
  <c r="AK341" i="2" s="1"/>
  <c r="C342" i="26"/>
  <c r="AB342" i="26" s="1"/>
  <c r="D86" i="24"/>
  <c r="B85" i="24"/>
  <c r="E85" i="24"/>
  <c r="C86" i="24"/>
  <c r="I84" i="5"/>
  <c r="BZ84" i="5" s="1"/>
  <c r="B85" i="5"/>
  <c r="E85" i="5"/>
  <c r="D86" i="5"/>
  <c r="C86" i="5"/>
  <c r="J83" i="5"/>
  <c r="J82" i="2"/>
  <c r="C84" i="2"/>
  <c r="D84" i="2"/>
  <c r="E83" i="2"/>
  <c r="B83" i="2"/>
  <c r="G428" i="5" l="1"/>
  <c r="BW427" i="5"/>
  <c r="BY427" i="5" s="1"/>
  <c r="H445" i="5"/>
  <c r="K82" i="2"/>
  <c r="AA332" i="26"/>
  <c r="AI333" i="2"/>
  <c r="C86" i="25"/>
  <c r="H86" i="25" s="1"/>
  <c r="D86" i="25"/>
  <c r="E85" i="25"/>
  <c r="B85" i="25"/>
  <c r="D343" i="26"/>
  <c r="C343" i="26"/>
  <c r="AB343" i="26" s="1"/>
  <c r="B342" i="26"/>
  <c r="E342" i="26"/>
  <c r="AC342" i="26" s="1"/>
  <c r="AK342" i="2" s="1"/>
  <c r="B86" i="24"/>
  <c r="C87" i="24"/>
  <c r="D87" i="24"/>
  <c r="E86" i="24"/>
  <c r="D87" i="5"/>
  <c r="B86" i="5"/>
  <c r="C87" i="5"/>
  <c r="E86" i="5"/>
  <c r="I85" i="5"/>
  <c r="BZ85" i="5" s="1"/>
  <c r="J84" i="5"/>
  <c r="H358" i="2"/>
  <c r="J83" i="2"/>
  <c r="C85" i="2"/>
  <c r="D85" i="2"/>
  <c r="B84" i="2"/>
  <c r="E84" i="2"/>
  <c r="H446" i="5" l="1"/>
  <c r="H447" i="5" s="1"/>
  <c r="BW428" i="5"/>
  <c r="BY428" i="5" s="1"/>
  <c r="K83" i="2"/>
  <c r="AA331" i="26"/>
  <c r="AI332" i="2"/>
  <c r="E86" i="25"/>
  <c r="C87" i="25"/>
  <c r="H87" i="25" s="1"/>
  <c r="B86" i="25"/>
  <c r="D87" i="25"/>
  <c r="B343" i="26"/>
  <c r="D344" i="26"/>
  <c r="C344" i="26"/>
  <c r="AB344" i="26" s="1"/>
  <c r="E343" i="26"/>
  <c r="AC343" i="26" s="1"/>
  <c r="AK343" i="2" s="1"/>
  <c r="C88" i="24"/>
  <c r="D88" i="24"/>
  <c r="E87" i="24"/>
  <c r="B87" i="24"/>
  <c r="J85" i="5"/>
  <c r="I86" i="5"/>
  <c r="BZ86" i="5" s="1"/>
  <c r="E87" i="5"/>
  <c r="B87" i="5"/>
  <c r="D88" i="5"/>
  <c r="C88" i="5"/>
  <c r="C86" i="2"/>
  <c r="D86" i="2"/>
  <c r="B85" i="2"/>
  <c r="E85" i="2"/>
  <c r="H359" i="2"/>
  <c r="J84" i="2"/>
  <c r="G430" i="5" l="1"/>
  <c r="BW429" i="5"/>
  <c r="BY429" i="5" s="1"/>
  <c r="H448" i="5"/>
  <c r="K84" i="2"/>
  <c r="AA330" i="26"/>
  <c r="AI331" i="2"/>
  <c r="B87" i="25"/>
  <c r="E87" i="25"/>
  <c r="D88" i="25"/>
  <c r="C88" i="25"/>
  <c r="H88" i="25" s="1"/>
  <c r="D345" i="26"/>
  <c r="C345" i="26"/>
  <c r="AB345" i="26" s="1"/>
  <c r="E344" i="26"/>
  <c r="AC344" i="26" s="1"/>
  <c r="AK344" i="2" s="1"/>
  <c r="B344" i="26"/>
  <c r="D89" i="24"/>
  <c r="E88" i="24"/>
  <c r="C89" i="24"/>
  <c r="B88" i="24"/>
  <c r="I87" i="5"/>
  <c r="BZ87" i="5" s="1"/>
  <c r="C89" i="5"/>
  <c r="B88" i="5"/>
  <c r="D89" i="5"/>
  <c r="E88" i="5"/>
  <c r="J86" i="5"/>
  <c r="J85" i="2"/>
  <c r="D87" i="2"/>
  <c r="B86" i="2"/>
  <c r="E86" i="2"/>
  <c r="C87" i="2"/>
  <c r="H360" i="2"/>
  <c r="H361" i="2" s="1"/>
  <c r="H362" i="2" s="1"/>
  <c r="H363" i="2" s="1"/>
  <c r="H449" i="5" l="1"/>
  <c r="BW430" i="5"/>
  <c r="BY430" i="5" s="1"/>
  <c r="G431" i="5"/>
  <c r="K85" i="2"/>
  <c r="AA329" i="26"/>
  <c r="AI330" i="2"/>
  <c r="E88" i="25"/>
  <c r="D89" i="25"/>
  <c r="C89" i="25"/>
  <c r="H89" i="25" s="1"/>
  <c r="B88" i="25"/>
  <c r="B345" i="26"/>
  <c r="D346" i="26"/>
  <c r="E345" i="26"/>
  <c r="AC345" i="26" s="1"/>
  <c r="AK345" i="2" s="1"/>
  <c r="C346" i="26"/>
  <c r="AB346" i="26" s="1"/>
  <c r="J87" i="5"/>
  <c r="D90" i="24"/>
  <c r="E89" i="24"/>
  <c r="C90" i="24"/>
  <c r="B89" i="24"/>
  <c r="D90" i="5"/>
  <c r="B89" i="5"/>
  <c r="E89" i="5"/>
  <c r="C90" i="5"/>
  <c r="I88" i="5"/>
  <c r="BZ88" i="5" s="1"/>
  <c r="J86" i="2"/>
  <c r="B87" i="2"/>
  <c r="C88" i="2"/>
  <c r="E87" i="2"/>
  <c r="D88" i="2"/>
  <c r="BW431" i="5" l="1"/>
  <c r="BY431" i="5" s="1"/>
  <c r="G432" i="5"/>
  <c r="H450" i="5"/>
  <c r="K86" i="2"/>
  <c r="AA328" i="26"/>
  <c r="AI329" i="2"/>
  <c r="D90" i="25"/>
  <c r="C90" i="25"/>
  <c r="H90" i="25" s="1"/>
  <c r="B89" i="25"/>
  <c r="E89" i="25"/>
  <c r="D347" i="26"/>
  <c r="C347" i="26"/>
  <c r="AB347" i="26" s="1"/>
  <c r="B346" i="26"/>
  <c r="E346" i="26"/>
  <c r="AC346" i="26" s="1"/>
  <c r="AK346" i="2" s="1"/>
  <c r="C91" i="24"/>
  <c r="B90" i="24"/>
  <c r="E90" i="24"/>
  <c r="D91" i="24"/>
  <c r="J88" i="5"/>
  <c r="I89" i="5"/>
  <c r="BZ89" i="5" s="1"/>
  <c r="E90" i="5"/>
  <c r="D91" i="5"/>
  <c r="B90" i="5"/>
  <c r="C91" i="5"/>
  <c r="J87" i="2"/>
  <c r="B88" i="2"/>
  <c r="E88" i="2"/>
  <c r="D89" i="2"/>
  <c r="C89" i="2"/>
  <c r="J12" i="20" l="1"/>
  <c r="J94" i="20" s="1"/>
  <c r="F23" i="32" s="1"/>
  <c r="H451" i="5"/>
  <c r="H452" i="5" s="1"/>
  <c r="BW432" i="5"/>
  <c r="BY432" i="5" s="1"/>
  <c r="G433" i="5"/>
  <c r="K87" i="2"/>
  <c r="AA327" i="26"/>
  <c r="AI328" i="2"/>
  <c r="E90" i="25"/>
  <c r="B90" i="25"/>
  <c r="C91" i="25"/>
  <c r="H91" i="25" s="1"/>
  <c r="D91" i="25"/>
  <c r="B347" i="26"/>
  <c r="D348" i="26"/>
  <c r="C348" i="26"/>
  <c r="AB348" i="26" s="1"/>
  <c r="E347" i="26"/>
  <c r="AC347" i="26" s="1"/>
  <c r="AK347" i="2" s="1"/>
  <c r="E91" i="24"/>
  <c r="C92" i="24"/>
  <c r="D92" i="24"/>
  <c r="B91" i="24"/>
  <c r="E91" i="5"/>
  <c r="D92" i="5"/>
  <c r="B91" i="5"/>
  <c r="C92" i="5"/>
  <c r="I90" i="5"/>
  <c r="BZ90" i="5" s="1"/>
  <c r="J89" i="5"/>
  <c r="J88" i="2"/>
  <c r="E89" i="2"/>
  <c r="D90" i="2"/>
  <c r="C90" i="2"/>
  <c r="B89" i="2"/>
  <c r="G434" i="5" l="1"/>
  <c r="BW433" i="5"/>
  <c r="BY433" i="5" s="1"/>
  <c r="H453" i="5"/>
  <c r="H454" i="5" s="1"/>
  <c r="K88" i="2"/>
  <c r="AA326" i="26"/>
  <c r="AI327" i="2"/>
  <c r="B91" i="25"/>
  <c r="D92" i="25"/>
  <c r="C92" i="25"/>
  <c r="H92" i="25" s="1"/>
  <c r="E91" i="25"/>
  <c r="D349" i="26"/>
  <c r="C349" i="26"/>
  <c r="AB349" i="26" s="1"/>
  <c r="E348" i="26"/>
  <c r="AC348" i="26" s="1"/>
  <c r="AK348" i="2" s="1"/>
  <c r="B348" i="26"/>
  <c r="D93" i="24"/>
  <c r="C93" i="24"/>
  <c r="E92" i="24"/>
  <c r="B92" i="24"/>
  <c r="J90" i="5"/>
  <c r="D93" i="5"/>
  <c r="C93" i="5"/>
  <c r="B92" i="5"/>
  <c r="E92" i="5"/>
  <c r="I91" i="5"/>
  <c r="BZ91" i="5" s="1"/>
  <c r="C91" i="2"/>
  <c r="D91" i="2"/>
  <c r="B90" i="2"/>
  <c r="E90" i="2"/>
  <c r="J89" i="2"/>
  <c r="H364" i="2"/>
  <c r="H455" i="5" l="1"/>
  <c r="G435" i="5"/>
  <c r="BW434" i="5"/>
  <c r="BY434" i="5" s="1"/>
  <c r="K89" i="2"/>
  <c r="AA325" i="26"/>
  <c r="AI326" i="2"/>
  <c r="B92" i="25"/>
  <c r="D93" i="25"/>
  <c r="E92" i="25"/>
  <c r="C93" i="25"/>
  <c r="H93" i="25" s="1"/>
  <c r="B349" i="26"/>
  <c r="D350" i="26"/>
  <c r="E349" i="26"/>
  <c r="AC349" i="26" s="1"/>
  <c r="AK349" i="2" s="1"/>
  <c r="C350" i="26"/>
  <c r="AB350" i="26" s="1"/>
  <c r="J91" i="5"/>
  <c r="D94" i="24"/>
  <c r="C94" i="24"/>
  <c r="B93" i="24"/>
  <c r="E93" i="24"/>
  <c r="I92" i="5"/>
  <c r="BZ92" i="5" s="1"/>
  <c r="D94" i="5"/>
  <c r="B93" i="5"/>
  <c r="C94" i="5"/>
  <c r="E93" i="5"/>
  <c r="J90" i="2"/>
  <c r="H365" i="2"/>
  <c r="D92" i="2"/>
  <c r="E91" i="2"/>
  <c r="B91" i="2"/>
  <c r="C92" i="2"/>
  <c r="G436" i="5" l="1"/>
  <c r="BW435" i="5"/>
  <c r="BY435" i="5" s="1"/>
  <c r="H456" i="5"/>
  <c r="H457" i="5" s="1"/>
  <c r="K90" i="2"/>
  <c r="AA324" i="26"/>
  <c r="AI325" i="2"/>
  <c r="E93" i="25"/>
  <c r="D94" i="25"/>
  <c r="C94" i="25"/>
  <c r="H94" i="25" s="1"/>
  <c r="B93" i="25"/>
  <c r="D351" i="26"/>
  <c r="C351" i="26"/>
  <c r="AB351" i="26" s="1"/>
  <c r="B350" i="26"/>
  <c r="E350" i="26"/>
  <c r="AC350" i="26" s="1"/>
  <c r="AK350" i="2" s="1"/>
  <c r="D95" i="24"/>
  <c r="C95" i="24"/>
  <c r="E94" i="24"/>
  <c r="B94" i="24"/>
  <c r="E94" i="5"/>
  <c r="B94" i="5"/>
  <c r="D95" i="5"/>
  <c r="C95" i="5"/>
  <c r="I93" i="5"/>
  <c r="BZ93" i="5" s="1"/>
  <c r="J92" i="5"/>
  <c r="J91" i="2"/>
  <c r="E92" i="2"/>
  <c r="B92" i="2"/>
  <c r="C93" i="2"/>
  <c r="D93" i="2"/>
  <c r="H366" i="2"/>
  <c r="H458" i="5" l="1"/>
  <c r="BW436" i="5"/>
  <c r="BY436" i="5" s="1"/>
  <c r="K91" i="2"/>
  <c r="AA323" i="26"/>
  <c r="AI324" i="2"/>
  <c r="C95" i="25"/>
  <c r="H95" i="25" s="1"/>
  <c r="E94" i="25"/>
  <c r="B94" i="25"/>
  <c r="D95" i="25"/>
  <c r="B351" i="26"/>
  <c r="D352" i="26"/>
  <c r="C352" i="26"/>
  <c r="AB352" i="26" s="1"/>
  <c r="E351" i="26"/>
  <c r="AC351" i="26" s="1"/>
  <c r="AK351" i="2" s="1"/>
  <c r="C96" i="24"/>
  <c r="B95" i="24"/>
  <c r="D96" i="24"/>
  <c r="E95" i="24"/>
  <c r="J93" i="5"/>
  <c r="B95" i="5"/>
  <c r="E95" i="5"/>
  <c r="D96" i="5"/>
  <c r="C96" i="5"/>
  <c r="I94" i="5"/>
  <c r="BZ94" i="5" s="1"/>
  <c r="B93" i="2"/>
  <c r="E93" i="2"/>
  <c r="C94" i="2"/>
  <c r="D94" i="2"/>
  <c r="J92" i="2"/>
  <c r="H367" i="2"/>
  <c r="G438" i="5" l="1"/>
  <c r="BW437" i="5"/>
  <c r="BY437" i="5" s="1"/>
  <c r="H459" i="5"/>
  <c r="H460" i="5" s="1"/>
  <c r="K92" i="2"/>
  <c r="AA322" i="26"/>
  <c r="AI323" i="2"/>
  <c r="B95" i="25"/>
  <c r="D96" i="25"/>
  <c r="C96" i="25"/>
  <c r="H96" i="25" s="1"/>
  <c r="E95" i="25"/>
  <c r="D353" i="26"/>
  <c r="C353" i="26"/>
  <c r="AB353" i="26" s="1"/>
  <c r="E352" i="26"/>
  <c r="AC352" i="26" s="1"/>
  <c r="AK352" i="2" s="1"/>
  <c r="B352" i="26"/>
  <c r="J94" i="5"/>
  <c r="D97" i="24"/>
  <c r="E96" i="24"/>
  <c r="C97" i="24"/>
  <c r="B96" i="24"/>
  <c r="D97" i="5"/>
  <c r="E96" i="5"/>
  <c r="C97" i="5"/>
  <c r="B96" i="5"/>
  <c r="I95" i="5"/>
  <c r="BZ95" i="5" s="1"/>
  <c r="J93" i="2"/>
  <c r="E94" i="2"/>
  <c r="C95" i="2"/>
  <c r="D95" i="2"/>
  <c r="B94" i="2"/>
  <c r="H368" i="2"/>
  <c r="H461" i="5" l="1"/>
  <c r="G439" i="5"/>
  <c r="BW438" i="5"/>
  <c r="BY438" i="5" s="1"/>
  <c r="K93" i="2"/>
  <c r="AA321" i="26"/>
  <c r="AI322" i="2"/>
  <c r="E96" i="25"/>
  <c r="B96" i="25"/>
  <c r="C97" i="25"/>
  <c r="H97" i="25" s="1"/>
  <c r="D97" i="25"/>
  <c r="B353" i="26"/>
  <c r="D354" i="26"/>
  <c r="E353" i="26"/>
  <c r="AC353" i="26" s="1"/>
  <c r="AK353" i="2" s="1"/>
  <c r="C354" i="26"/>
  <c r="AB354" i="26" s="1"/>
  <c r="C98" i="24"/>
  <c r="D98" i="24"/>
  <c r="B97" i="24"/>
  <c r="E97" i="24"/>
  <c r="J95" i="5"/>
  <c r="I96" i="5"/>
  <c r="BZ96" i="5" s="1"/>
  <c r="B97" i="5"/>
  <c r="C98" i="5"/>
  <c r="E97" i="5"/>
  <c r="D98" i="5"/>
  <c r="E95" i="2"/>
  <c r="C96" i="2"/>
  <c r="D96" i="2"/>
  <c r="B95" i="2"/>
  <c r="H369" i="2"/>
  <c r="J94" i="2"/>
  <c r="G440" i="5" l="1"/>
  <c r="BW439" i="5"/>
  <c r="BY439" i="5" s="1"/>
  <c r="H462" i="5"/>
  <c r="K94" i="2"/>
  <c r="H373" i="2"/>
  <c r="AA320" i="26"/>
  <c r="AI321" i="2"/>
  <c r="D98" i="25"/>
  <c r="C98" i="25"/>
  <c r="H98" i="25" s="1"/>
  <c r="B97" i="25"/>
  <c r="E97" i="25"/>
  <c r="D355" i="26"/>
  <c r="C355" i="26"/>
  <c r="AB355" i="26" s="1"/>
  <c r="B354" i="26"/>
  <c r="E354" i="26"/>
  <c r="AC354" i="26" s="1"/>
  <c r="AK354" i="2" s="1"/>
  <c r="E98" i="24"/>
  <c r="D99" i="24"/>
  <c r="C99" i="24"/>
  <c r="B98" i="24"/>
  <c r="J96" i="5"/>
  <c r="C99" i="5"/>
  <c r="B98" i="5"/>
  <c r="E98" i="5"/>
  <c r="D99" i="5"/>
  <c r="I97" i="5"/>
  <c r="BZ97" i="5" s="1"/>
  <c r="E96" i="2"/>
  <c r="C97" i="2"/>
  <c r="D97" i="2"/>
  <c r="B96" i="2"/>
  <c r="J95" i="2"/>
  <c r="H463" i="5" l="1"/>
  <c r="G441" i="5"/>
  <c r="BW440" i="5"/>
  <c r="BY440" i="5" s="1"/>
  <c r="AR373" i="2"/>
  <c r="K95" i="2"/>
  <c r="H374" i="2"/>
  <c r="AA319" i="26"/>
  <c r="AI320" i="2"/>
  <c r="B98" i="25"/>
  <c r="E98" i="25"/>
  <c r="C99" i="25"/>
  <c r="H99" i="25" s="1"/>
  <c r="D99" i="25"/>
  <c r="B355" i="26"/>
  <c r="D356" i="26"/>
  <c r="C356" i="26"/>
  <c r="AB356" i="26" s="1"/>
  <c r="E355" i="26"/>
  <c r="AC355" i="26" s="1"/>
  <c r="AK355" i="2" s="1"/>
  <c r="J97" i="5"/>
  <c r="B99" i="24"/>
  <c r="D100" i="24"/>
  <c r="E99" i="24"/>
  <c r="C100" i="24"/>
  <c r="D100" i="5"/>
  <c r="B99" i="5"/>
  <c r="C100" i="5"/>
  <c r="E99" i="5"/>
  <c r="I98" i="5"/>
  <c r="BZ98" i="5" s="1"/>
  <c r="E97" i="2"/>
  <c r="C98" i="2"/>
  <c r="D98" i="2"/>
  <c r="B97" i="2"/>
  <c r="J96" i="2"/>
  <c r="BW441" i="5" l="1"/>
  <c r="BY441" i="5" s="1"/>
  <c r="G442" i="5"/>
  <c r="H464" i="5"/>
  <c r="AR374" i="2"/>
  <c r="K96" i="2"/>
  <c r="H375" i="2"/>
  <c r="AA318" i="26"/>
  <c r="AI319" i="2"/>
  <c r="B99" i="25"/>
  <c r="C100" i="25"/>
  <c r="H100" i="25" s="1"/>
  <c r="D100" i="25"/>
  <c r="E99" i="25"/>
  <c r="D357" i="26"/>
  <c r="C357" i="26"/>
  <c r="AB357" i="26" s="1"/>
  <c r="E356" i="26"/>
  <c r="AC356" i="26" s="1"/>
  <c r="AK356" i="2" s="1"/>
  <c r="B356" i="26"/>
  <c r="D101" i="24"/>
  <c r="C101" i="24"/>
  <c r="E100" i="24"/>
  <c r="B100" i="24"/>
  <c r="J98" i="5"/>
  <c r="I99" i="5"/>
  <c r="BZ99" i="5" s="1"/>
  <c r="D101" i="5"/>
  <c r="B100" i="5"/>
  <c r="E100" i="5"/>
  <c r="C101" i="5"/>
  <c r="E98" i="2"/>
  <c r="C99" i="2"/>
  <c r="D99" i="2"/>
  <c r="B98" i="2"/>
  <c r="J97" i="2"/>
  <c r="H465" i="5" l="1"/>
  <c r="H466" i="5" s="1"/>
  <c r="H467" i="5" s="1"/>
  <c r="G443" i="5"/>
  <c r="BW442" i="5"/>
  <c r="BY442" i="5" s="1"/>
  <c r="AR375" i="2"/>
  <c r="H376" i="2"/>
  <c r="K97" i="2"/>
  <c r="AA317" i="26"/>
  <c r="AI318" i="2"/>
  <c r="B100" i="25"/>
  <c r="D101" i="25"/>
  <c r="E100" i="25"/>
  <c r="C101" i="25"/>
  <c r="H101" i="25" s="1"/>
  <c r="B357" i="26"/>
  <c r="D358" i="26"/>
  <c r="E357" i="26"/>
  <c r="AC357" i="26" s="1"/>
  <c r="AK357" i="2" s="1"/>
  <c r="C358" i="26"/>
  <c r="AB358" i="26" s="1"/>
  <c r="D102" i="24"/>
  <c r="B101" i="24"/>
  <c r="C102" i="24"/>
  <c r="E101" i="24"/>
  <c r="C102" i="5"/>
  <c r="B101" i="5"/>
  <c r="D102" i="5"/>
  <c r="E101" i="5"/>
  <c r="I100" i="5"/>
  <c r="BZ100" i="5" s="1"/>
  <c r="J99" i="5"/>
  <c r="J98" i="2"/>
  <c r="E99" i="2"/>
  <c r="B99" i="2"/>
  <c r="C100" i="2"/>
  <c r="D100" i="2"/>
  <c r="G444" i="5" l="1"/>
  <c r="BW443" i="5"/>
  <c r="BY443" i="5" s="1"/>
  <c r="H468" i="5"/>
  <c r="H469" i="5" s="1"/>
  <c r="H470" i="5" s="1"/>
  <c r="AR376" i="2"/>
  <c r="AT376" i="2" s="1"/>
  <c r="K98" i="2"/>
  <c r="H377" i="2"/>
  <c r="AA316" i="26"/>
  <c r="AI317" i="2"/>
  <c r="E101" i="25"/>
  <c r="B101" i="25"/>
  <c r="D102" i="25"/>
  <c r="C102" i="25"/>
  <c r="H102" i="25" s="1"/>
  <c r="D359" i="26"/>
  <c r="C359" i="26"/>
  <c r="AB359" i="26" s="1"/>
  <c r="B358" i="26"/>
  <c r="E358" i="26"/>
  <c r="AC358" i="26" s="1"/>
  <c r="AK358" i="2" s="1"/>
  <c r="J100" i="5"/>
  <c r="D103" i="24"/>
  <c r="E102" i="24"/>
  <c r="C103" i="24"/>
  <c r="B102" i="24"/>
  <c r="I101" i="5"/>
  <c r="BZ101" i="5" s="1"/>
  <c r="D103" i="5"/>
  <c r="B102" i="5"/>
  <c r="E102" i="5"/>
  <c r="C103" i="5"/>
  <c r="B100" i="2"/>
  <c r="E100" i="2"/>
  <c r="C101" i="2"/>
  <c r="D101" i="2"/>
  <c r="J99" i="2"/>
  <c r="H471" i="5" l="1"/>
  <c r="H472" i="5" s="1"/>
  <c r="G445" i="5"/>
  <c r="BW444" i="5"/>
  <c r="BY444" i="5" s="1"/>
  <c r="AR377" i="2"/>
  <c r="AT377" i="2" s="1"/>
  <c r="K99" i="2"/>
  <c r="H378" i="2"/>
  <c r="AA315" i="26"/>
  <c r="AI316" i="2"/>
  <c r="C103" i="25"/>
  <c r="H103" i="25" s="1"/>
  <c r="D103" i="25"/>
  <c r="E102" i="25"/>
  <c r="B102" i="25"/>
  <c r="B359" i="26"/>
  <c r="D360" i="26"/>
  <c r="C360" i="26"/>
  <c r="AB360" i="26" s="1"/>
  <c r="E359" i="26"/>
  <c r="AC359" i="26" s="1"/>
  <c r="AK359" i="2" s="1"/>
  <c r="D104" i="24"/>
  <c r="C104" i="24"/>
  <c r="B103" i="24"/>
  <c r="E103" i="24"/>
  <c r="B103" i="5"/>
  <c r="E103" i="5"/>
  <c r="C104" i="5"/>
  <c r="D104" i="5"/>
  <c r="J101" i="5"/>
  <c r="I102" i="5"/>
  <c r="BZ102" i="5" s="1"/>
  <c r="C102" i="2"/>
  <c r="E101" i="2"/>
  <c r="D102" i="2"/>
  <c r="B101" i="2"/>
  <c r="J100" i="2"/>
  <c r="G446" i="5" l="1"/>
  <c r="BW445" i="5"/>
  <c r="BY445" i="5" s="1"/>
  <c r="H473" i="5"/>
  <c r="AR378" i="2"/>
  <c r="AT378" i="2" s="1"/>
  <c r="K100" i="2"/>
  <c r="H379" i="2"/>
  <c r="AA314" i="26"/>
  <c r="AI314" i="2" s="1"/>
  <c r="AI315" i="2"/>
  <c r="B103" i="25"/>
  <c r="C104" i="25"/>
  <c r="H104" i="25" s="1"/>
  <c r="D104" i="25"/>
  <c r="E103" i="25"/>
  <c r="D361" i="26"/>
  <c r="C361" i="26"/>
  <c r="AB361" i="26" s="1"/>
  <c r="E360" i="26"/>
  <c r="AC360" i="26" s="1"/>
  <c r="AK360" i="2" s="1"/>
  <c r="B360" i="26"/>
  <c r="J102" i="5"/>
  <c r="D105" i="24"/>
  <c r="B104" i="24"/>
  <c r="C105" i="24"/>
  <c r="E104" i="24"/>
  <c r="D105" i="5"/>
  <c r="E104" i="5"/>
  <c r="B104" i="5"/>
  <c r="C105" i="5"/>
  <c r="I103" i="5"/>
  <c r="BZ103" i="5" s="1"/>
  <c r="J101" i="2"/>
  <c r="E102" i="2"/>
  <c r="C103" i="2"/>
  <c r="D103" i="2"/>
  <c r="B102" i="2"/>
  <c r="H474" i="5" l="1"/>
  <c r="G447" i="5"/>
  <c r="BW446" i="5"/>
  <c r="BY446" i="5" s="1"/>
  <c r="AR379" i="2"/>
  <c r="AT379" i="2"/>
  <c r="K101" i="2"/>
  <c r="H380" i="2"/>
  <c r="E104" i="25"/>
  <c r="B104" i="25"/>
  <c r="D105" i="25"/>
  <c r="C105" i="25"/>
  <c r="H105" i="25" s="1"/>
  <c r="B361" i="26"/>
  <c r="D362" i="26"/>
  <c r="E361" i="26"/>
  <c r="AC361" i="26" s="1"/>
  <c r="AK361" i="2" s="1"/>
  <c r="C362" i="26"/>
  <c r="AB362" i="26" s="1"/>
  <c r="C106" i="24"/>
  <c r="E105" i="24"/>
  <c r="D106" i="24"/>
  <c r="B105" i="24"/>
  <c r="I104" i="5"/>
  <c r="BZ104" i="5" s="1"/>
  <c r="C106" i="5"/>
  <c r="D106" i="5"/>
  <c r="E105" i="5"/>
  <c r="B105" i="5"/>
  <c r="J103" i="5"/>
  <c r="E103" i="2"/>
  <c r="C104" i="2"/>
  <c r="D104" i="2"/>
  <c r="B103" i="2"/>
  <c r="J102" i="2"/>
  <c r="BW447" i="5" l="1"/>
  <c r="BY447" i="5" s="1"/>
  <c r="G448" i="5"/>
  <c r="H475" i="5"/>
  <c r="AR380" i="2"/>
  <c r="AT380" i="2" s="1"/>
  <c r="K102" i="2"/>
  <c r="H381" i="2"/>
  <c r="D106" i="25"/>
  <c r="C106" i="25"/>
  <c r="H106" i="25" s="1"/>
  <c r="E105" i="25"/>
  <c r="B105" i="25"/>
  <c r="D363" i="26"/>
  <c r="C363" i="26"/>
  <c r="AB363" i="26" s="1"/>
  <c r="B362" i="26"/>
  <c r="E362" i="26"/>
  <c r="AC362" i="26" s="1"/>
  <c r="AK362" i="2" s="1"/>
  <c r="D107" i="24"/>
  <c r="C107" i="24"/>
  <c r="B106" i="24"/>
  <c r="E106" i="24"/>
  <c r="J104" i="5"/>
  <c r="I105" i="5"/>
  <c r="BZ105" i="5" s="1"/>
  <c r="E106" i="5"/>
  <c r="C107" i="5"/>
  <c r="B106" i="5"/>
  <c r="D107" i="5"/>
  <c r="C105" i="2"/>
  <c r="E104" i="2"/>
  <c r="D105" i="2"/>
  <c r="B104" i="2"/>
  <c r="J103" i="2"/>
  <c r="H476" i="5" l="1"/>
  <c r="G449" i="5"/>
  <c r="BW448" i="5"/>
  <c r="BY448" i="5" s="1"/>
  <c r="AR381" i="2"/>
  <c r="AT381" i="2"/>
  <c r="K103" i="2"/>
  <c r="H382" i="2"/>
  <c r="D107" i="25"/>
  <c r="C107" i="25"/>
  <c r="H107" i="25" s="1"/>
  <c r="E106" i="25"/>
  <c r="B106" i="25"/>
  <c r="B363" i="26"/>
  <c r="D364" i="26"/>
  <c r="C364" i="26"/>
  <c r="AB364" i="26" s="1"/>
  <c r="E363" i="26"/>
  <c r="AC363" i="26" s="1"/>
  <c r="AK363" i="2" s="1"/>
  <c r="D108" i="24"/>
  <c r="E107" i="24"/>
  <c r="C108" i="24"/>
  <c r="B107" i="24"/>
  <c r="B107" i="5"/>
  <c r="E107" i="5"/>
  <c r="C108" i="5"/>
  <c r="D108" i="5"/>
  <c r="I106" i="5"/>
  <c r="BZ106" i="5" s="1"/>
  <c r="J105" i="5"/>
  <c r="D106" i="2"/>
  <c r="C106" i="2"/>
  <c r="B105" i="2"/>
  <c r="E105" i="2"/>
  <c r="J104" i="2"/>
  <c r="G450" i="5" l="1"/>
  <c r="BW449" i="5"/>
  <c r="BY449" i="5" s="1"/>
  <c r="H477" i="5"/>
  <c r="H383" i="2"/>
  <c r="AR382" i="2"/>
  <c r="AT382" i="2"/>
  <c r="H384" i="2"/>
  <c r="K104" i="2"/>
  <c r="D108" i="25"/>
  <c r="B107" i="25"/>
  <c r="E107" i="25"/>
  <c r="C108" i="25"/>
  <c r="H108" i="25" s="1"/>
  <c r="D365" i="26"/>
  <c r="C365" i="26"/>
  <c r="AB365" i="26" s="1"/>
  <c r="E364" i="26"/>
  <c r="AC364" i="26" s="1"/>
  <c r="AK364" i="2" s="1"/>
  <c r="B364" i="26"/>
  <c r="D109" i="24"/>
  <c r="E108" i="24"/>
  <c r="C109" i="24"/>
  <c r="B108" i="24"/>
  <c r="J106" i="5"/>
  <c r="I107" i="5"/>
  <c r="BZ107" i="5" s="1"/>
  <c r="E108" i="5"/>
  <c r="B108" i="5"/>
  <c r="C109" i="5"/>
  <c r="D109" i="5"/>
  <c r="C107" i="2"/>
  <c r="D107" i="2"/>
  <c r="B106" i="2"/>
  <c r="E106" i="2"/>
  <c r="J105" i="2"/>
  <c r="H478" i="5" l="1"/>
  <c r="BW450" i="5"/>
  <c r="BY450" i="5" s="1"/>
  <c r="G451" i="5"/>
  <c r="AR384" i="2"/>
  <c r="AT384" i="2"/>
  <c r="AR383" i="2"/>
  <c r="AT383" i="2" s="1"/>
  <c r="K105" i="2"/>
  <c r="H385" i="2"/>
  <c r="B108" i="25"/>
  <c r="D109" i="25"/>
  <c r="C109" i="25"/>
  <c r="H109" i="25" s="1"/>
  <c r="E108" i="25"/>
  <c r="B365" i="26"/>
  <c r="D366" i="26"/>
  <c r="E365" i="26"/>
  <c r="AC365" i="26" s="1"/>
  <c r="AK365" i="2" s="1"/>
  <c r="C366" i="26"/>
  <c r="AB366" i="26" s="1"/>
  <c r="D110" i="24"/>
  <c r="C110" i="24"/>
  <c r="E109" i="24"/>
  <c r="B109" i="24"/>
  <c r="I108" i="5"/>
  <c r="BZ108" i="5" s="1"/>
  <c r="J107" i="5"/>
  <c r="E109" i="5"/>
  <c r="B109" i="5"/>
  <c r="D110" i="5"/>
  <c r="C110" i="5"/>
  <c r="E107" i="2"/>
  <c r="D108" i="2"/>
  <c r="B107" i="2"/>
  <c r="C108" i="2"/>
  <c r="J106" i="2"/>
  <c r="G452" i="5" l="1"/>
  <c r="BW451" i="5"/>
  <c r="BY451" i="5" s="1"/>
  <c r="H479" i="5"/>
  <c r="H480" i="5" s="1"/>
  <c r="AR385" i="2"/>
  <c r="AT385" i="2" s="1"/>
  <c r="K106" i="2"/>
  <c r="H386" i="2"/>
  <c r="E109" i="25"/>
  <c r="B109" i="25"/>
  <c r="D110" i="25"/>
  <c r="C110" i="25"/>
  <c r="H110" i="25" s="1"/>
  <c r="D367" i="26"/>
  <c r="C367" i="26"/>
  <c r="AB367" i="26" s="1"/>
  <c r="B366" i="26"/>
  <c r="E366" i="26"/>
  <c r="AC366" i="26" s="1"/>
  <c r="AK366" i="2" s="1"/>
  <c r="J108" i="5"/>
  <c r="D111" i="24"/>
  <c r="C111" i="24"/>
  <c r="E110" i="24"/>
  <c r="B110" i="24"/>
  <c r="I109" i="5"/>
  <c r="BZ109" i="5" s="1"/>
  <c r="B110" i="5"/>
  <c r="C111" i="5"/>
  <c r="E110" i="5"/>
  <c r="D111" i="5"/>
  <c r="E108" i="2"/>
  <c r="B108" i="2"/>
  <c r="C109" i="2"/>
  <c r="D109" i="2"/>
  <c r="J107" i="2"/>
  <c r="H481" i="5" l="1"/>
  <c r="H482" i="5" s="1"/>
  <c r="H483" i="5" s="1"/>
  <c r="H484" i="5" s="1"/>
  <c r="H485" i="5" s="1"/>
  <c r="H486" i="5" s="1"/>
  <c r="H487" i="5" s="1"/>
  <c r="H488" i="5" s="1"/>
  <c r="H489" i="5" s="1"/>
  <c r="G453" i="5"/>
  <c r="BW452" i="5"/>
  <c r="BY452" i="5" s="1"/>
  <c r="AR386" i="2"/>
  <c r="AT386" i="2"/>
  <c r="H387" i="2"/>
  <c r="K107" i="2"/>
  <c r="C111" i="25"/>
  <c r="H111" i="25" s="1"/>
  <c r="E110" i="25"/>
  <c r="B110" i="25"/>
  <c r="D111" i="25"/>
  <c r="B367" i="26"/>
  <c r="D368" i="26"/>
  <c r="C368" i="26"/>
  <c r="AB368" i="26" s="1"/>
  <c r="E367" i="26"/>
  <c r="AC367" i="26" s="1"/>
  <c r="AK367" i="2" s="1"/>
  <c r="D112" i="24"/>
  <c r="C112" i="24"/>
  <c r="E111" i="24"/>
  <c r="B111" i="24"/>
  <c r="B111" i="5"/>
  <c r="E111" i="5"/>
  <c r="D112" i="5"/>
  <c r="C112" i="5"/>
  <c r="I110" i="5"/>
  <c r="BZ110" i="5" s="1"/>
  <c r="J109" i="5"/>
  <c r="B109" i="2"/>
  <c r="E109" i="2"/>
  <c r="C110" i="2"/>
  <c r="D110" i="2"/>
  <c r="J108" i="2"/>
  <c r="G454" i="5" l="1"/>
  <c r="BW453" i="5"/>
  <c r="BY453" i="5" s="1"/>
  <c r="H490" i="5"/>
  <c r="H491" i="5" s="1"/>
  <c r="H492" i="5" s="1"/>
  <c r="AR387" i="2"/>
  <c r="AT387" i="2"/>
  <c r="H388" i="2"/>
  <c r="K108" i="2"/>
  <c r="H369" i="26"/>
  <c r="C112" i="25"/>
  <c r="H112" i="25" s="1"/>
  <c r="D112" i="25"/>
  <c r="E111" i="25"/>
  <c r="B111" i="25"/>
  <c r="D369" i="26"/>
  <c r="C369" i="26"/>
  <c r="AB369" i="26" s="1"/>
  <c r="E368" i="26"/>
  <c r="AC368" i="26" s="1"/>
  <c r="AK368" i="2" s="1"/>
  <c r="B368" i="26"/>
  <c r="J110" i="5"/>
  <c r="E112" i="24"/>
  <c r="D113" i="24"/>
  <c r="C113" i="24"/>
  <c r="B112" i="24"/>
  <c r="I111" i="5"/>
  <c r="BZ111" i="5" s="1"/>
  <c r="C113" i="5"/>
  <c r="D113" i="5"/>
  <c r="B112" i="5"/>
  <c r="E112" i="5"/>
  <c r="E110" i="2"/>
  <c r="C111" i="2"/>
  <c r="D111" i="2"/>
  <c r="B110" i="2"/>
  <c r="J109" i="2"/>
  <c r="H493" i="5" l="1"/>
  <c r="H494" i="5" s="1"/>
  <c r="G455" i="5"/>
  <c r="BW454" i="5"/>
  <c r="BY454" i="5" s="1"/>
  <c r="AR388" i="2"/>
  <c r="AT388" i="2" s="1"/>
  <c r="K109" i="2"/>
  <c r="H389" i="2"/>
  <c r="D373" i="26"/>
  <c r="C373" i="26"/>
  <c r="AB373" i="26" s="1"/>
  <c r="E112" i="25"/>
  <c r="D113" i="25"/>
  <c r="C113" i="25"/>
  <c r="H113" i="25" s="1"/>
  <c r="B112" i="25"/>
  <c r="B369" i="26"/>
  <c r="E369" i="26"/>
  <c r="AC369" i="26" s="1"/>
  <c r="C114" i="24"/>
  <c r="B113" i="24"/>
  <c r="D114" i="24"/>
  <c r="E113" i="24"/>
  <c r="D114" i="5"/>
  <c r="E113" i="5"/>
  <c r="B113" i="5"/>
  <c r="C114" i="5"/>
  <c r="J111" i="5"/>
  <c r="I112" i="5"/>
  <c r="BZ112" i="5" s="1"/>
  <c r="E111" i="2"/>
  <c r="B111" i="2"/>
  <c r="C112" i="2"/>
  <c r="D112" i="2"/>
  <c r="J110" i="2"/>
  <c r="G456" i="5" l="1"/>
  <c r="BW455" i="5"/>
  <c r="BY455" i="5" s="1"/>
  <c r="H495" i="5"/>
  <c r="AK369" i="2"/>
  <c r="AK370" i="2" s="1"/>
  <c r="AC370" i="26"/>
  <c r="AR389" i="2"/>
  <c r="AT389" i="2" s="1"/>
  <c r="H390" i="2"/>
  <c r="K110" i="2"/>
  <c r="E373" i="26"/>
  <c r="AC373" i="26" s="1"/>
  <c r="AK373" i="2" s="1"/>
  <c r="C374" i="26"/>
  <c r="AB374" i="26" s="1"/>
  <c r="B373" i="26"/>
  <c r="B113" i="25"/>
  <c r="C114" i="25"/>
  <c r="H114" i="25" s="1"/>
  <c r="E113" i="25"/>
  <c r="D114" i="25"/>
  <c r="B114" i="24"/>
  <c r="D115" i="24"/>
  <c r="C115" i="24"/>
  <c r="E114" i="24"/>
  <c r="J112" i="5"/>
  <c r="I113" i="5"/>
  <c r="BZ113" i="5" s="1"/>
  <c r="D115" i="5"/>
  <c r="C115" i="5"/>
  <c r="B114" i="5"/>
  <c r="E114" i="5"/>
  <c r="E112" i="2"/>
  <c r="C113" i="2"/>
  <c r="D113" i="2"/>
  <c r="B112" i="2"/>
  <c r="J111" i="2"/>
  <c r="M101" i="19" l="1"/>
  <c r="H496" i="5"/>
  <c r="G457" i="5"/>
  <c r="BW456" i="5"/>
  <c r="BY456" i="5" s="1"/>
  <c r="AR390" i="2"/>
  <c r="AT390" i="2" s="1"/>
  <c r="K111" i="2"/>
  <c r="H391" i="2"/>
  <c r="D374" i="26"/>
  <c r="B114" i="25"/>
  <c r="D115" i="25"/>
  <c r="E114" i="25"/>
  <c r="C115" i="25"/>
  <c r="H115" i="25" s="1"/>
  <c r="E115" i="24"/>
  <c r="C116" i="24"/>
  <c r="D116" i="24"/>
  <c r="B115" i="24"/>
  <c r="I114" i="5"/>
  <c r="BZ114" i="5" s="1"/>
  <c r="D116" i="5"/>
  <c r="B115" i="5"/>
  <c r="E115" i="5"/>
  <c r="C116" i="5"/>
  <c r="J113" i="5"/>
  <c r="J112" i="2"/>
  <c r="E113" i="2"/>
  <c r="C114" i="2"/>
  <c r="B113" i="2"/>
  <c r="D114" i="2"/>
  <c r="G458" i="5" l="1"/>
  <c r="BW457" i="5"/>
  <c r="BY457" i="5" s="1"/>
  <c r="H497" i="5"/>
  <c r="AR391" i="2"/>
  <c r="AT391" i="2" s="1"/>
  <c r="H392" i="2"/>
  <c r="K112" i="2"/>
  <c r="D375" i="26"/>
  <c r="B374" i="26"/>
  <c r="C375" i="26"/>
  <c r="E374" i="26"/>
  <c r="AC374" i="26" s="1"/>
  <c r="AK374" i="2" s="1"/>
  <c r="D116" i="25"/>
  <c r="C116" i="25"/>
  <c r="H116" i="25" s="1"/>
  <c r="E115" i="25"/>
  <c r="B115" i="25"/>
  <c r="C117" i="24"/>
  <c r="E116" i="24"/>
  <c r="D117" i="24"/>
  <c r="B116" i="24"/>
  <c r="D117" i="5"/>
  <c r="E116" i="5"/>
  <c r="C117" i="5"/>
  <c r="B116" i="5"/>
  <c r="I115" i="5"/>
  <c r="BZ115" i="5" s="1"/>
  <c r="J114" i="5"/>
  <c r="D115" i="2"/>
  <c r="C115" i="2"/>
  <c r="B114" i="2"/>
  <c r="E114" i="2"/>
  <c r="J113" i="2"/>
  <c r="H498" i="5" l="1"/>
  <c r="H499" i="5" s="1"/>
  <c r="G459" i="5"/>
  <c r="BW458" i="5"/>
  <c r="BY458" i="5" s="1"/>
  <c r="AA375" i="26"/>
  <c r="AI375" i="2" s="1"/>
  <c r="AT375" i="2" s="1"/>
  <c r="AB375" i="26"/>
  <c r="AR392" i="2"/>
  <c r="AT392" i="2" s="1"/>
  <c r="K113" i="2"/>
  <c r="H393" i="2"/>
  <c r="D376" i="26"/>
  <c r="B375" i="26"/>
  <c r="E375" i="26"/>
  <c r="AC375" i="26" s="1"/>
  <c r="AK375" i="2" s="1"/>
  <c r="AK738" i="2" s="1"/>
  <c r="C376" i="26"/>
  <c r="B116" i="25"/>
  <c r="D117" i="25"/>
  <c r="C117" i="25"/>
  <c r="H117" i="25" s="1"/>
  <c r="E116" i="25"/>
  <c r="C118" i="24"/>
  <c r="D118" i="24"/>
  <c r="B117" i="24"/>
  <c r="E117" i="24"/>
  <c r="J115" i="5"/>
  <c r="I116" i="5"/>
  <c r="BZ116" i="5" s="1"/>
  <c r="D118" i="5"/>
  <c r="E117" i="5"/>
  <c r="B117" i="5"/>
  <c r="C118" i="5"/>
  <c r="E115" i="2"/>
  <c r="D116" i="2"/>
  <c r="B115" i="2"/>
  <c r="C116" i="2"/>
  <c r="J114" i="2"/>
  <c r="G460" i="5" l="1"/>
  <c r="BW459" i="5"/>
  <c r="BY459" i="5" s="1"/>
  <c r="H500" i="5"/>
  <c r="AA374" i="26"/>
  <c r="H394" i="2"/>
  <c r="AR393" i="2"/>
  <c r="AT393" i="2"/>
  <c r="H395" i="2"/>
  <c r="K114" i="2"/>
  <c r="C377" i="26"/>
  <c r="B376" i="26"/>
  <c r="E376" i="26"/>
  <c r="D377" i="26"/>
  <c r="B117" i="25"/>
  <c r="D118" i="25"/>
  <c r="E117" i="25"/>
  <c r="C118" i="25"/>
  <c r="H118" i="25" s="1"/>
  <c r="D119" i="24"/>
  <c r="E118" i="24"/>
  <c r="C119" i="24"/>
  <c r="B118" i="24"/>
  <c r="D119" i="5"/>
  <c r="E118" i="5"/>
  <c r="C119" i="5"/>
  <c r="B118" i="5"/>
  <c r="J116" i="5"/>
  <c r="I117" i="5"/>
  <c r="BZ117" i="5" s="1"/>
  <c r="C117" i="2"/>
  <c r="E116" i="2"/>
  <c r="B116" i="2"/>
  <c r="D117" i="2"/>
  <c r="J115" i="2"/>
  <c r="BW460" i="5" l="1"/>
  <c r="BY460" i="5" s="1"/>
  <c r="G461" i="5"/>
  <c r="H501" i="5"/>
  <c r="AA373" i="26"/>
  <c r="AI374" i="2"/>
  <c r="AT374" i="2" s="1"/>
  <c r="AR395" i="2"/>
  <c r="AT395" i="2"/>
  <c r="AR394" i="2"/>
  <c r="AT394" i="2" s="1"/>
  <c r="K115" i="2"/>
  <c r="H396" i="2"/>
  <c r="C378" i="26"/>
  <c r="E377" i="26"/>
  <c r="D378" i="26"/>
  <c r="B377" i="26"/>
  <c r="D119" i="25"/>
  <c r="C119" i="25"/>
  <c r="H119" i="25" s="1"/>
  <c r="B118" i="25"/>
  <c r="E118" i="25"/>
  <c r="J117" i="5"/>
  <c r="D120" i="24"/>
  <c r="B119" i="24"/>
  <c r="C120" i="24"/>
  <c r="E119" i="24"/>
  <c r="I118" i="5"/>
  <c r="BZ118" i="5" s="1"/>
  <c r="E119" i="5"/>
  <c r="C120" i="5"/>
  <c r="B119" i="5"/>
  <c r="D120" i="5"/>
  <c r="E117" i="2"/>
  <c r="C118" i="2"/>
  <c r="D118" i="2"/>
  <c r="B117" i="2"/>
  <c r="J116" i="2"/>
  <c r="H502" i="5" l="1"/>
  <c r="G462" i="5"/>
  <c r="BW461" i="5"/>
  <c r="BY461" i="5" s="1"/>
  <c r="AA369" i="26"/>
  <c r="AI373" i="2"/>
  <c r="AR396" i="2"/>
  <c r="AT396" i="2"/>
  <c r="K116" i="2"/>
  <c r="H397" i="2"/>
  <c r="D379" i="26"/>
  <c r="E378" i="26"/>
  <c r="C379" i="26"/>
  <c r="B378" i="26"/>
  <c r="B119" i="25"/>
  <c r="D120" i="25"/>
  <c r="C120" i="25"/>
  <c r="H120" i="25" s="1"/>
  <c r="E119" i="25"/>
  <c r="J118" i="5"/>
  <c r="D121" i="24"/>
  <c r="E120" i="24"/>
  <c r="C121" i="24"/>
  <c r="B120" i="24"/>
  <c r="E120" i="5"/>
  <c r="D121" i="5"/>
  <c r="B120" i="5"/>
  <c r="C121" i="5"/>
  <c r="I119" i="5"/>
  <c r="BZ119" i="5" s="1"/>
  <c r="J117" i="2"/>
  <c r="C119" i="2"/>
  <c r="D119" i="2"/>
  <c r="E118" i="2"/>
  <c r="B118" i="2"/>
  <c r="G463" i="5" l="1"/>
  <c r="BW462" i="5"/>
  <c r="BY462" i="5" s="1"/>
  <c r="H503" i="5"/>
  <c r="AA368" i="26"/>
  <c r="AI369" i="2"/>
  <c r="AR397" i="2"/>
  <c r="AT397" i="2" s="1"/>
  <c r="K117" i="2"/>
  <c r="H398" i="2"/>
  <c r="C380" i="26"/>
  <c r="E379" i="26"/>
  <c r="B379" i="26"/>
  <c r="D380" i="26"/>
  <c r="C121" i="25"/>
  <c r="H121" i="25" s="1"/>
  <c r="B120" i="25"/>
  <c r="E120" i="25"/>
  <c r="D121" i="25"/>
  <c r="C122" i="24"/>
  <c r="D122" i="24"/>
  <c r="B121" i="24"/>
  <c r="E121" i="24"/>
  <c r="J119" i="5"/>
  <c r="D122" i="5"/>
  <c r="C122" i="5"/>
  <c r="B121" i="5"/>
  <c r="E121" i="5"/>
  <c r="I120" i="5"/>
  <c r="BZ120" i="5" s="1"/>
  <c r="J118" i="2"/>
  <c r="E119" i="2"/>
  <c r="C120" i="2"/>
  <c r="D120" i="2"/>
  <c r="B119" i="2"/>
  <c r="J13" i="20" l="1"/>
  <c r="J95" i="20" s="1"/>
  <c r="F24" i="32" s="1"/>
  <c r="H504" i="5"/>
  <c r="H505" i="5" s="1"/>
  <c r="G464" i="5"/>
  <c r="BW463" i="5"/>
  <c r="BY463" i="5" s="1"/>
  <c r="AI368" i="2"/>
  <c r="AA367" i="26"/>
  <c r="AR398" i="2"/>
  <c r="AT398" i="2" s="1"/>
  <c r="H399" i="2"/>
  <c r="K118" i="2"/>
  <c r="D381" i="26"/>
  <c r="C381" i="26"/>
  <c r="E380" i="26"/>
  <c r="B380" i="26"/>
  <c r="D122" i="25"/>
  <c r="C122" i="25"/>
  <c r="H122" i="25" s="1"/>
  <c r="E121" i="25"/>
  <c r="B121" i="25"/>
  <c r="E122" i="24"/>
  <c r="D123" i="24"/>
  <c r="C123" i="24"/>
  <c r="B122" i="24"/>
  <c r="I121" i="5"/>
  <c r="BZ121" i="5" s="1"/>
  <c r="E122" i="5"/>
  <c r="D123" i="5"/>
  <c r="B122" i="5"/>
  <c r="C123" i="5"/>
  <c r="J120" i="5"/>
  <c r="E120" i="2"/>
  <c r="C121" i="2"/>
  <c r="D121" i="2"/>
  <c r="B120" i="2"/>
  <c r="J119" i="2"/>
  <c r="BW464" i="5" l="1"/>
  <c r="BY464" i="5" s="1"/>
  <c r="G465" i="5"/>
  <c r="H506" i="5"/>
  <c r="H507" i="5" s="1"/>
  <c r="H508" i="5" s="1"/>
  <c r="AA366" i="26"/>
  <c r="AI367" i="2"/>
  <c r="AR399" i="2"/>
  <c r="AT399" i="2"/>
  <c r="K119" i="2"/>
  <c r="H400" i="2"/>
  <c r="E381" i="26"/>
  <c r="B381" i="26"/>
  <c r="C382" i="26"/>
  <c r="D382" i="26"/>
  <c r="E122" i="25"/>
  <c r="B122" i="25"/>
  <c r="C123" i="25"/>
  <c r="H123" i="25" s="1"/>
  <c r="D123" i="25"/>
  <c r="E123" i="24"/>
  <c r="B123" i="24"/>
  <c r="C124" i="24"/>
  <c r="D124" i="24"/>
  <c r="J121" i="5"/>
  <c r="B123" i="5"/>
  <c r="C124" i="5"/>
  <c r="E123" i="5"/>
  <c r="D124" i="5"/>
  <c r="I122" i="5"/>
  <c r="BZ122" i="5" s="1"/>
  <c r="E121" i="2"/>
  <c r="D122" i="2"/>
  <c r="B121" i="2"/>
  <c r="C122" i="2"/>
  <c r="J120" i="2"/>
  <c r="H509" i="5" l="1"/>
  <c r="G466" i="5"/>
  <c r="BW465" i="5"/>
  <c r="BY465" i="5" s="1"/>
  <c r="AI366" i="2"/>
  <c r="AA365" i="26"/>
  <c r="AR400" i="2"/>
  <c r="AT400" i="2"/>
  <c r="K120" i="2"/>
  <c r="H401" i="2"/>
  <c r="D383" i="26"/>
  <c r="C383" i="26"/>
  <c r="E382" i="26"/>
  <c r="B382" i="26"/>
  <c r="E123" i="25"/>
  <c r="C124" i="25"/>
  <c r="H124" i="25" s="1"/>
  <c r="D124" i="25"/>
  <c r="B123" i="25"/>
  <c r="E124" i="24"/>
  <c r="B124" i="24"/>
  <c r="C125" i="24"/>
  <c r="D125" i="24"/>
  <c r="I123" i="5"/>
  <c r="BZ123" i="5" s="1"/>
  <c r="D125" i="5"/>
  <c r="C125" i="5"/>
  <c r="B124" i="5"/>
  <c r="E124" i="5"/>
  <c r="J122" i="5"/>
  <c r="C123" i="2"/>
  <c r="E122" i="2"/>
  <c r="D123" i="2"/>
  <c r="B122" i="2"/>
  <c r="J121" i="2"/>
  <c r="G467" i="5" l="1"/>
  <c r="BW466" i="5"/>
  <c r="BY466" i="5" s="1"/>
  <c r="H510" i="5"/>
  <c r="H511" i="5" s="1"/>
  <c r="AA364" i="26"/>
  <c r="AI365" i="2"/>
  <c r="AR401" i="2"/>
  <c r="AT401" i="2"/>
  <c r="K121" i="2"/>
  <c r="H402" i="2"/>
  <c r="E383" i="26"/>
  <c r="D384" i="26"/>
  <c r="B383" i="26"/>
  <c r="C384" i="26"/>
  <c r="B124" i="25"/>
  <c r="C125" i="25"/>
  <c r="H125" i="25" s="1"/>
  <c r="D125" i="25"/>
  <c r="E124" i="25"/>
  <c r="B125" i="24"/>
  <c r="E125" i="24"/>
  <c r="D126" i="24"/>
  <c r="C126" i="24"/>
  <c r="B125" i="5"/>
  <c r="C126" i="5"/>
  <c r="E125" i="5"/>
  <c r="D126" i="5"/>
  <c r="J123" i="5"/>
  <c r="I124" i="5"/>
  <c r="BZ124" i="5" s="1"/>
  <c r="J122" i="2"/>
  <c r="E123" i="2"/>
  <c r="D124" i="2"/>
  <c r="B123" i="2"/>
  <c r="C124" i="2"/>
  <c r="H512" i="5" l="1"/>
  <c r="H513" i="5" s="1"/>
  <c r="G468" i="5"/>
  <c r="BW467" i="5"/>
  <c r="BY467" i="5" s="1"/>
  <c r="AA363" i="26"/>
  <c r="AI364" i="2"/>
  <c r="AR402" i="2"/>
  <c r="AT402" i="2"/>
  <c r="H403" i="2"/>
  <c r="K122" i="2"/>
  <c r="C385" i="26"/>
  <c r="B384" i="26"/>
  <c r="E384" i="26"/>
  <c r="D385" i="26"/>
  <c r="B125" i="25"/>
  <c r="E125" i="25"/>
  <c r="D126" i="25"/>
  <c r="C126" i="25"/>
  <c r="H126" i="25" s="1"/>
  <c r="J124" i="5"/>
  <c r="D127" i="24"/>
  <c r="B126" i="24"/>
  <c r="C127" i="24"/>
  <c r="E126" i="24"/>
  <c r="D127" i="5"/>
  <c r="C127" i="5"/>
  <c r="E126" i="5"/>
  <c r="B126" i="5"/>
  <c r="I125" i="5"/>
  <c r="BZ125" i="5" s="1"/>
  <c r="J123" i="2"/>
  <c r="C125" i="2"/>
  <c r="B124" i="2"/>
  <c r="D125" i="2"/>
  <c r="E124" i="2"/>
  <c r="I107" i="19" l="1"/>
  <c r="BW468" i="5"/>
  <c r="BY468" i="5" s="1"/>
  <c r="G469" i="5"/>
  <c r="H514" i="5"/>
  <c r="H515" i="5" s="1"/>
  <c r="AA362" i="26"/>
  <c r="AI363" i="2"/>
  <c r="AR403" i="2"/>
  <c r="AT403" i="2" s="1"/>
  <c r="K123" i="2"/>
  <c r="H404" i="2"/>
  <c r="H405" i="2" s="1"/>
  <c r="E385" i="26"/>
  <c r="B385" i="26"/>
  <c r="D386" i="26"/>
  <c r="C386" i="26"/>
  <c r="J125" i="5"/>
  <c r="E126" i="25"/>
  <c r="C127" i="25"/>
  <c r="H127" i="25" s="1"/>
  <c r="D127" i="25"/>
  <c r="B126" i="25"/>
  <c r="B127" i="24"/>
  <c r="C128" i="24"/>
  <c r="E127" i="24"/>
  <c r="D128" i="24"/>
  <c r="I126" i="5"/>
  <c r="BZ126" i="5" s="1"/>
  <c r="E127" i="5"/>
  <c r="D128" i="5"/>
  <c r="B127" i="5"/>
  <c r="C128" i="5"/>
  <c r="J124" i="2"/>
  <c r="E125" i="2"/>
  <c r="D126" i="2"/>
  <c r="B125" i="2"/>
  <c r="C126" i="2"/>
  <c r="C7" i="30" l="1"/>
  <c r="E5" i="32"/>
  <c r="G470" i="5"/>
  <c r="BW469" i="5"/>
  <c r="BY469" i="5" s="1"/>
  <c r="H516" i="5"/>
  <c r="H517" i="5" s="1"/>
  <c r="AA361" i="26"/>
  <c r="AI362" i="2"/>
  <c r="H406" i="2"/>
  <c r="AR405" i="2"/>
  <c r="AT405" i="2" s="1"/>
  <c r="AR404" i="2"/>
  <c r="AT404" i="2" s="1"/>
  <c r="K124" i="2"/>
  <c r="B386" i="26"/>
  <c r="D387" i="26"/>
  <c r="C387" i="26"/>
  <c r="E386" i="26"/>
  <c r="D128" i="25"/>
  <c r="E127" i="25"/>
  <c r="B127" i="25"/>
  <c r="C128" i="25"/>
  <c r="H128" i="25" s="1"/>
  <c r="C129" i="24"/>
  <c r="B128" i="24"/>
  <c r="D129" i="24"/>
  <c r="E128" i="24"/>
  <c r="I127" i="5"/>
  <c r="BZ127" i="5" s="1"/>
  <c r="J126" i="5"/>
  <c r="B128" i="5"/>
  <c r="D129" i="5"/>
  <c r="E128" i="5"/>
  <c r="C129" i="5"/>
  <c r="D127" i="2"/>
  <c r="E126" i="2"/>
  <c r="B126" i="2"/>
  <c r="C127" i="2"/>
  <c r="J125" i="2"/>
  <c r="H518" i="5" l="1"/>
  <c r="H519" i="5" s="1"/>
  <c r="G471" i="5"/>
  <c r="BW470" i="5"/>
  <c r="BY470" i="5" s="1"/>
  <c r="AI361" i="2"/>
  <c r="AA360" i="26"/>
  <c r="H407" i="2"/>
  <c r="AR406" i="2"/>
  <c r="AT406" i="2" s="1"/>
  <c r="K125" i="2"/>
  <c r="E387" i="26"/>
  <c r="D388" i="26"/>
  <c r="B387" i="26"/>
  <c r="C388" i="26"/>
  <c r="E128" i="25"/>
  <c r="D129" i="25"/>
  <c r="B128" i="25"/>
  <c r="C129" i="25"/>
  <c r="H129" i="25" s="1"/>
  <c r="J127" i="5"/>
  <c r="C130" i="24"/>
  <c r="B129" i="24"/>
  <c r="E129" i="24"/>
  <c r="D130" i="24"/>
  <c r="I128" i="5"/>
  <c r="BZ128" i="5" s="1"/>
  <c r="B129" i="5"/>
  <c r="E129" i="5"/>
  <c r="D130" i="5"/>
  <c r="C130" i="5"/>
  <c r="D128" i="2"/>
  <c r="E127" i="2"/>
  <c r="B127" i="2"/>
  <c r="C128" i="2"/>
  <c r="J126" i="2"/>
  <c r="G472" i="5" l="1"/>
  <c r="BW471" i="5"/>
  <c r="BY471" i="5" s="1"/>
  <c r="H520" i="5"/>
  <c r="AA359" i="26"/>
  <c r="AI360" i="2"/>
  <c r="AR407" i="2"/>
  <c r="AT407" i="2" s="1"/>
  <c r="H408" i="2"/>
  <c r="K126" i="2"/>
  <c r="D389" i="26"/>
  <c r="B388" i="26"/>
  <c r="C389" i="26"/>
  <c r="E388" i="26"/>
  <c r="D130" i="25"/>
  <c r="B129" i="25"/>
  <c r="C130" i="25"/>
  <c r="H130" i="25" s="1"/>
  <c r="E129" i="25"/>
  <c r="B130" i="24"/>
  <c r="C131" i="24"/>
  <c r="D131" i="24"/>
  <c r="E130" i="24"/>
  <c r="J128" i="5"/>
  <c r="E130" i="5"/>
  <c r="C131" i="5"/>
  <c r="D131" i="5"/>
  <c r="B130" i="5"/>
  <c r="I129" i="5"/>
  <c r="BZ129" i="5" s="1"/>
  <c r="E128" i="2"/>
  <c r="D129" i="2"/>
  <c r="B128" i="2"/>
  <c r="C129" i="2"/>
  <c r="J127" i="2"/>
  <c r="H521" i="5" l="1"/>
  <c r="G473" i="5"/>
  <c r="BW472" i="5"/>
  <c r="BY472" i="5" s="1"/>
  <c r="AI359" i="2"/>
  <c r="AA358" i="26"/>
  <c r="H409" i="2"/>
  <c r="AR408" i="2"/>
  <c r="AT408" i="2" s="1"/>
  <c r="K127" i="2"/>
  <c r="E389" i="26"/>
  <c r="D390" i="26"/>
  <c r="C390" i="26"/>
  <c r="B389" i="26"/>
  <c r="D131" i="25"/>
  <c r="E130" i="25"/>
  <c r="C131" i="25"/>
  <c r="H131" i="25" s="1"/>
  <c r="B130" i="25"/>
  <c r="J129" i="5"/>
  <c r="E131" i="24"/>
  <c r="B131" i="24"/>
  <c r="D132" i="24"/>
  <c r="C132" i="24"/>
  <c r="B131" i="5"/>
  <c r="E131" i="5"/>
  <c r="I131" i="5" s="1"/>
  <c r="BZ131" i="5" s="1"/>
  <c r="D132" i="5"/>
  <c r="C132" i="5"/>
  <c r="I130" i="5"/>
  <c r="BZ130" i="5" s="1"/>
  <c r="D130" i="2"/>
  <c r="E129" i="2"/>
  <c r="B129" i="2"/>
  <c r="C130" i="2"/>
  <c r="J128" i="2"/>
  <c r="BW473" i="5" l="1"/>
  <c r="BY473" i="5" s="1"/>
  <c r="G474" i="5"/>
  <c r="H522" i="5"/>
  <c r="AI358" i="2"/>
  <c r="AA357" i="26"/>
  <c r="H410" i="2"/>
  <c r="AR409" i="2"/>
  <c r="AT409" i="2" s="1"/>
  <c r="K128" i="2"/>
  <c r="D391" i="26"/>
  <c r="C391" i="26"/>
  <c r="E390" i="26"/>
  <c r="B390" i="26"/>
  <c r="C132" i="25"/>
  <c r="H132" i="25" s="1"/>
  <c r="E131" i="25"/>
  <c r="D132" i="25"/>
  <c r="B131" i="25"/>
  <c r="D133" i="24"/>
  <c r="E132" i="24"/>
  <c r="B132" i="24"/>
  <c r="C133" i="24"/>
  <c r="B132" i="5"/>
  <c r="E132" i="5"/>
  <c r="C133" i="5"/>
  <c r="D133" i="5"/>
  <c r="J130" i="5"/>
  <c r="J131" i="5" s="1"/>
  <c r="J129" i="2"/>
  <c r="C131" i="2"/>
  <c r="D131" i="2"/>
  <c r="B130" i="2"/>
  <c r="E130" i="2"/>
  <c r="H523" i="5" l="1"/>
  <c r="G475" i="5"/>
  <c r="BW474" i="5"/>
  <c r="BY474" i="5" s="1"/>
  <c r="AI357" i="2"/>
  <c r="AA356" i="26"/>
  <c r="H411" i="2"/>
  <c r="AR410" i="2"/>
  <c r="AT410" i="2" s="1"/>
  <c r="K129" i="2"/>
  <c r="E391" i="26"/>
  <c r="B391" i="26"/>
  <c r="C392" i="26"/>
  <c r="D392" i="26"/>
  <c r="B132" i="25"/>
  <c r="C133" i="25"/>
  <c r="H133" i="25" s="1"/>
  <c r="E132" i="25"/>
  <c r="D133" i="25"/>
  <c r="E133" i="24"/>
  <c r="C134" i="24"/>
  <c r="B133" i="24"/>
  <c r="D134" i="24"/>
  <c r="E133" i="5"/>
  <c r="B133" i="5"/>
  <c r="C134" i="5"/>
  <c r="D134" i="5"/>
  <c r="I132" i="5"/>
  <c r="BZ132" i="5" s="1"/>
  <c r="J130" i="2"/>
  <c r="E131" i="2"/>
  <c r="D132" i="2"/>
  <c r="B131" i="2"/>
  <c r="C132" i="2"/>
  <c r="BW475" i="5" l="1"/>
  <c r="BY475" i="5" s="1"/>
  <c r="G476" i="5"/>
  <c r="H524" i="5"/>
  <c r="H525" i="5" s="1"/>
  <c r="H526" i="5" s="1"/>
  <c r="H527" i="5" s="1"/>
  <c r="AA355" i="26"/>
  <c r="AI356" i="2"/>
  <c r="H412" i="2"/>
  <c r="AR411" i="2"/>
  <c r="AT411" i="2"/>
  <c r="K130" i="2"/>
  <c r="E392" i="26"/>
  <c r="C393" i="26"/>
  <c r="B392" i="26"/>
  <c r="D393" i="26"/>
  <c r="E133" i="25"/>
  <c r="C134" i="25"/>
  <c r="H134" i="25" s="1"/>
  <c r="B133" i="25"/>
  <c r="D134" i="25"/>
  <c r="E134" i="24"/>
  <c r="D135" i="24"/>
  <c r="B134" i="24"/>
  <c r="C135" i="24"/>
  <c r="J132" i="5"/>
  <c r="E134" i="5"/>
  <c r="C135" i="5"/>
  <c r="B134" i="5"/>
  <c r="D135" i="5"/>
  <c r="I133" i="5"/>
  <c r="BZ133" i="5" s="1"/>
  <c r="B132" i="2"/>
  <c r="E132" i="2"/>
  <c r="C133" i="2"/>
  <c r="D133" i="2"/>
  <c r="J131" i="2"/>
  <c r="H528" i="5" l="1"/>
  <c r="G477" i="5"/>
  <c r="BW476" i="5"/>
  <c r="BY476" i="5" s="1"/>
  <c r="AI355" i="2"/>
  <c r="AA354" i="26"/>
  <c r="H413" i="2"/>
  <c r="AR412" i="2"/>
  <c r="AT412" i="2" s="1"/>
  <c r="K131" i="2"/>
  <c r="B393" i="26"/>
  <c r="C394" i="26"/>
  <c r="E393" i="26"/>
  <c r="D394" i="26"/>
  <c r="E134" i="25"/>
  <c r="C135" i="25"/>
  <c r="H135" i="25" s="1"/>
  <c r="B134" i="25"/>
  <c r="D135" i="25"/>
  <c r="E135" i="24"/>
  <c r="C136" i="24"/>
  <c r="B135" i="24"/>
  <c r="D136" i="24"/>
  <c r="I134" i="5"/>
  <c r="BZ134" i="5" s="1"/>
  <c r="D136" i="5"/>
  <c r="B135" i="5"/>
  <c r="C136" i="5"/>
  <c r="E135" i="5"/>
  <c r="J133" i="5"/>
  <c r="J132" i="2"/>
  <c r="B133" i="2"/>
  <c r="E133" i="2"/>
  <c r="C134" i="2"/>
  <c r="D134" i="2"/>
  <c r="G478" i="5" l="1"/>
  <c r="BW477" i="5"/>
  <c r="BY477" i="5" s="1"/>
  <c r="H529" i="5"/>
  <c r="AA353" i="26"/>
  <c r="AI354" i="2"/>
  <c r="AR413" i="2"/>
  <c r="AT413" i="2" s="1"/>
  <c r="K132" i="2"/>
  <c r="D395" i="26"/>
  <c r="E394" i="26"/>
  <c r="B394" i="26"/>
  <c r="C395" i="26"/>
  <c r="B135" i="25"/>
  <c r="E135" i="25"/>
  <c r="D136" i="25"/>
  <c r="C136" i="25"/>
  <c r="H136" i="25" s="1"/>
  <c r="J134" i="5"/>
  <c r="D137" i="24"/>
  <c r="E136" i="24"/>
  <c r="B136" i="24"/>
  <c r="C137" i="24"/>
  <c r="I135" i="5"/>
  <c r="BZ135" i="5" s="1"/>
  <c r="D137" i="5"/>
  <c r="B136" i="5"/>
  <c r="C137" i="5"/>
  <c r="E136" i="5"/>
  <c r="E134" i="2"/>
  <c r="C135" i="2"/>
  <c r="D135" i="2"/>
  <c r="B134" i="2"/>
  <c r="J133" i="2"/>
  <c r="H530" i="5" l="1"/>
  <c r="H531" i="5" s="1"/>
  <c r="BW478" i="5"/>
  <c r="BY478" i="5" s="1"/>
  <c r="G479" i="5"/>
  <c r="AA352" i="26"/>
  <c r="AI353" i="2"/>
  <c r="H415" i="2"/>
  <c r="AR414" i="2"/>
  <c r="AT414" i="2" s="1"/>
  <c r="K133" i="2"/>
  <c r="E395" i="26"/>
  <c r="B395" i="26"/>
  <c r="D396" i="26"/>
  <c r="C396" i="26"/>
  <c r="C137" i="25"/>
  <c r="H137" i="25" s="1"/>
  <c r="E136" i="25"/>
  <c r="B136" i="25"/>
  <c r="D137" i="25"/>
  <c r="E137" i="24"/>
  <c r="C138" i="24"/>
  <c r="B137" i="24"/>
  <c r="D138" i="24"/>
  <c r="I136" i="5"/>
  <c r="BZ136" i="5" s="1"/>
  <c r="E137" i="5"/>
  <c r="B137" i="5"/>
  <c r="C138" i="5"/>
  <c r="D138" i="5"/>
  <c r="J135" i="5"/>
  <c r="J134" i="2"/>
  <c r="E135" i="2"/>
  <c r="C136" i="2"/>
  <c r="D136" i="2"/>
  <c r="B135" i="2"/>
  <c r="G480" i="5" l="1"/>
  <c r="BW479" i="5"/>
  <c r="BY479" i="5" s="1"/>
  <c r="H532" i="5"/>
  <c r="AI352" i="2"/>
  <c r="AA351" i="26"/>
  <c r="H416" i="2"/>
  <c r="AR415" i="2"/>
  <c r="AT415" i="2"/>
  <c r="K134" i="2"/>
  <c r="D397" i="26"/>
  <c r="B396" i="26"/>
  <c r="C397" i="26"/>
  <c r="E396" i="26"/>
  <c r="B137" i="25"/>
  <c r="C138" i="25"/>
  <c r="H138" i="25" s="1"/>
  <c r="D138" i="25"/>
  <c r="E137" i="25"/>
  <c r="J136" i="5"/>
  <c r="E138" i="24"/>
  <c r="B138" i="24"/>
  <c r="D139" i="24"/>
  <c r="C139" i="24"/>
  <c r="E138" i="5"/>
  <c r="D139" i="5"/>
  <c r="C139" i="5"/>
  <c r="B138" i="5"/>
  <c r="I137" i="5"/>
  <c r="BZ137" i="5" s="1"/>
  <c r="J135" i="2"/>
  <c r="E136" i="2"/>
  <c r="C137" i="2"/>
  <c r="D137" i="2"/>
  <c r="B136" i="2"/>
  <c r="H533" i="5" l="1"/>
  <c r="H534" i="5" s="1"/>
  <c r="H535" i="5" s="1"/>
  <c r="H536" i="5" s="1"/>
  <c r="BW480" i="5"/>
  <c r="BY480" i="5" s="1"/>
  <c r="G481" i="5"/>
  <c r="AA350" i="26"/>
  <c r="AI351" i="2"/>
  <c r="H417" i="2"/>
  <c r="AR416" i="2"/>
  <c r="AT416" i="2" s="1"/>
  <c r="K135" i="2"/>
  <c r="E397" i="26"/>
  <c r="D398" i="26"/>
  <c r="B397" i="26"/>
  <c r="C398" i="26"/>
  <c r="C139" i="25"/>
  <c r="H139" i="25" s="1"/>
  <c r="D139" i="25"/>
  <c r="E138" i="25"/>
  <c r="B138" i="25"/>
  <c r="E139" i="24"/>
  <c r="B139" i="24"/>
  <c r="C140" i="24"/>
  <c r="D140" i="24"/>
  <c r="C140" i="5"/>
  <c r="D140" i="5"/>
  <c r="B139" i="5"/>
  <c r="E139" i="5"/>
  <c r="I138" i="5"/>
  <c r="BZ138" i="5" s="1"/>
  <c r="J137" i="5"/>
  <c r="E137" i="2"/>
  <c r="D138" i="2"/>
  <c r="C138" i="2"/>
  <c r="B137" i="2"/>
  <c r="J136" i="2"/>
  <c r="G482" i="5" l="1"/>
  <c r="BW481" i="5"/>
  <c r="BY481" i="5" s="1"/>
  <c r="H537" i="5"/>
  <c r="AI350" i="2"/>
  <c r="AA349" i="26"/>
  <c r="H418" i="2"/>
  <c r="AR417" i="2"/>
  <c r="AT417" i="2" s="1"/>
  <c r="K136" i="2"/>
  <c r="D399" i="26"/>
  <c r="C399" i="26"/>
  <c r="E398" i="26"/>
  <c r="B398" i="26"/>
  <c r="E139" i="25"/>
  <c r="D140" i="25"/>
  <c r="C140" i="25"/>
  <c r="H140" i="25" s="1"/>
  <c r="B139" i="25"/>
  <c r="E140" i="24"/>
  <c r="C141" i="24"/>
  <c r="D141" i="24"/>
  <c r="B140" i="24"/>
  <c r="J138" i="5"/>
  <c r="C141" i="5"/>
  <c r="E140" i="5"/>
  <c r="D141" i="5"/>
  <c r="B140" i="5"/>
  <c r="I139" i="5"/>
  <c r="BZ139" i="5" s="1"/>
  <c r="C139" i="2"/>
  <c r="E138" i="2"/>
  <c r="D139" i="2"/>
  <c r="B138" i="2"/>
  <c r="J137" i="2"/>
  <c r="H538" i="5" l="1"/>
  <c r="H539" i="5" s="1"/>
  <c r="BW482" i="5"/>
  <c r="BY482" i="5" s="1"/>
  <c r="G483" i="5"/>
  <c r="AI349" i="2"/>
  <c r="AA348" i="26"/>
  <c r="H419" i="2"/>
  <c r="AR418" i="2"/>
  <c r="AT418" i="2"/>
  <c r="K137" i="2"/>
  <c r="E399" i="26"/>
  <c r="B399" i="26"/>
  <c r="D400" i="26"/>
  <c r="C400" i="26"/>
  <c r="C141" i="25"/>
  <c r="H141" i="25" s="1"/>
  <c r="B140" i="25"/>
  <c r="D141" i="25"/>
  <c r="E140" i="25"/>
  <c r="E141" i="24"/>
  <c r="B141" i="24"/>
  <c r="D142" i="24"/>
  <c r="C142" i="24"/>
  <c r="E141" i="5"/>
  <c r="B141" i="5"/>
  <c r="C142" i="5"/>
  <c r="D142" i="5"/>
  <c r="I140" i="5"/>
  <c r="BZ140" i="5" s="1"/>
  <c r="J139" i="5"/>
  <c r="E139" i="2"/>
  <c r="D140" i="2"/>
  <c r="B139" i="2"/>
  <c r="C140" i="2"/>
  <c r="J138" i="2"/>
  <c r="G484" i="5" l="1"/>
  <c r="BW483" i="5"/>
  <c r="BY483" i="5" s="1"/>
  <c r="H540" i="5"/>
  <c r="AA347" i="26"/>
  <c r="AI348" i="2"/>
  <c r="H420" i="2"/>
  <c r="AR419" i="2"/>
  <c r="AT419" i="2"/>
  <c r="K138" i="2"/>
  <c r="C401" i="26"/>
  <c r="B400" i="26"/>
  <c r="D401" i="26"/>
  <c r="E400" i="26"/>
  <c r="B141" i="25"/>
  <c r="E141" i="25"/>
  <c r="D142" i="25"/>
  <c r="C142" i="25"/>
  <c r="H142" i="25" s="1"/>
  <c r="B142" i="24"/>
  <c r="E142" i="24"/>
  <c r="D143" i="24"/>
  <c r="C143" i="24"/>
  <c r="J140" i="5"/>
  <c r="I141" i="5"/>
  <c r="BZ141" i="5" s="1"/>
  <c r="B142" i="5"/>
  <c r="E142" i="5"/>
  <c r="C143" i="5"/>
  <c r="D143" i="5"/>
  <c r="B140" i="2"/>
  <c r="C141" i="2"/>
  <c r="E140" i="2"/>
  <c r="D141" i="2"/>
  <c r="J139" i="2"/>
  <c r="H541" i="5" l="1"/>
  <c r="G485" i="5"/>
  <c r="BW484" i="5"/>
  <c r="BY484" i="5" s="1"/>
  <c r="AI347" i="2"/>
  <c r="AA346" i="26"/>
  <c r="H421" i="2"/>
  <c r="AR420" i="2"/>
  <c r="AT420" i="2"/>
  <c r="K139" i="2"/>
  <c r="E401" i="26"/>
  <c r="B401" i="26"/>
  <c r="D402" i="26"/>
  <c r="C402" i="26"/>
  <c r="D143" i="25"/>
  <c r="C143" i="25"/>
  <c r="H143" i="25" s="1"/>
  <c r="B142" i="25"/>
  <c r="E142" i="25"/>
  <c r="B143" i="24"/>
  <c r="D144" i="24"/>
  <c r="E143" i="24"/>
  <c r="C144" i="24"/>
  <c r="E143" i="5"/>
  <c r="D144" i="5"/>
  <c r="B143" i="5"/>
  <c r="C144" i="5"/>
  <c r="I142" i="5"/>
  <c r="BZ142" i="5" s="1"/>
  <c r="J141" i="5"/>
  <c r="J140" i="2"/>
  <c r="B141" i="2"/>
  <c r="E141" i="2"/>
  <c r="C142" i="2"/>
  <c r="D142" i="2"/>
  <c r="G486" i="5" l="1"/>
  <c r="BW485" i="5"/>
  <c r="BY485" i="5" s="1"/>
  <c r="H542" i="5"/>
  <c r="H543" i="5" s="1"/>
  <c r="AI346" i="2"/>
  <c r="AA345" i="26"/>
  <c r="H422" i="2"/>
  <c r="AR421" i="2"/>
  <c r="AT421" i="2"/>
  <c r="K140" i="2"/>
  <c r="D403" i="26"/>
  <c r="C403" i="26"/>
  <c r="E402" i="26"/>
  <c r="B402" i="26"/>
  <c r="C144" i="25"/>
  <c r="H144" i="25" s="1"/>
  <c r="B143" i="25"/>
  <c r="D144" i="25"/>
  <c r="E143" i="25"/>
  <c r="J142" i="5"/>
  <c r="D145" i="24"/>
  <c r="E144" i="24"/>
  <c r="C145" i="24"/>
  <c r="B144" i="24"/>
  <c r="C145" i="5"/>
  <c r="B144" i="5"/>
  <c r="E144" i="5"/>
  <c r="D145" i="5"/>
  <c r="I143" i="5"/>
  <c r="BZ143" i="5" s="1"/>
  <c r="E142" i="2"/>
  <c r="C143" i="2"/>
  <c r="D143" i="2"/>
  <c r="B142" i="2"/>
  <c r="J141" i="2"/>
  <c r="H544" i="5" l="1"/>
  <c r="G487" i="5"/>
  <c r="BW486" i="5"/>
  <c r="BY486" i="5" s="1"/>
  <c r="AA344" i="26"/>
  <c r="AI345" i="2"/>
  <c r="AR422" i="2"/>
  <c r="AT422" i="2" s="1"/>
  <c r="K141" i="2"/>
  <c r="D404" i="26"/>
  <c r="C404" i="26"/>
  <c r="E403" i="26"/>
  <c r="B403" i="26"/>
  <c r="E144" i="25"/>
  <c r="B144" i="25"/>
  <c r="C145" i="25"/>
  <c r="H145" i="25" s="1"/>
  <c r="D145" i="25"/>
  <c r="C146" i="24"/>
  <c r="E145" i="24"/>
  <c r="B145" i="24"/>
  <c r="D146" i="24"/>
  <c r="C146" i="5"/>
  <c r="D146" i="5"/>
  <c r="E145" i="5"/>
  <c r="B145" i="5"/>
  <c r="I144" i="5"/>
  <c r="BZ144" i="5" s="1"/>
  <c r="J143" i="5"/>
  <c r="E143" i="2"/>
  <c r="C144" i="2"/>
  <c r="D144" i="2"/>
  <c r="B143" i="2"/>
  <c r="J142" i="2"/>
  <c r="G488" i="5" l="1"/>
  <c r="BW487" i="5"/>
  <c r="BY487" i="5" s="1"/>
  <c r="H545" i="5"/>
  <c r="AA343" i="26"/>
  <c r="AI344" i="2"/>
  <c r="H424" i="2"/>
  <c r="AR423" i="2"/>
  <c r="AT423" i="2" s="1"/>
  <c r="K142" i="2"/>
  <c r="B404" i="26"/>
  <c r="C405" i="26"/>
  <c r="D405" i="26"/>
  <c r="E404" i="26"/>
  <c r="D146" i="25"/>
  <c r="C146" i="25"/>
  <c r="H146" i="25" s="1"/>
  <c r="E145" i="25"/>
  <c r="B145" i="25"/>
  <c r="D147" i="24"/>
  <c r="C147" i="24"/>
  <c r="E146" i="24"/>
  <c r="B146" i="24"/>
  <c r="J144" i="5"/>
  <c r="E146" i="5"/>
  <c r="C147" i="5"/>
  <c r="D147" i="5"/>
  <c r="B146" i="5"/>
  <c r="I145" i="5"/>
  <c r="BZ145" i="5" s="1"/>
  <c r="C145" i="2"/>
  <c r="D145" i="2"/>
  <c r="B144" i="2"/>
  <c r="E144" i="2"/>
  <c r="J143" i="2"/>
  <c r="H546" i="5" l="1"/>
  <c r="G489" i="5"/>
  <c r="BW488" i="5"/>
  <c r="BY488" i="5" s="1"/>
  <c r="AI343" i="2"/>
  <c r="AA342" i="26"/>
  <c r="H425" i="2"/>
  <c r="AR424" i="2"/>
  <c r="AT424" i="2"/>
  <c r="K143" i="2"/>
  <c r="B405" i="26"/>
  <c r="D406" i="26"/>
  <c r="E405" i="26"/>
  <c r="C406" i="26"/>
  <c r="D147" i="25"/>
  <c r="B146" i="25"/>
  <c r="C147" i="25"/>
  <c r="H147" i="25" s="1"/>
  <c r="E146" i="25"/>
  <c r="D148" i="24"/>
  <c r="B147" i="24"/>
  <c r="E147" i="24"/>
  <c r="C148" i="24"/>
  <c r="E147" i="5"/>
  <c r="C148" i="5"/>
  <c r="D148" i="5"/>
  <c r="B147" i="5"/>
  <c r="I146" i="5"/>
  <c r="BZ146" i="5" s="1"/>
  <c r="J145" i="5"/>
  <c r="J144" i="2"/>
  <c r="E145" i="2"/>
  <c r="D146" i="2"/>
  <c r="C146" i="2"/>
  <c r="B145" i="2"/>
  <c r="G490" i="5" l="1"/>
  <c r="BW489" i="5"/>
  <c r="BY489" i="5" s="1"/>
  <c r="H547" i="5"/>
  <c r="AI342" i="2"/>
  <c r="AA341" i="26"/>
  <c r="H426" i="2"/>
  <c r="AR425" i="2"/>
  <c r="AT425" i="2" s="1"/>
  <c r="K144" i="2"/>
  <c r="D407" i="26"/>
  <c r="B406" i="26"/>
  <c r="C407" i="26"/>
  <c r="E406" i="26"/>
  <c r="E147" i="25"/>
  <c r="B147" i="25"/>
  <c r="D148" i="25"/>
  <c r="C148" i="25"/>
  <c r="H148" i="25" s="1"/>
  <c r="D149" i="24"/>
  <c r="C149" i="24"/>
  <c r="B148" i="24"/>
  <c r="E148" i="24"/>
  <c r="C149" i="5"/>
  <c r="E148" i="5"/>
  <c r="D149" i="5"/>
  <c r="B148" i="5"/>
  <c r="J146" i="5"/>
  <c r="I147" i="5"/>
  <c r="BZ147" i="5" s="1"/>
  <c r="C147" i="2"/>
  <c r="E146" i="2"/>
  <c r="D147" i="2"/>
  <c r="B146" i="2"/>
  <c r="J145" i="2"/>
  <c r="H548" i="5" l="1"/>
  <c r="H549" i="5" s="1"/>
  <c r="G491" i="5"/>
  <c r="BW490" i="5"/>
  <c r="BY490" i="5" s="1"/>
  <c r="AA340" i="26"/>
  <c r="AI341" i="2"/>
  <c r="H427" i="2"/>
  <c r="AR426" i="2"/>
  <c r="AT426" i="2"/>
  <c r="K145" i="2"/>
  <c r="B407" i="26"/>
  <c r="C408" i="26"/>
  <c r="D408" i="26"/>
  <c r="E407" i="26"/>
  <c r="B148" i="25"/>
  <c r="C149" i="25"/>
  <c r="H149" i="25" s="1"/>
  <c r="E148" i="25"/>
  <c r="D149" i="25"/>
  <c r="J147" i="5"/>
  <c r="C150" i="24"/>
  <c r="B149" i="24"/>
  <c r="E149" i="24"/>
  <c r="D150" i="24"/>
  <c r="E149" i="5"/>
  <c r="C150" i="5"/>
  <c r="B149" i="5"/>
  <c r="D150" i="5"/>
  <c r="I148" i="5"/>
  <c r="BZ148" i="5" s="1"/>
  <c r="D148" i="2"/>
  <c r="E147" i="2"/>
  <c r="B147" i="2"/>
  <c r="C148" i="2"/>
  <c r="J146" i="2"/>
  <c r="G492" i="5" l="1"/>
  <c r="BW491" i="5"/>
  <c r="BY491" i="5" s="1"/>
  <c r="H550" i="5"/>
  <c r="H551" i="5" s="1"/>
  <c r="AI340" i="2"/>
  <c r="AA339" i="26"/>
  <c r="H428" i="2"/>
  <c r="AR427" i="2"/>
  <c r="AT427" i="2" s="1"/>
  <c r="K146" i="2"/>
  <c r="C409" i="26"/>
  <c r="D409" i="26"/>
  <c r="B408" i="26"/>
  <c r="E408" i="26"/>
  <c r="E149" i="25"/>
  <c r="B149" i="25"/>
  <c r="D150" i="25"/>
  <c r="C150" i="25"/>
  <c r="H150" i="25" s="1"/>
  <c r="D151" i="24"/>
  <c r="C151" i="24"/>
  <c r="E150" i="24"/>
  <c r="B150" i="24"/>
  <c r="I149" i="5"/>
  <c r="BZ149" i="5" s="1"/>
  <c r="C151" i="5"/>
  <c r="B150" i="5"/>
  <c r="E150" i="5"/>
  <c r="D151" i="5"/>
  <c r="J148" i="5"/>
  <c r="J147" i="2"/>
  <c r="B148" i="2"/>
  <c r="E148" i="2"/>
  <c r="C149" i="2"/>
  <c r="D149" i="2"/>
  <c r="H552" i="5" l="1"/>
  <c r="G493" i="5"/>
  <c r="BW492" i="5"/>
  <c r="BY492" i="5" s="1"/>
  <c r="AI339" i="2"/>
  <c r="AA338" i="26"/>
  <c r="AR428" i="2"/>
  <c r="AT428" i="2" s="1"/>
  <c r="K147" i="2"/>
  <c r="C410" i="26"/>
  <c r="B409" i="26"/>
  <c r="D410" i="26"/>
  <c r="E409" i="26"/>
  <c r="C151" i="25"/>
  <c r="H151" i="25" s="1"/>
  <c r="D151" i="25"/>
  <c r="E150" i="25"/>
  <c r="B150" i="25"/>
  <c r="J149" i="5"/>
  <c r="D152" i="24"/>
  <c r="E151" i="24"/>
  <c r="B151" i="24"/>
  <c r="C152" i="24"/>
  <c r="I150" i="5"/>
  <c r="BZ150" i="5" s="1"/>
  <c r="D152" i="5"/>
  <c r="C152" i="5"/>
  <c r="E151" i="5"/>
  <c r="B151" i="5"/>
  <c r="J148" i="2"/>
  <c r="E149" i="2"/>
  <c r="D150" i="2"/>
  <c r="B149" i="2"/>
  <c r="C150" i="2"/>
  <c r="J14" i="20" l="1"/>
  <c r="J96" i="20" s="1"/>
  <c r="F25" i="32" s="1"/>
  <c r="G494" i="5"/>
  <c r="BW493" i="5"/>
  <c r="BY493" i="5" s="1"/>
  <c r="H553" i="5"/>
  <c r="H554" i="5" s="1"/>
  <c r="AR429" i="2"/>
  <c r="AT429" i="2" s="1"/>
  <c r="H430" i="2"/>
  <c r="K148" i="2"/>
  <c r="C411" i="26"/>
  <c r="B410" i="26"/>
  <c r="D411" i="26"/>
  <c r="E410" i="26"/>
  <c r="B151" i="25"/>
  <c r="D152" i="25"/>
  <c r="C152" i="25"/>
  <c r="H152" i="25" s="1"/>
  <c r="E151" i="25"/>
  <c r="B152" i="24"/>
  <c r="E152" i="24"/>
  <c r="D153" i="24"/>
  <c r="C153" i="24"/>
  <c r="I151" i="5"/>
  <c r="BZ151" i="5" s="1"/>
  <c r="B152" i="5"/>
  <c r="D153" i="5"/>
  <c r="E152" i="5"/>
  <c r="C153" i="5"/>
  <c r="J150" i="5"/>
  <c r="J149" i="2"/>
  <c r="E150" i="2"/>
  <c r="C151" i="2"/>
  <c r="D151" i="2"/>
  <c r="B150" i="2"/>
  <c r="H555" i="5" l="1"/>
  <c r="BW494" i="5"/>
  <c r="BY494" i="5" s="1"/>
  <c r="G495" i="5"/>
  <c r="H431" i="2"/>
  <c r="AR430" i="2"/>
  <c r="AT430" i="2" s="1"/>
  <c r="K149" i="2"/>
  <c r="D412" i="26"/>
  <c r="C412" i="26"/>
  <c r="B411" i="26"/>
  <c r="E411" i="26"/>
  <c r="C153" i="25"/>
  <c r="H153" i="25" s="1"/>
  <c r="B152" i="25"/>
  <c r="E152" i="25"/>
  <c r="D153" i="25"/>
  <c r="D154" i="24"/>
  <c r="E153" i="24"/>
  <c r="B153" i="24"/>
  <c r="C154" i="24"/>
  <c r="J151" i="5"/>
  <c r="I152" i="5"/>
  <c r="BZ152" i="5" s="1"/>
  <c r="B153" i="5"/>
  <c r="D154" i="5"/>
  <c r="E153" i="5"/>
  <c r="C154" i="5"/>
  <c r="J150" i="2"/>
  <c r="C152" i="2"/>
  <c r="E151" i="2"/>
  <c r="D152" i="2"/>
  <c r="B151" i="2"/>
  <c r="G496" i="5" l="1"/>
  <c r="BW495" i="5"/>
  <c r="BY495" i="5" s="1"/>
  <c r="H556" i="5"/>
  <c r="H557" i="5" s="1"/>
  <c r="H432" i="2"/>
  <c r="J12" i="19" s="1"/>
  <c r="J108" i="19" s="1"/>
  <c r="F6" i="32" s="1"/>
  <c r="AR431" i="2"/>
  <c r="AT431" i="2" s="1"/>
  <c r="K150" i="2"/>
  <c r="E412" i="26"/>
  <c r="C413" i="26"/>
  <c r="D413" i="26"/>
  <c r="B412" i="26"/>
  <c r="C154" i="25"/>
  <c r="H154" i="25" s="1"/>
  <c r="E153" i="25"/>
  <c r="B153" i="25"/>
  <c r="D154" i="25"/>
  <c r="B154" i="24"/>
  <c r="D155" i="24"/>
  <c r="E154" i="24"/>
  <c r="C155" i="24"/>
  <c r="E154" i="5"/>
  <c r="D155" i="5"/>
  <c r="C155" i="5"/>
  <c r="B154" i="5"/>
  <c r="I153" i="5"/>
  <c r="BZ153" i="5" s="1"/>
  <c r="J152" i="5"/>
  <c r="C153" i="2"/>
  <c r="D153" i="2"/>
  <c r="E152" i="2"/>
  <c r="B152" i="2"/>
  <c r="J151" i="2"/>
  <c r="H558" i="5" l="1"/>
  <c r="G497" i="5"/>
  <c r="BW496" i="5"/>
  <c r="BY496" i="5" s="1"/>
  <c r="H433" i="2"/>
  <c r="AR432" i="2"/>
  <c r="AT432" i="2" s="1"/>
  <c r="K151" i="2"/>
  <c r="B413" i="26"/>
  <c r="D414" i="26"/>
  <c r="E413" i="26"/>
  <c r="C414" i="26"/>
  <c r="B154" i="25"/>
  <c r="D155" i="25"/>
  <c r="E154" i="25"/>
  <c r="C155" i="25"/>
  <c r="H155" i="25" s="1"/>
  <c r="E155" i="24"/>
  <c r="C156" i="24"/>
  <c r="D156" i="24"/>
  <c r="B155" i="24"/>
  <c r="J153" i="5"/>
  <c r="C156" i="5"/>
  <c r="B155" i="5"/>
  <c r="D156" i="5"/>
  <c r="E155" i="5"/>
  <c r="I154" i="5"/>
  <c r="BZ154" i="5" s="1"/>
  <c r="E153" i="2"/>
  <c r="D154" i="2"/>
  <c r="C154" i="2"/>
  <c r="B153" i="2"/>
  <c r="J152" i="2"/>
  <c r="G498" i="5" l="1"/>
  <c r="BW497" i="5"/>
  <c r="BY497" i="5" s="1"/>
  <c r="H559" i="5"/>
  <c r="H434" i="2"/>
  <c r="AR433" i="2"/>
  <c r="AT433" i="2" s="1"/>
  <c r="K152" i="2"/>
  <c r="C415" i="26"/>
  <c r="B414" i="26"/>
  <c r="D415" i="26"/>
  <c r="E414" i="26"/>
  <c r="E155" i="25"/>
  <c r="B155" i="25"/>
  <c r="C156" i="25"/>
  <c r="H156" i="25" s="1"/>
  <c r="D156" i="25"/>
  <c r="J154" i="5"/>
  <c r="B156" i="24"/>
  <c r="D157" i="24"/>
  <c r="C157" i="24"/>
  <c r="E156" i="24"/>
  <c r="C157" i="5"/>
  <c r="B156" i="5"/>
  <c r="E156" i="5"/>
  <c r="D157" i="5"/>
  <c r="I155" i="5"/>
  <c r="BZ155" i="5" s="1"/>
  <c r="J153" i="2"/>
  <c r="D155" i="2"/>
  <c r="B154" i="2"/>
  <c r="E154" i="2"/>
  <c r="C155" i="2"/>
  <c r="H560" i="5" l="1"/>
  <c r="H561" i="5" s="1"/>
  <c r="G499" i="5"/>
  <c r="BW498" i="5"/>
  <c r="BY498" i="5" s="1"/>
  <c r="H435" i="2"/>
  <c r="AR434" i="2"/>
  <c r="AT434" i="2" s="1"/>
  <c r="K153" i="2"/>
  <c r="C416" i="26"/>
  <c r="B415" i="26"/>
  <c r="D416" i="26"/>
  <c r="E415" i="26"/>
  <c r="D157" i="25"/>
  <c r="C157" i="25"/>
  <c r="H157" i="25" s="1"/>
  <c r="E156" i="25"/>
  <c r="B156" i="25"/>
  <c r="J155" i="5"/>
  <c r="D158" i="24"/>
  <c r="E157" i="24"/>
  <c r="C158" i="24"/>
  <c r="B157" i="24"/>
  <c r="D158" i="5"/>
  <c r="B157" i="5"/>
  <c r="E157" i="5"/>
  <c r="C158" i="5"/>
  <c r="I156" i="5"/>
  <c r="BZ156" i="5" s="1"/>
  <c r="J154" i="2"/>
  <c r="B155" i="2"/>
  <c r="E155" i="2"/>
  <c r="C156" i="2"/>
  <c r="D156" i="2"/>
  <c r="G500" i="5" l="1"/>
  <c r="BW499" i="5"/>
  <c r="BY499" i="5" s="1"/>
  <c r="H562" i="5"/>
  <c r="AR435" i="2"/>
  <c r="AT435" i="2"/>
  <c r="K154" i="2"/>
  <c r="D417" i="26"/>
  <c r="B416" i="26"/>
  <c r="E416" i="26"/>
  <c r="C417" i="26"/>
  <c r="E157" i="25"/>
  <c r="B157" i="25"/>
  <c r="C158" i="25"/>
  <c r="H158" i="25" s="1"/>
  <c r="D158" i="25"/>
  <c r="J156" i="5"/>
  <c r="D159" i="24"/>
  <c r="C159" i="24"/>
  <c r="B158" i="24"/>
  <c r="E158" i="24"/>
  <c r="I157" i="5"/>
  <c r="BZ157" i="5" s="1"/>
  <c r="E158" i="5"/>
  <c r="C159" i="5"/>
  <c r="D159" i="5"/>
  <c r="B158" i="5"/>
  <c r="B156" i="2"/>
  <c r="C157" i="2"/>
  <c r="D157" i="2"/>
  <c r="E156" i="2"/>
  <c r="J155" i="2"/>
  <c r="H563" i="5" l="1"/>
  <c r="G501" i="5"/>
  <c r="BW500" i="5"/>
  <c r="BY500" i="5" s="1"/>
  <c r="AR436" i="2"/>
  <c r="AT436" i="2"/>
  <c r="K155" i="2"/>
  <c r="D418" i="26"/>
  <c r="B417" i="26"/>
  <c r="C418" i="26"/>
  <c r="E417" i="26"/>
  <c r="J157" i="5"/>
  <c r="D159" i="25"/>
  <c r="E158" i="25"/>
  <c r="C159" i="25"/>
  <c r="H159" i="25" s="1"/>
  <c r="B158" i="25"/>
  <c r="E159" i="24"/>
  <c r="B159" i="24"/>
  <c r="C160" i="24"/>
  <c r="D160" i="24"/>
  <c r="I158" i="5"/>
  <c r="BZ158" i="5" s="1"/>
  <c r="D160" i="5"/>
  <c r="B159" i="5"/>
  <c r="E159" i="5"/>
  <c r="C160" i="5"/>
  <c r="J156" i="2"/>
  <c r="C158" i="2"/>
  <c r="D158" i="2"/>
  <c r="E157" i="2"/>
  <c r="B157" i="2"/>
  <c r="G502" i="5" l="1"/>
  <c r="BW501" i="5"/>
  <c r="BY501" i="5" s="1"/>
  <c r="H564" i="5"/>
  <c r="H565" i="5" s="1"/>
  <c r="H438" i="2"/>
  <c r="AR437" i="2"/>
  <c r="AT437" i="2" s="1"/>
  <c r="K156" i="2"/>
  <c r="B418" i="26"/>
  <c r="E418" i="26"/>
  <c r="D419" i="26"/>
  <c r="C419" i="26"/>
  <c r="E159" i="25"/>
  <c r="C160" i="25"/>
  <c r="H160" i="25" s="1"/>
  <c r="B159" i="25"/>
  <c r="D160" i="25"/>
  <c r="E160" i="24"/>
  <c r="C161" i="24"/>
  <c r="B160" i="24"/>
  <c r="D161" i="24"/>
  <c r="I159" i="5"/>
  <c r="BZ159" i="5" s="1"/>
  <c r="E160" i="5"/>
  <c r="B160" i="5"/>
  <c r="C161" i="5"/>
  <c r="D161" i="5"/>
  <c r="J158" i="5"/>
  <c r="J157" i="2"/>
  <c r="B158" i="2"/>
  <c r="C159" i="2"/>
  <c r="D159" i="2"/>
  <c r="E158" i="2"/>
  <c r="H566" i="5" l="1"/>
  <c r="G503" i="5"/>
  <c r="BW502" i="5"/>
  <c r="BY502" i="5" s="1"/>
  <c r="H439" i="2"/>
  <c r="AR438" i="2"/>
  <c r="AT438" i="2" s="1"/>
  <c r="K157" i="2"/>
  <c r="D420" i="26"/>
  <c r="C420" i="26"/>
  <c r="B419" i="26"/>
  <c r="E419" i="26"/>
  <c r="E160" i="25"/>
  <c r="C161" i="25"/>
  <c r="H161" i="25" s="1"/>
  <c r="D161" i="25"/>
  <c r="B160" i="25"/>
  <c r="J159" i="5"/>
  <c r="E161" i="24"/>
  <c r="D162" i="24"/>
  <c r="C162" i="24"/>
  <c r="B161" i="24"/>
  <c r="D162" i="5"/>
  <c r="E161" i="5"/>
  <c r="C162" i="5"/>
  <c r="B161" i="5"/>
  <c r="I160" i="5"/>
  <c r="BZ160" i="5" s="1"/>
  <c r="C160" i="2"/>
  <c r="D160" i="2"/>
  <c r="E159" i="2"/>
  <c r="B159" i="2"/>
  <c r="J158" i="2"/>
  <c r="G504" i="5" l="1"/>
  <c r="BW503" i="5"/>
  <c r="BY503" i="5" s="1"/>
  <c r="H567" i="5"/>
  <c r="H568" i="5" s="1"/>
  <c r="H440" i="2"/>
  <c r="AR439" i="2"/>
  <c r="AT439" i="2" s="1"/>
  <c r="K158" i="2"/>
  <c r="B420" i="26"/>
  <c r="E420" i="26"/>
  <c r="C421" i="26"/>
  <c r="D421" i="26"/>
  <c r="C162" i="25"/>
  <c r="H162" i="25" s="1"/>
  <c r="B161" i="25"/>
  <c r="E161" i="25"/>
  <c r="D162" i="25"/>
  <c r="B162" i="24"/>
  <c r="E162" i="24"/>
  <c r="C163" i="24"/>
  <c r="D163" i="24"/>
  <c r="C163" i="5"/>
  <c r="B162" i="5"/>
  <c r="E162" i="5"/>
  <c r="D163" i="5"/>
  <c r="I161" i="5"/>
  <c r="BZ161" i="5" s="1"/>
  <c r="J160" i="5"/>
  <c r="J159" i="2"/>
  <c r="D161" i="2"/>
  <c r="E160" i="2"/>
  <c r="B160" i="2"/>
  <c r="C161" i="2"/>
  <c r="H569" i="5" l="1"/>
  <c r="G505" i="5"/>
  <c r="BW504" i="5"/>
  <c r="BY504" i="5" s="1"/>
  <c r="H441" i="2"/>
  <c r="AR440" i="2"/>
  <c r="AT440" i="2" s="1"/>
  <c r="K159" i="2"/>
  <c r="E421" i="26"/>
  <c r="B421" i="26"/>
  <c r="D422" i="26"/>
  <c r="C422" i="26"/>
  <c r="B162" i="25"/>
  <c r="D163" i="25"/>
  <c r="C163" i="25"/>
  <c r="H163" i="25" s="1"/>
  <c r="E162" i="25"/>
  <c r="J161" i="5"/>
  <c r="D164" i="24"/>
  <c r="C164" i="24"/>
  <c r="B163" i="24"/>
  <c r="E163" i="24"/>
  <c r="B163" i="5"/>
  <c r="E163" i="5"/>
  <c r="D164" i="5"/>
  <c r="C164" i="5"/>
  <c r="I162" i="5"/>
  <c r="BZ162" i="5" s="1"/>
  <c r="J160" i="2"/>
  <c r="B161" i="2"/>
  <c r="C162" i="2"/>
  <c r="D162" i="2"/>
  <c r="E161" i="2"/>
  <c r="BW505" i="5" l="1"/>
  <c r="BY505" i="5" s="1"/>
  <c r="G506" i="5"/>
  <c r="H570" i="5"/>
  <c r="H571" i="5" s="1"/>
  <c r="H442" i="2"/>
  <c r="AR441" i="2"/>
  <c r="AT441" i="2" s="1"/>
  <c r="K160" i="2"/>
  <c r="C423" i="26"/>
  <c r="B422" i="26"/>
  <c r="D423" i="26"/>
  <c r="E422" i="26"/>
  <c r="J162" i="5"/>
  <c r="D164" i="25"/>
  <c r="C164" i="25"/>
  <c r="H164" i="25" s="1"/>
  <c r="B163" i="25"/>
  <c r="E163" i="25"/>
  <c r="B164" i="24"/>
  <c r="E164" i="24"/>
  <c r="D165" i="24"/>
  <c r="C165" i="24"/>
  <c r="E164" i="5"/>
  <c r="C165" i="5"/>
  <c r="D165" i="5"/>
  <c r="B164" i="5"/>
  <c r="I163" i="5"/>
  <c r="BZ163" i="5" s="1"/>
  <c r="C163" i="2"/>
  <c r="D163" i="2"/>
  <c r="E162" i="2"/>
  <c r="B162" i="2"/>
  <c r="J161" i="2"/>
  <c r="H572" i="5" l="1"/>
  <c r="G507" i="5"/>
  <c r="BW506" i="5"/>
  <c r="BY506" i="5" s="1"/>
  <c r="H443" i="2"/>
  <c r="AR442" i="2"/>
  <c r="AT442" i="2" s="1"/>
  <c r="K161" i="2"/>
  <c r="E423" i="26"/>
  <c r="B423" i="26"/>
  <c r="D424" i="26"/>
  <c r="C424" i="26"/>
  <c r="D165" i="25"/>
  <c r="B164" i="25"/>
  <c r="E164" i="25"/>
  <c r="C165" i="25"/>
  <c r="H165" i="25" s="1"/>
  <c r="D166" i="24"/>
  <c r="E165" i="24"/>
  <c r="B165" i="24"/>
  <c r="C166" i="24"/>
  <c r="B165" i="5"/>
  <c r="E165" i="5"/>
  <c r="C166" i="5"/>
  <c r="D166" i="5"/>
  <c r="I164" i="5"/>
  <c r="BZ164" i="5" s="1"/>
  <c r="J163" i="5"/>
  <c r="E163" i="2"/>
  <c r="B163" i="2"/>
  <c r="C164" i="2"/>
  <c r="D164" i="2"/>
  <c r="J162" i="2"/>
  <c r="BW507" i="5" l="1"/>
  <c r="BY507" i="5" s="1"/>
  <c r="G508" i="5"/>
  <c r="H573" i="5"/>
  <c r="H574" i="5" s="1"/>
  <c r="AR443" i="2"/>
  <c r="H444" i="2"/>
  <c r="AT443" i="2"/>
  <c r="K162" i="2"/>
  <c r="D425" i="26"/>
  <c r="B424" i="26"/>
  <c r="E424" i="26"/>
  <c r="C425" i="26"/>
  <c r="B165" i="25"/>
  <c r="D166" i="25"/>
  <c r="E165" i="25"/>
  <c r="C166" i="25"/>
  <c r="H166" i="25" s="1"/>
  <c r="D167" i="24"/>
  <c r="E166" i="24"/>
  <c r="C167" i="24"/>
  <c r="B166" i="24"/>
  <c r="J164" i="5"/>
  <c r="E166" i="5"/>
  <c r="C167" i="5"/>
  <c r="D167" i="5"/>
  <c r="B166" i="5"/>
  <c r="I165" i="5"/>
  <c r="BZ165" i="5" s="1"/>
  <c r="J163" i="2"/>
  <c r="B164" i="2"/>
  <c r="C165" i="2"/>
  <c r="D165" i="2"/>
  <c r="E164" i="2"/>
  <c r="G509" i="5" l="1"/>
  <c r="BW508" i="5"/>
  <c r="BY508" i="5" s="1"/>
  <c r="H575" i="5"/>
  <c r="H576" i="5" s="1"/>
  <c r="H577" i="5" s="1"/>
  <c r="J165" i="5"/>
  <c r="H445" i="2"/>
  <c r="AR444" i="2"/>
  <c r="AT444" i="2"/>
  <c r="K163" i="2"/>
  <c r="D426" i="26"/>
  <c r="C426" i="26"/>
  <c r="E425" i="26"/>
  <c r="B425" i="26"/>
  <c r="B166" i="25"/>
  <c r="E166" i="25"/>
  <c r="D167" i="25"/>
  <c r="C167" i="25"/>
  <c r="H167" i="25" s="1"/>
  <c r="D168" i="24"/>
  <c r="B167" i="24"/>
  <c r="C168" i="24"/>
  <c r="E167" i="24"/>
  <c r="E167" i="5"/>
  <c r="D168" i="5"/>
  <c r="C168" i="5"/>
  <c r="B167" i="5"/>
  <c r="I166" i="5"/>
  <c r="BZ166" i="5" s="1"/>
  <c r="J164" i="2"/>
  <c r="C166" i="2"/>
  <c r="D166" i="2"/>
  <c r="E165" i="2"/>
  <c r="B165" i="2"/>
  <c r="H578" i="5" l="1"/>
  <c r="G510" i="5"/>
  <c r="BW509" i="5"/>
  <c r="BY509" i="5" s="1"/>
  <c r="H446" i="2"/>
  <c r="AR445" i="2"/>
  <c r="AT445" i="2" s="1"/>
  <c r="K164" i="2"/>
  <c r="B426" i="26"/>
  <c r="C427" i="26"/>
  <c r="E426" i="26"/>
  <c r="D427" i="26"/>
  <c r="C168" i="25"/>
  <c r="H168" i="25" s="1"/>
  <c r="D168" i="25"/>
  <c r="E167" i="25"/>
  <c r="B167" i="25"/>
  <c r="D169" i="24"/>
  <c r="B168" i="24"/>
  <c r="E168" i="24"/>
  <c r="C169" i="24"/>
  <c r="I167" i="5"/>
  <c r="BZ167" i="5" s="1"/>
  <c r="B168" i="5"/>
  <c r="C169" i="5"/>
  <c r="D169" i="5"/>
  <c r="E168" i="5"/>
  <c r="J166" i="5"/>
  <c r="J165" i="2"/>
  <c r="B166" i="2"/>
  <c r="C167" i="2"/>
  <c r="D167" i="2"/>
  <c r="E166" i="2"/>
  <c r="G511" i="5" l="1"/>
  <c r="BW510" i="5"/>
  <c r="BY510" i="5" s="1"/>
  <c r="H579" i="5"/>
  <c r="H447" i="2"/>
  <c r="AR446" i="2"/>
  <c r="AT446" i="2" s="1"/>
  <c r="K165" i="2"/>
  <c r="B427" i="26"/>
  <c r="C428" i="26"/>
  <c r="E427" i="26"/>
  <c r="D428" i="26"/>
  <c r="C169" i="25"/>
  <c r="H169" i="25" s="1"/>
  <c r="D169" i="25"/>
  <c r="E168" i="25"/>
  <c r="B168" i="25"/>
  <c r="J167" i="5"/>
  <c r="D170" i="24"/>
  <c r="C170" i="24"/>
  <c r="E169" i="24"/>
  <c r="B169" i="24"/>
  <c r="E169" i="5"/>
  <c r="B169" i="5"/>
  <c r="C170" i="5"/>
  <c r="D170" i="5"/>
  <c r="I168" i="5"/>
  <c r="BZ168" i="5" s="1"/>
  <c r="J166" i="2"/>
  <c r="C168" i="2"/>
  <c r="D168" i="2"/>
  <c r="E167" i="2"/>
  <c r="B167" i="2"/>
  <c r="H580" i="5" l="1"/>
  <c r="BW511" i="5"/>
  <c r="BY511" i="5" s="1"/>
  <c r="G512" i="5"/>
  <c r="H448" i="2"/>
  <c r="AR447" i="2"/>
  <c r="AT447" i="2" s="1"/>
  <c r="K166" i="2"/>
  <c r="D429" i="26"/>
  <c r="C429" i="26"/>
  <c r="B428" i="26"/>
  <c r="E428" i="26"/>
  <c r="D170" i="25"/>
  <c r="C170" i="25"/>
  <c r="H170" i="25" s="1"/>
  <c r="B169" i="25"/>
  <c r="E169" i="25"/>
  <c r="E170" i="24"/>
  <c r="D171" i="24"/>
  <c r="B170" i="24"/>
  <c r="C171" i="24"/>
  <c r="J168" i="5"/>
  <c r="E170" i="5"/>
  <c r="B170" i="5"/>
  <c r="C171" i="5"/>
  <c r="D171" i="5"/>
  <c r="I169" i="5"/>
  <c r="BZ169" i="5" s="1"/>
  <c r="J167" i="2"/>
  <c r="D169" i="2"/>
  <c r="E168" i="2"/>
  <c r="B168" i="2"/>
  <c r="C169" i="2"/>
  <c r="G513" i="5" l="1"/>
  <c r="BW512" i="5"/>
  <c r="BY512" i="5" s="1"/>
  <c r="H581" i="5"/>
  <c r="H449" i="2"/>
  <c r="AR448" i="2"/>
  <c r="AT448" i="2" s="1"/>
  <c r="K167" i="2"/>
  <c r="C430" i="26"/>
  <c r="B429" i="26"/>
  <c r="D430" i="26"/>
  <c r="E429" i="26"/>
  <c r="J169" i="5"/>
  <c r="E170" i="25"/>
  <c r="B170" i="25"/>
  <c r="C171" i="25"/>
  <c r="H171" i="25" s="1"/>
  <c r="D171" i="25"/>
  <c r="E171" i="24"/>
  <c r="B171" i="24"/>
  <c r="C172" i="24"/>
  <c r="D172" i="24"/>
  <c r="I170" i="5"/>
  <c r="BZ170" i="5" s="1"/>
  <c r="D172" i="5"/>
  <c r="E171" i="5"/>
  <c r="C172" i="5"/>
  <c r="B171" i="5"/>
  <c r="J168" i="2"/>
  <c r="B169" i="2"/>
  <c r="D170" i="2"/>
  <c r="E169" i="2"/>
  <c r="C170" i="2"/>
  <c r="H582" i="5" l="1"/>
  <c r="BW513" i="5"/>
  <c r="BY513" i="5" s="1"/>
  <c r="G514" i="5"/>
  <c r="H450" i="2"/>
  <c r="AR449" i="2"/>
  <c r="AT449" i="2" s="1"/>
  <c r="K168" i="2"/>
  <c r="B430" i="26"/>
  <c r="D431" i="26"/>
  <c r="C431" i="26"/>
  <c r="E430" i="26"/>
  <c r="D172" i="25"/>
  <c r="E171" i="25"/>
  <c r="C172" i="25"/>
  <c r="H172" i="25" s="1"/>
  <c r="B171" i="25"/>
  <c r="J170" i="5"/>
  <c r="B172" i="24"/>
  <c r="C173" i="24"/>
  <c r="D173" i="24"/>
  <c r="E172" i="24"/>
  <c r="I171" i="5"/>
  <c r="BZ171" i="5" s="1"/>
  <c r="B172" i="5"/>
  <c r="D173" i="5"/>
  <c r="E172" i="5"/>
  <c r="C173" i="5"/>
  <c r="C171" i="2"/>
  <c r="D171" i="2"/>
  <c r="E170" i="2"/>
  <c r="B170" i="2"/>
  <c r="J169" i="2"/>
  <c r="G515" i="5" l="1"/>
  <c r="BW514" i="5"/>
  <c r="BY514" i="5" s="1"/>
  <c r="H583" i="5"/>
  <c r="H451" i="2"/>
  <c r="AR450" i="2"/>
  <c r="AT450" i="2"/>
  <c r="K169" i="2"/>
  <c r="E431" i="26"/>
  <c r="C432" i="26"/>
  <c r="D432" i="26"/>
  <c r="B431" i="26"/>
  <c r="C173" i="25"/>
  <c r="H173" i="25" s="1"/>
  <c r="D173" i="25"/>
  <c r="B172" i="25"/>
  <c r="E172" i="25"/>
  <c r="J171" i="5"/>
  <c r="E173" i="24"/>
  <c r="B173" i="24"/>
  <c r="D174" i="24"/>
  <c r="C174" i="24"/>
  <c r="I172" i="5"/>
  <c r="BZ172" i="5" s="1"/>
  <c r="E173" i="5"/>
  <c r="D174" i="5"/>
  <c r="B173" i="5"/>
  <c r="C174" i="5"/>
  <c r="J170" i="2"/>
  <c r="B171" i="2"/>
  <c r="C172" i="2"/>
  <c r="D172" i="2"/>
  <c r="E171" i="2"/>
  <c r="H584" i="5" l="1"/>
  <c r="H585" i="5" s="1"/>
  <c r="BW515" i="5"/>
  <c r="BY515" i="5" s="1"/>
  <c r="G516" i="5"/>
  <c r="H452" i="2"/>
  <c r="AR451" i="2"/>
  <c r="AT451" i="2" s="1"/>
  <c r="K170" i="2"/>
  <c r="D433" i="26"/>
  <c r="B432" i="26"/>
  <c r="E432" i="26"/>
  <c r="C433" i="26"/>
  <c r="E173" i="25"/>
  <c r="D174" i="25"/>
  <c r="C174" i="25"/>
  <c r="H174" i="25" s="1"/>
  <c r="B173" i="25"/>
  <c r="J172" i="5"/>
  <c r="E174" i="24"/>
  <c r="B174" i="24"/>
  <c r="C175" i="24"/>
  <c r="D175" i="24"/>
  <c r="I173" i="5"/>
  <c r="BZ173" i="5" s="1"/>
  <c r="C175" i="5"/>
  <c r="D175" i="5"/>
  <c r="E174" i="5"/>
  <c r="B174" i="5"/>
  <c r="J171" i="2"/>
  <c r="E172" i="2"/>
  <c r="B172" i="2"/>
  <c r="C173" i="2"/>
  <c r="D173" i="2"/>
  <c r="G517" i="5" l="1"/>
  <c r="BW516" i="5"/>
  <c r="BY516" i="5" s="1"/>
  <c r="H586" i="5"/>
  <c r="H453" i="2"/>
  <c r="AR452" i="2"/>
  <c r="AT452" i="2" s="1"/>
  <c r="K171" i="2"/>
  <c r="E433" i="26"/>
  <c r="C434" i="26"/>
  <c r="B433" i="26"/>
  <c r="D434" i="26"/>
  <c r="C175" i="25"/>
  <c r="H175" i="25" s="1"/>
  <c r="E174" i="25"/>
  <c r="B174" i="25"/>
  <c r="D175" i="25"/>
  <c r="B175" i="24"/>
  <c r="D176" i="24"/>
  <c r="C176" i="24"/>
  <c r="E175" i="24"/>
  <c r="I174" i="5"/>
  <c r="BZ174" i="5" s="1"/>
  <c r="B175" i="5"/>
  <c r="D176" i="5"/>
  <c r="E175" i="5"/>
  <c r="C176" i="5"/>
  <c r="J173" i="5"/>
  <c r="J172" i="2"/>
  <c r="E173" i="2"/>
  <c r="B173" i="2"/>
  <c r="C174" i="2"/>
  <c r="D174" i="2"/>
  <c r="H587" i="5" l="1"/>
  <c r="G518" i="5"/>
  <c r="BW517" i="5"/>
  <c r="BY517" i="5" s="1"/>
  <c r="H454" i="2"/>
  <c r="AR453" i="2"/>
  <c r="AT453" i="2" s="1"/>
  <c r="K172" i="2"/>
  <c r="B434" i="26"/>
  <c r="E434" i="26"/>
  <c r="C435" i="26"/>
  <c r="D435" i="26"/>
  <c r="E175" i="25"/>
  <c r="C176" i="25"/>
  <c r="H176" i="25" s="1"/>
  <c r="B175" i="25"/>
  <c r="D176" i="25"/>
  <c r="E176" i="24"/>
  <c r="B176" i="24"/>
  <c r="D177" i="24"/>
  <c r="C177" i="24"/>
  <c r="J174" i="5"/>
  <c r="I175" i="5"/>
  <c r="BZ175" i="5" s="1"/>
  <c r="B176" i="5"/>
  <c r="C177" i="5"/>
  <c r="E176" i="5"/>
  <c r="D177" i="5"/>
  <c r="B174" i="2"/>
  <c r="C175" i="2"/>
  <c r="D175" i="2"/>
  <c r="E174" i="2"/>
  <c r="J173" i="2"/>
  <c r="G519" i="5" l="1"/>
  <c r="BW518" i="5"/>
  <c r="BY518" i="5" s="1"/>
  <c r="H588" i="5"/>
  <c r="H455" i="2"/>
  <c r="AR454" i="2"/>
  <c r="AT454" i="2" s="1"/>
  <c r="K173" i="2"/>
  <c r="B435" i="26"/>
  <c r="C436" i="26"/>
  <c r="E435" i="26"/>
  <c r="D436" i="26"/>
  <c r="D177" i="25"/>
  <c r="C177" i="25"/>
  <c r="H177" i="25" s="1"/>
  <c r="B176" i="25"/>
  <c r="E176" i="25"/>
  <c r="J175" i="5"/>
  <c r="B177" i="24"/>
  <c r="D178" i="24"/>
  <c r="E177" i="24"/>
  <c r="C178" i="24"/>
  <c r="C178" i="5"/>
  <c r="E177" i="5"/>
  <c r="D178" i="5"/>
  <c r="B177" i="5"/>
  <c r="I176" i="5"/>
  <c r="BZ176" i="5" s="1"/>
  <c r="J174" i="2"/>
  <c r="E175" i="2"/>
  <c r="B175" i="2"/>
  <c r="C176" i="2"/>
  <c r="D176" i="2"/>
  <c r="H589" i="5" l="1"/>
  <c r="G520" i="5"/>
  <c r="BW519" i="5"/>
  <c r="BY519" i="5" s="1"/>
  <c r="H456" i="2"/>
  <c r="AR455" i="2"/>
  <c r="AT455" i="2" s="1"/>
  <c r="K174" i="2"/>
  <c r="C437" i="26"/>
  <c r="D437" i="26"/>
  <c r="B436" i="26"/>
  <c r="E436" i="26"/>
  <c r="E177" i="25"/>
  <c r="C178" i="25"/>
  <c r="H178" i="25" s="1"/>
  <c r="B177" i="25"/>
  <c r="D178" i="25"/>
  <c r="E178" i="24"/>
  <c r="B178" i="24"/>
  <c r="D179" i="24"/>
  <c r="C179" i="24"/>
  <c r="C179" i="5"/>
  <c r="B178" i="5"/>
  <c r="D179" i="5"/>
  <c r="E178" i="5"/>
  <c r="I177" i="5"/>
  <c r="BZ177" i="5" s="1"/>
  <c r="J176" i="5"/>
  <c r="J175" i="2"/>
  <c r="B176" i="2"/>
  <c r="C177" i="2"/>
  <c r="D177" i="2"/>
  <c r="E176" i="2"/>
  <c r="H590" i="5" l="1"/>
  <c r="H591" i="5" s="1"/>
  <c r="G521" i="5"/>
  <c r="BW520" i="5"/>
  <c r="BY520" i="5" s="1"/>
  <c r="H457" i="2"/>
  <c r="AR456" i="2"/>
  <c r="AT456" i="2"/>
  <c r="K175" i="2"/>
  <c r="B437" i="26"/>
  <c r="D438" i="26"/>
  <c r="E437" i="26"/>
  <c r="C438" i="26"/>
  <c r="C179" i="25"/>
  <c r="H179" i="25" s="1"/>
  <c r="B178" i="25"/>
  <c r="E178" i="25"/>
  <c r="D179" i="25"/>
  <c r="B179" i="24"/>
  <c r="E179" i="24"/>
  <c r="C180" i="24"/>
  <c r="D180" i="24"/>
  <c r="J177" i="5"/>
  <c r="I178" i="5"/>
  <c r="BZ178" i="5" s="1"/>
  <c r="C180" i="5"/>
  <c r="E179" i="5"/>
  <c r="B179" i="5"/>
  <c r="D180" i="5"/>
  <c r="C178" i="2"/>
  <c r="E177" i="2"/>
  <c r="B177" i="2"/>
  <c r="D178" i="2"/>
  <c r="J176" i="2"/>
  <c r="G522" i="5" l="1"/>
  <c r="BW521" i="5"/>
  <c r="BY521" i="5" s="1"/>
  <c r="H592" i="5"/>
  <c r="H458" i="2"/>
  <c r="AR457" i="2"/>
  <c r="AT457" i="2" s="1"/>
  <c r="K176" i="2"/>
  <c r="C439" i="26"/>
  <c r="B438" i="26"/>
  <c r="E438" i="26"/>
  <c r="D439" i="26"/>
  <c r="E179" i="25"/>
  <c r="C180" i="25"/>
  <c r="H180" i="25" s="1"/>
  <c r="D180" i="25"/>
  <c r="B179" i="25"/>
  <c r="C181" i="24"/>
  <c r="E180" i="24"/>
  <c r="B180" i="24"/>
  <c r="D181" i="24"/>
  <c r="I179" i="5"/>
  <c r="BZ179" i="5" s="1"/>
  <c r="J178" i="5"/>
  <c r="D181" i="5"/>
  <c r="B180" i="5"/>
  <c r="E180" i="5"/>
  <c r="C181" i="5"/>
  <c r="B178" i="2"/>
  <c r="C179" i="2"/>
  <c r="D179" i="2"/>
  <c r="E178" i="2"/>
  <c r="J177" i="2"/>
  <c r="BW522" i="5" l="1"/>
  <c r="BY522" i="5" s="1"/>
  <c r="G523" i="5"/>
  <c r="H593" i="5"/>
  <c r="H459" i="2"/>
  <c r="AR458" i="2"/>
  <c r="AT458" i="2"/>
  <c r="K177" i="2"/>
  <c r="E439" i="26"/>
  <c r="B439" i="26"/>
  <c r="C440" i="26"/>
  <c r="D440" i="26"/>
  <c r="E180" i="25"/>
  <c r="D181" i="25"/>
  <c r="C181" i="25"/>
  <c r="H181" i="25" s="1"/>
  <c r="B180" i="25"/>
  <c r="J179" i="5"/>
  <c r="D182" i="24"/>
  <c r="E181" i="24"/>
  <c r="C182" i="24"/>
  <c r="B181" i="24"/>
  <c r="B181" i="5"/>
  <c r="E181" i="5"/>
  <c r="D182" i="5"/>
  <c r="C182" i="5"/>
  <c r="I180" i="5"/>
  <c r="BZ180" i="5" s="1"/>
  <c r="J178" i="2"/>
  <c r="B179" i="2"/>
  <c r="C180" i="2"/>
  <c r="D180" i="2"/>
  <c r="E179" i="2"/>
  <c r="H594" i="5" l="1"/>
  <c r="G524" i="5"/>
  <c r="BW523" i="5"/>
  <c r="BY523" i="5" s="1"/>
  <c r="H460" i="2"/>
  <c r="AR459" i="2"/>
  <c r="AT459" i="2" s="1"/>
  <c r="K178" i="2"/>
  <c r="C441" i="26"/>
  <c r="B440" i="26"/>
  <c r="D441" i="26"/>
  <c r="E440" i="26"/>
  <c r="C182" i="25"/>
  <c r="H182" i="25" s="1"/>
  <c r="E181" i="25"/>
  <c r="D182" i="25"/>
  <c r="B181" i="25"/>
  <c r="C183" i="24"/>
  <c r="E182" i="24"/>
  <c r="B182" i="24"/>
  <c r="D183" i="24"/>
  <c r="B182" i="5"/>
  <c r="E182" i="5"/>
  <c r="D183" i="5"/>
  <c r="C183" i="5"/>
  <c r="I181" i="5"/>
  <c r="BZ181" i="5" s="1"/>
  <c r="J180" i="5"/>
  <c r="J179" i="2"/>
  <c r="E180" i="2"/>
  <c r="B180" i="2"/>
  <c r="C181" i="2"/>
  <c r="D181" i="2"/>
  <c r="J15" i="20" l="1"/>
  <c r="J97" i="20" s="1"/>
  <c r="F26" i="32" s="1"/>
  <c r="G525" i="5"/>
  <c r="BW524" i="5"/>
  <c r="BY524" i="5" s="1"/>
  <c r="H595" i="5"/>
  <c r="H596" i="5" s="1"/>
  <c r="H597" i="5" s="1"/>
  <c r="H461" i="2"/>
  <c r="AR460" i="2"/>
  <c r="AT460" i="2" s="1"/>
  <c r="K179" i="2"/>
  <c r="D442" i="26"/>
  <c r="E441" i="26"/>
  <c r="C442" i="26"/>
  <c r="B441" i="26"/>
  <c r="B182" i="25"/>
  <c r="C183" i="25"/>
  <c r="H183" i="25" s="1"/>
  <c r="E182" i="25"/>
  <c r="D183" i="25"/>
  <c r="D184" i="24"/>
  <c r="C184" i="24"/>
  <c r="B183" i="24"/>
  <c r="E183" i="24"/>
  <c r="J181" i="5"/>
  <c r="I182" i="5"/>
  <c r="BZ182" i="5" s="1"/>
  <c r="E183" i="5"/>
  <c r="C184" i="5"/>
  <c r="D184" i="5"/>
  <c r="B183" i="5"/>
  <c r="E181" i="2"/>
  <c r="B181" i="2"/>
  <c r="C182" i="2"/>
  <c r="D182" i="2"/>
  <c r="J180" i="2"/>
  <c r="H598" i="5" l="1"/>
  <c r="G526" i="5"/>
  <c r="BW525" i="5"/>
  <c r="BY525" i="5" s="1"/>
  <c r="H462" i="2"/>
  <c r="AR461" i="2"/>
  <c r="AT461" i="2" s="1"/>
  <c r="K180" i="2"/>
  <c r="B442" i="26"/>
  <c r="E442" i="26"/>
  <c r="C443" i="26"/>
  <c r="D443" i="26"/>
  <c r="C184" i="25"/>
  <c r="H184" i="25" s="1"/>
  <c r="D184" i="25"/>
  <c r="E183" i="25"/>
  <c r="B183" i="25"/>
  <c r="E184" i="24"/>
  <c r="D185" i="24"/>
  <c r="C185" i="24"/>
  <c r="B184" i="24"/>
  <c r="I183" i="5"/>
  <c r="BZ183" i="5" s="1"/>
  <c r="C185" i="5"/>
  <c r="B184" i="5"/>
  <c r="D185" i="5"/>
  <c r="E184" i="5"/>
  <c r="J182" i="5"/>
  <c r="J181" i="2"/>
  <c r="B182" i="2"/>
  <c r="C183" i="2"/>
  <c r="D183" i="2"/>
  <c r="E182" i="2"/>
  <c r="G527" i="5" l="1"/>
  <c r="BW526" i="5"/>
  <c r="BY526" i="5" s="1"/>
  <c r="H599" i="5"/>
  <c r="H463" i="2"/>
  <c r="J13" i="19" s="1"/>
  <c r="J109" i="19" s="1"/>
  <c r="F7" i="32" s="1"/>
  <c r="AR462" i="2"/>
  <c r="AT462" i="2" s="1"/>
  <c r="K181" i="2"/>
  <c r="D444" i="26"/>
  <c r="B443" i="26"/>
  <c r="E443" i="26"/>
  <c r="C444" i="26"/>
  <c r="D185" i="25"/>
  <c r="E184" i="25"/>
  <c r="C185" i="25"/>
  <c r="H185" i="25" s="1"/>
  <c r="B184" i="25"/>
  <c r="D186" i="24"/>
  <c r="C186" i="24"/>
  <c r="E185" i="24"/>
  <c r="B185" i="24"/>
  <c r="J183" i="5"/>
  <c r="C186" i="5"/>
  <c r="D186" i="5"/>
  <c r="B185" i="5"/>
  <c r="E185" i="5"/>
  <c r="I184" i="5"/>
  <c r="BZ184" i="5" s="1"/>
  <c r="J182" i="2"/>
  <c r="B183" i="2"/>
  <c r="C184" i="2"/>
  <c r="D184" i="2"/>
  <c r="E183" i="2"/>
  <c r="H600" i="5" l="1"/>
  <c r="BW527" i="5"/>
  <c r="BY527" i="5" s="1"/>
  <c r="G528" i="5"/>
  <c r="H464" i="2"/>
  <c r="AR463" i="2"/>
  <c r="AT463" i="2" s="1"/>
  <c r="K182" i="2"/>
  <c r="B444" i="26"/>
  <c r="E444" i="26"/>
  <c r="C445" i="26"/>
  <c r="D445" i="26"/>
  <c r="E185" i="25"/>
  <c r="D186" i="25"/>
  <c r="B185" i="25"/>
  <c r="C186" i="25"/>
  <c r="H186" i="25" s="1"/>
  <c r="D187" i="24"/>
  <c r="B186" i="24"/>
  <c r="E186" i="24"/>
  <c r="C187" i="24"/>
  <c r="J184" i="5"/>
  <c r="I185" i="5"/>
  <c r="BZ185" i="5" s="1"/>
  <c r="D187" i="5"/>
  <c r="B186" i="5"/>
  <c r="C187" i="5"/>
  <c r="E186" i="5"/>
  <c r="J183" i="2"/>
  <c r="E184" i="2"/>
  <c r="B184" i="2"/>
  <c r="C185" i="2"/>
  <c r="D185" i="2"/>
  <c r="G529" i="5" l="1"/>
  <c r="BW528" i="5"/>
  <c r="BY528" i="5" s="1"/>
  <c r="H601" i="5"/>
  <c r="H465" i="2"/>
  <c r="AR464" i="2"/>
  <c r="AT464" i="2" s="1"/>
  <c r="K183" i="2"/>
  <c r="C446" i="26"/>
  <c r="D446" i="26"/>
  <c r="B445" i="26"/>
  <c r="E445" i="26"/>
  <c r="C187" i="25"/>
  <c r="H187" i="25" s="1"/>
  <c r="B186" i="25"/>
  <c r="D187" i="25"/>
  <c r="E186" i="25"/>
  <c r="D188" i="24"/>
  <c r="C188" i="24"/>
  <c r="B187" i="24"/>
  <c r="E187" i="24"/>
  <c r="B187" i="5"/>
  <c r="C188" i="5"/>
  <c r="D188" i="5"/>
  <c r="E187" i="5"/>
  <c r="I186" i="5"/>
  <c r="BZ186" i="5" s="1"/>
  <c r="J185" i="5"/>
  <c r="D186" i="2"/>
  <c r="C186" i="2"/>
  <c r="E185" i="2"/>
  <c r="B185" i="2"/>
  <c r="J184" i="2"/>
  <c r="H602" i="5" l="1"/>
  <c r="H603" i="5" s="1"/>
  <c r="BW529" i="5"/>
  <c r="BY529" i="5" s="1"/>
  <c r="G530" i="5"/>
  <c r="H466" i="2"/>
  <c r="AR465" i="2"/>
  <c r="AT465" i="2" s="1"/>
  <c r="K184" i="2"/>
  <c r="C447" i="26"/>
  <c r="B446" i="26"/>
  <c r="D447" i="26"/>
  <c r="E446" i="26"/>
  <c r="B187" i="25"/>
  <c r="C188" i="25"/>
  <c r="H188" i="25" s="1"/>
  <c r="D188" i="25"/>
  <c r="E187" i="25"/>
  <c r="J186" i="5"/>
  <c r="E188" i="24"/>
  <c r="B188" i="24"/>
  <c r="D189" i="24"/>
  <c r="C189" i="24"/>
  <c r="I187" i="5"/>
  <c r="BZ187" i="5" s="1"/>
  <c r="C189" i="5"/>
  <c r="D189" i="5"/>
  <c r="B188" i="5"/>
  <c r="E188" i="5"/>
  <c r="J185" i="2"/>
  <c r="B186" i="2"/>
  <c r="E186" i="2"/>
  <c r="C187" i="2"/>
  <c r="D187" i="2"/>
  <c r="G531" i="5" l="1"/>
  <c r="BW530" i="5"/>
  <c r="BY530" i="5" s="1"/>
  <c r="H604" i="5"/>
  <c r="H467" i="2"/>
  <c r="AR466" i="2"/>
  <c r="AT466" i="2" s="1"/>
  <c r="K185" i="2"/>
  <c r="E447" i="26"/>
  <c r="B447" i="26"/>
  <c r="D448" i="26"/>
  <c r="C448" i="26"/>
  <c r="D189" i="25"/>
  <c r="E188" i="25"/>
  <c r="C189" i="25"/>
  <c r="H189" i="25" s="1"/>
  <c r="B188" i="25"/>
  <c r="E189" i="24"/>
  <c r="D190" i="24"/>
  <c r="C190" i="24"/>
  <c r="B189" i="24"/>
  <c r="I188" i="5"/>
  <c r="BZ188" i="5" s="1"/>
  <c r="J187" i="5"/>
  <c r="D190" i="5"/>
  <c r="E189" i="5"/>
  <c r="B189" i="5"/>
  <c r="C190" i="5"/>
  <c r="E187" i="2"/>
  <c r="C188" i="2"/>
  <c r="D188" i="2"/>
  <c r="B187" i="2"/>
  <c r="J186" i="2"/>
  <c r="H605" i="5" l="1"/>
  <c r="H606" i="5" s="1"/>
  <c r="G532" i="5"/>
  <c r="BW531" i="5"/>
  <c r="BY531" i="5" s="1"/>
  <c r="H468" i="2"/>
  <c r="AR467" i="2"/>
  <c r="AT467" i="2" s="1"/>
  <c r="K186" i="2"/>
  <c r="C449" i="26"/>
  <c r="D449" i="26"/>
  <c r="E448" i="26"/>
  <c r="B448" i="26"/>
  <c r="J188" i="5"/>
  <c r="D190" i="25"/>
  <c r="B189" i="25"/>
  <c r="C190" i="25"/>
  <c r="H190" i="25" s="1"/>
  <c r="E189" i="25"/>
  <c r="C191" i="24"/>
  <c r="D191" i="24"/>
  <c r="B190" i="24"/>
  <c r="E190" i="24"/>
  <c r="I189" i="5"/>
  <c r="BZ189" i="5" s="1"/>
  <c r="B190" i="5"/>
  <c r="E190" i="5"/>
  <c r="C191" i="5"/>
  <c r="D191" i="5"/>
  <c r="E188" i="2"/>
  <c r="B188" i="2"/>
  <c r="C189" i="2"/>
  <c r="D189" i="2"/>
  <c r="J187" i="2"/>
  <c r="BW532" i="5" l="1"/>
  <c r="BY532" i="5" s="1"/>
  <c r="G533" i="5"/>
  <c r="H607" i="5"/>
  <c r="H608" i="5" s="1"/>
  <c r="H469" i="2"/>
  <c r="AR468" i="2"/>
  <c r="AT468" i="2" s="1"/>
  <c r="K187" i="2"/>
  <c r="E449" i="26"/>
  <c r="C450" i="26"/>
  <c r="B449" i="26"/>
  <c r="D450" i="26"/>
  <c r="B190" i="25"/>
  <c r="D191" i="25"/>
  <c r="C191" i="25"/>
  <c r="H191" i="25" s="1"/>
  <c r="E190" i="25"/>
  <c r="D192" i="24"/>
  <c r="C192" i="24"/>
  <c r="E191" i="24"/>
  <c r="B191" i="24"/>
  <c r="I190" i="5"/>
  <c r="BZ190" i="5" s="1"/>
  <c r="B191" i="5"/>
  <c r="C192" i="5"/>
  <c r="D192" i="5"/>
  <c r="E191" i="5"/>
  <c r="J189" i="5"/>
  <c r="J188" i="2"/>
  <c r="C190" i="2"/>
  <c r="E189" i="2"/>
  <c r="B189" i="2"/>
  <c r="D190" i="2"/>
  <c r="H609" i="5" l="1"/>
  <c r="G534" i="5"/>
  <c r="BW533" i="5"/>
  <c r="BY533" i="5" s="1"/>
  <c r="H470" i="2"/>
  <c r="AR469" i="2"/>
  <c r="AT469" i="2"/>
  <c r="K188" i="2"/>
  <c r="D451" i="26"/>
  <c r="B450" i="26"/>
  <c r="E450" i="26"/>
  <c r="C451" i="26"/>
  <c r="C192" i="25"/>
  <c r="H192" i="25" s="1"/>
  <c r="D192" i="25"/>
  <c r="E191" i="25"/>
  <c r="B191" i="25"/>
  <c r="J190" i="5"/>
  <c r="C193" i="24"/>
  <c r="E192" i="24"/>
  <c r="B192" i="24"/>
  <c r="D193" i="24"/>
  <c r="I191" i="5"/>
  <c r="BZ191" i="5" s="1"/>
  <c r="D193" i="5"/>
  <c r="B192" i="5"/>
  <c r="C193" i="5"/>
  <c r="E192" i="5"/>
  <c r="C191" i="2"/>
  <c r="D191" i="2"/>
  <c r="B190" i="2"/>
  <c r="E190" i="2"/>
  <c r="J189" i="2"/>
  <c r="G535" i="5" l="1"/>
  <c r="BW534" i="5"/>
  <c r="BY534" i="5" s="1"/>
  <c r="H610" i="5"/>
  <c r="H471" i="2"/>
  <c r="AR470" i="2"/>
  <c r="AT470" i="2"/>
  <c r="K189" i="2"/>
  <c r="D452" i="26"/>
  <c r="B451" i="26"/>
  <c r="E451" i="26"/>
  <c r="C452" i="26"/>
  <c r="J191" i="5"/>
  <c r="D193" i="25"/>
  <c r="B192" i="25"/>
  <c r="C193" i="25"/>
  <c r="H193" i="25" s="1"/>
  <c r="E192" i="25"/>
  <c r="D194" i="24"/>
  <c r="E193" i="24"/>
  <c r="C194" i="24"/>
  <c r="B193" i="24"/>
  <c r="D194" i="5"/>
  <c r="E193" i="5"/>
  <c r="B193" i="5"/>
  <c r="C194" i="5"/>
  <c r="I192" i="5"/>
  <c r="BZ192" i="5" s="1"/>
  <c r="J190" i="2"/>
  <c r="B191" i="2"/>
  <c r="C192" i="2"/>
  <c r="E191" i="2"/>
  <c r="D192" i="2"/>
  <c r="H611" i="5" l="1"/>
  <c r="G536" i="5"/>
  <c r="BW535" i="5"/>
  <c r="BY535" i="5" s="1"/>
  <c r="H472" i="2"/>
  <c r="AR471" i="2"/>
  <c r="AT471" i="2" s="1"/>
  <c r="K190" i="2"/>
  <c r="B452" i="26"/>
  <c r="E452" i="26"/>
  <c r="D453" i="26"/>
  <c r="C453" i="26"/>
  <c r="E193" i="25"/>
  <c r="D194" i="25"/>
  <c r="C194" i="25"/>
  <c r="H194" i="25" s="1"/>
  <c r="B193" i="25"/>
  <c r="C195" i="24"/>
  <c r="E194" i="24"/>
  <c r="B194" i="24"/>
  <c r="D195" i="24"/>
  <c r="I193" i="5"/>
  <c r="BZ193" i="5" s="1"/>
  <c r="E194" i="5"/>
  <c r="B194" i="5"/>
  <c r="D195" i="5"/>
  <c r="C195" i="5"/>
  <c r="J192" i="5"/>
  <c r="E192" i="2"/>
  <c r="B192" i="2"/>
  <c r="C193" i="2"/>
  <c r="D193" i="2"/>
  <c r="J191" i="2"/>
  <c r="G537" i="5" l="1"/>
  <c r="BW536" i="5"/>
  <c r="BY536" i="5" s="1"/>
  <c r="H612" i="5"/>
  <c r="H473" i="2"/>
  <c r="AR472" i="2"/>
  <c r="AT472" i="2" s="1"/>
  <c r="K191" i="2"/>
  <c r="E453" i="26"/>
  <c r="C454" i="26"/>
  <c r="D454" i="26"/>
  <c r="B453" i="26"/>
  <c r="B194" i="25"/>
  <c r="E194" i="25"/>
  <c r="C195" i="25"/>
  <c r="H195" i="25" s="1"/>
  <c r="D195" i="25"/>
  <c r="B195" i="24"/>
  <c r="D196" i="24"/>
  <c r="E195" i="24"/>
  <c r="C196" i="24"/>
  <c r="J193" i="5"/>
  <c r="I194" i="5"/>
  <c r="BZ194" i="5" s="1"/>
  <c r="D196" i="5"/>
  <c r="E195" i="5"/>
  <c r="C196" i="5"/>
  <c r="B195" i="5"/>
  <c r="E193" i="2"/>
  <c r="C194" i="2"/>
  <c r="B193" i="2"/>
  <c r="D194" i="2"/>
  <c r="J192" i="2"/>
  <c r="H613" i="5" l="1"/>
  <c r="G538" i="5"/>
  <c r="BW537" i="5"/>
  <c r="BY537" i="5" s="1"/>
  <c r="AR473" i="2"/>
  <c r="H474" i="2"/>
  <c r="AT473" i="2"/>
  <c r="K192" i="2"/>
  <c r="C455" i="26"/>
  <c r="B454" i="26"/>
  <c r="E454" i="26"/>
  <c r="D455" i="26"/>
  <c r="D196" i="25"/>
  <c r="C196" i="25"/>
  <c r="H196" i="25" s="1"/>
  <c r="B195" i="25"/>
  <c r="E195" i="25"/>
  <c r="D197" i="24"/>
  <c r="E196" i="24"/>
  <c r="C197" i="24"/>
  <c r="B196" i="24"/>
  <c r="I195" i="5"/>
  <c r="BZ195" i="5" s="1"/>
  <c r="D197" i="5"/>
  <c r="B196" i="5"/>
  <c r="C197" i="5"/>
  <c r="E196" i="5"/>
  <c r="J194" i="5"/>
  <c r="B194" i="2"/>
  <c r="C195" i="2"/>
  <c r="D195" i="2"/>
  <c r="E194" i="2"/>
  <c r="J193" i="2"/>
  <c r="G539" i="5" l="1"/>
  <c r="BW538" i="5"/>
  <c r="BY538" i="5" s="1"/>
  <c r="H614" i="5"/>
  <c r="H475" i="2"/>
  <c r="AR474" i="2"/>
  <c r="AT474" i="2" s="1"/>
  <c r="K193" i="2"/>
  <c r="E455" i="26"/>
  <c r="D456" i="26"/>
  <c r="B455" i="26"/>
  <c r="C456" i="26"/>
  <c r="D197" i="25"/>
  <c r="E196" i="25"/>
  <c r="C197" i="25"/>
  <c r="H197" i="25" s="1"/>
  <c r="B196" i="25"/>
  <c r="D198" i="24"/>
  <c r="E197" i="24"/>
  <c r="C198" i="24"/>
  <c r="B197" i="24"/>
  <c r="C198" i="5"/>
  <c r="E197" i="5"/>
  <c r="B197" i="5"/>
  <c r="D198" i="5"/>
  <c r="J195" i="5"/>
  <c r="I196" i="5"/>
  <c r="BZ196" i="5" s="1"/>
  <c r="J194" i="2"/>
  <c r="E195" i="2"/>
  <c r="B195" i="2"/>
  <c r="C196" i="2"/>
  <c r="D196" i="2"/>
  <c r="H615" i="5" l="1"/>
  <c r="H616" i="5" s="1"/>
  <c r="H617" i="5" s="1"/>
  <c r="H618" i="5" s="1"/>
  <c r="G540" i="5"/>
  <c r="BW539" i="5"/>
  <c r="BY539" i="5" s="1"/>
  <c r="AR475" i="2"/>
  <c r="H476" i="2"/>
  <c r="AT475" i="2"/>
  <c r="K194" i="2"/>
  <c r="C457" i="26"/>
  <c r="D457" i="26"/>
  <c r="E456" i="26"/>
  <c r="B456" i="26"/>
  <c r="B197" i="25"/>
  <c r="E197" i="25"/>
  <c r="C198" i="25"/>
  <c r="H198" i="25" s="1"/>
  <c r="D198" i="25"/>
  <c r="J196" i="5"/>
  <c r="E198" i="24"/>
  <c r="B198" i="24"/>
  <c r="D199" i="24"/>
  <c r="C199" i="24"/>
  <c r="D199" i="5"/>
  <c r="B198" i="5"/>
  <c r="E198" i="5"/>
  <c r="C199" i="5"/>
  <c r="I197" i="5"/>
  <c r="BZ197" i="5" s="1"/>
  <c r="B196" i="2"/>
  <c r="E196" i="2"/>
  <c r="C197" i="2"/>
  <c r="D197" i="2"/>
  <c r="J195" i="2"/>
  <c r="G541" i="5" l="1"/>
  <c r="BW540" i="5"/>
  <c r="BY540" i="5" s="1"/>
  <c r="H619" i="5"/>
  <c r="H477" i="2"/>
  <c r="AR476" i="2"/>
  <c r="AT476" i="2" s="1"/>
  <c r="K195" i="2"/>
  <c r="D458" i="26"/>
  <c r="B457" i="26"/>
  <c r="E457" i="26"/>
  <c r="C458" i="26"/>
  <c r="B198" i="25"/>
  <c r="E198" i="25"/>
  <c r="C199" i="25"/>
  <c r="H199" i="25" s="1"/>
  <c r="D199" i="25"/>
  <c r="D200" i="24"/>
  <c r="B199" i="24"/>
  <c r="C200" i="24"/>
  <c r="E199" i="24"/>
  <c r="I198" i="5"/>
  <c r="BZ198" i="5" s="1"/>
  <c r="E199" i="5"/>
  <c r="B199" i="5"/>
  <c r="D200" i="5"/>
  <c r="C200" i="5"/>
  <c r="J197" i="5"/>
  <c r="E197" i="2"/>
  <c r="C198" i="2"/>
  <c r="B197" i="2"/>
  <c r="D198" i="2"/>
  <c r="J196" i="2"/>
  <c r="H620" i="5" l="1"/>
  <c r="BW541" i="5"/>
  <c r="BY541" i="5" s="1"/>
  <c r="G542" i="5"/>
  <c r="H478" i="2"/>
  <c r="AR477" i="2"/>
  <c r="AT477" i="2"/>
  <c r="K196" i="2"/>
  <c r="C459" i="26"/>
  <c r="D459" i="26"/>
  <c r="B458" i="26"/>
  <c r="E458" i="26"/>
  <c r="D200" i="25"/>
  <c r="C200" i="25"/>
  <c r="H200" i="25" s="1"/>
  <c r="E199" i="25"/>
  <c r="B199" i="25"/>
  <c r="J198" i="5"/>
  <c r="B200" i="24"/>
  <c r="C201" i="24"/>
  <c r="D201" i="24"/>
  <c r="E200" i="24"/>
  <c r="C201" i="5"/>
  <c r="D201" i="5"/>
  <c r="E200" i="5"/>
  <c r="B200" i="5"/>
  <c r="I199" i="5"/>
  <c r="BZ199" i="5" s="1"/>
  <c r="E198" i="2"/>
  <c r="B198" i="2"/>
  <c r="C199" i="2"/>
  <c r="D199" i="2"/>
  <c r="J197" i="2"/>
  <c r="G543" i="5" l="1"/>
  <c r="BW542" i="5"/>
  <c r="BY542" i="5" s="1"/>
  <c r="H621" i="5"/>
  <c r="H622" i="5" s="1"/>
  <c r="H479" i="2"/>
  <c r="AR478" i="2"/>
  <c r="AT478" i="2" s="1"/>
  <c r="K197" i="2"/>
  <c r="D460" i="26"/>
  <c r="B459" i="26"/>
  <c r="E459" i="26"/>
  <c r="C460" i="26"/>
  <c r="J199" i="5"/>
  <c r="E200" i="25"/>
  <c r="D201" i="25"/>
  <c r="C201" i="25"/>
  <c r="H201" i="25" s="1"/>
  <c r="B200" i="25"/>
  <c r="E201" i="24"/>
  <c r="D202" i="24"/>
  <c r="B201" i="24"/>
  <c r="C202" i="24"/>
  <c r="I200" i="5"/>
  <c r="BZ200" i="5" s="1"/>
  <c r="B201" i="5"/>
  <c r="E201" i="5"/>
  <c r="D202" i="5"/>
  <c r="C202" i="5"/>
  <c r="E199" i="2"/>
  <c r="B199" i="2"/>
  <c r="C200" i="2"/>
  <c r="D200" i="2"/>
  <c r="J198" i="2"/>
  <c r="H623" i="5" l="1"/>
  <c r="H624" i="5" s="1"/>
  <c r="BW543" i="5"/>
  <c r="BY543" i="5" s="1"/>
  <c r="G544" i="5"/>
  <c r="AR479" i="2"/>
  <c r="H480" i="2"/>
  <c r="AT479" i="2"/>
  <c r="K198" i="2"/>
  <c r="D461" i="26"/>
  <c r="C461" i="26"/>
  <c r="E460" i="26"/>
  <c r="B460" i="26"/>
  <c r="E201" i="25"/>
  <c r="D202" i="25"/>
  <c r="C202" i="25"/>
  <c r="H202" i="25" s="1"/>
  <c r="B201" i="25"/>
  <c r="D203" i="24"/>
  <c r="C203" i="24"/>
  <c r="E202" i="24"/>
  <c r="B202" i="24"/>
  <c r="D203" i="5"/>
  <c r="B202" i="5"/>
  <c r="E202" i="5"/>
  <c r="C203" i="5"/>
  <c r="I201" i="5"/>
  <c r="BZ201" i="5" s="1"/>
  <c r="J200" i="5"/>
  <c r="E200" i="2"/>
  <c r="C201" i="2"/>
  <c r="D201" i="2"/>
  <c r="B200" i="2"/>
  <c r="J199" i="2"/>
  <c r="G545" i="5" l="1"/>
  <c r="BW544" i="5"/>
  <c r="BY544" i="5" s="1"/>
  <c r="H625" i="5"/>
  <c r="H481" i="2"/>
  <c r="AR480" i="2"/>
  <c r="AT480" i="2"/>
  <c r="E461" i="26"/>
  <c r="D462" i="26"/>
  <c r="B461" i="26"/>
  <c r="C462" i="26"/>
  <c r="C203" i="25"/>
  <c r="H203" i="25" s="1"/>
  <c r="E202" i="25"/>
  <c r="D203" i="25"/>
  <c r="B202" i="25"/>
  <c r="E203" i="24"/>
  <c r="B203" i="24"/>
  <c r="C204" i="24"/>
  <c r="D204" i="24"/>
  <c r="J201" i="5"/>
  <c r="I202" i="5"/>
  <c r="BZ202" i="5" s="1"/>
  <c r="D204" i="5"/>
  <c r="C204" i="5"/>
  <c r="E203" i="5"/>
  <c r="B203" i="5"/>
  <c r="C202" i="2"/>
  <c r="B201" i="2"/>
  <c r="E201" i="2"/>
  <c r="D202" i="2"/>
  <c r="J200" i="2"/>
  <c r="K199" i="2"/>
  <c r="H626" i="5" l="1"/>
  <c r="H627" i="5" s="1"/>
  <c r="G546" i="5"/>
  <c r="BW545" i="5"/>
  <c r="BY545" i="5" s="1"/>
  <c r="H482" i="2"/>
  <c r="AR481" i="2"/>
  <c r="AT481" i="2" s="1"/>
  <c r="C463" i="26"/>
  <c r="B462" i="26"/>
  <c r="E462" i="26"/>
  <c r="D463" i="26"/>
  <c r="C204" i="25"/>
  <c r="H204" i="25" s="1"/>
  <c r="B203" i="25"/>
  <c r="D204" i="25"/>
  <c r="E203" i="25"/>
  <c r="K200" i="2"/>
  <c r="E204" i="24"/>
  <c r="D205" i="24"/>
  <c r="C205" i="24"/>
  <c r="B204" i="24"/>
  <c r="I203" i="5"/>
  <c r="BZ203" i="5" s="1"/>
  <c r="E204" i="5"/>
  <c r="B204" i="5"/>
  <c r="D205" i="5"/>
  <c r="C205" i="5"/>
  <c r="J202" i="5"/>
  <c r="B202" i="2"/>
  <c r="C203" i="2"/>
  <c r="D203" i="2"/>
  <c r="E202" i="2"/>
  <c r="J201" i="2"/>
  <c r="BW546" i="5" l="1"/>
  <c r="BY546" i="5" s="1"/>
  <c r="G547" i="5"/>
  <c r="H628" i="5"/>
  <c r="H629" i="5" s="1"/>
  <c r="H483" i="2"/>
  <c r="AR482" i="2"/>
  <c r="AT482" i="2"/>
  <c r="K201" i="2"/>
  <c r="E463" i="26"/>
  <c r="D464" i="26"/>
  <c r="B463" i="26"/>
  <c r="C464" i="26"/>
  <c r="D205" i="25"/>
  <c r="B204" i="25"/>
  <c r="E204" i="25"/>
  <c r="C205" i="25"/>
  <c r="H205" i="25" s="1"/>
  <c r="C206" i="24"/>
  <c r="B205" i="24"/>
  <c r="E205" i="24"/>
  <c r="D206" i="24"/>
  <c r="J203" i="5"/>
  <c r="I204" i="5"/>
  <c r="BZ204" i="5" s="1"/>
  <c r="C206" i="5"/>
  <c r="B205" i="5"/>
  <c r="E205" i="5"/>
  <c r="D206" i="5"/>
  <c r="J202" i="2"/>
  <c r="B203" i="2"/>
  <c r="E203" i="2"/>
  <c r="C204" i="2"/>
  <c r="D204" i="2"/>
  <c r="H630" i="5" l="1"/>
  <c r="G548" i="5"/>
  <c r="BW547" i="5"/>
  <c r="BY547" i="5" s="1"/>
  <c r="AR483" i="2"/>
  <c r="AT483" i="2" s="1"/>
  <c r="H484" i="2"/>
  <c r="K202" i="2"/>
  <c r="D465" i="26"/>
  <c r="E464" i="26"/>
  <c r="B464" i="26"/>
  <c r="C465" i="26"/>
  <c r="B205" i="25"/>
  <c r="D206" i="25"/>
  <c r="E205" i="25"/>
  <c r="C206" i="25"/>
  <c r="H206" i="25" s="1"/>
  <c r="J204" i="5"/>
  <c r="B206" i="24"/>
  <c r="E206" i="24"/>
  <c r="D207" i="24"/>
  <c r="C207" i="24"/>
  <c r="I205" i="5"/>
  <c r="BZ205" i="5" s="1"/>
  <c r="C207" i="5"/>
  <c r="B206" i="5"/>
  <c r="D207" i="5"/>
  <c r="E206" i="5"/>
  <c r="E204" i="2"/>
  <c r="C205" i="2"/>
  <c r="B204" i="2"/>
  <c r="D205" i="2"/>
  <c r="J203" i="2"/>
  <c r="G549" i="5" l="1"/>
  <c r="BW548" i="5"/>
  <c r="BY548" i="5" s="1"/>
  <c r="H631" i="5"/>
  <c r="H632" i="5" s="1"/>
  <c r="H633" i="5" s="1"/>
  <c r="H485" i="2"/>
  <c r="AR484" i="2"/>
  <c r="AT484" i="2"/>
  <c r="D466" i="26"/>
  <c r="E465" i="26"/>
  <c r="B465" i="26"/>
  <c r="C466" i="26"/>
  <c r="C207" i="25"/>
  <c r="H207" i="25" s="1"/>
  <c r="E206" i="25"/>
  <c r="B206" i="25"/>
  <c r="D207" i="25"/>
  <c r="C208" i="24"/>
  <c r="D208" i="24"/>
  <c r="B207" i="24"/>
  <c r="E207" i="24"/>
  <c r="B207" i="5"/>
  <c r="C208" i="5"/>
  <c r="D208" i="5"/>
  <c r="E207" i="5"/>
  <c r="I206" i="5"/>
  <c r="BZ206" i="5" s="1"/>
  <c r="J205" i="5"/>
  <c r="K203" i="2"/>
  <c r="E205" i="2"/>
  <c r="B205" i="2"/>
  <c r="C206" i="2"/>
  <c r="D206" i="2"/>
  <c r="J204" i="2"/>
  <c r="H634" i="5" l="1"/>
  <c r="BW549" i="5"/>
  <c r="BY549" i="5" s="1"/>
  <c r="G550" i="5"/>
  <c r="AR485" i="2"/>
  <c r="AT485" i="2" s="1"/>
  <c r="H486" i="2"/>
  <c r="C467" i="26"/>
  <c r="D467" i="26"/>
  <c r="B466" i="26"/>
  <c r="E466" i="26"/>
  <c r="B207" i="25"/>
  <c r="C208" i="25"/>
  <c r="H208" i="25" s="1"/>
  <c r="E207" i="25"/>
  <c r="D208" i="25"/>
  <c r="B208" i="24"/>
  <c r="E208" i="24"/>
  <c r="D209" i="24"/>
  <c r="C209" i="24"/>
  <c r="I207" i="5"/>
  <c r="BZ207" i="5" s="1"/>
  <c r="C209" i="5"/>
  <c r="E208" i="5"/>
  <c r="D209" i="5"/>
  <c r="B208" i="5"/>
  <c r="J206" i="5"/>
  <c r="B206" i="2"/>
  <c r="C207" i="2"/>
  <c r="D207" i="2"/>
  <c r="E206" i="2"/>
  <c r="J205" i="2"/>
  <c r="K204" i="2"/>
  <c r="G551" i="5" l="1"/>
  <c r="BW550" i="5"/>
  <c r="BY550" i="5" s="1"/>
  <c r="H635" i="5"/>
  <c r="H487" i="2"/>
  <c r="AR486" i="2"/>
  <c r="AT486" i="2" s="1"/>
  <c r="D468" i="26"/>
  <c r="C468" i="26"/>
  <c r="B467" i="26"/>
  <c r="E467" i="26"/>
  <c r="D209" i="25"/>
  <c r="E208" i="25"/>
  <c r="B208" i="25"/>
  <c r="C209" i="25"/>
  <c r="H209" i="25" s="1"/>
  <c r="E209" i="24"/>
  <c r="C210" i="24"/>
  <c r="B209" i="24"/>
  <c r="D210" i="24"/>
  <c r="K205" i="2"/>
  <c r="I208" i="5"/>
  <c r="BZ208" i="5" s="1"/>
  <c r="E209" i="5"/>
  <c r="B209" i="5"/>
  <c r="C210" i="5"/>
  <c r="D210" i="5"/>
  <c r="J207" i="5"/>
  <c r="B207" i="2"/>
  <c r="C208" i="2"/>
  <c r="D208" i="2"/>
  <c r="E207" i="2"/>
  <c r="J206" i="2"/>
  <c r="H636" i="5" l="1"/>
  <c r="G552" i="5"/>
  <c r="BW551" i="5"/>
  <c r="BY551" i="5" s="1"/>
  <c r="H488" i="2"/>
  <c r="AR487" i="2"/>
  <c r="AT487" i="2" s="1"/>
  <c r="B468" i="26"/>
  <c r="E468" i="26"/>
  <c r="C469" i="26"/>
  <c r="D469" i="26"/>
  <c r="E209" i="25"/>
  <c r="C210" i="25"/>
  <c r="H210" i="25" s="1"/>
  <c r="D210" i="25"/>
  <c r="B209" i="25"/>
  <c r="D211" i="24"/>
  <c r="C211" i="24"/>
  <c r="B210" i="24"/>
  <c r="E210" i="24"/>
  <c r="J208" i="5"/>
  <c r="B210" i="5"/>
  <c r="D211" i="5"/>
  <c r="E210" i="5"/>
  <c r="C211" i="5"/>
  <c r="I209" i="5"/>
  <c r="BZ209" i="5" s="1"/>
  <c r="E208" i="2"/>
  <c r="B208" i="2"/>
  <c r="C209" i="2"/>
  <c r="D209" i="2"/>
  <c r="J207" i="2"/>
  <c r="K206" i="2"/>
  <c r="G553" i="5" l="1"/>
  <c r="BW552" i="5"/>
  <c r="BY552" i="5" s="1"/>
  <c r="H637" i="5"/>
  <c r="H489" i="2"/>
  <c r="AR488" i="2"/>
  <c r="AT488" i="2" s="1"/>
  <c r="E469" i="26"/>
  <c r="C470" i="26"/>
  <c r="B469" i="26"/>
  <c r="D470" i="26"/>
  <c r="E210" i="25"/>
  <c r="D211" i="25"/>
  <c r="B210" i="25"/>
  <c r="C211" i="25"/>
  <c r="H211" i="25" s="1"/>
  <c r="C212" i="24"/>
  <c r="E211" i="24"/>
  <c r="B211" i="24"/>
  <c r="D212" i="24"/>
  <c r="B211" i="5"/>
  <c r="C212" i="5"/>
  <c r="D212" i="5"/>
  <c r="E211" i="5"/>
  <c r="J209" i="5"/>
  <c r="I210" i="5"/>
  <c r="BZ210" i="5" s="1"/>
  <c r="K207" i="2"/>
  <c r="C210" i="2"/>
  <c r="E209" i="2"/>
  <c r="B209" i="2"/>
  <c r="D210" i="2"/>
  <c r="J208" i="2"/>
  <c r="H638" i="5" l="1"/>
  <c r="G554" i="5"/>
  <c r="BW553" i="5"/>
  <c r="BY553" i="5" s="1"/>
  <c r="H490" i="2"/>
  <c r="AR489" i="2"/>
  <c r="AT489" i="2"/>
  <c r="K208" i="2"/>
  <c r="C471" i="26"/>
  <c r="B470" i="26"/>
  <c r="E470" i="26"/>
  <c r="D471" i="26"/>
  <c r="B211" i="25"/>
  <c r="D212" i="25"/>
  <c r="C212" i="25"/>
  <c r="H212" i="25" s="1"/>
  <c r="E211" i="25"/>
  <c r="C213" i="24"/>
  <c r="B212" i="24"/>
  <c r="D213" i="24"/>
  <c r="E212" i="24"/>
  <c r="I211" i="5"/>
  <c r="BZ211" i="5" s="1"/>
  <c r="J210" i="5"/>
  <c r="D213" i="5"/>
  <c r="B212" i="5"/>
  <c r="C213" i="5"/>
  <c r="E212" i="5"/>
  <c r="J209" i="2"/>
  <c r="C211" i="2"/>
  <c r="D211" i="2"/>
  <c r="B210" i="2"/>
  <c r="E210" i="2"/>
  <c r="J16" i="20" l="1"/>
  <c r="J98" i="20" s="1"/>
  <c r="F27" i="32" s="1"/>
  <c r="G555" i="5"/>
  <c r="BW554" i="5"/>
  <c r="BY554" i="5" s="1"/>
  <c r="H639" i="5"/>
  <c r="H640" i="5" s="1"/>
  <c r="H491" i="2"/>
  <c r="AR490" i="2"/>
  <c r="AT490" i="2"/>
  <c r="K209" i="2"/>
  <c r="E471" i="26"/>
  <c r="C472" i="26"/>
  <c r="D472" i="26"/>
  <c r="B471" i="26"/>
  <c r="E212" i="25"/>
  <c r="B212" i="25"/>
  <c r="D213" i="25"/>
  <c r="C213" i="25"/>
  <c r="H213" i="25" s="1"/>
  <c r="J211" i="5"/>
  <c r="C214" i="24"/>
  <c r="D214" i="24"/>
  <c r="E213" i="24"/>
  <c r="B213" i="24"/>
  <c r="I212" i="5"/>
  <c r="BZ212" i="5" s="1"/>
  <c r="B213" i="5"/>
  <c r="E213" i="5"/>
  <c r="D214" i="5"/>
  <c r="C214" i="5"/>
  <c r="B211" i="2"/>
  <c r="C212" i="2"/>
  <c r="D212" i="2"/>
  <c r="E211" i="2"/>
  <c r="J210" i="2"/>
  <c r="H641" i="5" l="1"/>
  <c r="BW555" i="5"/>
  <c r="BY555" i="5" s="1"/>
  <c r="G556" i="5"/>
  <c r="H492" i="2"/>
  <c r="AR491" i="2"/>
  <c r="AT491" i="2"/>
  <c r="B472" i="26"/>
  <c r="C473" i="26"/>
  <c r="E472" i="26"/>
  <c r="D473" i="26"/>
  <c r="C214" i="25"/>
  <c r="H214" i="25" s="1"/>
  <c r="B213" i="25"/>
  <c r="D214" i="25"/>
  <c r="E213" i="25"/>
  <c r="E214" i="24"/>
  <c r="C215" i="24"/>
  <c r="D215" i="24"/>
  <c r="B214" i="24"/>
  <c r="I213" i="5"/>
  <c r="BZ213" i="5" s="1"/>
  <c r="C215" i="5"/>
  <c r="D215" i="5"/>
  <c r="E214" i="5"/>
  <c r="B214" i="5"/>
  <c r="J212" i="5"/>
  <c r="J211" i="2"/>
  <c r="E212" i="2"/>
  <c r="B212" i="2"/>
  <c r="C213" i="2"/>
  <c r="D213" i="2"/>
  <c r="K210" i="2"/>
  <c r="G557" i="5" l="1"/>
  <c r="BW556" i="5"/>
  <c r="BY556" i="5" s="1"/>
  <c r="H642" i="5"/>
  <c r="H493" i="2"/>
  <c r="J14" i="19" s="1"/>
  <c r="J110" i="19" s="1"/>
  <c r="F8" i="32" s="1"/>
  <c r="AR492" i="2"/>
  <c r="AT492" i="2"/>
  <c r="D474" i="26"/>
  <c r="C474" i="26"/>
  <c r="E473" i="26"/>
  <c r="B473" i="26"/>
  <c r="D215" i="25"/>
  <c r="E214" i="25"/>
  <c r="C215" i="25"/>
  <c r="H215" i="25" s="1"/>
  <c r="B214" i="25"/>
  <c r="K211" i="2"/>
  <c r="D216" i="24"/>
  <c r="B215" i="24"/>
  <c r="E215" i="24"/>
  <c r="C216" i="24"/>
  <c r="I214" i="5"/>
  <c r="BZ214" i="5" s="1"/>
  <c r="C216" i="5"/>
  <c r="D216" i="5"/>
  <c r="B215" i="5"/>
  <c r="E215" i="5"/>
  <c r="J213" i="5"/>
  <c r="J212" i="2"/>
  <c r="E213" i="2"/>
  <c r="B213" i="2"/>
  <c r="C214" i="2"/>
  <c r="D214" i="2"/>
  <c r="H643" i="5" l="1"/>
  <c r="BW557" i="5"/>
  <c r="BY557" i="5" s="1"/>
  <c r="G558" i="5"/>
  <c r="H494" i="2"/>
  <c r="AR493" i="2"/>
  <c r="AT493" i="2"/>
  <c r="E474" i="26"/>
  <c r="C475" i="26"/>
  <c r="D475" i="26"/>
  <c r="B474" i="26"/>
  <c r="C216" i="25"/>
  <c r="H216" i="25" s="1"/>
  <c r="E215" i="25"/>
  <c r="B215" i="25"/>
  <c r="D216" i="25"/>
  <c r="K212" i="2"/>
  <c r="J214" i="5"/>
  <c r="B216" i="24"/>
  <c r="C217" i="24"/>
  <c r="E216" i="24"/>
  <c r="D217" i="24"/>
  <c r="I215" i="5"/>
  <c r="BZ215" i="5" s="1"/>
  <c r="D217" i="5"/>
  <c r="E216" i="5"/>
  <c r="C217" i="5"/>
  <c r="B216" i="5"/>
  <c r="J213" i="2"/>
  <c r="B214" i="2"/>
  <c r="C215" i="2"/>
  <c r="D215" i="2"/>
  <c r="E214" i="2"/>
  <c r="G559" i="5" l="1"/>
  <c r="BW558" i="5"/>
  <c r="BY558" i="5" s="1"/>
  <c r="H644" i="5"/>
  <c r="H495" i="2"/>
  <c r="AR494" i="2"/>
  <c r="AT494" i="2" s="1"/>
  <c r="K213" i="2"/>
  <c r="D476" i="26"/>
  <c r="C476" i="26"/>
  <c r="B475" i="26"/>
  <c r="E475" i="26"/>
  <c r="B216" i="25"/>
  <c r="D217" i="25"/>
  <c r="E216" i="25"/>
  <c r="C217" i="25"/>
  <c r="H217" i="25" s="1"/>
  <c r="J215" i="5"/>
  <c r="B217" i="24"/>
  <c r="E217" i="24"/>
  <c r="D218" i="24"/>
  <c r="C218" i="24"/>
  <c r="I216" i="5"/>
  <c r="BZ216" i="5" s="1"/>
  <c r="B217" i="5"/>
  <c r="C218" i="5"/>
  <c r="E217" i="5"/>
  <c r="D218" i="5"/>
  <c r="B215" i="2"/>
  <c r="C216" i="2"/>
  <c r="D216" i="2"/>
  <c r="E215" i="2"/>
  <c r="J214" i="2"/>
  <c r="H645" i="5" l="1"/>
  <c r="BW559" i="5"/>
  <c r="BY559" i="5" s="1"/>
  <c r="G560" i="5"/>
  <c r="H496" i="2"/>
  <c r="AR495" i="2"/>
  <c r="AT495" i="2" s="1"/>
  <c r="K214" i="2"/>
  <c r="E476" i="26"/>
  <c r="C477" i="26"/>
  <c r="D477" i="26"/>
  <c r="B476" i="26"/>
  <c r="C218" i="25"/>
  <c r="H218" i="25" s="1"/>
  <c r="D218" i="25"/>
  <c r="E217" i="25"/>
  <c r="B217" i="25"/>
  <c r="D219" i="24"/>
  <c r="C219" i="24"/>
  <c r="E218" i="24"/>
  <c r="B218" i="24"/>
  <c r="B218" i="5"/>
  <c r="C219" i="5"/>
  <c r="E218" i="5"/>
  <c r="D219" i="5"/>
  <c r="I217" i="5"/>
  <c r="BZ217" i="5" s="1"/>
  <c r="J216" i="5"/>
  <c r="B216" i="2"/>
  <c r="C217" i="2"/>
  <c r="D217" i="2"/>
  <c r="E216" i="2"/>
  <c r="J215" i="2"/>
  <c r="G561" i="5" l="1"/>
  <c r="BW560" i="5"/>
  <c r="BY560" i="5" s="1"/>
  <c r="H646" i="5"/>
  <c r="H497" i="2"/>
  <c r="AR496" i="2"/>
  <c r="AT496" i="2" s="1"/>
  <c r="K215" i="2"/>
  <c r="E477" i="26"/>
  <c r="C478" i="26"/>
  <c r="B477" i="26"/>
  <c r="D478" i="26"/>
  <c r="E218" i="25"/>
  <c r="D219" i="25"/>
  <c r="B218" i="25"/>
  <c r="C219" i="25"/>
  <c r="H219" i="25" s="1"/>
  <c r="D220" i="24"/>
  <c r="B219" i="24"/>
  <c r="E219" i="24"/>
  <c r="C220" i="24"/>
  <c r="D220" i="5"/>
  <c r="B219" i="5"/>
  <c r="C220" i="5"/>
  <c r="E219" i="5"/>
  <c r="I218" i="5"/>
  <c r="BZ218" i="5" s="1"/>
  <c r="J217" i="5"/>
  <c r="J216" i="2"/>
  <c r="C218" i="2"/>
  <c r="B217" i="2"/>
  <c r="E217" i="2"/>
  <c r="D218" i="2"/>
  <c r="H647" i="5" l="1"/>
  <c r="G562" i="5"/>
  <c r="BW561" i="5"/>
  <c r="BY561" i="5" s="1"/>
  <c r="H498" i="2"/>
  <c r="AR497" i="2"/>
  <c r="AT497" i="2" s="1"/>
  <c r="C479" i="26"/>
  <c r="D479" i="26"/>
  <c r="B478" i="26"/>
  <c r="E478" i="26"/>
  <c r="C220" i="25"/>
  <c r="H220" i="25" s="1"/>
  <c r="D220" i="25"/>
  <c r="E219" i="25"/>
  <c r="B219" i="25"/>
  <c r="B220" i="24"/>
  <c r="D221" i="24"/>
  <c r="E220" i="24"/>
  <c r="C221" i="24"/>
  <c r="I219" i="5"/>
  <c r="BZ219" i="5" s="1"/>
  <c r="C221" i="5"/>
  <c r="D221" i="5"/>
  <c r="B220" i="5"/>
  <c r="E220" i="5"/>
  <c r="J218" i="5"/>
  <c r="K216" i="2"/>
  <c r="J217" i="2"/>
  <c r="B218" i="2"/>
  <c r="C219" i="2"/>
  <c r="D219" i="2"/>
  <c r="E218" i="2"/>
  <c r="G563" i="5" l="1"/>
  <c r="BW562" i="5"/>
  <c r="BY562" i="5" s="1"/>
  <c r="H648" i="5"/>
  <c r="H499" i="2"/>
  <c r="AR498" i="2"/>
  <c r="AT498" i="2" s="1"/>
  <c r="E479" i="26"/>
  <c r="C480" i="26"/>
  <c r="B479" i="26"/>
  <c r="D480" i="26"/>
  <c r="C221" i="25"/>
  <c r="H221" i="25" s="1"/>
  <c r="B220" i="25"/>
  <c r="D221" i="25"/>
  <c r="E220" i="25"/>
  <c r="D222" i="24"/>
  <c r="E221" i="24"/>
  <c r="C222" i="24"/>
  <c r="B221" i="24"/>
  <c r="J219" i="5"/>
  <c r="I220" i="5"/>
  <c r="BZ220" i="5" s="1"/>
  <c r="D222" i="5"/>
  <c r="E221" i="5"/>
  <c r="B221" i="5"/>
  <c r="C222" i="5"/>
  <c r="J218" i="2"/>
  <c r="K217" i="2"/>
  <c r="E219" i="2"/>
  <c r="B219" i="2"/>
  <c r="C220" i="2"/>
  <c r="D220" i="2"/>
  <c r="H649" i="5" l="1"/>
  <c r="H650" i="5" s="1"/>
  <c r="H651" i="5" s="1"/>
  <c r="G564" i="5"/>
  <c r="BW563" i="5"/>
  <c r="BY563" i="5" s="1"/>
  <c r="H500" i="2"/>
  <c r="AR499" i="2"/>
  <c r="AT499" i="2" s="1"/>
  <c r="C481" i="26"/>
  <c r="E480" i="26"/>
  <c r="D481" i="26"/>
  <c r="B480" i="26"/>
  <c r="B221" i="25"/>
  <c r="D222" i="25"/>
  <c r="C222" i="25"/>
  <c r="H222" i="25" s="1"/>
  <c r="E221" i="25"/>
  <c r="J220" i="5"/>
  <c r="B222" i="24"/>
  <c r="D223" i="24"/>
  <c r="C223" i="24"/>
  <c r="E222" i="24"/>
  <c r="K218" i="2"/>
  <c r="D223" i="5"/>
  <c r="B222" i="5"/>
  <c r="E222" i="5"/>
  <c r="C223" i="5"/>
  <c r="I221" i="5"/>
  <c r="BZ221" i="5" s="1"/>
  <c r="E220" i="2"/>
  <c r="B220" i="2"/>
  <c r="C221" i="2"/>
  <c r="D221" i="2"/>
  <c r="J219" i="2"/>
  <c r="G565" i="5" l="1"/>
  <c r="BW564" i="5"/>
  <c r="BY564" i="5" s="1"/>
  <c r="H652" i="5"/>
  <c r="H501" i="2"/>
  <c r="AR500" i="2"/>
  <c r="AT500" i="2"/>
  <c r="D482" i="26"/>
  <c r="C482" i="26"/>
  <c r="B481" i="26"/>
  <c r="E481" i="26"/>
  <c r="D223" i="25"/>
  <c r="C223" i="25"/>
  <c r="H223" i="25" s="1"/>
  <c r="B222" i="25"/>
  <c r="E222" i="25"/>
  <c r="C224" i="24"/>
  <c r="B223" i="24"/>
  <c r="D224" i="24"/>
  <c r="E223" i="24"/>
  <c r="J221" i="5"/>
  <c r="I222" i="5"/>
  <c r="BZ222" i="5" s="1"/>
  <c r="B223" i="5"/>
  <c r="C224" i="5"/>
  <c r="E223" i="5"/>
  <c r="D224" i="5"/>
  <c r="E221" i="2"/>
  <c r="B221" i="2"/>
  <c r="C222" i="2"/>
  <c r="D222" i="2"/>
  <c r="J220" i="2"/>
  <c r="K219" i="2"/>
  <c r="H653" i="5" l="1"/>
  <c r="BW565" i="5"/>
  <c r="BY565" i="5" s="1"/>
  <c r="G566" i="5"/>
  <c r="H502" i="2"/>
  <c r="AR501" i="2"/>
  <c r="AT501" i="2" s="1"/>
  <c r="B482" i="26"/>
  <c r="C483" i="26"/>
  <c r="E482" i="26"/>
  <c r="D483" i="26"/>
  <c r="D224" i="25"/>
  <c r="E223" i="25"/>
  <c r="C224" i="25"/>
  <c r="H224" i="25" s="1"/>
  <c r="B223" i="25"/>
  <c r="K220" i="2"/>
  <c r="D225" i="24"/>
  <c r="C225" i="24"/>
  <c r="E224" i="24"/>
  <c r="B224" i="24"/>
  <c r="C225" i="5"/>
  <c r="B224" i="5"/>
  <c r="E224" i="5"/>
  <c r="D225" i="5"/>
  <c r="J222" i="5"/>
  <c r="I223" i="5"/>
  <c r="BZ223" i="5" s="1"/>
  <c r="B222" i="2"/>
  <c r="C223" i="2"/>
  <c r="D223" i="2"/>
  <c r="E222" i="2"/>
  <c r="J221" i="2"/>
  <c r="G567" i="5" l="1"/>
  <c r="BW566" i="5"/>
  <c r="BY566" i="5" s="1"/>
  <c r="H654" i="5"/>
  <c r="H655" i="5" s="1"/>
  <c r="H503" i="2"/>
  <c r="AR502" i="2"/>
  <c r="AT502" i="2"/>
  <c r="D484" i="26"/>
  <c r="B483" i="26"/>
  <c r="E483" i="26"/>
  <c r="C484" i="26"/>
  <c r="C225" i="25"/>
  <c r="H225" i="25" s="1"/>
  <c r="E224" i="25"/>
  <c r="B224" i="25"/>
  <c r="D225" i="25"/>
  <c r="E225" i="24"/>
  <c r="C226" i="24"/>
  <c r="B225" i="24"/>
  <c r="D226" i="24"/>
  <c r="E225" i="5"/>
  <c r="C226" i="5"/>
  <c r="B225" i="5"/>
  <c r="D226" i="5"/>
  <c r="J223" i="5"/>
  <c r="I224" i="5"/>
  <c r="BZ224" i="5" s="1"/>
  <c r="P222" i="2"/>
  <c r="J222" i="2"/>
  <c r="C224" i="2"/>
  <c r="D224" i="2"/>
  <c r="B223" i="2"/>
  <c r="E223" i="2"/>
  <c r="K221" i="2"/>
  <c r="H656" i="5" l="1"/>
  <c r="G568" i="5"/>
  <c r="BW567" i="5"/>
  <c r="BY567" i="5" s="1"/>
  <c r="H504" i="2"/>
  <c r="AR503" i="2"/>
  <c r="AT503" i="2" s="1"/>
  <c r="B484" i="26"/>
  <c r="D485" i="26"/>
  <c r="E484" i="26"/>
  <c r="C485" i="26"/>
  <c r="E225" i="25"/>
  <c r="D226" i="25"/>
  <c r="C226" i="25"/>
  <c r="H226" i="25" s="1"/>
  <c r="B225" i="25"/>
  <c r="B226" i="24"/>
  <c r="D227" i="24"/>
  <c r="E226" i="24"/>
  <c r="C227" i="24"/>
  <c r="J224" i="5"/>
  <c r="D227" i="5"/>
  <c r="B226" i="5"/>
  <c r="C227" i="5"/>
  <c r="E226" i="5"/>
  <c r="I225" i="5"/>
  <c r="BZ225" i="5" s="1"/>
  <c r="D225" i="2"/>
  <c r="B224" i="2"/>
  <c r="E224" i="2"/>
  <c r="C225" i="2"/>
  <c r="K222" i="2"/>
  <c r="P223" i="2"/>
  <c r="J223" i="2"/>
  <c r="R222" i="2"/>
  <c r="Q222" i="2"/>
  <c r="BW568" i="5" l="1"/>
  <c r="BY568" i="5" s="1"/>
  <c r="G569" i="5"/>
  <c r="H657" i="5"/>
  <c r="H505" i="2"/>
  <c r="AR504" i="2"/>
  <c r="AT504" i="2" s="1"/>
  <c r="E485" i="26"/>
  <c r="C486" i="26"/>
  <c r="B485" i="26"/>
  <c r="D486" i="26"/>
  <c r="D227" i="25"/>
  <c r="C227" i="25"/>
  <c r="H227" i="25" s="1"/>
  <c r="E226" i="25"/>
  <c r="B226" i="25"/>
  <c r="Q223" i="2"/>
  <c r="E227" i="24"/>
  <c r="D228" i="24"/>
  <c r="B227" i="24"/>
  <c r="C228" i="24"/>
  <c r="R223" i="2"/>
  <c r="I226" i="5"/>
  <c r="BZ226" i="5" s="1"/>
  <c r="D228" i="5"/>
  <c r="B227" i="5"/>
  <c r="C228" i="5"/>
  <c r="E227" i="5"/>
  <c r="J225" i="5"/>
  <c r="K223" i="2"/>
  <c r="P224" i="2"/>
  <c r="J224" i="2"/>
  <c r="B225" i="2"/>
  <c r="E225" i="2"/>
  <c r="C226" i="2"/>
  <c r="D226" i="2"/>
  <c r="H658" i="5" l="1"/>
  <c r="H659" i="5" s="1"/>
  <c r="BW569" i="5"/>
  <c r="BY569" i="5" s="1"/>
  <c r="G570" i="5"/>
  <c r="H506" i="2"/>
  <c r="AR505" i="2"/>
  <c r="AT505" i="2" s="1"/>
  <c r="C487" i="26"/>
  <c r="B486" i="26"/>
  <c r="D487" i="26"/>
  <c r="E486" i="26"/>
  <c r="B227" i="25"/>
  <c r="D228" i="25"/>
  <c r="C228" i="25"/>
  <c r="H228" i="25" s="1"/>
  <c r="E227" i="25"/>
  <c r="K224" i="2"/>
  <c r="C229" i="24"/>
  <c r="E228" i="24"/>
  <c r="D229" i="24"/>
  <c r="B228" i="24"/>
  <c r="J226" i="5"/>
  <c r="R224" i="2"/>
  <c r="Q224" i="2"/>
  <c r="D229" i="5"/>
  <c r="B228" i="5"/>
  <c r="C229" i="5"/>
  <c r="E228" i="5"/>
  <c r="I227" i="5"/>
  <c r="BZ227" i="5" s="1"/>
  <c r="D227" i="2"/>
  <c r="B226" i="2"/>
  <c r="E226" i="2"/>
  <c r="C227" i="2"/>
  <c r="P225" i="2"/>
  <c r="J225" i="2"/>
  <c r="G571" i="5" l="1"/>
  <c r="BW570" i="5"/>
  <c r="BY570" i="5" s="1"/>
  <c r="H660" i="5"/>
  <c r="H507" i="2"/>
  <c r="AR506" i="2"/>
  <c r="AT506" i="2"/>
  <c r="E487" i="26"/>
  <c r="D488" i="26"/>
  <c r="C488" i="26"/>
  <c r="B487" i="26"/>
  <c r="D229" i="25"/>
  <c r="E228" i="25"/>
  <c r="B228" i="25"/>
  <c r="C229" i="25"/>
  <c r="H229" i="25" s="1"/>
  <c r="C230" i="24"/>
  <c r="E229" i="24"/>
  <c r="B229" i="24"/>
  <c r="D230" i="24"/>
  <c r="R225" i="2"/>
  <c r="J227" i="5"/>
  <c r="I228" i="5"/>
  <c r="BZ228" i="5" s="1"/>
  <c r="C230" i="5"/>
  <c r="E229" i="5"/>
  <c r="D230" i="5"/>
  <c r="B229" i="5"/>
  <c r="P226" i="2"/>
  <c r="J226" i="2"/>
  <c r="B227" i="2"/>
  <c r="E227" i="2"/>
  <c r="C228" i="2"/>
  <c r="D228" i="2"/>
  <c r="K225" i="2"/>
  <c r="Q225" i="2"/>
  <c r="H661" i="5" l="1"/>
  <c r="H662" i="5" s="1"/>
  <c r="G572" i="5"/>
  <c r="BW571" i="5"/>
  <c r="BY571" i="5" s="1"/>
  <c r="H508" i="2"/>
  <c r="AR507" i="2"/>
  <c r="AT507" i="2" s="1"/>
  <c r="C489" i="26"/>
  <c r="E488" i="26"/>
  <c r="D489" i="26"/>
  <c r="B488" i="26"/>
  <c r="B229" i="25"/>
  <c r="C230" i="25"/>
  <c r="H230" i="25" s="1"/>
  <c r="E229" i="25"/>
  <c r="D230" i="25"/>
  <c r="B230" i="24"/>
  <c r="E230" i="24"/>
  <c r="D231" i="24"/>
  <c r="C231" i="24"/>
  <c r="R226" i="2"/>
  <c r="Q226" i="2"/>
  <c r="D231" i="5"/>
  <c r="B230" i="5"/>
  <c r="C231" i="5"/>
  <c r="E230" i="5"/>
  <c r="I229" i="5"/>
  <c r="BZ229" i="5" s="1"/>
  <c r="J228" i="5"/>
  <c r="K226" i="2"/>
  <c r="P227" i="2"/>
  <c r="J227" i="2"/>
  <c r="C229" i="2"/>
  <c r="D229" i="2"/>
  <c r="B228" i="2"/>
  <c r="E228" i="2"/>
  <c r="BW572" i="5" l="1"/>
  <c r="BY572" i="5" s="1"/>
  <c r="G573" i="5"/>
  <c r="H663" i="5"/>
  <c r="H509" i="2"/>
  <c r="AR508" i="2"/>
  <c r="AT508" i="2" s="1"/>
  <c r="D490" i="26"/>
  <c r="C490" i="26"/>
  <c r="B489" i="26"/>
  <c r="E489" i="26"/>
  <c r="E230" i="25"/>
  <c r="B230" i="25"/>
  <c r="D231" i="25"/>
  <c r="C231" i="25"/>
  <c r="H231" i="25" s="1"/>
  <c r="E231" i="24"/>
  <c r="C232" i="24"/>
  <c r="B231" i="24"/>
  <c r="D232" i="24"/>
  <c r="R227" i="2"/>
  <c r="I230" i="5"/>
  <c r="BZ230" i="5" s="1"/>
  <c r="D232" i="5"/>
  <c r="B231" i="5"/>
  <c r="E231" i="5"/>
  <c r="C232" i="5"/>
  <c r="J229" i="5"/>
  <c r="P228" i="2"/>
  <c r="J228" i="2"/>
  <c r="K227" i="2"/>
  <c r="B229" i="2"/>
  <c r="E229" i="2"/>
  <c r="C230" i="2"/>
  <c r="D230" i="2"/>
  <c r="Q227" i="2"/>
  <c r="H664" i="5" l="1"/>
  <c r="G574" i="5"/>
  <c r="BW573" i="5"/>
  <c r="BY573" i="5" s="1"/>
  <c r="H510" i="2"/>
  <c r="AR509" i="2"/>
  <c r="AT509" i="2"/>
  <c r="B490" i="26"/>
  <c r="C491" i="26"/>
  <c r="D491" i="26"/>
  <c r="E490" i="26"/>
  <c r="C232" i="25"/>
  <c r="H232" i="25" s="1"/>
  <c r="E231" i="25"/>
  <c r="B231" i="25"/>
  <c r="D232" i="25"/>
  <c r="K228" i="2"/>
  <c r="E232" i="24"/>
  <c r="B232" i="24"/>
  <c r="D233" i="24"/>
  <c r="C233" i="24"/>
  <c r="J230" i="5"/>
  <c r="R228" i="2"/>
  <c r="D233" i="5"/>
  <c r="C233" i="5"/>
  <c r="E232" i="5"/>
  <c r="B232" i="5"/>
  <c r="I231" i="5"/>
  <c r="BZ231" i="5" s="1"/>
  <c r="Q228" i="2"/>
  <c r="C231" i="2"/>
  <c r="D231" i="2"/>
  <c r="E230" i="2"/>
  <c r="B230" i="2"/>
  <c r="P229" i="2"/>
  <c r="J229" i="2"/>
  <c r="G575" i="5" l="1"/>
  <c r="BW574" i="5"/>
  <c r="BY574" i="5" s="1"/>
  <c r="H665" i="5"/>
  <c r="H511" i="2"/>
  <c r="AR510" i="2"/>
  <c r="AT510" i="2" s="1"/>
  <c r="K229" i="2"/>
  <c r="D492" i="26"/>
  <c r="C492" i="26"/>
  <c r="B491" i="26"/>
  <c r="E491" i="26"/>
  <c r="C233" i="25"/>
  <c r="H233" i="25" s="1"/>
  <c r="B232" i="25"/>
  <c r="E232" i="25"/>
  <c r="D233" i="25"/>
  <c r="B233" i="24"/>
  <c r="E233" i="24"/>
  <c r="C234" i="24"/>
  <c r="D234" i="24"/>
  <c r="R229" i="2"/>
  <c r="I232" i="5"/>
  <c r="BZ232" i="5" s="1"/>
  <c r="J231" i="5"/>
  <c r="D234" i="5"/>
  <c r="E233" i="5"/>
  <c r="B233" i="5"/>
  <c r="C234" i="5"/>
  <c r="Q229" i="2"/>
  <c r="P230" i="2"/>
  <c r="J230" i="2"/>
  <c r="E231" i="2"/>
  <c r="B231" i="2"/>
  <c r="C232" i="2"/>
  <c r="D232" i="2"/>
  <c r="H666" i="5" l="1"/>
  <c r="G576" i="5"/>
  <c r="BW575" i="5"/>
  <c r="BY575" i="5" s="1"/>
  <c r="H512" i="2"/>
  <c r="AR511" i="2"/>
  <c r="AT511" i="2"/>
  <c r="B492" i="26"/>
  <c r="E492" i="26"/>
  <c r="D493" i="26"/>
  <c r="C493" i="26"/>
  <c r="C234" i="25"/>
  <c r="H234" i="25" s="1"/>
  <c r="D234" i="25"/>
  <c r="E233" i="25"/>
  <c r="B233" i="25"/>
  <c r="J232" i="5"/>
  <c r="B234" i="24"/>
  <c r="E234" i="24"/>
  <c r="C235" i="24"/>
  <c r="D235" i="24"/>
  <c r="R230" i="2"/>
  <c r="B234" i="5"/>
  <c r="C235" i="5"/>
  <c r="D235" i="5"/>
  <c r="E234" i="5"/>
  <c r="I233" i="5"/>
  <c r="BZ233" i="5" s="1"/>
  <c r="Q230" i="2"/>
  <c r="P231" i="2"/>
  <c r="J231" i="2"/>
  <c r="C233" i="2"/>
  <c r="D233" i="2"/>
  <c r="E232" i="2"/>
  <c r="B232" i="2"/>
  <c r="K230" i="2"/>
  <c r="G577" i="5" l="1"/>
  <c r="BW576" i="5"/>
  <c r="BY576" i="5" s="1"/>
  <c r="H667" i="5"/>
  <c r="H513" i="2"/>
  <c r="AR512" i="2"/>
  <c r="AT512" i="2" s="1"/>
  <c r="E493" i="26"/>
  <c r="C494" i="26"/>
  <c r="B493" i="26"/>
  <c r="D494" i="26"/>
  <c r="C235" i="25"/>
  <c r="H235" i="25" s="1"/>
  <c r="B234" i="25"/>
  <c r="D235" i="25"/>
  <c r="E234" i="25"/>
  <c r="D236" i="24"/>
  <c r="B235" i="24"/>
  <c r="E235" i="24"/>
  <c r="C236" i="24"/>
  <c r="R231" i="2"/>
  <c r="J233" i="5"/>
  <c r="I234" i="5"/>
  <c r="BZ234" i="5" s="1"/>
  <c r="C236" i="5"/>
  <c r="E235" i="5"/>
  <c r="D236" i="5"/>
  <c r="B235" i="5"/>
  <c r="K231" i="2"/>
  <c r="Q231" i="2"/>
  <c r="B233" i="2"/>
  <c r="E233" i="2"/>
  <c r="D234" i="2"/>
  <c r="C234" i="2"/>
  <c r="P232" i="2"/>
  <c r="J232" i="2"/>
  <c r="H668" i="5" l="1"/>
  <c r="H669" i="5" s="1"/>
  <c r="H670" i="5" s="1"/>
  <c r="G578" i="5"/>
  <c r="BW577" i="5"/>
  <c r="BY577" i="5" s="1"/>
  <c r="H514" i="2"/>
  <c r="AR513" i="2"/>
  <c r="AT513" i="2" s="1"/>
  <c r="C495" i="26"/>
  <c r="B494" i="26"/>
  <c r="D495" i="26"/>
  <c r="E494" i="26"/>
  <c r="B235" i="25"/>
  <c r="C236" i="25"/>
  <c r="H236" i="25" s="1"/>
  <c r="E235" i="25"/>
  <c r="D236" i="25"/>
  <c r="B236" i="24"/>
  <c r="D237" i="24"/>
  <c r="E236" i="24"/>
  <c r="C237" i="24"/>
  <c r="R232" i="2"/>
  <c r="I235" i="5"/>
  <c r="BZ235" i="5" s="1"/>
  <c r="J234" i="5"/>
  <c r="C237" i="5"/>
  <c r="B236" i="5"/>
  <c r="E236" i="5"/>
  <c r="D237" i="5"/>
  <c r="C235" i="2"/>
  <c r="D235" i="2"/>
  <c r="B234" i="2"/>
  <c r="E234" i="2"/>
  <c r="P233" i="2"/>
  <c r="J233" i="2"/>
  <c r="K232" i="2"/>
  <c r="Q232" i="2"/>
  <c r="BW578" i="5" l="1"/>
  <c r="BY578" i="5" s="1"/>
  <c r="G579" i="5"/>
  <c r="H671" i="5"/>
  <c r="H515" i="2"/>
  <c r="AR514" i="2"/>
  <c r="AT514" i="2" s="1"/>
  <c r="E495" i="26"/>
  <c r="B495" i="26"/>
  <c r="C496" i="26"/>
  <c r="D496" i="26"/>
  <c r="D237" i="25"/>
  <c r="E236" i="25"/>
  <c r="C237" i="25"/>
  <c r="H237" i="25" s="1"/>
  <c r="B236" i="25"/>
  <c r="J235" i="5"/>
  <c r="C238" i="24"/>
  <c r="B237" i="24"/>
  <c r="D238" i="24"/>
  <c r="E237" i="24"/>
  <c r="K233" i="2"/>
  <c r="R233" i="2"/>
  <c r="D238" i="5"/>
  <c r="B237" i="5"/>
  <c r="C238" i="5"/>
  <c r="E237" i="5"/>
  <c r="I236" i="5"/>
  <c r="BZ236" i="5" s="1"/>
  <c r="Q233" i="2"/>
  <c r="B235" i="2"/>
  <c r="E235" i="2"/>
  <c r="C236" i="2"/>
  <c r="D236" i="2"/>
  <c r="P234" i="2"/>
  <c r="J234" i="2"/>
  <c r="H672" i="5" l="1"/>
  <c r="BW579" i="5"/>
  <c r="BY579" i="5" s="1"/>
  <c r="G580" i="5"/>
  <c r="H516" i="2"/>
  <c r="AR515" i="2"/>
  <c r="AT515" i="2" s="1"/>
  <c r="K234" i="2"/>
  <c r="C497" i="26"/>
  <c r="D497" i="26"/>
  <c r="B496" i="26"/>
  <c r="E496" i="26"/>
  <c r="B237" i="25"/>
  <c r="D238" i="25"/>
  <c r="C238" i="25"/>
  <c r="H238" i="25" s="1"/>
  <c r="E237" i="25"/>
  <c r="E238" i="24"/>
  <c r="D239" i="24"/>
  <c r="C239" i="24"/>
  <c r="B238" i="24"/>
  <c r="R234" i="2"/>
  <c r="I237" i="5"/>
  <c r="BZ237" i="5" s="1"/>
  <c r="B238" i="5"/>
  <c r="D239" i="5"/>
  <c r="E238" i="5"/>
  <c r="C239" i="5"/>
  <c r="J236" i="5"/>
  <c r="C237" i="2"/>
  <c r="D237" i="2"/>
  <c r="B236" i="2"/>
  <c r="E236" i="2"/>
  <c r="Q234" i="2"/>
  <c r="P235" i="2"/>
  <c r="J235" i="2"/>
  <c r="G581" i="5" l="1"/>
  <c r="BW580" i="5"/>
  <c r="BY580" i="5" s="1"/>
  <c r="H673" i="5"/>
  <c r="H674" i="5" s="1"/>
  <c r="H517" i="2"/>
  <c r="AR516" i="2"/>
  <c r="AT516" i="2" s="1"/>
  <c r="K235" i="2"/>
  <c r="D498" i="26"/>
  <c r="E497" i="26"/>
  <c r="B497" i="26"/>
  <c r="C498" i="26"/>
  <c r="C239" i="25"/>
  <c r="H239" i="25" s="1"/>
  <c r="E238" i="25"/>
  <c r="B238" i="25"/>
  <c r="D239" i="25"/>
  <c r="C240" i="24"/>
  <c r="B239" i="24"/>
  <c r="E239" i="24"/>
  <c r="D240" i="24"/>
  <c r="R235" i="2"/>
  <c r="I238" i="5"/>
  <c r="BZ238" i="5" s="1"/>
  <c r="C240" i="5"/>
  <c r="E239" i="5"/>
  <c r="B239" i="5"/>
  <c r="D240" i="5"/>
  <c r="J237" i="5"/>
  <c r="Q235" i="2"/>
  <c r="P236" i="2"/>
  <c r="J236" i="2"/>
  <c r="B237" i="2"/>
  <c r="E237" i="2"/>
  <c r="C238" i="2"/>
  <c r="D238" i="2"/>
  <c r="H675" i="5" l="1"/>
  <c r="H676" i="5" s="1"/>
  <c r="G582" i="5"/>
  <c r="BW581" i="5"/>
  <c r="BY581" i="5" s="1"/>
  <c r="K236" i="2"/>
  <c r="H518" i="2"/>
  <c r="AR517" i="2"/>
  <c r="AT517" i="2" s="1"/>
  <c r="B498" i="26"/>
  <c r="E498" i="26"/>
  <c r="C499" i="26"/>
  <c r="D499" i="26"/>
  <c r="E239" i="25"/>
  <c r="C240" i="25"/>
  <c r="H240" i="25" s="1"/>
  <c r="B239" i="25"/>
  <c r="D240" i="25"/>
  <c r="J238" i="5"/>
  <c r="B240" i="24"/>
  <c r="E240" i="24"/>
  <c r="C241" i="24"/>
  <c r="D241" i="24"/>
  <c r="R236" i="2"/>
  <c r="I239" i="5"/>
  <c r="BZ239" i="5" s="1"/>
  <c r="E240" i="5"/>
  <c r="B240" i="5"/>
  <c r="D241" i="5"/>
  <c r="C241" i="5"/>
  <c r="C239" i="2"/>
  <c r="D239" i="2"/>
  <c r="E238" i="2"/>
  <c r="B238" i="2"/>
  <c r="P237" i="2"/>
  <c r="J237" i="2"/>
  <c r="Q236" i="2"/>
  <c r="BW582" i="5" l="1"/>
  <c r="BY582" i="5" s="1"/>
  <c r="G583" i="5"/>
  <c r="H677" i="5"/>
  <c r="H519" i="2"/>
  <c r="AR518" i="2"/>
  <c r="AT518" i="2" s="1"/>
  <c r="D500" i="26"/>
  <c r="E499" i="26"/>
  <c r="B499" i="26"/>
  <c r="C500" i="26"/>
  <c r="C241" i="25"/>
  <c r="H241" i="25" s="1"/>
  <c r="E240" i="25"/>
  <c r="B240" i="25"/>
  <c r="D241" i="25"/>
  <c r="E241" i="24"/>
  <c r="B241" i="24"/>
  <c r="D242" i="24"/>
  <c r="C242" i="24"/>
  <c r="R237" i="2"/>
  <c r="Q237" i="2"/>
  <c r="I240" i="5"/>
  <c r="BZ240" i="5" s="1"/>
  <c r="C242" i="5"/>
  <c r="E241" i="5"/>
  <c r="D242" i="5"/>
  <c r="B241" i="5"/>
  <c r="J239" i="5"/>
  <c r="K237" i="2"/>
  <c r="P238" i="2"/>
  <c r="J238" i="2"/>
  <c r="B239" i="2"/>
  <c r="E239" i="2"/>
  <c r="C240" i="2"/>
  <c r="D240" i="2"/>
  <c r="H678" i="5" l="1"/>
  <c r="G584" i="5"/>
  <c r="BW583" i="5"/>
  <c r="BY583" i="5" s="1"/>
  <c r="H520" i="2"/>
  <c r="AR519" i="2"/>
  <c r="AT519" i="2" s="1"/>
  <c r="B500" i="26"/>
  <c r="E500" i="26"/>
  <c r="C501" i="26"/>
  <c r="D501" i="26"/>
  <c r="B241" i="25"/>
  <c r="C242" i="25"/>
  <c r="H242" i="25" s="1"/>
  <c r="D242" i="25"/>
  <c r="E241" i="25"/>
  <c r="J240" i="5"/>
  <c r="D243" i="24"/>
  <c r="C243" i="24"/>
  <c r="B242" i="24"/>
  <c r="E242" i="24"/>
  <c r="K238" i="2"/>
  <c r="R238" i="2"/>
  <c r="B242" i="5"/>
  <c r="E242" i="5"/>
  <c r="D243" i="5"/>
  <c r="C243" i="5"/>
  <c r="I241" i="5"/>
  <c r="BZ241" i="5" s="1"/>
  <c r="C241" i="2"/>
  <c r="D241" i="2"/>
  <c r="B240" i="2"/>
  <c r="E240" i="2"/>
  <c r="P239" i="2"/>
  <c r="J239" i="2"/>
  <c r="Q238" i="2"/>
  <c r="G585" i="5" l="1"/>
  <c r="BW584" i="5"/>
  <c r="BY584" i="5" s="1"/>
  <c r="H679" i="5"/>
  <c r="H680" i="5" s="1"/>
  <c r="H681" i="5" s="1"/>
  <c r="H682" i="5" s="1"/>
  <c r="H521" i="2"/>
  <c r="AR520" i="2"/>
  <c r="AT520" i="2" s="1"/>
  <c r="E501" i="26"/>
  <c r="D502" i="26"/>
  <c r="C502" i="26"/>
  <c r="B501" i="26"/>
  <c r="C243" i="25"/>
  <c r="H243" i="25" s="1"/>
  <c r="D243" i="25"/>
  <c r="B242" i="25"/>
  <c r="E242" i="25"/>
  <c r="E243" i="24"/>
  <c r="B243" i="24"/>
  <c r="C244" i="24"/>
  <c r="D244" i="24"/>
  <c r="R239" i="2"/>
  <c r="J241" i="5"/>
  <c r="B243" i="5"/>
  <c r="C244" i="5"/>
  <c r="E243" i="5"/>
  <c r="D244" i="5"/>
  <c r="I242" i="5"/>
  <c r="BZ242" i="5" s="1"/>
  <c r="P240" i="2"/>
  <c r="J240" i="2"/>
  <c r="Q239" i="2"/>
  <c r="B241" i="2"/>
  <c r="E241" i="2"/>
  <c r="D242" i="2"/>
  <c r="C242" i="2"/>
  <c r="K239" i="2"/>
  <c r="J17" i="20" l="1"/>
  <c r="J99" i="20" s="1"/>
  <c r="F28" i="32" s="1"/>
  <c r="H683" i="5"/>
  <c r="BW585" i="5"/>
  <c r="BY585" i="5" s="1"/>
  <c r="G586" i="5"/>
  <c r="H522" i="2"/>
  <c r="AR521" i="2"/>
  <c r="AT521" i="2" s="1"/>
  <c r="C503" i="26"/>
  <c r="B502" i="26"/>
  <c r="E502" i="26"/>
  <c r="D503" i="26"/>
  <c r="J242" i="5"/>
  <c r="C244" i="25"/>
  <c r="H244" i="25" s="1"/>
  <c r="B243" i="25"/>
  <c r="D244" i="25"/>
  <c r="E243" i="25"/>
  <c r="B244" i="24"/>
  <c r="D245" i="24"/>
  <c r="E244" i="24"/>
  <c r="C245" i="24"/>
  <c r="R240" i="2"/>
  <c r="D245" i="5"/>
  <c r="B244" i="5"/>
  <c r="E244" i="5"/>
  <c r="C245" i="5"/>
  <c r="I243" i="5"/>
  <c r="BZ243" i="5" s="1"/>
  <c r="Q240" i="2"/>
  <c r="K240" i="2"/>
  <c r="C243" i="2"/>
  <c r="D243" i="2"/>
  <c r="B242" i="2"/>
  <c r="E242" i="2"/>
  <c r="P241" i="2"/>
  <c r="J241" i="2"/>
  <c r="G587" i="5" l="1"/>
  <c r="BW586" i="5"/>
  <c r="BY586" i="5" s="1"/>
  <c r="H684" i="5"/>
  <c r="H685" i="5" s="1"/>
  <c r="H523" i="2"/>
  <c r="AR522" i="2"/>
  <c r="AT522" i="2" s="1"/>
  <c r="E503" i="26"/>
  <c r="B503" i="26"/>
  <c r="C504" i="26"/>
  <c r="D504" i="26"/>
  <c r="J243" i="5"/>
  <c r="B244" i="25"/>
  <c r="C245" i="25"/>
  <c r="H245" i="25" s="1"/>
  <c r="E244" i="25"/>
  <c r="D245" i="25"/>
  <c r="C246" i="24"/>
  <c r="D246" i="24"/>
  <c r="B245" i="24"/>
  <c r="E245" i="24"/>
  <c r="R241" i="2"/>
  <c r="I244" i="5"/>
  <c r="BZ244" i="5" s="1"/>
  <c r="E245" i="5"/>
  <c r="D246" i="5"/>
  <c r="B245" i="5"/>
  <c r="C246" i="5"/>
  <c r="P242" i="2"/>
  <c r="J242" i="2"/>
  <c r="K241" i="2"/>
  <c r="B243" i="2"/>
  <c r="E243" i="2"/>
  <c r="D244" i="2"/>
  <c r="C244" i="2"/>
  <c r="Q241" i="2"/>
  <c r="H686" i="5" l="1"/>
  <c r="G588" i="5"/>
  <c r="BW587" i="5"/>
  <c r="BY587" i="5" s="1"/>
  <c r="H524" i="2"/>
  <c r="J15" i="19" s="1"/>
  <c r="J111" i="19" s="1"/>
  <c r="F9" i="32" s="1"/>
  <c r="AR523" i="2"/>
  <c r="AT523" i="2"/>
  <c r="C505" i="26"/>
  <c r="D505" i="26"/>
  <c r="B504" i="26"/>
  <c r="E504" i="26"/>
  <c r="C246" i="25"/>
  <c r="H246" i="25" s="1"/>
  <c r="D246" i="25"/>
  <c r="E245" i="25"/>
  <c r="B245" i="25"/>
  <c r="B246" i="24"/>
  <c r="D247" i="24"/>
  <c r="E246" i="24"/>
  <c r="C247" i="24"/>
  <c r="R242" i="2"/>
  <c r="D247" i="5"/>
  <c r="E246" i="5"/>
  <c r="B246" i="5"/>
  <c r="C247" i="5"/>
  <c r="I245" i="5"/>
  <c r="BZ245" i="5" s="1"/>
  <c r="J244" i="5"/>
  <c r="K242" i="2"/>
  <c r="Q242" i="2"/>
  <c r="E244" i="2"/>
  <c r="C245" i="2"/>
  <c r="D245" i="2"/>
  <c r="B244" i="2"/>
  <c r="P243" i="2"/>
  <c r="J243" i="2"/>
  <c r="BW588" i="5" l="1"/>
  <c r="BY588" i="5" s="1"/>
  <c r="G589" i="5"/>
  <c r="H687" i="5"/>
  <c r="H525" i="2"/>
  <c r="AR524" i="2"/>
  <c r="AT524" i="2" s="1"/>
  <c r="D506" i="26"/>
  <c r="C506" i="26"/>
  <c r="B505" i="26"/>
  <c r="E505" i="26"/>
  <c r="D247" i="25"/>
  <c r="E246" i="25"/>
  <c r="B246" i="25"/>
  <c r="C247" i="25"/>
  <c r="H247" i="25" s="1"/>
  <c r="J245" i="5"/>
  <c r="D248" i="24"/>
  <c r="B247" i="24"/>
  <c r="E247" i="24"/>
  <c r="C248" i="24"/>
  <c r="R243" i="2"/>
  <c r="I246" i="5"/>
  <c r="BZ246" i="5" s="1"/>
  <c r="D248" i="5"/>
  <c r="E247" i="5"/>
  <c r="B247" i="5"/>
  <c r="C248" i="5"/>
  <c r="K243" i="2"/>
  <c r="B245" i="2"/>
  <c r="E245" i="2"/>
  <c r="C246" i="2"/>
  <c r="D246" i="2"/>
  <c r="Q243" i="2"/>
  <c r="P244" i="2"/>
  <c r="J244" i="2"/>
  <c r="H688" i="5" l="1"/>
  <c r="G590" i="5"/>
  <c r="BW589" i="5"/>
  <c r="BY589" i="5" s="1"/>
  <c r="H526" i="2"/>
  <c r="AR525" i="2"/>
  <c r="AT525" i="2" s="1"/>
  <c r="E506" i="26"/>
  <c r="D507" i="26"/>
  <c r="B506" i="26"/>
  <c r="C507" i="26"/>
  <c r="C248" i="25"/>
  <c r="H248" i="25" s="1"/>
  <c r="B247" i="25"/>
  <c r="D248" i="25"/>
  <c r="E247" i="25"/>
  <c r="E248" i="24"/>
  <c r="B248" i="24"/>
  <c r="D249" i="24"/>
  <c r="C249" i="24"/>
  <c r="R244" i="2"/>
  <c r="I247" i="5"/>
  <c r="BZ247" i="5" s="1"/>
  <c r="C249" i="5"/>
  <c r="D249" i="5"/>
  <c r="E248" i="5"/>
  <c r="B248" i="5"/>
  <c r="J246" i="5"/>
  <c r="Q244" i="2"/>
  <c r="E246" i="2"/>
  <c r="C247" i="2"/>
  <c r="D247" i="2"/>
  <c r="B246" i="2"/>
  <c r="P245" i="2"/>
  <c r="J245" i="2"/>
  <c r="K244" i="2"/>
  <c r="G591" i="5" l="1"/>
  <c r="BW590" i="5"/>
  <c r="BY590" i="5" s="1"/>
  <c r="H689" i="5"/>
  <c r="AR526" i="2"/>
  <c r="AT526" i="2" s="1"/>
  <c r="H527" i="2"/>
  <c r="D508" i="26"/>
  <c r="B507" i="26"/>
  <c r="E507" i="26"/>
  <c r="C508" i="26"/>
  <c r="C249" i="25"/>
  <c r="H249" i="25" s="1"/>
  <c r="D249" i="25"/>
  <c r="E248" i="25"/>
  <c r="B248" i="25"/>
  <c r="J247" i="5"/>
  <c r="B249" i="24"/>
  <c r="C250" i="24"/>
  <c r="D250" i="24"/>
  <c r="E249" i="24"/>
  <c r="R245" i="2"/>
  <c r="D250" i="5"/>
  <c r="C250" i="5"/>
  <c r="B249" i="5"/>
  <c r="E249" i="5"/>
  <c r="I248" i="5"/>
  <c r="BZ248" i="5" s="1"/>
  <c r="K245" i="2"/>
  <c r="B247" i="2"/>
  <c r="E247" i="2"/>
  <c r="C248" i="2"/>
  <c r="D248" i="2"/>
  <c r="P246" i="2"/>
  <c r="J246" i="2"/>
  <c r="Q245" i="2"/>
  <c r="H690" i="5" l="1"/>
  <c r="H691" i="5" s="1"/>
  <c r="H692" i="5" s="1"/>
  <c r="G592" i="5"/>
  <c r="BW591" i="5"/>
  <c r="BY591" i="5" s="1"/>
  <c r="H528" i="2"/>
  <c r="AR527" i="2"/>
  <c r="AT527" i="2" s="1"/>
  <c r="Q246" i="2"/>
  <c r="B508" i="26"/>
  <c r="E508" i="26"/>
  <c r="C509" i="26"/>
  <c r="D509" i="26"/>
  <c r="C250" i="25"/>
  <c r="H250" i="25" s="1"/>
  <c r="B249" i="25"/>
  <c r="D250" i="25"/>
  <c r="E249" i="25"/>
  <c r="J248" i="5"/>
  <c r="B250" i="24"/>
  <c r="E250" i="24"/>
  <c r="C251" i="24"/>
  <c r="D251" i="24"/>
  <c r="R246" i="2"/>
  <c r="I249" i="5"/>
  <c r="BZ249" i="5" s="1"/>
  <c r="C251" i="5"/>
  <c r="B250" i="5"/>
  <c r="D251" i="5"/>
  <c r="E250" i="5"/>
  <c r="K246" i="2"/>
  <c r="E248" i="2"/>
  <c r="C249" i="2"/>
  <c r="D249" i="2"/>
  <c r="B248" i="2"/>
  <c r="P247" i="2"/>
  <c r="J247" i="2"/>
  <c r="G593" i="5" l="1"/>
  <c r="BW592" i="5"/>
  <c r="BY592" i="5" s="1"/>
  <c r="H693" i="5"/>
  <c r="H529" i="2"/>
  <c r="AR528" i="2"/>
  <c r="AT528" i="2" s="1"/>
  <c r="E509" i="26"/>
  <c r="C510" i="26"/>
  <c r="D510" i="26"/>
  <c r="B509" i="26"/>
  <c r="E250" i="25"/>
  <c r="D251" i="25"/>
  <c r="C251" i="25"/>
  <c r="H251" i="25" s="1"/>
  <c r="B250" i="25"/>
  <c r="E251" i="24"/>
  <c r="C252" i="24"/>
  <c r="D252" i="24"/>
  <c r="B251" i="24"/>
  <c r="J249" i="5"/>
  <c r="R247" i="2"/>
  <c r="B251" i="5"/>
  <c r="C252" i="5"/>
  <c r="E251" i="5"/>
  <c r="D252" i="5"/>
  <c r="I250" i="5"/>
  <c r="BZ250" i="5" s="1"/>
  <c r="Q247" i="2"/>
  <c r="K247" i="2"/>
  <c r="B249" i="2"/>
  <c r="E249" i="2"/>
  <c r="D250" i="2"/>
  <c r="C250" i="2"/>
  <c r="P248" i="2"/>
  <c r="J248" i="2"/>
  <c r="H694" i="5" l="1"/>
  <c r="H695" i="5" s="1"/>
  <c r="G594" i="5"/>
  <c r="BW593" i="5"/>
  <c r="BY593" i="5" s="1"/>
  <c r="H530" i="2"/>
  <c r="AR529" i="2"/>
  <c r="AT529" i="2" s="1"/>
  <c r="C511" i="26"/>
  <c r="B510" i="26"/>
  <c r="E510" i="26"/>
  <c r="D511" i="26"/>
  <c r="C252" i="25"/>
  <c r="H252" i="25" s="1"/>
  <c r="E251" i="25"/>
  <c r="B251" i="25"/>
  <c r="D252" i="25"/>
  <c r="J250" i="5"/>
  <c r="E252" i="24"/>
  <c r="C253" i="24"/>
  <c r="B252" i="24"/>
  <c r="D253" i="24"/>
  <c r="R248" i="2"/>
  <c r="B252" i="5"/>
  <c r="D253" i="5"/>
  <c r="C253" i="5"/>
  <c r="E252" i="5"/>
  <c r="I251" i="5"/>
  <c r="BZ251" i="5" s="1"/>
  <c r="E250" i="2"/>
  <c r="C251" i="2"/>
  <c r="D251" i="2"/>
  <c r="B250" i="2"/>
  <c r="P249" i="2"/>
  <c r="J249" i="2"/>
  <c r="K248" i="2"/>
  <c r="Q248" i="2"/>
  <c r="G595" i="5" l="1"/>
  <c r="BW594" i="5"/>
  <c r="BY594" i="5" s="1"/>
  <c r="H696" i="5"/>
  <c r="AR530" i="2"/>
  <c r="AT530" i="2" s="1"/>
  <c r="H531" i="2"/>
  <c r="E511" i="26"/>
  <c r="D512" i="26"/>
  <c r="C512" i="26"/>
  <c r="B511" i="26"/>
  <c r="B252" i="25"/>
  <c r="D253" i="25"/>
  <c r="C253" i="25"/>
  <c r="H253" i="25" s="1"/>
  <c r="E252" i="25"/>
  <c r="E253" i="24"/>
  <c r="B253" i="24"/>
  <c r="D254" i="24"/>
  <c r="C254" i="24"/>
  <c r="R249" i="2"/>
  <c r="J251" i="5"/>
  <c r="D254" i="5"/>
  <c r="E253" i="5"/>
  <c r="B253" i="5"/>
  <c r="C254" i="5"/>
  <c r="I252" i="5"/>
  <c r="BZ252" i="5" s="1"/>
  <c r="K249" i="2"/>
  <c r="Q249" i="2"/>
  <c r="B251" i="2"/>
  <c r="E251" i="2"/>
  <c r="C252" i="2"/>
  <c r="D252" i="2"/>
  <c r="P250" i="2"/>
  <c r="J250" i="2"/>
  <c r="H697" i="5" l="1"/>
  <c r="G596" i="5"/>
  <c r="BW595" i="5"/>
  <c r="BY595" i="5" s="1"/>
  <c r="H532" i="2"/>
  <c r="AR531" i="2"/>
  <c r="AT531" i="2" s="1"/>
  <c r="C513" i="26"/>
  <c r="D513" i="26"/>
  <c r="E512" i="26"/>
  <c r="B512" i="26"/>
  <c r="D254" i="25"/>
  <c r="C254" i="25"/>
  <c r="H254" i="25" s="1"/>
  <c r="E253" i="25"/>
  <c r="B253" i="25"/>
  <c r="B254" i="24"/>
  <c r="C255" i="24"/>
  <c r="D255" i="24"/>
  <c r="E254" i="24"/>
  <c r="R250" i="2"/>
  <c r="I253" i="5"/>
  <c r="BZ253" i="5" s="1"/>
  <c r="D255" i="5"/>
  <c r="B254" i="5"/>
  <c r="E254" i="5"/>
  <c r="C255" i="5"/>
  <c r="J252" i="5"/>
  <c r="E252" i="2"/>
  <c r="C253" i="2"/>
  <c r="D253" i="2"/>
  <c r="B252" i="2"/>
  <c r="P251" i="2"/>
  <c r="J251" i="2"/>
  <c r="K250" i="2"/>
  <c r="Q250" i="2"/>
  <c r="G597" i="5" l="1"/>
  <c r="BW596" i="5"/>
  <c r="BY596" i="5" s="1"/>
  <c r="H698" i="5"/>
  <c r="H699" i="5" s="1"/>
  <c r="H533" i="2"/>
  <c r="AR532" i="2"/>
  <c r="AT532" i="2" s="1"/>
  <c r="D514" i="26"/>
  <c r="B513" i="26"/>
  <c r="E513" i="26"/>
  <c r="C514" i="26"/>
  <c r="E254" i="25"/>
  <c r="C255" i="25"/>
  <c r="H255" i="25" s="1"/>
  <c r="D255" i="25"/>
  <c r="B254" i="25"/>
  <c r="C256" i="24"/>
  <c r="E255" i="24"/>
  <c r="D256" i="24"/>
  <c r="B255" i="24"/>
  <c r="K251" i="2"/>
  <c r="R251" i="2"/>
  <c r="J253" i="5"/>
  <c r="I254" i="5"/>
  <c r="BZ254" i="5" s="1"/>
  <c r="C256" i="5"/>
  <c r="E255" i="5"/>
  <c r="B255" i="5"/>
  <c r="D256" i="5"/>
  <c r="Q251" i="2"/>
  <c r="B253" i="2"/>
  <c r="E253" i="2"/>
  <c r="C254" i="2"/>
  <c r="D254" i="2"/>
  <c r="P252" i="2"/>
  <c r="J252" i="2"/>
  <c r="H700" i="5" l="1"/>
  <c r="H701" i="5" s="1"/>
  <c r="BW597" i="5"/>
  <c r="BY597" i="5" s="1"/>
  <c r="G598" i="5"/>
  <c r="H534" i="2"/>
  <c r="AR533" i="2"/>
  <c r="AT533" i="2"/>
  <c r="D515" i="26"/>
  <c r="B514" i="26"/>
  <c r="E514" i="26"/>
  <c r="C515" i="26"/>
  <c r="E255" i="25"/>
  <c r="D256" i="25"/>
  <c r="B255" i="25"/>
  <c r="C256" i="25"/>
  <c r="H256" i="25" s="1"/>
  <c r="D257" i="24"/>
  <c r="C257" i="24"/>
  <c r="E256" i="24"/>
  <c r="B256" i="24"/>
  <c r="R252" i="2"/>
  <c r="I255" i="5"/>
  <c r="BZ255" i="5" s="1"/>
  <c r="E256" i="5"/>
  <c r="D257" i="5"/>
  <c r="C257" i="5"/>
  <c r="B256" i="5"/>
  <c r="J254" i="5"/>
  <c r="Q252" i="2"/>
  <c r="E254" i="2"/>
  <c r="C255" i="2"/>
  <c r="D255" i="2"/>
  <c r="B254" i="2"/>
  <c r="P253" i="2"/>
  <c r="J253" i="2"/>
  <c r="K252" i="2"/>
  <c r="G599" i="5" l="1"/>
  <c r="BW598" i="5"/>
  <c r="BY598" i="5" s="1"/>
  <c r="H702" i="5"/>
  <c r="H703" i="5" s="1"/>
  <c r="H535" i="2"/>
  <c r="AR534" i="2"/>
  <c r="AT534" i="2" s="1"/>
  <c r="E515" i="26"/>
  <c r="D516" i="26"/>
  <c r="C516" i="26"/>
  <c r="B515" i="26"/>
  <c r="C257" i="25"/>
  <c r="H257" i="25" s="1"/>
  <c r="B256" i="25"/>
  <c r="D257" i="25"/>
  <c r="E256" i="25"/>
  <c r="J255" i="5"/>
  <c r="B257" i="24"/>
  <c r="D258" i="24"/>
  <c r="E257" i="24"/>
  <c r="C258" i="24"/>
  <c r="R253" i="2"/>
  <c r="I256" i="5"/>
  <c r="BZ256" i="5" s="1"/>
  <c r="C258" i="5"/>
  <c r="E257" i="5"/>
  <c r="D258" i="5"/>
  <c r="B257" i="5"/>
  <c r="K253" i="2"/>
  <c r="P254" i="2"/>
  <c r="J254" i="2"/>
  <c r="E255" i="2"/>
  <c r="B255" i="2"/>
  <c r="C256" i="2"/>
  <c r="D256" i="2"/>
  <c r="Q253" i="2"/>
  <c r="H704" i="5" l="1"/>
  <c r="BW599" i="5"/>
  <c r="BY599" i="5" s="1"/>
  <c r="G600" i="5"/>
  <c r="H536" i="2"/>
  <c r="AR535" i="2"/>
  <c r="AT535" i="2" s="1"/>
  <c r="B516" i="26"/>
  <c r="E516" i="26"/>
  <c r="C517" i="26"/>
  <c r="D517" i="26"/>
  <c r="J256" i="5"/>
  <c r="D258" i="25"/>
  <c r="E257" i="25"/>
  <c r="C258" i="25"/>
  <c r="H258" i="25" s="1"/>
  <c r="B257" i="25"/>
  <c r="K254" i="2"/>
  <c r="E258" i="24"/>
  <c r="D259" i="24"/>
  <c r="B258" i="24"/>
  <c r="C259" i="24"/>
  <c r="I257" i="5"/>
  <c r="BZ257" i="5" s="1"/>
  <c r="R254" i="2"/>
  <c r="Q254" i="2"/>
  <c r="E258" i="5"/>
  <c r="C259" i="5"/>
  <c r="B258" i="5"/>
  <c r="D259" i="5"/>
  <c r="B256" i="2"/>
  <c r="C257" i="2"/>
  <c r="D257" i="2"/>
  <c r="E256" i="2"/>
  <c r="P255" i="2"/>
  <c r="J255" i="2"/>
  <c r="BW600" i="5" l="1"/>
  <c r="BY600" i="5" s="1"/>
  <c r="G601" i="5"/>
  <c r="H705" i="5"/>
  <c r="H537" i="2"/>
  <c r="AR536" i="2"/>
  <c r="AT536" i="2" s="1"/>
  <c r="E517" i="26"/>
  <c r="C518" i="26"/>
  <c r="D518" i="26"/>
  <c r="B517" i="26"/>
  <c r="D259" i="25"/>
  <c r="B258" i="25"/>
  <c r="C259" i="25"/>
  <c r="H259" i="25" s="1"/>
  <c r="E258" i="25"/>
  <c r="I258" i="5"/>
  <c r="BZ258" i="5" s="1"/>
  <c r="J257" i="5"/>
  <c r="D260" i="24"/>
  <c r="C260" i="24"/>
  <c r="B259" i="24"/>
  <c r="E259" i="24"/>
  <c r="Q255" i="2"/>
  <c r="R255" i="2"/>
  <c r="B259" i="5"/>
  <c r="E259" i="5"/>
  <c r="D260" i="5"/>
  <c r="C260" i="5"/>
  <c r="K255" i="2"/>
  <c r="P256" i="2"/>
  <c r="J256" i="2"/>
  <c r="B257" i="2"/>
  <c r="E257" i="2"/>
  <c r="C258" i="2"/>
  <c r="D258" i="2"/>
  <c r="H706" i="5" l="1"/>
  <c r="H707" i="5" s="1"/>
  <c r="H708" i="5" s="1"/>
  <c r="G602" i="5"/>
  <c r="BW601" i="5"/>
  <c r="BY601" i="5" s="1"/>
  <c r="J258" i="5"/>
  <c r="H538" i="2"/>
  <c r="AR537" i="2"/>
  <c r="AT537" i="2"/>
  <c r="C519" i="26"/>
  <c r="B518" i="26"/>
  <c r="E518" i="26"/>
  <c r="D519" i="26"/>
  <c r="E259" i="25"/>
  <c r="D260" i="25"/>
  <c r="B259" i="25"/>
  <c r="C260" i="25"/>
  <c r="H260" i="25" s="1"/>
  <c r="B260" i="24"/>
  <c r="D261" i="24"/>
  <c r="C261" i="24"/>
  <c r="E260" i="24"/>
  <c r="I259" i="5"/>
  <c r="BZ259" i="5" s="1"/>
  <c r="K256" i="2"/>
  <c r="R256" i="2"/>
  <c r="B260" i="5"/>
  <c r="D261" i="5"/>
  <c r="E260" i="5"/>
  <c r="C261" i="5"/>
  <c r="P257" i="2"/>
  <c r="J257" i="2"/>
  <c r="Q256" i="2"/>
  <c r="B258" i="2"/>
  <c r="C259" i="2"/>
  <c r="D259" i="2"/>
  <c r="E258" i="2"/>
  <c r="G603" i="5" l="1"/>
  <c r="BW602" i="5"/>
  <c r="BY602" i="5" s="1"/>
  <c r="H709" i="5"/>
  <c r="H710" i="5" s="1"/>
  <c r="H711" i="5" s="1"/>
  <c r="H539" i="2"/>
  <c r="AR538" i="2"/>
  <c r="AT538" i="2" s="1"/>
  <c r="E519" i="26"/>
  <c r="D520" i="26"/>
  <c r="B519" i="26"/>
  <c r="C520" i="26"/>
  <c r="B260" i="25"/>
  <c r="D261" i="25"/>
  <c r="C261" i="25"/>
  <c r="H261" i="25" s="1"/>
  <c r="E260" i="25"/>
  <c r="C262" i="24"/>
  <c r="B261" i="24"/>
  <c r="E261" i="24"/>
  <c r="D262" i="24"/>
  <c r="J259" i="5"/>
  <c r="I260" i="5"/>
  <c r="BZ260" i="5" s="1"/>
  <c r="R257" i="2"/>
  <c r="Q257" i="2"/>
  <c r="B261" i="5"/>
  <c r="E261" i="5"/>
  <c r="C262" i="5"/>
  <c r="D262" i="5"/>
  <c r="B259" i="2"/>
  <c r="E259" i="2"/>
  <c r="W259" i="2" s="1"/>
  <c r="C260" i="2"/>
  <c r="D260" i="2"/>
  <c r="P258" i="2"/>
  <c r="J258" i="2"/>
  <c r="K257" i="2"/>
  <c r="H712" i="5" l="1"/>
  <c r="BW603" i="5"/>
  <c r="BY603" i="5" s="1"/>
  <c r="G604" i="5"/>
  <c r="H540" i="2"/>
  <c r="AR539" i="2"/>
  <c r="AT539" i="2" s="1"/>
  <c r="C521" i="26"/>
  <c r="D521" i="26"/>
  <c r="E520" i="26"/>
  <c r="B520" i="26"/>
  <c r="C262" i="25"/>
  <c r="H262" i="25" s="1"/>
  <c r="D262" i="25"/>
  <c r="E261" i="25"/>
  <c r="B261" i="25"/>
  <c r="X259" i="2"/>
  <c r="Y259" i="2"/>
  <c r="J260" i="5"/>
  <c r="E262" i="24"/>
  <c r="C263" i="24"/>
  <c r="B262" i="24"/>
  <c r="D263" i="24"/>
  <c r="I261" i="5"/>
  <c r="BZ261" i="5" s="1"/>
  <c r="R258" i="2"/>
  <c r="K258" i="2"/>
  <c r="C263" i="5"/>
  <c r="D263" i="5"/>
  <c r="B262" i="5"/>
  <c r="E262" i="5"/>
  <c r="E260" i="2"/>
  <c r="C261" i="2"/>
  <c r="D261" i="2"/>
  <c r="B260" i="2"/>
  <c r="P259" i="2"/>
  <c r="J259" i="2"/>
  <c r="Q258" i="2"/>
  <c r="BW604" i="5" l="1"/>
  <c r="BY604" i="5" s="1"/>
  <c r="G605" i="5"/>
  <c r="H713" i="5"/>
  <c r="J261" i="5"/>
  <c r="AR540" i="2"/>
  <c r="AT540" i="2" s="1"/>
  <c r="H541" i="2"/>
  <c r="W260" i="2"/>
  <c r="Y260" i="2" s="1"/>
  <c r="D522" i="26"/>
  <c r="E521" i="26"/>
  <c r="B521" i="26"/>
  <c r="C522" i="26"/>
  <c r="B262" i="25"/>
  <c r="C263" i="25"/>
  <c r="H263" i="25" s="1"/>
  <c r="D263" i="25"/>
  <c r="E262" i="25"/>
  <c r="I262" i="5"/>
  <c r="BZ262" i="5" s="1"/>
  <c r="E263" i="24"/>
  <c r="B263" i="24"/>
  <c r="D264" i="24"/>
  <c r="C264" i="24"/>
  <c r="R259" i="2"/>
  <c r="Q259" i="2"/>
  <c r="K259" i="2"/>
  <c r="E263" i="5"/>
  <c r="C264" i="5"/>
  <c r="D264" i="5"/>
  <c r="B263" i="5"/>
  <c r="B261" i="2"/>
  <c r="E261" i="2"/>
  <c r="C262" i="2"/>
  <c r="D262" i="2"/>
  <c r="P260" i="2"/>
  <c r="J260" i="2"/>
  <c r="H714" i="5" l="1"/>
  <c r="H715" i="5" s="1"/>
  <c r="H716" i="5" s="1"/>
  <c r="G606" i="5"/>
  <c r="BW605" i="5"/>
  <c r="BY605" i="5" s="1"/>
  <c r="H542" i="2"/>
  <c r="AR541" i="2"/>
  <c r="AT541" i="2" s="1"/>
  <c r="X260" i="2"/>
  <c r="W261" i="2"/>
  <c r="Y261" i="2" s="1"/>
  <c r="B522" i="26"/>
  <c r="D523" i="26"/>
  <c r="E522" i="26"/>
  <c r="C523" i="26"/>
  <c r="J262" i="5"/>
  <c r="C264" i="25"/>
  <c r="H264" i="25" s="1"/>
  <c r="E263" i="25"/>
  <c r="B263" i="25"/>
  <c r="D264" i="25"/>
  <c r="B264" i="24"/>
  <c r="C265" i="24"/>
  <c r="D265" i="24"/>
  <c r="E264" i="24"/>
  <c r="I263" i="5"/>
  <c r="BZ263" i="5" s="1"/>
  <c r="R260" i="2"/>
  <c r="D265" i="5"/>
  <c r="B264" i="5"/>
  <c r="E264" i="5"/>
  <c r="C265" i="5"/>
  <c r="E262" i="2"/>
  <c r="C263" i="2"/>
  <c r="D263" i="2"/>
  <c r="B262" i="2"/>
  <c r="P261" i="2"/>
  <c r="J261" i="2"/>
  <c r="Q260" i="2"/>
  <c r="K260" i="2"/>
  <c r="BW606" i="5" l="1"/>
  <c r="BY606" i="5" s="1"/>
  <c r="G607" i="5"/>
  <c r="H717" i="5"/>
  <c r="AR542" i="2"/>
  <c r="H543" i="2"/>
  <c r="AT542" i="2"/>
  <c r="X261" i="2"/>
  <c r="W262" i="2"/>
  <c r="Y262" i="2" s="1"/>
  <c r="D524" i="26"/>
  <c r="B523" i="26"/>
  <c r="E523" i="26"/>
  <c r="C524" i="26"/>
  <c r="D265" i="25"/>
  <c r="E264" i="25"/>
  <c r="B264" i="25"/>
  <c r="C265" i="25"/>
  <c r="H265" i="25" s="1"/>
  <c r="B265" i="24"/>
  <c r="C266" i="24"/>
  <c r="E265" i="24"/>
  <c r="D266" i="24"/>
  <c r="I264" i="5"/>
  <c r="BZ264" i="5" s="1"/>
  <c r="J263" i="5"/>
  <c r="R261" i="2"/>
  <c r="K261" i="2"/>
  <c r="D266" i="5"/>
  <c r="E265" i="5"/>
  <c r="B265" i="5"/>
  <c r="C266" i="5"/>
  <c r="B263" i="2"/>
  <c r="E263" i="2"/>
  <c r="C264" i="2"/>
  <c r="D264" i="2"/>
  <c r="Q261" i="2"/>
  <c r="P262" i="2"/>
  <c r="J262" i="2"/>
  <c r="G608" i="5" l="1"/>
  <c r="BW607" i="5"/>
  <c r="BY607" i="5" s="1"/>
  <c r="H718" i="5"/>
  <c r="H544" i="2"/>
  <c r="AR543" i="2"/>
  <c r="AT543" i="2" s="1"/>
  <c r="X262" i="2"/>
  <c r="W263" i="2"/>
  <c r="Y263" i="2" s="1"/>
  <c r="B524" i="26"/>
  <c r="E524" i="26"/>
  <c r="D525" i="26"/>
  <c r="C525" i="26"/>
  <c r="E265" i="25"/>
  <c r="D266" i="25"/>
  <c r="C266" i="25"/>
  <c r="H266" i="25" s="1"/>
  <c r="B265" i="25"/>
  <c r="D267" i="24"/>
  <c r="E266" i="24"/>
  <c r="C267" i="24"/>
  <c r="B266" i="24"/>
  <c r="I265" i="5"/>
  <c r="BZ265" i="5" s="1"/>
  <c r="J264" i="5"/>
  <c r="R262" i="2"/>
  <c r="C267" i="5"/>
  <c r="D267" i="5"/>
  <c r="B266" i="5"/>
  <c r="E266" i="5"/>
  <c r="B264" i="2"/>
  <c r="C265" i="2"/>
  <c r="D265" i="2"/>
  <c r="E264" i="2"/>
  <c r="P263" i="2"/>
  <c r="J263" i="2"/>
  <c r="K262" i="2"/>
  <c r="Q262" i="2"/>
  <c r="H719" i="5" l="1"/>
  <c r="H720" i="5" s="1"/>
  <c r="G609" i="5"/>
  <c r="BW608" i="5"/>
  <c r="BY608" i="5" s="1"/>
  <c r="H545" i="2"/>
  <c r="AR544" i="2"/>
  <c r="AT544" i="2" s="1"/>
  <c r="X263" i="2"/>
  <c r="W264" i="2"/>
  <c r="E525" i="26"/>
  <c r="C526" i="26"/>
  <c r="D526" i="26"/>
  <c r="B525" i="26"/>
  <c r="D267" i="25"/>
  <c r="E266" i="25"/>
  <c r="B266" i="25"/>
  <c r="C267" i="25"/>
  <c r="H267" i="25" s="1"/>
  <c r="D268" i="24"/>
  <c r="C268" i="24"/>
  <c r="E267" i="24"/>
  <c r="B267" i="24"/>
  <c r="J265" i="5"/>
  <c r="I266" i="5"/>
  <c r="BZ266" i="5" s="1"/>
  <c r="R263" i="2"/>
  <c r="K263" i="2"/>
  <c r="B267" i="5"/>
  <c r="E267" i="5"/>
  <c r="C268" i="5"/>
  <c r="D268" i="5"/>
  <c r="Q263" i="2"/>
  <c r="B265" i="2"/>
  <c r="E265" i="2"/>
  <c r="D266" i="2"/>
  <c r="C266" i="2"/>
  <c r="P264" i="2"/>
  <c r="J264" i="2"/>
  <c r="BW609" i="5" l="1"/>
  <c r="BY609" i="5" s="1"/>
  <c r="G610" i="5"/>
  <c r="H721" i="5"/>
  <c r="H546" i="2"/>
  <c r="AR545" i="2"/>
  <c r="AT545" i="2" s="1"/>
  <c r="X264" i="2"/>
  <c r="Y264" i="2"/>
  <c r="W265" i="2"/>
  <c r="Y265" i="2" s="1"/>
  <c r="E526" i="26"/>
  <c r="B526" i="26"/>
  <c r="D527" i="26"/>
  <c r="C527" i="26"/>
  <c r="E267" i="25"/>
  <c r="C268" i="25"/>
  <c r="H268" i="25" s="1"/>
  <c r="B267" i="25"/>
  <c r="D268" i="25"/>
  <c r="J266" i="5"/>
  <c r="I267" i="5"/>
  <c r="BZ267" i="5" s="1"/>
  <c r="E268" i="24"/>
  <c r="C269" i="24"/>
  <c r="B268" i="24"/>
  <c r="D269" i="24"/>
  <c r="R264" i="2"/>
  <c r="E268" i="5"/>
  <c r="C269" i="5"/>
  <c r="D269" i="5"/>
  <c r="B268" i="5"/>
  <c r="E266" i="2"/>
  <c r="C267" i="2"/>
  <c r="D267" i="2"/>
  <c r="B266" i="2"/>
  <c r="P265" i="2"/>
  <c r="J265" i="2"/>
  <c r="K264" i="2"/>
  <c r="Q264" i="2"/>
  <c r="H722" i="5" l="1"/>
  <c r="H723" i="5" s="1"/>
  <c r="BW610" i="5"/>
  <c r="BY610" i="5" s="1"/>
  <c r="G611" i="5"/>
  <c r="H547" i="2"/>
  <c r="AR546" i="2"/>
  <c r="AT546" i="2" s="1"/>
  <c r="X265" i="2"/>
  <c r="W266" i="2"/>
  <c r="Y266" i="2" s="1"/>
  <c r="D528" i="26"/>
  <c r="C528" i="26"/>
  <c r="B527" i="26"/>
  <c r="E527" i="26"/>
  <c r="C269" i="25"/>
  <c r="H269" i="25" s="1"/>
  <c r="E268" i="25"/>
  <c r="D269" i="25"/>
  <c r="B268" i="25"/>
  <c r="J267" i="5"/>
  <c r="AI269" i="24"/>
  <c r="I268" i="5"/>
  <c r="BZ268" i="5" s="1"/>
  <c r="C270" i="24"/>
  <c r="B269" i="24"/>
  <c r="D270" i="24"/>
  <c r="E269" i="24"/>
  <c r="K265" i="2"/>
  <c r="R265" i="2"/>
  <c r="B269" i="5"/>
  <c r="E269" i="5"/>
  <c r="D270" i="5"/>
  <c r="C270" i="5"/>
  <c r="Q265" i="2"/>
  <c r="P266" i="2"/>
  <c r="J266" i="2"/>
  <c r="B267" i="2"/>
  <c r="E267" i="2"/>
  <c r="C268" i="2"/>
  <c r="D268" i="2"/>
  <c r="G612" i="5" l="1"/>
  <c r="BW611" i="5"/>
  <c r="BY611" i="5" s="1"/>
  <c r="J268" i="5"/>
  <c r="H724" i="5"/>
  <c r="H725" i="5" s="1"/>
  <c r="H548" i="2"/>
  <c r="AR547" i="2"/>
  <c r="AT547" i="2" s="1"/>
  <c r="X266" i="2"/>
  <c r="W267" i="2"/>
  <c r="Y267" i="2" s="1"/>
  <c r="C529" i="26"/>
  <c r="E528" i="26"/>
  <c r="B528" i="26"/>
  <c r="D529" i="26"/>
  <c r="C270" i="25"/>
  <c r="H270" i="25" s="1"/>
  <c r="D270" i="25"/>
  <c r="E269" i="25"/>
  <c r="B269" i="25"/>
  <c r="AI270" i="24"/>
  <c r="AK269" i="24"/>
  <c r="AQ268" i="5" s="1"/>
  <c r="CA268" i="5" s="1"/>
  <c r="B270" i="24"/>
  <c r="D271" i="24"/>
  <c r="C271" i="24"/>
  <c r="E270" i="24"/>
  <c r="I269" i="5"/>
  <c r="BZ269" i="5" s="1"/>
  <c r="R266" i="2"/>
  <c r="D271" i="5"/>
  <c r="B270" i="5"/>
  <c r="C271" i="5"/>
  <c r="E270" i="5"/>
  <c r="E268" i="2"/>
  <c r="C269" i="2"/>
  <c r="D269" i="2"/>
  <c r="B268" i="2"/>
  <c r="K266" i="2"/>
  <c r="P267" i="2"/>
  <c r="J267" i="2"/>
  <c r="Q266" i="2"/>
  <c r="H726" i="5" l="1"/>
  <c r="H727" i="5" s="1"/>
  <c r="H728" i="5" s="1"/>
  <c r="G613" i="5"/>
  <c r="BW612" i="5"/>
  <c r="BY612" i="5" s="1"/>
  <c r="H549" i="2"/>
  <c r="AR548" i="2"/>
  <c r="AT548" i="2" s="1"/>
  <c r="X267" i="2"/>
  <c r="W268" i="2"/>
  <c r="Y268" i="2" s="1"/>
  <c r="E529" i="26"/>
  <c r="B529" i="26"/>
  <c r="C530" i="26"/>
  <c r="D530" i="26"/>
  <c r="B270" i="25"/>
  <c r="E270" i="25"/>
  <c r="D271" i="25"/>
  <c r="C271" i="25"/>
  <c r="H271" i="25" s="1"/>
  <c r="J269" i="5"/>
  <c r="AI271" i="24"/>
  <c r="AK270" i="24"/>
  <c r="AQ269" i="5" s="1"/>
  <c r="CA269" i="5" s="1"/>
  <c r="I270" i="5"/>
  <c r="BZ270" i="5" s="1"/>
  <c r="D272" i="24"/>
  <c r="B271" i="24"/>
  <c r="C272" i="24"/>
  <c r="E271" i="24"/>
  <c r="R267" i="2"/>
  <c r="K267" i="2"/>
  <c r="C272" i="5"/>
  <c r="D272" i="5"/>
  <c r="B271" i="5"/>
  <c r="E271" i="5"/>
  <c r="Q267" i="2"/>
  <c r="E269" i="2"/>
  <c r="B269" i="2"/>
  <c r="C270" i="2"/>
  <c r="D270" i="2"/>
  <c r="P268" i="2"/>
  <c r="J268" i="2"/>
  <c r="G614" i="5" l="1"/>
  <c r="BW613" i="5"/>
  <c r="BY613" i="5" s="1"/>
  <c r="H729" i="5"/>
  <c r="H550" i="2"/>
  <c r="AR549" i="2"/>
  <c r="AT549" i="2" s="1"/>
  <c r="X268" i="2"/>
  <c r="W269" i="2"/>
  <c r="Y269" i="2" s="1"/>
  <c r="E530" i="26"/>
  <c r="C531" i="26"/>
  <c r="D531" i="26"/>
  <c r="B530" i="26"/>
  <c r="J270" i="5"/>
  <c r="E271" i="25"/>
  <c r="D272" i="25"/>
  <c r="C272" i="25"/>
  <c r="H272" i="25" s="1"/>
  <c r="B271" i="25"/>
  <c r="AI272" i="24"/>
  <c r="AK271" i="24"/>
  <c r="AQ270" i="5" s="1"/>
  <c r="CA270" i="5" s="1"/>
  <c r="I271" i="5"/>
  <c r="BZ271" i="5" s="1"/>
  <c r="B272" i="24"/>
  <c r="D273" i="24"/>
  <c r="C273" i="24"/>
  <c r="E272" i="24"/>
  <c r="R268" i="2"/>
  <c r="Q268" i="2"/>
  <c r="C273" i="5"/>
  <c r="B272" i="5"/>
  <c r="D273" i="5"/>
  <c r="E272" i="5"/>
  <c r="K268" i="2"/>
  <c r="E270" i="2"/>
  <c r="C271" i="2"/>
  <c r="D271" i="2"/>
  <c r="B270" i="2"/>
  <c r="P269" i="2"/>
  <c r="J269" i="2"/>
  <c r="H730" i="5" l="1"/>
  <c r="G615" i="5"/>
  <c r="BW614" i="5"/>
  <c r="BY614" i="5" s="1"/>
  <c r="H551" i="2"/>
  <c r="AR550" i="2"/>
  <c r="AT550" i="2" s="1"/>
  <c r="X269" i="2"/>
  <c r="W270" i="2"/>
  <c r="Y270" i="2" s="1"/>
  <c r="C532" i="26"/>
  <c r="E531" i="26"/>
  <c r="D532" i="26"/>
  <c r="B531" i="26"/>
  <c r="J271" i="5"/>
  <c r="C273" i="25"/>
  <c r="H273" i="25" s="1"/>
  <c r="E272" i="25"/>
  <c r="B272" i="25"/>
  <c r="D273" i="25"/>
  <c r="AI273" i="24"/>
  <c r="AK272" i="24"/>
  <c r="AQ271" i="5" s="1"/>
  <c r="CA271" i="5" s="1"/>
  <c r="D274" i="24"/>
  <c r="B273" i="24"/>
  <c r="E273" i="24"/>
  <c r="C274" i="24"/>
  <c r="I272" i="5"/>
  <c r="BZ272" i="5" s="1"/>
  <c r="R269" i="2"/>
  <c r="C274" i="5"/>
  <c r="D274" i="5"/>
  <c r="B273" i="5"/>
  <c r="E273" i="5"/>
  <c r="E271" i="2"/>
  <c r="B271" i="2"/>
  <c r="C272" i="2"/>
  <c r="D272" i="2"/>
  <c r="P270" i="2"/>
  <c r="J270" i="2"/>
  <c r="K269" i="2"/>
  <c r="Q269" i="2"/>
  <c r="G616" i="5" l="1"/>
  <c r="BW615" i="5"/>
  <c r="BY615" i="5" s="1"/>
  <c r="H731" i="5"/>
  <c r="H552" i="2"/>
  <c r="AR551" i="2"/>
  <c r="AT551" i="2" s="1"/>
  <c r="X270" i="2"/>
  <c r="W271" i="2"/>
  <c r="Y271" i="2" s="1"/>
  <c r="B532" i="26"/>
  <c r="E532" i="26"/>
  <c r="C533" i="26"/>
  <c r="D533" i="26"/>
  <c r="B273" i="25"/>
  <c r="E273" i="25"/>
  <c r="C274" i="25"/>
  <c r="H274" i="25" s="1"/>
  <c r="D274" i="25"/>
  <c r="AI274" i="24"/>
  <c r="AK273" i="24"/>
  <c r="AQ272" i="5" s="1"/>
  <c r="CA272" i="5" s="1"/>
  <c r="J272" i="5"/>
  <c r="I273" i="5"/>
  <c r="BZ273" i="5" s="1"/>
  <c r="D275" i="24"/>
  <c r="C275" i="24"/>
  <c r="B274" i="24"/>
  <c r="E274" i="24"/>
  <c r="R270" i="2"/>
  <c r="E274" i="5"/>
  <c r="D275" i="5"/>
  <c r="B274" i="5"/>
  <c r="C275" i="5"/>
  <c r="K270" i="2"/>
  <c r="Q270" i="2"/>
  <c r="B272" i="2"/>
  <c r="C273" i="2"/>
  <c r="D273" i="2"/>
  <c r="E272" i="2"/>
  <c r="P271" i="2"/>
  <c r="J271" i="2"/>
  <c r="J18" i="20" l="1"/>
  <c r="J100" i="20" s="1"/>
  <c r="F29" i="32" s="1"/>
  <c r="H732" i="5"/>
  <c r="H733" i="5" s="1"/>
  <c r="H734" i="5" s="1"/>
  <c r="G617" i="5"/>
  <c r="BW616" i="5"/>
  <c r="BY616" i="5" s="1"/>
  <c r="H553" i="2"/>
  <c r="AR552" i="2"/>
  <c r="AT552" i="2" s="1"/>
  <c r="X271" i="2"/>
  <c r="W272" i="2"/>
  <c r="X272" i="2" s="1"/>
  <c r="E533" i="26"/>
  <c r="C534" i="26"/>
  <c r="B533" i="26"/>
  <c r="D534" i="26"/>
  <c r="B274" i="25"/>
  <c r="C275" i="25"/>
  <c r="H275" i="25" s="1"/>
  <c r="D275" i="25"/>
  <c r="E274" i="25"/>
  <c r="AI275" i="24"/>
  <c r="AK274" i="24"/>
  <c r="AQ273" i="5" s="1"/>
  <c r="CA273" i="5" s="1"/>
  <c r="J273" i="5"/>
  <c r="C276" i="24"/>
  <c r="E275" i="24"/>
  <c r="B275" i="24"/>
  <c r="D276" i="24"/>
  <c r="I274" i="5"/>
  <c r="BZ274" i="5" s="1"/>
  <c r="R271" i="2"/>
  <c r="E275" i="5"/>
  <c r="C276" i="5"/>
  <c r="B275" i="5"/>
  <c r="D276" i="5"/>
  <c r="P272" i="2"/>
  <c r="J272" i="2"/>
  <c r="B273" i="2"/>
  <c r="E273" i="2"/>
  <c r="D274" i="2"/>
  <c r="C274" i="2"/>
  <c r="Q271" i="2"/>
  <c r="K271" i="2"/>
  <c r="G618" i="5" l="1"/>
  <c r="BW617" i="5"/>
  <c r="BY617" i="5" s="1"/>
  <c r="H735" i="5"/>
  <c r="H554" i="2"/>
  <c r="J16" i="19" s="1"/>
  <c r="AR553" i="2"/>
  <c r="AT553" i="2"/>
  <c r="W273" i="2"/>
  <c r="Y273" i="2" s="1"/>
  <c r="Y272" i="2"/>
  <c r="C535" i="26"/>
  <c r="B534" i="26"/>
  <c r="E534" i="26"/>
  <c r="D535" i="26"/>
  <c r="E275" i="25"/>
  <c r="B275" i="25"/>
  <c r="C276" i="25"/>
  <c r="H276" i="25" s="1"/>
  <c r="D276" i="25"/>
  <c r="AI276" i="24"/>
  <c r="AK275" i="24"/>
  <c r="AQ274" i="5" s="1"/>
  <c r="CA274" i="5" s="1"/>
  <c r="J274" i="5"/>
  <c r="I275" i="5"/>
  <c r="BZ275" i="5" s="1"/>
  <c r="D277" i="24"/>
  <c r="C277" i="24"/>
  <c r="E276" i="24"/>
  <c r="B276" i="24"/>
  <c r="K272" i="2"/>
  <c r="R272" i="2"/>
  <c r="Q272" i="2"/>
  <c r="B276" i="5"/>
  <c r="D277" i="5"/>
  <c r="E276" i="5"/>
  <c r="C277" i="5"/>
  <c r="E274" i="2"/>
  <c r="C275" i="2"/>
  <c r="D275" i="2"/>
  <c r="B274" i="2"/>
  <c r="P273" i="2"/>
  <c r="J273" i="2"/>
  <c r="H736" i="5" l="1"/>
  <c r="G619" i="5"/>
  <c r="BW618" i="5"/>
  <c r="BY618" i="5" s="1"/>
  <c r="H555" i="2"/>
  <c r="AR554" i="2"/>
  <c r="AT554" i="2"/>
  <c r="X273" i="2"/>
  <c r="W274" i="2"/>
  <c r="Y274" i="2" s="1"/>
  <c r="E535" i="26"/>
  <c r="C536" i="26"/>
  <c r="B535" i="26"/>
  <c r="D536" i="26"/>
  <c r="D277" i="25"/>
  <c r="B276" i="25"/>
  <c r="C277" i="25"/>
  <c r="H277" i="25" s="1"/>
  <c r="E276" i="25"/>
  <c r="AI277" i="24"/>
  <c r="AK276" i="24"/>
  <c r="AQ275" i="5" s="1"/>
  <c r="CA275" i="5" s="1"/>
  <c r="B277" i="24"/>
  <c r="E277" i="24"/>
  <c r="D278" i="24"/>
  <c r="C278" i="24"/>
  <c r="I276" i="5"/>
  <c r="BZ276" i="5" s="1"/>
  <c r="J275" i="5"/>
  <c r="R273" i="2"/>
  <c r="K273" i="2"/>
  <c r="B277" i="5"/>
  <c r="E277" i="5"/>
  <c r="I277" i="5" s="1"/>
  <c r="BZ277" i="5" s="1"/>
  <c r="D278" i="5"/>
  <c r="C278" i="5"/>
  <c r="Q273" i="2"/>
  <c r="B275" i="2"/>
  <c r="E275" i="2"/>
  <c r="D276" i="2"/>
  <c r="C276" i="2"/>
  <c r="P274" i="2"/>
  <c r="J274" i="2"/>
  <c r="G620" i="5" l="1"/>
  <c r="BW619" i="5"/>
  <c r="BY619" i="5" s="1"/>
  <c r="H737" i="5"/>
  <c r="H741" i="5" s="1"/>
  <c r="H556" i="2"/>
  <c r="AR555" i="2"/>
  <c r="AT555" i="2" s="1"/>
  <c r="X274" i="2"/>
  <c r="W275" i="2"/>
  <c r="Y275" i="2" s="1"/>
  <c r="C537" i="26"/>
  <c r="E536" i="26"/>
  <c r="D537" i="26"/>
  <c r="B536" i="26"/>
  <c r="D278" i="25"/>
  <c r="E277" i="25"/>
  <c r="C278" i="25"/>
  <c r="H278" i="25" s="1"/>
  <c r="B277" i="25"/>
  <c r="AI278" i="24"/>
  <c r="AK277" i="24"/>
  <c r="AQ276" i="5" s="1"/>
  <c r="CA276" i="5" s="1"/>
  <c r="J276" i="5"/>
  <c r="J277" i="5" s="1"/>
  <c r="C279" i="24"/>
  <c r="D279" i="24"/>
  <c r="AI279" i="24" s="1"/>
  <c r="B278" i="24"/>
  <c r="E278" i="24"/>
  <c r="R274" i="2"/>
  <c r="D279" i="5"/>
  <c r="E278" i="5"/>
  <c r="I278" i="5" s="1"/>
  <c r="BZ278" i="5" s="1"/>
  <c r="C279" i="5"/>
  <c r="B278" i="5"/>
  <c r="E276" i="2"/>
  <c r="C277" i="2"/>
  <c r="D277" i="2"/>
  <c r="B276" i="2"/>
  <c r="P275" i="2"/>
  <c r="J275" i="2"/>
  <c r="K274" i="2"/>
  <c r="Q274" i="2"/>
  <c r="H742" i="5" l="1"/>
  <c r="G621" i="5"/>
  <c r="BW620" i="5"/>
  <c r="BY620" i="5" s="1"/>
  <c r="H557" i="2"/>
  <c r="AR556" i="2"/>
  <c r="AT556" i="2" s="1"/>
  <c r="X275" i="2"/>
  <c r="W276" i="2"/>
  <c r="Y276" i="2" s="1"/>
  <c r="D538" i="26"/>
  <c r="C538" i="26"/>
  <c r="B537" i="26"/>
  <c r="E537" i="26"/>
  <c r="B278" i="25"/>
  <c r="C279" i="25"/>
  <c r="H279" i="25" s="1"/>
  <c r="E278" i="25"/>
  <c r="D279" i="25"/>
  <c r="AH279" i="24"/>
  <c r="AK278" i="24"/>
  <c r="AQ277" i="5" s="1"/>
  <c r="CA277" i="5" s="1"/>
  <c r="D280" i="24"/>
  <c r="AI280" i="24" s="1"/>
  <c r="C280" i="24"/>
  <c r="E279" i="24"/>
  <c r="B279" i="24"/>
  <c r="K275" i="2"/>
  <c r="R275" i="2"/>
  <c r="B279" i="5"/>
  <c r="D280" i="5"/>
  <c r="C280" i="5"/>
  <c r="E279" i="5"/>
  <c r="I279" i="5" s="1"/>
  <c r="BZ279" i="5" s="1"/>
  <c r="J278" i="5"/>
  <c r="Q275" i="2"/>
  <c r="B277" i="2"/>
  <c r="E277" i="2"/>
  <c r="C278" i="2"/>
  <c r="D278" i="2"/>
  <c r="P276" i="2"/>
  <c r="J276" i="2"/>
  <c r="G622" i="5" l="1"/>
  <c r="BW621" i="5"/>
  <c r="BY621" i="5" s="1"/>
  <c r="H743" i="5"/>
  <c r="H558" i="2"/>
  <c r="AR557" i="2"/>
  <c r="AT557" i="2" s="1"/>
  <c r="W277" i="2"/>
  <c r="Y277" i="2" s="1"/>
  <c r="X276" i="2"/>
  <c r="X277" i="2" s="1"/>
  <c r="E538" i="26"/>
  <c r="C539" i="26"/>
  <c r="B538" i="26"/>
  <c r="D539" i="26"/>
  <c r="AO278" i="5"/>
  <c r="BY278" i="5" s="1"/>
  <c r="AH278" i="24"/>
  <c r="D280" i="25"/>
  <c r="B279" i="25"/>
  <c r="E279" i="25"/>
  <c r="C280" i="25"/>
  <c r="H280" i="25" s="1"/>
  <c r="AK279" i="24"/>
  <c r="AQ278" i="5" s="1"/>
  <c r="CA278" i="5" s="1"/>
  <c r="C281" i="24"/>
  <c r="B280" i="24"/>
  <c r="E280" i="24"/>
  <c r="AK280" i="24" s="1"/>
  <c r="AQ279" i="5" s="1"/>
  <c r="CA279" i="5" s="1"/>
  <c r="D281" i="24"/>
  <c r="AI281" i="24" s="1"/>
  <c r="J279" i="5"/>
  <c r="R276" i="2"/>
  <c r="E280" i="5"/>
  <c r="I280" i="5" s="1"/>
  <c r="BZ280" i="5" s="1"/>
  <c r="C281" i="5"/>
  <c r="B280" i="5"/>
  <c r="D281" i="5"/>
  <c r="P277" i="2"/>
  <c r="J277" i="2"/>
  <c r="Q276" i="2"/>
  <c r="E278" i="2"/>
  <c r="C279" i="2"/>
  <c r="D279" i="2"/>
  <c r="B278" i="2"/>
  <c r="K276" i="2"/>
  <c r="H744" i="5" l="1"/>
  <c r="BW622" i="5"/>
  <c r="BY622" i="5" s="1"/>
  <c r="G623" i="5"/>
  <c r="H559" i="2"/>
  <c r="AR558" i="2"/>
  <c r="AT558" i="2"/>
  <c r="W278" i="2"/>
  <c r="Y278" i="2" s="1"/>
  <c r="D540" i="26"/>
  <c r="B539" i="26"/>
  <c r="E539" i="26"/>
  <c r="C540" i="26"/>
  <c r="AH277" i="24"/>
  <c r="AO277" i="5"/>
  <c r="BY277" i="5" s="1"/>
  <c r="E280" i="25"/>
  <c r="B280" i="25"/>
  <c r="C281" i="25"/>
  <c r="H281" i="25" s="1"/>
  <c r="D281" i="25"/>
  <c r="D282" i="24"/>
  <c r="AI282" i="24" s="1"/>
  <c r="B281" i="24"/>
  <c r="C282" i="24"/>
  <c r="E281" i="24"/>
  <c r="AK281" i="24" s="1"/>
  <c r="AQ280" i="5" s="1"/>
  <c r="CA280" i="5" s="1"/>
  <c r="K277" i="2"/>
  <c r="R277" i="2"/>
  <c r="B281" i="5"/>
  <c r="E281" i="5"/>
  <c r="I281" i="5" s="1"/>
  <c r="BZ281" i="5" s="1"/>
  <c r="D282" i="5"/>
  <c r="C282" i="5"/>
  <c r="J280" i="5"/>
  <c r="B279" i="2"/>
  <c r="E279" i="2"/>
  <c r="C280" i="2"/>
  <c r="D280" i="2"/>
  <c r="P278" i="2"/>
  <c r="J278" i="2"/>
  <c r="Q277" i="2"/>
  <c r="G624" i="5" l="1"/>
  <c r="BW623" i="5"/>
  <c r="BY623" i="5" s="1"/>
  <c r="H745" i="5"/>
  <c r="X278" i="2"/>
  <c r="H560" i="2"/>
  <c r="AR559" i="2"/>
  <c r="AT559" i="2" s="1"/>
  <c r="W279" i="2"/>
  <c r="Y279" i="2" s="1"/>
  <c r="B540" i="26"/>
  <c r="E540" i="26"/>
  <c r="C541" i="26"/>
  <c r="D541" i="26"/>
  <c r="AH276" i="24"/>
  <c r="AO276" i="5"/>
  <c r="BY276" i="5" s="1"/>
  <c r="B281" i="25"/>
  <c r="D282" i="25"/>
  <c r="C282" i="25"/>
  <c r="H282" i="25" s="1"/>
  <c r="E281" i="25"/>
  <c r="B282" i="24"/>
  <c r="E282" i="24"/>
  <c r="AK282" i="24" s="1"/>
  <c r="AQ281" i="5" s="1"/>
  <c r="CA281" i="5" s="1"/>
  <c r="D283" i="24"/>
  <c r="AI283" i="24" s="1"/>
  <c r="C283" i="24"/>
  <c r="J281" i="5"/>
  <c r="R278" i="2"/>
  <c r="B282" i="5"/>
  <c r="E282" i="5"/>
  <c r="I282" i="5" s="1"/>
  <c r="BZ282" i="5" s="1"/>
  <c r="C283" i="5"/>
  <c r="D283" i="5"/>
  <c r="Q278" i="2"/>
  <c r="E280" i="2"/>
  <c r="C281" i="2"/>
  <c r="D281" i="2"/>
  <c r="B280" i="2"/>
  <c r="P279" i="2"/>
  <c r="J279" i="2"/>
  <c r="K278" i="2"/>
  <c r="H746" i="5" l="1"/>
  <c r="H747" i="5" s="1"/>
  <c r="H748" i="5" s="1"/>
  <c r="G625" i="5"/>
  <c r="BW624" i="5"/>
  <c r="BY624" i="5" s="1"/>
  <c r="H561" i="2"/>
  <c r="AR560" i="2"/>
  <c r="AT560" i="2" s="1"/>
  <c r="X279" i="2"/>
  <c r="W280" i="2"/>
  <c r="X280" i="2" s="1"/>
  <c r="B541" i="26"/>
  <c r="D542" i="26"/>
  <c r="E541" i="26"/>
  <c r="C542" i="26"/>
  <c r="AH275" i="24"/>
  <c r="AO275" i="5"/>
  <c r="BY275" i="5" s="1"/>
  <c r="E282" i="25"/>
  <c r="C283" i="25"/>
  <c r="H283" i="25" s="1"/>
  <c r="B282" i="25"/>
  <c r="D283" i="25"/>
  <c r="B283" i="24"/>
  <c r="C284" i="24"/>
  <c r="D284" i="24"/>
  <c r="AI284" i="24" s="1"/>
  <c r="E283" i="24"/>
  <c r="AK283" i="24" s="1"/>
  <c r="AQ282" i="5" s="1"/>
  <c r="CA282" i="5" s="1"/>
  <c r="R279" i="2"/>
  <c r="E283" i="5"/>
  <c r="I283" i="5" s="1"/>
  <c r="BZ283" i="5" s="1"/>
  <c r="B283" i="5"/>
  <c r="D284" i="5"/>
  <c r="C284" i="5"/>
  <c r="J282" i="5"/>
  <c r="K279" i="2"/>
  <c r="Q279" i="2"/>
  <c r="B281" i="2"/>
  <c r="E281" i="2"/>
  <c r="D282" i="2"/>
  <c r="C282" i="2"/>
  <c r="P280" i="2"/>
  <c r="J280" i="2"/>
  <c r="BW625" i="5" l="1"/>
  <c r="BY625" i="5" s="1"/>
  <c r="G626" i="5"/>
  <c r="H749" i="5"/>
  <c r="H750" i="5" s="1"/>
  <c r="H562" i="2"/>
  <c r="AR561" i="2"/>
  <c r="AT561" i="2"/>
  <c r="Y280" i="2"/>
  <c r="W281" i="2"/>
  <c r="Y281" i="2" s="1"/>
  <c r="B542" i="26"/>
  <c r="D543" i="26"/>
  <c r="C543" i="26"/>
  <c r="E542" i="26"/>
  <c r="AH274" i="24"/>
  <c r="AO274" i="5"/>
  <c r="BY274" i="5" s="1"/>
  <c r="E283" i="25"/>
  <c r="B283" i="25"/>
  <c r="C284" i="25"/>
  <c r="H284" i="25" s="1"/>
  <c r="D284" i="25"/>
  <c r="J283" i="5"/>
  <c r="E284" i="24"/>
  <c r="AK284" i="24" s="1"/>
  <c r="AQ283" i="5" s="1"/>
  <c r="CA283" i="5" s="1"/>
  <c r="D285" i="24"/>
  <c r="AI285" i="24" s="1"/>
  <c r="B284" i="24"/>
  <c r="C285" i="24"/>
  <c r="R280" i="2"/>
  <c r="E284" i="5"/>
  <c r="I284" i="5" s="1"/>
  <c r="BZ284" i="5" s="1"/>
  <c r="B284" i="5"/>
  <c r="D285" i="5"/>
  <c r="C285" i="5"/>
  <c r="P281" i="2"/>
  <c r="J281" i="2"/>
  <c r="K280" i="2"/>
  <c r="Q280" i="2"/>
  <c r="E282" i="2"/>
  <c r="C283" i="2"/>
  <c r="D283" i="2"/>
  <c r="B282" i="2"/>
  <c r="H751" i="5" l="1"/>
  <c r="H752" i="5" s="1"/>
  <c r="G627" i="5"/>
  <c r="BW626" i="5"/>
  <c r="BY626" i="5" s="1"/>
  <c r="H563" i="2"/>
  <c r="AR562" i="2"/>
  <c r="AT562" i="2"/>
  <c r="X281" i="2"/>
  <c r="W282" i="2"/>
  <c r="Y282" i="2" s="1"/>
  <c r="B543" i="26"/>
  <c r="C544" i="26"/>
  <c r="E543" i="26"/>
  <c r="D544" i="26"/>
  <c r="AH273" i="24"/>
  <c r="AO273" i="5"/>
  <c r="BY273" i="5" s="1"/>
  <c r="D285" i="25"/>
  <c r="B284" i="25"/>
  <c r="C285" i="25"/>
  <c r="H285" i="25" s="1"/>
  <c r="E284" i="25"/>
  <c r="Q281" i="2"/>
  <c r="J284" i="5"/>
  <c r="B285" i="24"/>
  <c r="C286" i="24"/>
  <c r="E285" i="24"/>
  <c r="AK285" i="24" s="1"/>
  <c r="AQ284" i="5" s="1"/>
  <c r="CA284" i="5" s="1"/>
  <c r="D286" i="24"/>
  <c r="AI286" i="24" s="1"/>
  <c r="R281" i="2"/>
  <c r="D286" i="5"/>
  <c r="E285" i="5"/>
  <c r="I285" i="5" s="1"/>
  <c r="BZ285" i="5" s="1"/>
  <c r="C286" i="5"/>
  <c r="B285" i="5"/>
  <c r="K281" i="2"/>
  <c r="B283" i="2"/>
  <c r="E283" i="2"/>
  <c r="C284" i="2"/>
  <c r="D284" i="2"/>
  <c r="P282" i="2"/>
  <c r="J282" i="2"/>
  <c r="BW627" i="5" l="1"/>
  <c r="BY627" i="5" s="1"/>
  <c r="G628" i="5"/>
  <c r="H753" i="5"/>
  <c r="AR563" i="2"/>
  <c r="AT563" i="2" s="1"/>
  <c r="H564" i="2"/>
  <c r="X282" i="2"/>
  <c r="W283" i="2"/>
  <c r="Y283" i="2" s="1"/>
  <c r="E544" i="26"/>
  <c r="C545" i="26"/>
  <c r="B544" i="26"/>
  <c r="D545" i="26"/>
  <c r="AH272" i="24"/>
  <c r="AO272" i="5"/>
  <c r="BY272" i="5" s="1"/>
  <c r="E285" i="25"/>
  <c r="B285" i="25"/>
  <c r="C286" i="25"/>
  <c r="H286" i="25" s="1"/>
  <c r="D286" i="25"/>
  <c r="B286" i="24"/>
  <c r="D287" i="24"/>
  <c r="AI287" i="24" s="1"/>
  <c r="E286" i="24"/>
  <c r="AK286" i="24" s="1"/>
  <c r="AQ285" i="5" s="1"/>
  <c r="CA285" i="5" s="1"/>
  <c r="C287" i="24"/>
  <c r="R282" i="2"/>
  <c r="B286" i="5"/>
  <c r="E286" i="5"/>
  <c r="I286" i="5" s="1"/>
  <c r="BZ286" i="5" s="1"/>
  <c r="C287" i="5"/>
  <c r="D287" i="5"/>
  <c r="J285" i="5"/>
  <c r="E284" i="2"/>
  <c r="C285" i="2"/>
  <c r="D285" i="2"/>
  <c r="B284" i="2"/>
  <c r="P283" i="2"/>
  <c r="J283" i="2"/>
  <c r="K282" i="2"/>
  <c r="Q282" i="2"/>
  <c r="BW628" i="5" l="1"/>
  <c r="BY628" i="5" s="1"/>
  <c r="G629" i="5"/>
  <c r="H565" i="2"/>
  <c r="AR564" i="2"/>
  <c r="AT564" i="2"/>
  <c r="X283" i="2"/>
  <c r="W284" i="2"/>
  <c r="C546" i="26"/>
  <c r="B545" i="26"/>
  <c r="E545" i="26"/>
  <c r="D546" i="26"/>
  <c r="AH271" i="24"/>
  <c r="AO271" i="5"/>
  <c r="BY271" i="5" s="1"/>
  <c r="D287" i="25"/>
  <c r="E286" i="25"/>
  <c r="B286" i="25"/>
  <c r="C287" i="25"/>
  <c r="H287" i="25" s="1"/>
  <c r="C288" i="24"/>
  <c r="B287" i="24"/>
  <c r="D288" i="24"/>
  <c r="AI288" i="24" s="1"/>
  <c r="E287" i="24"/>
  <c r="AK287" i="24" s="1"/>
  <c r="AQ286" i="5" s="1"/>
  <c r="CA286" i="5" s="1"/>
  <c r="J286" i="5"/>
  <c r="R283" i="2"/>
  <c r="D288" i="5"/>
  <c r="E287" i="5"/>
  <c r="I287" i="5" s="1"/>
  <c r="BZ287" i="5" s="1"/>
  <c r="B287" i="5"/>
  <c r="C288" i="5"/>
  <c r="K283" i="2"/>
  <c r="Q283" i="2"/>
  <c r="B285" i="2"/>
  <c r="E285" i="2"/>
  <c r="C286" i="2"/>
  <c r="D286" i="2"/>
  <c r="P284" i="2"/>
  <c r="J284" i="2"/>
  <c r="G630" i="5" l="1"/>
  <c r="BW629" i="5"/>
  <c r="BY629" i="5" s="1"/>
  <c r="H566" i="2"/>
  <c r="AR565" i="2"/>
  <c r="AT565" i="2" s="1"/>
  <c r="X284" i="2"/>
  <c r="W285" i="2"/>
  <c r="Y285" i="2" s="1"/>
  <c r="Y284" i="2"/>
  <c r="D547" i="26"/>
  <c r="E546" i="26"/>
  <c r="C547" i="26"/>
  <c r="B546" i="26"/>
  <c r="AH270" i="24"/>
  <c r="AO270" i="5"/>
  <c r="BY270" i="5" s="1"/>
  <c r="E287" i="25"/>
  <c r="C288" i="25"/>
  <c r="H288" i="25" s="1"/>
  <c r="D288" i="25"/>
  <c r="B287" i="25"/>
  <c r="B288" i="24"/>
  <c r="D289" i="24"/>
  <c r="AI289" i="24" s="1"/>
  <c r="E288" i="24"/>
  <c r="AK288" i="24" s="1"/>
  <c r="AQ287" i="5" s="1"/>
  <c r="CA287" i="5" s="1"/>
  <c r="C289" i="24"/>
  <c r="R284" i="2"/>
  <c r="E288" i="5"/>
  <c r="I288" i="5" s="1"/>
  <c r="BZ288" i="5" s="1"/>
  <c r="D289" i="5"/>
  <c r="B288" i="5"/>
  <c r="C289" i="5"/>
  <c r="J287" i="5"/>
  <c r="P285" i="2"/>
  <c r="J285" i="2"/>
  <c r="K284" i="2"/>
  <c r="Q284" i="2"/>
  <c r="E286" i="2"/>
  <c r="C287" i="2"/>
  <c r="D287" i="2"/>
  <c r="B286" i="2"/>
  <c r="G631" i="5" l="1"/>
  <c r="BW630" i="5"/>
  <c r="BY630" i="5" s="1"/>
  <c r="H567" i="2"/>
  <c r="AR566" i="2"/>
  <c r="AT566" i="2" s="1"/>
  <c r="X285" i="2"/>
  <c r="W286" i="2"/>
  <c r="Y286" i="2" s="1"/>
  <c r="E547" i="26"/>
  <c r="B547" i="26"/>
  <c r="C548" i="26"/>
  <c r="D548" i="26"/>
  <c r="AH269" i="24"/>
  <c r="AO269" i="5"/>
  <c r="BY269" i="5" s="1"/>
  <c r="E288" i="25"/>
  <c r="B288" i="25"/>
  <c r="C289" i="25"/>
  <c r="H289" i="25" s="1"/>
  <c r="D289" i="25"/>
  <c r="Q285" i="2"/>
  <c r="D290" i="24"/>
  <c r="AI290" i="24" s="1"/>
  <c r="E289" i="24"/>
  <c r="AK289" i="24" s="1"/>
  <c r="AQ288" i="5" s="1"/>
  <c r="CA288" i="5" s="1"/>
  <c r="B289" i="24"/>
  <c r="C290" i="24"/>
  <c r="J288" i="5"/>
  <c r="R285" i="2"/>
  <c r="E289" i="5"/>
  <c r="I289" i="5" s="1"/>
  <c r="BZ289" i="5" s="1"/>
  <c r="B289" i="5"/>
  <c r="D290" i="5"/>
  <c r="C290" i="5"/>
  <c r="K285" i="2"/>
  <c r="B287" i="2"/>
  <c r="E287" i="2"/>
  <c r="C288" i="2"/>
  <c r="D288" i="2"/>
  <c r="P286" i="2"/>
  <c r="J286" i="2"/>
  <c r="G632" i="5" l="1"/>
  <c r="BW631" i="5"/>
  <c r="BY631" i="5" s="1"/>
  <c r="H568" i="2"/>
  <c r="AR567" i="2"/>
  <c r="AT567" i="2"/>
  <c r="X286" i="2"/>
  <c r="W287" i="2"/>
  <c r="X287" i="2" s="1"/>
  <c r="C549" i="26"/>
  <c r="D549" i="26"/>
  <c r="E548" i="26"/>
  <c r="B548" i="26"/>
  <c r="AH268" i="24"/>
  <c r="AO267" i="5" s="1"/>
  <c r="BY267" i="5" s="1"/>
  <c r="AO268" i="5"/>
  <c r="BY268" i="5" s="1"/>
  <c r="D290" i="25"/>
  <c r="E289" i="25"/>
  <c r="AI289" i="25" s="1"/>
  <c r="AP289" i="2" s="1"/>
  <c r="AG289" i="25"/>
  <c r="C290" i="25"/>
  <c r="H290" i="25" s="1"/>
  <c r="B289" i="25"/>
  <c r="C291" i="24"/>
  <c r="E290" i="24"/>
  <c r="AK290" i="24" s="1"/>
  <c r="AQ289" i="5" s="1"/>
  <c r="CA289" i="5" s="1"/>
  <c r="D291" i="24"/>
  <c r="AI291" i="24" s="1"/>
  <c r="B290" i="24"/>
  <c r="R286" i="2"/>
  <c r="B290" i="5"/>
  <c r="D291" i="5"/>
  <c r="E290" i="5"/>
  <c r="I290" i="5" s="1"/>
  <c r="BZ290" i="5" s="1"/>
  <c r="C291" i="5"/>
  <c r="J289" i="5"/>
  <c r="E288" i="2"/>
  <c r="C289" i="2"/>
  <c r="D289" i="2"/>
  <c r="B288" i="2"/>
  <c r="K286" i="2"/>
  <c r="P287" i="2"/>
  <c r="J287" i="2"/>
  <c r="Q286" i="2"/>
  <c r="G633" i="5" l="1"/>
  <c r="BW632" i="5"/>
  <c r="BY632" i="5" s="1"/>
  <c r="H569" i="2"/>
  <c r="AR568" i="2"/>
  <c r="AT568" i="2" s="1"/>
  <c r="Y287" i="2"/>
  <c r="W288" i="2"/>
  <c r="Y288" i="2" s="1"/>
  <c r="E549" i="26"/>
  <c r="C550" i="26"/>
  <c r="D550" i="26"/>
  <c r="B549" i="26"/>
  <c r="J290" i="5"/>
  <c r="AG290" i="25"/>
  <c r="E290" i="25"/>
  <c r="AI290" i="25" s="1"/>
  <c r="AP290" i="2" s="1"/>
  <c r="D291" i="25"/>
  <c r="C291" i="25"/>
  <c r="H291" i="25" s="1"/>
  <c r="B290" i="25"/>
  <c r="B291" i="24"/>
  <c r="C292" i="24"/>
  <c r="D292" i="24"/>
  <c r="AI292" i="24" s="1"/>
  <c r="E291" i="24"/>
  <c r="AK291" i="24" s="1"/>
  <c r="AQ290" i="5" s="1"/>
  <c r="CA290" i="5" s="1"/>
  <c r="R287" i="2"/>
  <c r="C292" i="5"/>
  <c r="D292" i="5"/>
  <c r="B291" i="5"/>
  <c r="E291" i="5"/>
  <c r="I291" i="5" s="1"/>
  <c r="BZ291" i="5" s="1"/>
  <c r="Q287" i="2"/>
  <c r="K287" i="2"/>
  <c r="B289" i="2"/>
  <c r="E289" i="2"/>
  <c r="D290" i="2"/>
  <c r="C290" i="2"/>
  <c r="P288" i="2"/>
  <c r="J288" i="2"/>
  <c r="G634" i="5" l="1"/>
  <c r="BW633" i="5"/>
  <c r="BY633" i="5" s="1"/>
  <c r="H570" i="2"/>
  <c r="AR569" i="2"/>
  <c r="AT569" i="2"/>
  <c r="X288" i="2"/>
  <c r="W289" i="2"/>
  <c r="Y289" i="2" s="1"/>
  <c r="E550" i="26"/>
  <c r="B550" i="26"/>
  <c r="D551" i="26"/>
  <c r="C551" i="26"/>
  <c r="AG291" i="25"/>
  <c r="D292" i="25"/>
  <c r="C292" i="25"/>
  <c r="H292" i="25" s="1"/>
  <c r="B291" i="25"/>
  <c r="E291" i="25"/>
  <c r="AI291" i="25" s="1"/>
  <c r="AP291" i="2" s="1"/>
  <c r="D293" i="24"/>
  <c r="AI293" i="24" s="1"/>
  <c r="E292" i="24"/>
  <c r="AK292" i="24" s="1"/>
  <c r="AQ291" i="5" s="1"/>
  <c r="CA291" i="5" s="1"/>
  <c r="C293" i="24"/>
  <c r="B292" i="24"/>
  <c r="R288" i="2"/>
  <c r="C293" i="5"/>
  <c r="B292" i="5"/>
  <c r="D293" i="5"/>
  <c r="E292" i="5"/>
  <c r="I292" i="5" s="1"/>
  <c r="BZ292" i="5" s="1"/>
  <c r="J291" i="5"/>
  <c r="E290" i="2"/>
  <c r="C291" i="2"/>
  <c r="D291" i="2"/>
  <c r="B290" i="2"/>
  <c r="P289" i="2"/>
  <c r="J289" i="2"/>
  <c r="K288" i="2"/>
  <c r="Q288" i="2"/>
  <c r="BW634" i="5" l="1"/>
  <c r="BY634" i="5" s="1"/>
  <c r="G635" i="5"/>
  <c r="H571" i="2"/>
  <c r="AR570" i="2"/>
  <c r="AT570" i="2" s="1"/>
  <c r="W290" i="2"/>
  <c r="Y290" i="2" s="1"/>
  <c r="X289" i="2"/>
  <c r="X290" i="2" s="1"/>
  <c r="C552" i="26"/>
  <c r="E551" i="26"/>
  <c r="D552" i="26"/>
  <c r="B551" i="26"/>
  <c r="J292" i="5"/>
  <c r="AG292" i="25"/>
  <c r="C293" i="25"/>
  <c r="H293" i="25" s="1"/>
  <c r="D293" i="25"/>
  <c r="E292" i="25"/>
  <c r="AI292" i="25" s="1"/>
  <c r="AP292" i="2" s="1"/>
  <c r="B292" i="25"/>
  <c r="K289" i="2"/>
  <c r="C294" i="24"/>
  <c r="E293" i="24"/>
  <c r="AK293" i="24" s="1"/>
  <c r="AQ292" i="5" s="1"/>
  <c r="CA292" i="5" s="1"/>
  <c r="B293" i="24"/>
  <c r="D294" i="24"/>
  <c r="AI294" i="24" s="1"/>
  <c r="R289" i="2"/>
  <c r="B293" i="5"/>
  <c r="E293" i="5"/>
  <c r="I293" i="5" s="1"/>
  <c r="BZ293" i="5" s="1"/>
  <c r="C294" i="5"/>
  <c r="D294" i="5"/>
  <c r="Q289" i="2"/>
  <c r="B291" i="2"/>
  <c r="E291" i="2"/>
  <c r="C292" i="2"/>
  <c r="D292" i="2"/>
  <c r="P290" i="2"/>
  <c r="J290" i="2"/>
  <c r="G636" i="5" l="1"/>
  <c r="BW635" i="5"/>
  <c r="BY635" i="5" s="1"/>
  <c r="H572" i="2"/>
  <c r="AR571" i="2"/>
  <c r="AT571" i="2" s="1"/>
  <c r="W291" i="2"/>
  <c r="X291" i="2" s="1"/>
  <c r="E552" i="26"/>
  <c r="D553" i="26"/>
  <c r="B552" i="26"/>
  <c r="C553" i="26"/>
  <c r="AG293" i="25"/>
  <c r="E293" i="25"/>
  <c r="AI293" i="25" s="1"/>
  <c r="AP293" i="2" s="1"/>
  <c r="B293" i="25"/>
  <c r="D294" i="25"/>
  <c r="C294" i="25"/>
  <c r="H294" i="25" s="1"/>
  <c r="D295" i="24"/>
  <c r="AI295" i="24" s="1"/>
  <c r="B294" i="24"/>
  <c r="C295" i="24"/>
  <c r="E294" i="24"/>
  <c r="AK294" i="24" s="1"/>
  <c r="AQ293" i="5" s="1"/>
  <c r="CA293" i="5" s="1"/>
  <c r="R290" i="2"/>
  <c r="C295" i="5"/>
  <c r="B294" i="5"/>
  <c r="D295" i="5"/>
  <c r="E294" i="5"/>
  <c r="I294" i="5" s="1"/>
  <c r="BZ294" i="5" s="1"/>
  <c r="J293" i="5"/>
  <c r="E292" i="2"/>
  <c r="C293" i="2"/>
  <c r="D293" i="2"/>
  <c r="B292" i="2"/>
  <c r="P291" i="2"/>
  <c r="J291" i="2"/>
  <c r="K290" i="2"/>
  <c r="Q290" i="2"/>
  <c r="G637" i="5" l="1"/>
  <c r="BW636" i="5"/>
  <c r="BY636" i="5" s="1"/>
  <c r="H573" i="2"/>
  <c r="AR572" i="2"/>
  <c r="AT572" i="2" s="1"/>
  <c r="Y291" i="2"/>
  <c r="W292" i="2"/>
  <c r="Y292" i="2" s="1"/>
  <c r="C554" i="26"/>
  <c r="B553" i="26"/>
  <c r="E553" i="26"/>
  <c r="D554" i="26"/>
  <c r="AG294" i="25"/>
  <c r="D295" i="25"/>
  <c r="C295" i="25"/>
  <c r="H295" i="25" s="1"/>
  <c r="B294" i="25"/>
  <c r="E294" i="25"/>
  <c r="AI294" i="25" s="1"/>
  <c r="AP294" i="2" s="1"/>
  <c r="B295" i="24"/>
  <c r="E295" i="24"/>
  <c r="AK295" i="24" s="1"/>
  <c r="AQ294" i="5" s="1"/>
  <c r="CA294" i="5" s="1"/>
  <c r="C296" i="24"/>
  <c r="D296" i="24"/>
  <c r="AI296" i="24" s="1"/>
  <c r="J294" i="5"/>
  <c r="R291" i="2"/>
  <c r="C296" i="5"/>
  <c r="B295" i="5"/>
  <c r="E295" i="5"/>
  <c r="I295" i="5" s="1"/>
  <c r="BZ295" i="5" s="1"/>
  <c r="D296" i="5"/>
  <c r="K291" i="2"/>
  <c r="Q291" i="2"/>
  <c r="B293" i="2"/>
  <c r="E293" i="2"/>
  <c r="C294" i="2"/>
  <c r="D294" i="2"/>
  <c r="P292" i="2"/>
  <c r="J292" i="2"/>
  <c r="BW637" i="5" l="1"/>
  <c r="BY637" i="5" s="1"/>
  <c r="G638" i="5"/>
  <c r="H574" i="2"/>
  <c r="AR573" i="2"/>
  <c r="AT573" i="2" s="1"/>
  <c r="W293" i="2"/>
  <c r="Y293" i="2" s="1"/>
  <c r="X292" i="2"/>
  <c r="X293" i="2" s="1"/>
  <c r="D555" i="26"/>
  <c r="B554" i="26"/>
  <c r="E554" i="26"/>
  <c r="C555" i="26"/>
  <c r="AG295" i="25"/>
  <c r="E295" i="25"/>
  <c r="AI295" i="25" s="1"/>
  <c r="AP295" i="2" s="1"/>
  <c r="C296" i="25"/>
  <c r="H296" i="25" s="1"/>
  <c r="D296" i="25"/>
  <c r="B295" i="25"/>
  <c r="B296" i="24"/>
  <c r="D297" i="24"/>
  <c r="AI297" i="24" s="1"/>
  <c r="C297" i="24"/>
  <c r="E296" i="24"/>
  <c r="AK296" i="24" s="1"/>
  <c r="AQ295" i="5" s="1"/>
  <c r="CA295" i="5" s="1"/>
  <c r="R292" i="2"/>
  <c r="D297" i="5"/>
  <c r="C297" i="5"/>
  <c r="B296" i="5"/>
  <c r="E296" i="5"/>
  <c r="I296" i="5" s="1"/>
  <c r="BZ296" i="5" s="1"/>
  <c r="J295" i="5"/>
  <c r="P293" i="2"/>
  <c r="J293" i="2"/>
  <c r="Q292" i="2"/>
  <c r="K292" i="2"/>
  <c r="E294" i="2"/>
  <c r="C295" i="2"/>
  <c r="D295" i="2"/>
  <c r="B294" i="2"/>
  <c r="G639" i="5" l="1"/>
  <c r="BW638" i="5"/>
  <c r="BY638" i="5" s="1"/>
  <c r="H575" i="2"/>
  <c r="AR574" i="2"/>
  <c r="AT574" i="2" s="1"/>
  <c r="W294" i="2"/>
  <c r="Y294" i="2" s="1"/>
  <c r="Q293" i="2"/>
  <c r="E555" i="26"/>
  <c r="C556" i="26"/>
  <c r="D556" i="26"/>
  <c r="B555" i="26"/>
  <c r="AG296" i="25"/>
  <c r="E296" i="25"/>
  <c r="AI296" i="25" s="1"/>
  <c r="AP296" i="2" s="1"/>
  <c r="B296" i="25"/>
  <c r="C297" i="25"/>
  <c r="H297" i="25" s="1"/>
  <c r="D297" i="25"/>
  <c r="E297" i="24"/>
  <c r="AK297" i="24" s="1"/>
  <c r="AQ296" i="5" s="1"/>
  <c r="CA296" i="5" s="1"/>
  <c r="C298" i="24"/>
  <c r="B297" i="24"/>
  <c r="D298" i="24"/>
  <c r="AI298" i="24" s="1"/>
  <c r="R293" i="2"/>
  <c r="J296" i="5"/>
  <c r="B297" i="5"/>
  <c r="D298" i="5"/>
  <c r="E297" i="5"/>
  <c r="I297" i="5" s="1"/>
  <c r="BZ297" i="5" s="1"/>
  <c r="C298" i="5"/>
  <c r="B295" i="2"/>
  <c r="E295" i="2"/>
  <c r="C296" i="2"/>
  <c r="D296" i="2"/>
  <c r="P294" i="2"/>
  <c r="J294" i="2"/>
  <c r="K293" i="2"/>
  <c r="G640" i="5" l="1"/>
  <c r="BW639" i="5"/>
  <c r="BY639" i="5" s="1"/>
  <c r="H576" i="2"/>
  <c r="AR575" i="2"/>
  <c r="AT575" i="2"/>
  <c r="X294" i="2"/>
  <c r="W295" i="2"/>
  <c r="Y295" i="2" s="1"/>
  <c r="C557" i="26"/>
  <c r="D557" i="26"/>
  <c r="B556" i="26"/>
  <c r="E556" i="26"/>
  <c r="D298" i="25"/>
  <c r="AG297" i="25"/>
  <c r="C298" i="25"/>
  <c r="H298" i="25" s="1"/>
  <c r="E297" i="25"/>
  <c r="AI297" i="25" s="1"/>
  <c r="AP297" i="2" s="1"/>
  <c r="B297" i="25"/>
  <c r="C299" i="24"/>
  <c r="E298" i="24"/>
  <c r="AK298" i="24" s="1"/>
  <c r="AQ297" i="5" s="1"/>
  <c r="CA297" i="5" s="1"/>
  <c r="D299" i="24"/>
  <c r="AI299" i="24" s="1"/>
  <c r="B298" i="24"/>
  <c r="R294" i="2"/>
  <c r="K294" i="2"/>
  <c r="B298" i="5"/>
  <c r="E298" i="5"/>
  <c r="I298" i="5" s="1"/>
  <c r="BZ298" i="5" s="1"/>
  <c r="D299" i="5"/>
  <c r="C299" i="5"/>
  <c r="J297" i="5"/>
  <c r="P295" i="2"/>
  <c r="J295" i="2"/>
  <c r="E296" i="2"/>
  <c r="C297" i="2"/>
  <c r="D297" i="2"/>
  <c r="B296" i="2"/>
  <c r="Q294" i="2"/>
  <c r="G641" i="5" l="1"/>
  <c r="BW640" i="5"/>
  <c r="BY640" i="5" s="1"/>
  <c r="H577" i="2"/>
  <c r="AR576" i="2"/>
  <c r="AT576" i="2" s="1"/>
  <c r="W296" i="2"/>
  <c r="Y296" i="2" s="1"/>
  <c r="X295" i="2"/>
  <c r="X296" i="2" s="1"/>
  <c r="C558" i="26"/>
  <c r="B557" i="26"/>
  <c r="D558" i="26"/>
  <c r="E557" i="26"/>
  <c r="AG298" i="25"/>
  <c r="B298" i="25"/>
  <c r="D299" i="25"/>
  <c r="E298" i="25"/>
  <c r="AI298" i="25" s="1"/>
  <c r="AP298" i="2" s="1"/>
  <c r="C299" i="25"/>
  <c r="H299" i="25" s="1"/>
  <c r="E299" i="24"/>
  <c r="AK299" i="24" s="1"/>
  <c r="AQ298" i="5" s="1"/>
  <c r="CA298" i="5" s="1"/>
  <c r="B299" i="24"/>
  <c r="C300" i="24"/>
  <c r="D300" i="24"/>
  <c r="AI300" i="24" s="1"/>
  <c r="J298" i="5"/>
  <c r="R295" i="2"/>
  <c r="B299" i="5"/>
  <c r="D300" i="5"/>
  <c r="E299" i="5"/>
  <c r="I299" i="5" s="1"/>
  <c r="BZ299" i="5" s="1"/>
  <c r="C300" i="5"/>
  <c r="Q295" i="2"/>
  <c r="B297" i="2"/>
  <c r="E297" i="2"/>
  <c r="D298" i="2"/>
  <c r="C298" i="2"/>
  <c r="P296" i="2"/>
  <c r="J296" i="2"/>
  <c r="K295" i="2"/>
  <c r="G642" i="5" l="1"/>
  <c r="BW641" i="5"/>
  <c r="BY641" i="5" s="1"/>
  <c r="AR577" i="2"/>
  <c r="AT577" i="2" s="1"/>
  <c r="H578" i="2"/>
  <c r="Q296" i="2"/>
  <c r="W297" i="2"/>
  <c r="Y297" i="2" s="1"/>
  <c r="B558" i="26"/>
  <c r="C559" i="26"/>
  <c r="D559" i="26"/>
  <c r="E558" i="26"/>
  <c r="AG299" i="25"/>
  <c r="C300" i="25"/>
  <c r="H300" i="25" s="1"/>
  <c r="D300" i="25"/>
  <c r="B299" i="25"/>
  <c r="E299" i="25"/>
  <c r="AI299" i="25" s="1"/>
  <c r="AP299" i="2" s="1"/>
  <c r="E300" i="24"/>
  <c r="AK300" i="24" s="1"/>
  <c r="AQ299" i="5" s="1"/>
  <c r="CA299" i="5" s="1"/>
  <c r="C301" i="24"/>
  <c r="D301" i="24"/>
  <c r="AI301" i="24" s="1"/>
  <c r="B300" i="24"/>
  <c r="R296" i="2"/>
  <c r="B300" i="5"/>
  <c r="E300" i="5"/>
  <c r="I300" i="5" s="1"/>
  <c r="BZ300" i="5" s="1"/>
  <c r="D301" i="5"/>
  <c r="C301" i="5"/>
  <c r="J299" i="5"/>
  <c r="K296" i="2"/>
  <c r="E298" i="2"/>
  <c r="C299" i="2"/>
  <c r="D299" i="2"/>
  <c r="B298" i="2"/>
  <c r="P297" i="2"/>
  <c r="J297" i="2"/>
  <c r="G643" i="5" l="1"/>
  <c r="BW642" i="5"/>
  <c r="BY642" i="5" s="1"/>
  <c r="H579" i="2"/>
  <c r="AR578" i="2"/>
  <c r="AT578" i="2" s="1"/>
  <c r="W298" i="2"/>
  <c r="Y298" i="2" s="1"/>
  <c r="X297" i="2"/>
  <c r="C560" i="26"/>
  <c r="B559" i="26"/>
  <c r="D560" i="26"/>
  <c r="E559" i="26"/>
  <c r="AG300" i="25"/>
  <c r="C301" i="25"/>
  <c r="H301" i="25" s="1"/>
  <c r="B300" i="25"/>
  <c r="D301" i="25"/>
  <c r="E300" i="25"/>
  <c r="AI300" i="25" s="1"/>
  <c r="AP300" i="2" s="1"/>
  <c r="J300" i="5"/>
  <c r="B301" i="24"/>
  <c r="D302" i="24"/>
  <c r="AI302" i="24" s="1"/>
  <c r="E301" i="24"/>
  <c r="AK301" i="24" s="1"/>
  <c r="AQ300" i="5" s="1"/>
  <c r="CA300" i="5" s="1"/>
  <c r="C302" i="24"/>
  <c r="R297" i="2"/>
  <c r="Q297" i="2"/>
  <c r="E301" i="5"/>
  <c r="I301" i="5" s="1"/>
  <c r="BZ301" i="5" s="1"/>
  <c r="C302" i="5"/>
  <c r="D302" i="5"/>
  <c r="B301" i="5"/>
  <c r="B299" i="2"/>
  <c r="E299" i="2"/>
  <c r="C300" i="2"/>
  <c r="D300" i="2"/>
  <c r="K297" i="2"/>
  <c r="P298" i="2"/>
  <c r="J298" i="2"/>
  <c r="BW643" i="5" l="1"/>
  <c r="BY643" i="5" s="1"/>
  <c r="G644" i="5"/>
  <c r="X298" i="2"/>
  <c r="H580" i="2"/>
  <c r="AR579" i="2"/>
  <c r="AT579" i="2" s="1"/>
  <c r="W299" i="2"/>
  <c r="X299" i="2" s="1"/>
  <c r="E560" i="26"/>
  <c r="C561" i="26"/>
  <c r="D561" i="26"/>
  <c r="B560" i="26"/>
  <c r="AG301" i="25"/>
  <c r="C302" i="25"/>
  <c r="H302" i="25" s="1"/>
  <c r="B301" i="25"/>
  <c r="E301" i="25"/>
  <c r="AI301" i="25" s="1"/>
  <c r="AP301" i="2" s="1"/>
  <c r="D302" i="25"/>
  <c r="B302" i="24"/>
  <c r="C303" i="24"/>
  <c r="E302" i="24"/>
  <c r="AK302" i="24" s="1"/>
  <c r="AQ301" i="5" s="1"/>
  <c r="CA301" i="5" s="1"/>
  <c r="D303" i="24"/>
  <c r="AI303" i="24" s="1"/>
  <c r="R298" i="2"/>
  <c r="C303" i="5"/>
  <c r="B302" i="5"/>
  <c r="E302" i="5"/>
  <c r="I302" i="5" s="1"/>
  <c r="BZ302" i="5" s="1"/>
  <c r="D303" i="5"/>
  <c r="J301" i="5"/>
  <c r="K298" i="2"/>
  <c r="E300" i="2"/>
  <c r="C301" i="2"/>
  <c r="D301" i="2"/>
  <c r="B300" i="2"/>
  <c r="P299" i="2"/>
  <c r="J299" i="2"/>
  <c r="Q298" i="2"/>
  <c r="G645" i="5" l="1"/>
  <c r="BW644" i="5"/>
  <c r="BY644" i="5" s="1"/>
  <c r="H581" i="2"/>
  <c r="AR580" i="2"/>
  <c r="AT580" i="2" s="1"/>
  <c r="Q299" i="2"/>
  <c r="W300" i="2"/>
  <c r="Y300" i="2" s="1"/>
  <c r="Y299" i="2"/>
  <c r="C562" i="26"/>
  <c r="B561" i="26"/>
  <c r="E561" i="26"/>
  <c r="D562" i="26"/>
  <c r="AG302" i="25"/>
  <c r="C303" i="25"/>
  <c r="H303" i="25" s="1"/>
  <c r="D303" i="25"/>
  <c r="B302" i="25"/>
  <c r="E302" i="25"/>
  <c r="AI302" i="25" s="1"/>
  <c r="AP302" i="2" s="1"/>
  <c r="B303" i="24"/>
  <c r="C304" i="24"/>
  <c r="E303" i="24"/>
  <c r="AK303" i="24" s="1"/>
  <c r="AQ302" i="5" s="1"/>
  <c r="CA302" i="5" s="1"/>
  <c r="D304" i="24"/>
  <c r="AI304" i="24" s="1"/>
  <c r="J302" i="5"/>
  <c r="R299" i="2"/>
  <c r="B303" i="5"/>
  <c r="E303" i="5"/>
  <c r="I303" i="5" s="1"/>
  <c r="BZ303" i="5" s="1"/>
  <c r="D304" i="5"/>
  <c r="C304" i="5"/>
  <c r="K299" i="2"/>
  <c r="B301" i="2"/>
  <c r="E301" i="2"/>
  <c r="C302" i="2"/>
  <c r="D302" i="2"/>
  <c r="P300" i="2"/>
  <c r="J300" i="2"/>
  <c r="G646" i="5" l="1"/>
  <c r="BW645" i="5"/>
  <c r="BY645" i="5" s="1"/>
  <c r="X300" i="2"/>
  <c r="H582" i="2"/>
  <c r="AR581" i="2"/>
  <c r="AT581" i="2"/>
  <c r="W301" i="2"/>
  <c r="X301" i="2" s="1"/>
  <c r="D563" i="26"/>
  <c r="C563" i="26"/>
  <c r="B562" i="26"/>
  <c r="E562" i="26"/>
  <c r="E303" i="25"/>
  <c r="AI303" i="25" s="1"/>
  <c r="AP303" i="2" s="1"/>
  <c r="AG303" i="25"/>
  <c r="B303" i="25"/>
  <c r="C304" i="25"/>
  <c r="H304" i="25" s="1"/>
  <c r="D304" i="25"/>
  <c r="D305" i="24"/>
  <c r="AI305" i="24" s="1"/>
  <c r="E304" i="24"/>
  <c r="AK304" i="24" s="1"/>
  <c r="AQ303" i="5" s="1"/>
  <c r="CA303" i="5" s="1"/>
  <c r="C305" i="24"/>
  <c r="B304" i="24"/>
  <c r="R300" i="2"/>
  <c r="K300" i="2"/>
  <c r="E304" i="5"/>
  <c r="I304" i="5" s="1"/>
  <c r="BZ304" i="5" s="1"/>
  <c r="C305" i="5"/>
  <c r="B304" i="5"/>
  <c r="D305" i="5"/>
  <c r="J303" i="5"/>
  <c r="Q300" i="2"/>
  <c r="P301" i="2"/>
  <c r="J301" i="2"/>
  <c r="E302" i="2"/>
  <c r="C303" i="2"/>
  <c r="D303" i="2"/>
  <c r="B302" i="2"/>
  <c r="J19" i="20" l="1"/>
  <c r="J101" i="20" s="1"/>
  <c r="F30" i="32" s="1"/>
  <c r="G647" i="5"/>
  <c r="BW646" i="5"/>
  <c r="BY646" i="5" s="1"/>
  <c r="H583" i="2"/>
  <c r="AR582" i="2"/>
  <c r="AT582" i="2" s="1"/>
  <c r="W302" i="2"/>
  <c r="Y302" i="2" s="1"/>
  <c r="Y301" i="2"/>
  <c r="E563" i="26"/>
  <c r="C564" i="26"/>
  <c r="D564" i="26"/>
  <c r="B563" i="26"/>
  <c r="AG304" i="25"/>
  <c r="C305" i="25"/>
  <c r="H305" i="25" s="1"/>
  <c r="B304" i="25"/>
  <c r="D305" i="25"/>
  <c r="E304" i="25"/>
  <c r="AI304" i="25" s="1"/>
  <c r="AP304" i="2" s="1"/>
  <c r="Q301" i="2"/>
  <c r="C306" i="24"/>
  <c r="D306" i="24"/>
  <c r="AI306" i="24" s="1"/>
  <c r="E305" i="24"/>
  <c r="AK305" i="24" s="1"/>
  <c r="AQ304" i="5" s="1"/>
  <c r="CA304" i="5" s="1"/>
  <c r="B305" i="24"/>
  <c r="J304" i="5"/>
  <c r="R301" i="2"/>
  <c r="D306" i="5"/>
  <c r="C306" i="5"/>
  <c r="B305" i="5"/>
  <c r="E305" i="5"/>
  <c r="I305" i="5" s="1"/>
  <c r="BZ305" i="5" s="1"/>
  <c r="P302" i="2"/>
  <c r="J302" i="2"/>
  <c r="K301" i="2"/>
  <c r="E303" i="2"/>
  <c r="B303" i="2"/>
  <c r="C304" i="2"/>
  <c r="D304" i="2"/>
  <c r="G648" i="5" l="1"/>
  <c r="BW647" i="5"/>
  <c r="BY647" i="5" s="1"/>
  <c r="X302" i="2"/>
  <c r="H584" i="2"/>
  <c r="AR583" i="2"/>
  <c r="AT583" i="2" s="1"/>
  <c r="W303" i="2"/>
  <c r="Y303" i="2" s="1"/>
  <c r="C565" i="26"/>
  <c r="D565" i="26"/>
  <c r="B564" i="26"/>
  <c r="E564" i="26"/>
  <c r="AG305" i="25"/>
  <c r="C306" i="25"/>
  <c r="H306" i="25" s="1"/>
  <c r="D306" i="25"/>
  <c r="E305" i="25"/>
  <c r="AI305" i="25" s="1"/>
  <c r="AP305" i="2" s="1"/>
  <c r="B305" i="25"/>
  <c r="K302" i="2"/>
  <c r="B306" i="24"/>
  <c r="E306" i="24"/>
  <c r="AK306" i="24" s="1"/>
  <c r="AQ305" i="5" s="1"/>
  <c r="CA305" i="5" s="1"/>
  <c r="D307" i="24"/>
  <c r="AI307" i="24" s="1"/>
  <c r="C307" i="24"/>
  <c r="R302" i="2"/>
  <c r="C307" i="5"/>
  <c r="B306" i="5"/>
  <c r="D307" i="5"/>
  <c r="E306" i="5"/>
  <c r="I306" i="5" s="1"/>
  <c r="BZ306" i="5" s="1"/>
  <c r="J305" i="5"/>
  <c r="E304" i="2"/>
  <c r="C305" i="2"/>
  <c r="D305" i="2"/>
  <c r="B304" i="2"/>
  <c r="P303" i="2"/>
  <c r="J303" i="2"/>
  <c r="Q302" i="2"/>
  <c r="G649" i="5" l="1"/>
  <c r="BW648" i="5"/>
  <c r="BY648" i="5" s="1"/>
  <c r="X303" i="2"/>
  <c r="H585" i="2"/>
  <c r="J17" i="19" s="1"/>
  <c r="J113" i="19" s="1"/>
  <c r="F11" i="32" s="1"/>
  <c r="AR584" i="2"/>
  <c r="AT584" i="2" s="1"/>
  <c r="W304" i="2"/>
  <c r="Y304" i="2" s="1"/>
  <c r="C566" i="26"/>
  <c r="D566" i="26"/>
  <c r="B565" i="26"/>
  <c r="E565" i="26"/>
  <c r="J306" i="5"/>
  <c r="AG306" i="25"/>
  <c r="B306" i="25"/>
  <c r="D307" i="25"/>
  <c r="E306" i="25"/>
  <c r="AI306" i="25" s="1"/>
  <c r="AP306" i="2" s="1"/>
  <c r="C307" i="25"/>
  <c r="H307" i="25" s="1"/>
  <c r="D308" i="24"/>
  <c r="AI308" i="24" s="1"/>
  <c r="E307" i="24"/>
  <c r="AK307" i="24" s="1"/>
  <c r="AQ306" i="5" s="1"/>
  <c r="CA306" i="5" s="1"/>
  <c r="B307" i="24"/>
  <c r="C308" i="24"/>
  <c r="R303" i="2"/>
  <c r="B307" i="5"/>
  <c r="C308" i="5"/>
  <c r="E307" i="5"/>
  <c r="I307" i="5" s="1"/>
  <c r="BZ307" i="5" s="1"/>
  <c r="D308" i="5"/>
  <c r="Q303" i="2"/>
  <c r="E305" i="2"/>
  <c r="B305" i="2"/>
  <c r="D306" i="2"/>
  <c r="C306" i="2"/>
  <c r="P304" i="2"/>
  <c r="J304" i="2"/>
  <c r="K303" i="2"/>
  <c r="G650" i="5" l="1"/>
  <c r="BW649" i="5"/>
  <c r="BY649" i="5" s="1"/>
  <c r="H586" i="2"/>
  <c r="AR585" i="2"/>
  <c r="AT585" i="2" s="1"/>
  <c r="Q304" i="2"/>
  <c r="X304" i="2"/>
  <c r="W305" i="2"/>
  <c r="Y305" i="2" s="1"/>
  <c r="E566" i="26"/>
  <c r="D567" i="26"/>
  <c r="C567" i="26"/>
  <c r="B566" i="26"/>
  <c r="AG307" i="25"/>
  <c r="C308" i="25"/>
  <c r="H308" i="25" s="1"/>
  <c r="B307" i="25"/>
  <c r="D308" i="25"/>
  <c r="E307" i="25"/>
  <c r="AI307" i="25" s="1"/>
  <c r="AP307" i="2" s="1"/>
  <c r="D309" i="24"/>
  <c r="AI309" i="24" s="1"/>
  <c r="E308" i="24"/>
  <c r="AK308" i="24" s="1"/>
  <c r="AQ307" i="5" s="1"/>
  <c r="CA307" i="5" s="1"/>
  <c r="C309" i="24"/>
  <c r="B308" i="24"/>
  <c r="R304" i="2"/>
  <c r="K304" i="2"/>
  <c r="D309" i="5"/>
  <c r="E308" i="5"/>
  <c r="I308" i="5" s="1"/>
  <c r="BZ308" i="5" s="1"/>
  <c r="C309" i="5"/>
  <c r="B308" i="5"/>
  <c r="J307" i="5"/>
  <c r="E306" i="2"/>
  <c r="C307" i="2"/>
  <c r="D307" i="2"/>
  <c r="B306" i="2"/>
  <c r="P305" i="2"/>
  <c r="J305" i="2"/>
  <c r="G651" i="5" l="1"/>
  <c r="BW650" i="5"/>
  <c r="BY650" i="5" s="1"/>
  <c r="H587" i="2"/>
  <c r="AR586" i="2"/>
  <c r="AT586" i="2" s="1"/>
  <c r="Q305" i="2"/>
  <c r="W306" i="2"/>
  <c r="Y306" i="2" s="1"/>
  <c r="X305" i="2"/>
  <c r="X306" i="2" s="1"/>
  <c r="C568" i="26"/>
  <c r="E567" i="26"/>
  <c r="D568" i="26"/>
  <c r="B567" i="26"/>
  <c r="AG308" i="25"/>
  <c r="B308" i="25"/>
  <c r="C309" i="25"/>
  <c r="H309" i="25" s="1"/>
  <c r="AF309" i="25" s="1"/>
  <c r="E308" i="25"/>
  <c r="AI308" i="25" s="1"/>
  <c r="AP308" i="2" s="1"/>
  <c r="D309" i="25"/>
  <c r="C310" i="24"/>
  <c r="D310" i="24"/>
  <c r="B309" i="24"/>
  <c r="E309" i="24"/>
  <c r="AK309" i="24" s="1"/>
  <c r="AQ308" i="5" s="1"/>
  <c r="CA308" i="5" s="1"/>
  <c r="J308" i="5"/>
  <c r="R305" i="2"/>
  <c r="B309" i="5"/>
  <c r="E309" i="5"/>
  <c r="I309" i="5" s="1"/>
  <c r="BZ309" i="5" s="1"/>
  <c r="C310" i="5"/>
  <c r="D310" i="5"/>
  <c r="K305" i="2"/>
  <c r="B307" i="2"/>
  <c r="E307" i="2"/>
  <c r="D308" i="2"/>
  <c r="C308" i="2"/>
  <c r="P306" i="2"/>
  <c r="J306" i="2"/>
  <c r="G652" i="5" l="1"/>
  <c r="BW651" i="5"/>
  <c r="BY651" i="5" s="1"/>
  <c r="H588" i="2"/>
  <c r="AR587" i="2"/>
  <c r="AT587" i="2" s="1"/>
  <c r="W307" i="2"/>
  <c r="Y307" i="2" s="1"/>
  <c r="C569" i="26"/>
  <c r="D569" i="26"/>
  <c r="B568" i="26"/>
  <c r="E568" i="26"/>
  <c r="AN309" i="2"/>
  <c r="AF308" i="25"/>
  <c r="AH310" i="24"/>
  <c r="AI310" i="24"/>
  <c r="AG309" i="25"/>
  <c r="E309" i="25"/>
  <c r="AI309" i="25" s="1"/>
  <c r="AP309" i="2" s="1"/>
  <c r="D310" i="25"/>
  <c r="AG310" i="25" s="1"/>
  <c r="B309" i="25"/>
  <c r="C310" i="25"/>
  <c r="H310" i="25" s="1"/>
  <c r="C311" i="24"/>
  <c r="B310" i="24"/>
  <c r="D311" i="24"/>
  <c r="AI311" i="24" s="1"/>
  <c r="E310" i="24"/>
  <c r="AK310" i="24" s="1"/>
  <c r="AQ309" i="5" s="1"/>
  <c r="CA309" i="5" s="1"/>
  <c r="R306" i="2"/>
  <c r="D311" i="5"/>
  <c r="C311" i="5"/>
  <c r="E310" i="5"/>
  <c r="I310" i="5" s="1"/>
  <c r="BZ310" i="5" s="1"/>
  <c r="B310" i="5"/>
  <c r="J309" i="5"/>
  <c r="P307" i="2"/>
  <c r="J307" i="2"/>
  <c r="K306" i="2"/>
  <c r="Q306" i="2"/>
  <c r="E308" i="2"/>
  <c r="C309" i="2"/>
  <c r="D309" i="2"/>
  <c r="B308" i="2"/>
  <c r="G653" i="5" l="1"/>
  <c r="BW652" i="5"/>
  <c r="BY652" i="5" s="1"/>
  <c r="H589" i="2"/>
  <c r="AR588" i="2"/>
  <c r="AT588" i="2" s="1"/>
  <c r="X307" i="2"/>
  <c r="W308" i="2"/>
  <c r="Y308" i="2" s="1"/>
  <c r="C570" i="26"/>
  <c r="B569" i="26"/>
  <c r="E569" i="26"/>
  <c r="D570" i="26"/>
  <c r="AN308" i="2"/>
  <c r="AF307" i="25"/>
  <c r="AH309" i="24"/>
  <c r="AO309" i="5"/>
  <c r="BY309" i="5" s="1"/>
  <c r="J310" i="5"/>
  <c r="D311" i="25"/>
  <c r="AG311" i="25" s="1"/>
  <c r="C311" i="25"/>
  <c r="H311" i="25" s="1"/>
  <c r="B310" i="25"/>
  <c r="E310" i="25"/>
  <c r="AI310" i="25" s="1"/>
  <c r="AP310" i="2" s="1"/>
  <c r="X308" i="2"/>
  <c r="C312" i="24"/>
  <c r="E311" i="24"/>
  <c r="AK311" i="24" s="1"/>
  <c r="AQ310" i="5" s="1"/>
  <c r="CA310" i="5" s="1"/>
  <c r="B311" i="24"/>
  <c r="D312" i="24"/>
  <c r="AI312" i="24" s="1"/>
  <c r="R307" i="2"/>
  <c r="K307" i="2"/>
  <c r="C312" i="5"/>
  <c r="D312" i="5"/>
  <c r="E311" i="5"/>
  <c r="I311" i="5" s="1"/>
  <c r="BZ311" i="5" s="1"/>
  <c r="B311" i="5"/>
  <c r="Q307" i="2"/>
  <c r="B309" i="2"/>
  <c r="E309" i="2"/>
  <c r="C310" i="2"/>
  <c r="D310" i="2"/>
  <c r="P308" i="2"/>
  <c r="J308" i="2"/>
  <c r="G654" i="5" l="1"/>
  <c r="BW653" i="5"/>
  <c r="BY653" i="5" s="1"/>
  <c r="H590" i="2"/>
  <c r="AR589" i="2"/>
  <c r="AT589" i="2"/>
  <c r="W309" i="2"/>
  <c r="Y309" i="2" s="1"/>
  <c r="Q308" i="2"/>
  <c r="D571" i="26"/>
  <c r="C571" i="26"/>
  <c r="B570" i="26"/>
  <c r="E570" i="26"/>
  <c r="AH308" i="24"/>
  <c r="AO308" i="5"/>
  <c r="BY308" i="5" s="1"/>
  <c r="AF306" i="25"/>
  <c r="AN307" i="2"/>
  <c r="B311" i="25"/>
  <c r="C312" i="25"/>
  <c r="H312" i="25" s="1"/>
  <c r="D312" i="25"/>
  <c r="AG312" i="25" s="1"/>
  <c r="E311" i="25"/>
  <c r="AI311" i="25" s="1"/>
  <c r="AP311" i="2" s="1"/>
  <c r="X309" i="2"/>
  <c r="E312" i="24"/>
  <c r="AK312" i="24" s="1"/>
  <c r="AQ311" i="5" s="1"/>
  <c r="CA311" i="5" s="1"/>
  <c r="B312" i="24"/>
  <c r="C313" i="24"/>
  <c r="D313" i="24"/>
  <c r="AI313" i="24" s="1"/>
  <c r="R308" i="2"/>
  <c r="D313" i="5"/>
  <c r="C313" i="5"/>
  <c r="E312" i="5"/>
  <c r="I312" i="5" s="1"/>
  <c r="BZ312" i="5" s="1"/>
  <c r="B312" i="5"/>
  <c r="J311" i="5"/>
  <c r="P309" i="2"/>
  <c r="J309" i="2"/>
  <c r="E310" i="2"/>
  <c r="D311" i="2"/>
  <c r="C311" i="2"/>
  <c r="B310" i="2"/>
  <c r="K308" i="2"/>
  <c r="G655" i="5" l="1"/>
  <c r="BW654" i="5"/>
  <c r="BY654" i="5" s="1"/>
  <c r="H591" i="2"/>
  <c r="AR590" i="2"/>
  <c r="AT590" i="2" s="1"/>
  <c r="W310" i="2"/>
  <c r="Y310" i="2" s="1"/>
  <c r="E571" i="26"/>
  <c r="B571" i="26"/>
  <c r="C572" i="26"/>
  <c r="D572" i="26"/>
  <c r="AF305" i="25"/>
  <c r="AN306" i="2"/>
  <c r="AH307" i="24"/>
  <c r="AO307" i="5"/>
  <c r="BY307" i="5" s="1"/>
  <c r="J312" i="5"/>
  <c r="B312" i="25"/>
  <c r="C313" i="25"/>
  <c r="H313" i="25" s="1"/>
  <c r="D313" i="25"/>
  <c r="AG313" i="25" s="1"/>
  <c r="E312" i="25"/>
  <c r="AI312" i="25" s="1"/>
  <c r="AP312" i="2" s="1"/>
  <c r="E313" i="24"/>
  <c r="AK313" i="24" s="1"/>
  <c r="AQ312" i="5" s="1"/>
  <c r="CA312" i="5" s="1"/>
  <c r="B313" i="24"/>
  <c r="D314" i="24"/>
  <c r="AI314" i="24" s="1"/>
  <c r="C314" i="24"/>
  <c r="R309" i="2"/>
  <c r="B313" i="5"/>
  <c r="E313" i="5"/>
  <c r="C314" i="5"/>
  <c r="D314" i="5"/>
  <c r="K309" i="2"/>
  <c r="B311" i="2"/>
  <c r="E311" i="2"/>
  <c r="D312" i="2"/>
  <c r="C312" i="2"/>
  <c r="P310" i="2"/>
  <c r="J310" i="2"/>
  <c r="Q309" i="2"/>
  <c r="BW655" i="5" l="1"/>
  <c r="BY655" i="5" s="1"/>
  <c r="G656" i="5"/>
  <c r="X310" i="2"/>
  <c r="H592" i="2"/>
  <c r="AR591" i="2"/>
  <c r="AT591" i="2" s="1"/>
  <c r="W311" i="2"/>
  <c r="Y311" i="2" s="1"/>
  <c r="C573" i="26"/>
  <c r="D573" i="26"/>
  <c r="B572" i="26"/>
  <c r="E572" i="26"/>
  <c r="AH306" i="24"/>
  <c r="AO306" i="5"/>
  <c r="BY306" i="5" s="1"/>
  <c r="AF304" i="25"/>
  <c r="AN305" i="2"/>
  <c r="AC313" i="5"/>
  <c r="AD313" i="5" s="1"/>
  <c r="AJ313" i="5"/>
  <c r="I313" i="5"/>
  <c r="V313" i="5"/>
  <c r="O313" i="5"/>
  <c r="B313" i="25"/>
  <c r="E313" i="25"/>
  <c r="AI313" i="25" s="1"/>
  <c r="AP313" i="2" s="1"/>
  <c r="D314" i="25"/>
  <c r="AG314" i="25" s="1"/>
  <c r="C314" i="25"/>
  <c r="H314" i="25" s="1"/>
  <c r="X311" i="2"/>
  <c r="D315" i="24"/>
  <c r="AI315" i="24" s="1"/>
  <c r="B314" i="24"/>
  <c r="E314" i="24"/>
  <c r="AK314" i="24" s="1"/>
  <c r="AQ313" i="5" s="1"/>
  <c r="C315" i="24"/>
  <c r="Q310" i="2"/>
  <c r="R310" i="2"/>
  <c r="E314" i="5"/>
  <c r="D315" i="5"/>
  <c r="C315" i="5"/>
  <c r="B314" i="5"/>
  <c r="J313" i="5"/>
  <c r="E312" i="2"/>
  <c r="D313" i="2"/>
  <c r="C313" i="2"/>
  <c r="B312" i="2"/>
  <c r="P311" i="2"/>
  <c r="J311" i="2"/>
  <c r="K310" i="2"/>
  <c r="BZ313" i="5" l="1"/>
  <c r="BW656" i="5"/>
  <c r="BY656" i="5" s="1"/>
  <c r="G657" i="5"/>
  <c r="H593" i="2"/>
  <c r="AR592" i="2"/>
  <c r="AT592" i="2" s="1"/>
  <c r="W312" i="2"/>
  <c r="Y312" i="2" s="1"/>
  <c r="B573" i="26"/>
  <c r="D574" i="26"/>
  <c r="C574" i="26"/>
  <c r="E573" i="26"/>
  <c r="AF303" i="25"/>
  <c r="AN304" i="2"/>
  <c r="AH305" i="24"/>
  <c r="AO305" i="5"/>
  <c r="BY305" i="5" s="1"/>
  <c r="AE313" i="5"/>
  <c r="AL313" i="5"/>
  <c r="AK313" i="5"/>
  <c r="AC314" i="5"/>
  <c r="AD314" i="5" s="1"/>
  <c r="AJ314" i="5"/>
  <c r="Q313" i="5"/>
  <c r="P313" i="5"/>
  <c r="X313" i="5"/>
  <c r="W313" i="5"/>
  <c r="I314" i="5"/>
  <c r="V314" i="5"/>
  <c r="O314" i="5"/>
  <c r="P314" i="5" s="1"/>
  <c r="D315" i="25"/>
  <c r="AG315" i="25" s="1"/>
  <c r="C315" i="25"/>
  <c r="H315" i="25" s="1"/>
  <c r="E314" i="25"/>
  <c r="AI314" i="25" s="1"/>
  <c r="AP314" i="2" s="1"/>
  <c r="B314" i="25"/>
  <c r="D316" i="24"/>
  <c r="AI316" i="24" s="1"/>
  <c r="E315" i="24"/>
  <c r="AK315" i="24" s="1"/>
  <c r="AQ314" i="5" s="1"/>
  <c r="B315" i="24"/>
  <c r="C316" i="24"/>
  <c r="R311" i="2"/>
  <c r="K311" i="2"/>
  <c r="C316" i="5"/>
  <c r="E315" i="5"/>
  <c r="D316" i="5"/>
  <c r="B315" i="5"/>
  <c r="B313" i="2"/>
  <c r="E313" i="2"/>
  <c r="C314" i="2"/>
  <c r="D314" i="2"/>
  <c r="P312" i="2"/>
  <c r="J312" i="2"/>
  <c r="Q311" i="2"/>
  <c r="BZ314" i="5" l="1"/>
  <c r="CA313" i="5"/>
  <c r="G658" i="5"/>
  <c r="BW657" i="5"/>
  <c r="BY657" i="5" s="1"/>
  <c r="AE314" i="5"/>
  <c r="AK314" i="5"/>
  <c r="X312" i="2"/>
  <c r="H594" i="2"/>
  <c r="AR593" i="2"/>
  <c r="AT593" i="2" s="1"/>
  <c r="W313" i="2"/>
  <c r="Y313" i="2" s="1"/>
  <c r="E574" i="26"/>
  <c r="D575" i="26"/>
  <c r="B574" i="26"/>
  <c r="C575" i="26"/>
  <c r="AH304" i="24"/>
  <c r="AO304" i="5"/>
  <c r="BY304" i="5" s="1"/>
  <c r="AF302" i="25"/>
  <c r="AN303" i="2"/>
  <c r="AL314" i="5"/>
  <c r="AC315" i="5"/>
  <c r="AE315" i="5" s="1"/>
  <c r="AJ315" i="5"/>
  <c r="Q314" i="5"/>
  <c r="W314" i="5"/>
  <c r="X314" i="5"/>
  <c r="I315" i="5"/>
  <c r="V315" i="5"/>
  <c r="O315" i="5"/>
  <c r="P315" i="5" s="1"/>
  <c r="J314" i="5"/>
  <c r="D316" i="25"/>
  <c r="AG316" i="25" s="1"/>
  <c r="C316" i="25"/>
  <c r="H316" i="25" s="1"/>
  <c r="B315" i="25"/>
  <c r="E315" i="25"/>
  <c r="AI315" i="25" s="1"/>
  <c r="AP315" i="2" s="1"/>
  <c r="C317" i="24"/>
  <c r="D317" i="24"/>
  <c r="AI317" i="24" s="1"/>
  <c r="B316" i="24"/>
  <c r="E316" i="24"/>
  <c r="AK316" i="24" s="1"/>
  <c r="AQ315" i="5" s="1"/>
  <c r="R312" i="2"/>
  <c r="E316" i="5"/>
  <c r="D317" i="5"/>
  <c r="C317" i="5"/>
  <c r="B316" i="5"/>
  <c r="Q312" i="2"/>
  <c r="E314" i="2"/>
  <c r="D315" i="2"/>
  <c r="C315" i="2"/>
  <c r="B314" i="2"/>
  <c r="P313" i="2"/>
  <c r="J313" i="2"/>
  <c r="K312" i="2"/>
  <c r="BZ315" i="5" l="1"/>
  <c r="CA314" i="5"/>
  <c r="G659" i="5"/>
  <c r="BW658" i="5"/>
  <c r="BY658" i="5" s="1"/>
  <c r="AK315" i="5"/>
  <c r="AD315" i="5"/>
  <c r="X313" i="2"/>
  <c r="H595" i="2"/>
  <c r="AR594" i="2"/>
  <c r="AT594" i="2" s="1"/>
  <c r="AD314" i="2"/>
  <c r="W314" i="2"/>
  <c r="X314" i="2" s="1"/>
  <c r="D576" i="26"/>
  <c r="C576" i="26"/>
  <c r="B575" i="26"/>
  <c r="E575" i="26"/>
  <c r="AF301" i="25"/>
  <c r="AN302" i="2"/>
  <c r="AH303" i="24"/>
  <c r="AO303" i="5"/>
  <c r="BY303" i="5" s="1"/>
  <c r="AL315" i="5"/>
  <c r="AC316" i="5"/>
  <c r="AJ316" i="5"/>
  <c r="J315" i="5"/>
  <c r="I316" i="5"/>
  <c r="O316" i="5"/>
  <c r="P316" i="5" s="1"/>
  <c r="V316" i="5"/>
  <c r="Q315" i="5"/>
  <c r="X315" i="5"/>
  <c r="W315" i="5"/>
  <c r="E316" i="25"/>
  <c r="AI316" i="25" s="1"/>
  <c r="AP316" i="2" s="1"/>
  <c r="D317" i="25"/>
  <c r="AG317" i="25" s="1"/>
  <c r="B316" i="25"/>
  <c r="C317" i="25"/>
  <c r="H317" i="25" s="1"/>
  <c r="C318" i="24"/>
  <c r="B317" i="24"/>
  <c r="D318" i="24"/>
  <c r="AI318" i="24" s="1"/>
  <c r="E317" i="24"/>
  <c r="AK317" i="24" s="1"/>
  <c r="AQ316" i="5" s="1"/>
  <c r="K313" i="2"/>
  <c r="R313" i="2"/>
  <c r="D318" i="5"/>
  <c r="C318" i="5"/>
  <c r="B317" i="5"/>
  <c r="E317" i="5"/>
  <c r="Q313" i="2"/>
  <c r="B315" i="2"/>
  <c r="E315" i="2"/>
  <c r="C316" i="2"/>
  <c r="D316" i="2"/>
  <c r="P314" i="2"/>
  <c r="J314" i="2"/>
  <c r="CA315" i="5" l="1"/>
  <c r="G660" i="5"/>
  <c r="BW659" i="5"/>
  <c r="BY659" i="5" s="1"/>
  <c r="AD316" i="5"/>
  <c r="AK316" i="5"/>
  <c r="H596" i="2"/>
  <c r="AR595" i="2"/>
  <c r="AT595" i="2" s="1"/>
  <c r="AF314" i="2"/>
  <c r="AE314" i="2"/>
  <c r="Y314" i="2"/>
  <c r="AD315" i="2"/>
  <c r="AF315" i="2" s="1"/>
  <c r="W315" i="2"/>
  <c r="Y315" i="2" s="1"/>
  <c r="B576" i="26"/>
  <c r="E576" i="26"/>
  <c r="D577" i="26"/>
  <c r="C577" i="26"/>
  <c r="AE316" i="5"/>
  <c r="AH302" i="24"/>
  <c r="AO302" i="5"/>
  <c r="BY302" i="5" s="1"/>
  <c r="AF300" i="25"/>
  <c r="AN301" i="2"/>
  <c r="AC317" i="5"/>
  <c r="AJ317" i="5"/>
  <c r="AL316" i="5"/>
  <c r="J316" i="5"/>
  <c r="AE317" i="5"/>
  <c r="X316" i="5"/>
  <c r="W316" i="5"/>
  <c r="Q316" i="5"/>
  <c r="I317" i="5"/>
  <c r="O317" i="5"/>
  <c r="P317" i="5" s="1"/>
  <c r="V317" i="5"/>
  <c r="B317" i="25"/>
  <c r="D318" i="25"/>
  <c r="AG318" i="25" s="1"/>
  <c r="C318" i="25"/>
  <c r="H318" i="25" s="1"/>
  <c r="E317" i="25"/>
  <c r="AI317" i="25" s="1"/>
  <c r="AP317" i="2" s="1"/>
  <c r="E318" i="24"/>
  <c r="AK318" i="24" s="1"/>
  <c r="AQ317" i="5" s="1"/>
  <c r="D319" i="24"/>
  <c r="AI319" i="24" s="1"/>
  <c r="B318" i="24"/>
  <c r="C319" i="24"/>
  <c r="R314" i="2"/>
  <c r="E318" i="5"/>
  <c r="D319" i="5"/>
  <c r="C319" i="5"/>
  <c r="B318" i="5"/>
  <c r="E316" i="2"/>
  <c r="C317" i="2"/>
  <c r="D317" i="2"/>
  <c r="B316" i="2"/>
  <c r="P315" i="2"/>
  <c r="J315" i="2"/>
  <c r="Q314" i="2"/>
  <c r="K314" i="2"/>
  <c r="G661" i="5" l="1"/>
  <c r="BW660" i="5"/>
  <c r="BY660" i="5" s="1"/>
  <c r="AK317" i="5"/>
  <c r="AD317" i="5"/>
  <c r="H597" i="2"/>
  <c r="AR596" i="2"/>
  <c r="AT596" i="2" s="1"/>
  <c r="AE315" i="2"/>
  <c r="X315" i="2"/>
  <c r="AD316" i="2"/>
  <c r="AF316" i="2" s="1"/>
  <c r="W316" i="2"/>
  <c r="X316" i="2" s="1"/>
  <c r="C578" i="26"/>
  <c r="D578" i="26"/>
  <c r="E577" i="26"/>
  <c r="B577" i="26"/>
  <c r="AF299" i="25"/>
  <c r="AN300" i="2"/>
  <c r="AH301" i="24"/>
  <c r="AO301" i="5"/>
  <c r="BY301" i="5" s="1"/>
  <c r="AC318" i="5"/>
  <c r="AE318" i="5" s="1"/>
  <c r="AJ318" i="5"/>
  <c r="AL317" i="5"/>
  <c r="J317" i="5"/>
  <c r="X317" i="5"/>
  <c r="W317" i="5"/>
  <c r="Q317" i="5"/>
  <c r="I318" i="5"/>
  <c r="O318" i="5"/>
  <c r="P318" i="5" s="1"/>
  <c r="V318" i="5"/>
  <c r="C319" i="25"/>
  <c r="H319" i="25" s="1"/>
  <c r="E318" i="25"/>
  <c r="AI318" i="25" s="1"/>
  <c r="AP318" i="2" s="1"/>
  <c r="B318" i="25"/>
  <c r="D319" i="25"/>
  <c r="AG319" i="25" s="1"/>
  <c r="E319" i="24"/>
  <c r="AK319" i="24" s="1"/>
  <c r="AQ318" i="5" s="1"/>
  <c r="B319" i="24"/>
  <c r="D320" i="24"/>
  <c r="AI320" i="24" s="1"/>
  <c r="C320" i="24"/>
  <c r="R315" i="2"/>
  <c r="K315" i="2"/>
  <c r="B319" i="5"/>
  <c r="D320" i="5"/>
  <c r="C320" i="5"/>
  <c r="E319" i="5"/>
  <c r="E317" i="2"/>
  <c r="B317" i="2"/>
  <c r="C318" i="2"/>
  <c r="D318" i="2"/>
  <c r="P316" i="2"/>
  <c r="J316" i="2"/>
  <c r="Q315" i="2"/>
  <c r="G662" i="5" l="1"/>
  <c r="BW661" i="5"/>
  <c r="BY661" i="5" s="1"/>
  <c r="AD318" i="5"/>
  <c r="AK318" i="5"/>
  <c r="H598" i="2"/>
  <c r="AR597" i="2"/>
  <c r="AT597" i="2" s="1"/>
  <c r="Y316" i="2"/>
  <c r="AD317" i="2"/>
  <c r="AF317" i="2" s="1"/>
  <c r="W317" i="2"/>
  <c r="Y317" i="2" s="1"/>
  <c r="AE316" i="2"/>
  <c r="AE317" i="2" s="1"/>
  <c r="B578" i="26"/>
  <c r="E578" i="26"/>
  <c r="C579" i="26"/>
  <c r="D579" i="26"/>
  <c r="AH300" i="24"/>
  <c r="AO300" i="5"/>
  <c r="BY300" i="5" s="1"/>
  <c r="AF298" i="25"/>
  <c r="AN299" i="2"/>
  <c r="AC319" i="5"/>
  <c r="AJ319" i="5"/>
  <c r="AL318" i="5"/>
  <c r="AE319" i="5"/>
  <c r="I319" i="5"/>
  <c r="O319" i="5"/>
  <c r="P319" i="5" s="1"/>
  <c r="V319" i="5"/>
  <c r="Q318" i="5"/>
  <c r="J318" i="5"/>
  <c r="W318" i="5"/>
  <c r="X318" i="5"/>
  <c r="E319" i="25"/>
  <c r="AI319" i="25" s="1"/>
  <c r="AP319" i="2" s="1"/>
  <c r="D320" i="25"/>
  <c r="AG320" i="25" s="1"/>
  <c r="B319" i="25"/>
  <c r="C320" i="25"/>
  <c r="H320" i="25" s="1"/>
  <c r="D321" i="24"/>
  <c r="AI321" i="24" s="1"/>
  <c r="C321" i="24"/>
  <c r="E320" i="24"/>
  <c r="AK320" i="24" s="1"/>
  <c r="AQ319" i="5" s="1"/>
  <c r="B320" i="24"/>
  <c r="K316" i="2"/>
  <c r="R316" i="2"/>
  <c r="B320" i="5"/>
  <c r="D321" i="5"/>
  <c r="E320" i="5"/>
  <c r="C321" i="5"/>
  <c r="Q316" i="2"/>
  <c r="E318" i="2"/>
  <c r="D319" i="2"/>
  <c r="C319" i="2"/>
  <c r="B318" i="2"/>
  <c r="P317" i="2"/>
  <c r="J317" i="2"/>
  <c r="G663" i="5" l="1"/>
  <c r="BW662" i="5"/>
  <c r="BY662" i="5" s="1"/>
  <c r="AD319" i="5"/>
  <c r="AK319" i="5"/>
  <c r="H599" i="2"/>
  <c r="AR598" i="2"/>
  <c r="AT598" i="2" s="1"/>
  <c r="X317" i="2"/>
  <c r="AD318" i="2"/>
  <c r="AF318" i="2" s="1"/>
  <c r="W318" i="2"/>
  <c r="Y318" i="2" s="1"/>
  <c r="E579" i="26"/>
  <c r="D580" i="26"/>
  <c r="C580" i="26"/>
  <c r="B579" i="26"/>
  <c r="AF297" i="25"/>
  <c r="AN298" i="2"/>
  <c r="AH299" i="24"/>
  <c r="AO299" i="5"/>
  <c r="BY299" i="5" s="1"/>
  <c r="AC320" i="5"/>
  <c r="AJ320" i="5"/>
  <c r="AL319" i="5"/>
  <c r="J319" i="5"/>
  <c r="X319" i="5"/>
  <c r="W319" i="5"/>
  <c r="I320" i="5"/>
  <c r="O320" i="5"/>
  <c r="P320" i="5" s="1"/>
  <c r="V320" i="5"/>
  <c r="Q319" i="5"/>
  <c r="E320" i="25"/>
  <c r="AI320" i="25" s="1"/>
  <c r="AP320" i="2" s="1"/>
  <c r="C321" i="25"/>
  <c r="H321" i="25" s="1"/>
  <c r="D321" i="25"/>
  <c r="AG321" i="25" s="1"/>
  <c r="B320" i="25"/>
  <c r="E321" i="24"/>
  <c r="AK321" i="24" s="1"/>
  <c r="AQ320" i="5" s="1"/>
  <c r="C322" i="24"/>
  <c r="D322" i="24"/>
  <c r="AI322" i="24" s="1"/>
  <c r="B321" i="24"/>
  <c r="R317" i="2"/>
  <c r="E321" i="5"/>
  <c r="B321" i="5"/>
  <c r="D322" i="5"/>
  <c r="C322" i="5"/>
  <c r="K317" i="2"/>
  <c r="B319" i="2"/>
  <c r="E319" i="2"/>
  <c r="D320" i="2"/>
  <c r="C320" i="2"/>
  <c r="P318" i="2"/>
  <c r="J318" i="2"/>
  <c r="Q317" i="2"/>
  <c r="AD320" i="5" l="1"/>
  <c r="BW663" i="5"/>
  <c r="BY663" i="5" s="1"/>
  <c r="G664" i="5"/>
  <c r="J320" i="5"/>
  <c r="AK320" i="5"/>
  <c r="H600" i="2"/>
  <c r="AR599" i="2"/>
  <c r="AT599" i="2" s="1"/>
  <c r="AE318" i="2"/>
  <c r="X318" i="2"/>
  <c r="AD319" i="2"/>
  <c r="AF319" i="2" s="1"/>
  <c r="W319" i="2"/>
  <c r="Y319" i="2" s="1"/>
  <c r="C581" i="26"/>
  <c r="D581" i="26"/>
  <c r="B580" i="26"/>
  <c r="E580" i="26"/>
  <c r="AE320" i="5"/>
  <c r="AH298" i="24"/>
  <c r="AO298" i="5"/>
  <c r="BY298" i="5" s="1"/>
  <c r="AF296" i="25"/>
  <c r="AN297" i="2"/>
  <c r="AC321" i="5"/>
  <c r="AD321" i="5" s="1"/>
  <c r="AJ321" i="5"/>
  <c r="AL320" i="5"/>
  <c r="AE321" i="5"/>
  <c r="Q320" i="5"/>
  <c r="I321" i="5"/>
  <c r="O321" i="5"/>
  <c r="P321" i="5" s="1"/>
  <c r="V321" i="5"/>
  <c r="X320" i="5"/>
  <c r="W320" i="5"/>
  <c r="C322" i="25"/>
  <c r="H322" i="25" s="1"/>
  <c r="B321" i="25"/>
  <c r="E321" i="25"/>
  <c r="AI321" i="25" s="1"/>
  <c r="AP321" i="2" s="1"/>
  <c r="D322" i="25"/>
  <c r="AG322" i="25" s="1"/>
  <c r="E322" i="24"/>
  <c r="AK322" i="24" s="1"/>
  <c r="AQ321" i="5" s="1"/>
  <c r="D323" i="24"/>
  <c r="AI323" i="24" s="1"/>
  <c r="C323" i="24"/>
  <c r="B322" i="24"/>
  <c r="R318" i="2"/>
  <c r="C323" i="5"/>
  <c r="D323" i="5"/>
  <c r="B322" i="5"/>
  <c r="E322" i="5"/>
  <c r="Q318" i="2"/>
  <c r="E320" i="2"/>
  <c r="D321" i="2"/>
  <c r="C321" i="2"/>
  <c r="B320" i="2"/>
  <c r="P319" i="2"/>
  <c r="J319" i="2"/>
  <c r="K318" i="2"/>
  <c r="G665" i="5" l="1"/>
  <c r="BW664" i="5"/>
  <c r="BY664" i="5" s="1"/>
  <c r="J321" i="5"/>
  <c r="AK321" i="5"/>
  <c r="H601" i="2"/>
  <c r="AR600" i="2"/>
  <c r="AT600" i="2" s="1"/>
  <c r="X319" i="2"/>
  <c r="AD320" i="2"/>
  <c r="AF320" i="2" s="1"/>
  <c r="W320" i="2"/>
  <c r="X320" i="2" s="1"/>
  <c r="AE319" i="2"/>
  <c r="C582" i="26"/>
  <c r="D582" i="26"/>
  <c r="B581" i="26"/>
  <c r="E581" i="26"/>
  <c r="AF295" i="25"/>
  <c r="AN296" i="2"/>
  <c r="AH297" i="24"/>
  <c r="AO297" i="5"/>
  <c r="BY297" i="5" s="1"/>
  <c r="AC322" i="5"/>
  <c r="AE322" i="5" s="1"/>
  <c r="AJ322" i="5"/>
  <c r="AL321" i="5"/>
  <c r="X321" i="5"/>
  <c r="W321" i="5"/>
  <c r="Q321" i="5"/>
  <c r="I322" i="5"/>
  <c r="O322" i="5"/>
  <c r="P322" i="5" s="1"/>
  <c r="V322" i="5"/>
  <c r="E322" i="25"/>
  <c r="AI322" i="25" s="1"/>
  <c r="AP322" i="2" s="1"/>
  <c r="D323" i="25"/>
  <c r="AG323" i="25" s="1"/>
  <c r="B322" i="25"/>
  <c r="C323" i="25"/>
  <c r="H323" i="25" s="1"/>
  <c r="C324" i="24"/>
  <c r="E323" i="24"/>
  <c r="AK323" i="24" s="1"/>
  <c r="AQ322" i="5" s="1"/>
  <c r="B323" i="24"/>
  <c r="D324" i="24"/>
  <c r="AI324" i="24" s="1"/>
  <c r="K319" i="2"/>
  <c r="R319" i="2"/>
  <c r="E323" i="5"/>
  <c r="B323" i="5"/>
  <c r="D324" i="5"/>
  <c r="C324" i="5"/>
  <c r="B321" i="2"/>
  <c r="E321" i="2"/>
  <c r="D322" i="2"/>
  <c r="C322" i="2"/>
  <c r="Q319" i="2"/>
  <c r="P320" i="2"/>
  <c r="J320" i="2"/>
  <c r="G666" i="5" l="1"/>
  <c r="BW665" i="5"/>
  <c r="BY665" i="5" s="1"/>
  <c r="AK322" i="5"/>
  <c r="AD322" i="5"/>
  <c r="AE320" i="2"/>
  <c r="H602" i="2"/>
  <c r="AR601" i="2"/>
  <c r="AT601" i="2" s="1"/>
  <c r="Y320" i="2"/>
  <c r="AD321" i="2"/>
  <c r="AF321" i="2" s="1"/>
  <c r="W321" i="2"/>
  <c r="X321" i="2" s="1"/>
  <c r="C583" i="26"/>
  <c r="E582" i="26"/>
  <c r="D583" i="26"/>
  <c r="B582" i="26"/>
  <c r="AH296" i="24"/>
  <c r="AO296" i="5"/>
  <c r="BY296" i="5" s="1"/>
  <c r="AF294" i="25"/>
  <c r="AN295" i="2"/>
  <c r="AL322" i="5"/>
  <c r="AC323" i="5"/>
  <c r="AJ323" i="5"/>
  <c r="J322" i="5"/>
  <c r="AE323" i="5"/>
  <c r="I323" i="5"/>
  <c r="O323" i="5"/>
  <c r="P323" i="5" s="1"/>
  <c r="V323" i="5"/>
  <c r="Q322" i="5"/>
  <c r="W322" i="5"/>
  <c r="X322" i="5"/>
  <c r="C324" i="25"/>
  <c r="H324" i="25" s="1"/>
  <c r="E323" i="25"/>
  <c r="AI323" i="25" s="1"/>
  <c r="AP323" i="2" s="1"/>
  <c r="B323" i="25"/>
  <c r="D324" i="25"/>
  <c r="AG324" i="25" s="1"/>
  <c r="B324" i="24"/>
  <c r="D325" i="24"/>
  <c r="AI325" i="24" s="1"/>
  <c r="C325" i="24"/>
  <c r="E324" i="24"/>
  <c r="AK324" i="24" s="1"/>
  <c r="AQ323" i="5" s="1"/>
  <c r="R320" i="2"/>
  <c r="B324" i="5"/>
  <c r="D325" i="5"/>
  <c r="E324" i="5"/>
  <c r="C325" i="5"/>
  <c r="Q320" i="2"/>
  <c r="K320" i="2"/>
  <c r="E322" i="2"/>
  <c r="D323" i="2"/>
  <c r="C323" i="2"/>
  <c r="B322" i="2"/>
  <c r="P321" i="2"/>
  <c r="J321" i="2"/>
  <c r="G667" i="5" l="1"/>
  <c r="BW666" i="5"/>
  <c r="BY666" i="5" s="1"/>
  <c r="AD323" i="5"/>
  <c r="AK323" i="5"/>
  <c r="H603" i="2"/>
  <c r="AR602" i="2"/>
  <c r="AT602" i="2" s="1"/>
  <c r="Y321" i="2"/>
  <c r="AD322" i="2"/>
  <c r="AF322" i="2" s="1"/>
  <c r="W322" i="2"/>
  <c r="Y322" i="2" s="1"/>
  <c r="AE321" i="2"/>
  <c r="AE322" i="2" s="1"/>
  <c r="D584" i="26"/>
  <c r="B583" i="26"/>
  <c r="C584" i="26"/>
  <c r="E583" i="26"/>
  <c r="AF293" i="25"/>
  <c r="AN294" i="2"/>
  <c r="AH295" i="24"/>
  <c r="AO295" i="5"/>
  <c r="BY295" i="5" s="1"/>
  <c r="AC324" i="5"/>
  <c r="AE324" i="5" s="1"/>
  <c r="AJ324" i="5"/>
  <c r="AL323" i="5"/>
  <c r="J323" i="5"/>
  <c r="X323" i="5"/>
  <c r="W323" i="5"/>
  <c r="Q323" i="5"/>
  <c r="I324" i="5"/>
  <c r="O324" i="5"/>
  <c r="P324" i="5" s="1"/>
  <c r="V324" i="5"/>
  <c r="D325" i="25"/>
  <c r="AG325" i="25" s="1"/>
  <c r="C325" i="25"/>
  <c r="H325" i="25" s="1"/>
  <c r="B324" i="25"/>
  <c r="E324" i="25"/>
  <c r="AI324" i="25" s="1"/>
  <c r="AP324" i="2" s="1"/>
  <c r="B325" i="24"/>
  <c r="E325" i="24"/>
  <c r="AK325" i="24" s="1"/>
  <c r="AQ324" i="5" s="1"/>
  <c r="D326" i="24"/>
  <c r="AI326" i="24" s="1"/>
  <c r="C326" i="24"/>
  <c r="R321" i="2"/>
  <c r="B325" i="5"/>
  <c r="C326" i="5"/>
  <c r="E325" i="5"/>
  <c r="D326" i="5"/>
  <c r="B323" i="2"/>
  <c r="E323" i="2"/>
  <c r="C324" i="2"/>
  <c r="D324" i="2"/>
  <c r="K321" i="2"/>
  <c r="P322" i="2"/>
  <c r="J322" i="2"/>
  <c r="Q321" i="2"/>
  <c r="G668" i="5" l="1"/>
  <c r="BW667" i="5"/>
  <c r="BY667" i="5" s="1"/>
  <c r="AD324" i="5"/>
  <c r="AK324" i="5"/>
  <c r="H604" i="2"/>
  <c r="AR603" i="2"/>
  <c r="AT603" i="2" s="1"/>
  <c r="X322" i="2"/>
  <c r="AD323" i="2"/>
  <c r="AF323" i="2" s="1"/>
  <c r="W323" i="2"/>
  <c r="Y323" i="2" s="1"/>
  <c r="E584" i="26"/>
  <c r="B584" i="26"/>
  <c r="D585" i="26"/>
  <c r="C585" i="26"/>
  <c r="AH294" i="24"/>
  <c r="AO294" i="5"/>
  <c r="BY294" i="5" s="1"/>
  <c r="AF292" i="25"/>
  <c r="AN293" i="2"/>
  <c r="AC325" i="5"/>
  <c r="AJ325" i="5"/>
  <c r="AL324" i="5"/>
  <c r="AE325" i="5"/>
  <c r="J324" i="5"/>
  <c r="X324" i="5"/>
  <c r="W324" i="5"/>
  <c r="I325" i="5"/>
  <c r="O325" i="5"/>
  <c r="P325" i="5" s="1"/>
  <c r="V325" i="5"/>
  <c r="Q324" i="5"/>
  <c r="C326" i="25"/>
  <c r="H326" i="25" s="1"/>
  <c r="E325" i="25"/>
  <c r="AI325" i="25" s="1"/>
  <c r="AP325" i="2" s="1"/>
  <c r="D326" i="25"/>
  <c r="AG326" i="25" s="1"/>
  <c r="B325" i="25"/>
  <c r="B326" i="24"/>
  <c r="D327" i="24"/>
  <c r="AI327" i="24" s="1"/>
  <c r="E326" i="24"/>
  <c r="AK326" i="24" s="1"/>
  <c r="AQ325" i="5" s="1"/>
  <c r="C327" i="24"/>
  <c r="R322" i="2"/>
  <c r="C327" i="5"/>
  <c r="D327" i="5"/>
  <c r="E326" i="5"/>
  <c r="B326" i="5"/>
  <c r="K322" i="2"/>
  <c r="Q322" i="2"/>
  <c r="E324" i="2"/>
  <c r="D325" i="2"/>
  <c r="C325" i="2"/>
  <c r="B324" i="2"/>
  <c r="P323" i="2"/>
  <c r="J323" i="2"/>
  <c r="G669" i="5" l="1"/>
  <c r="BW668" i="5"/>
  <c r="BY668" i="5" s="1"/>
  <c r="AK325" i="5"/>
  <c r="AD325" i="5"/>
  <c r="J325" i="5"/>
  <c r="AR604" i="2"/>
  <c r="AT604" i="2" s="1"/>
  <c r="H605" i="2"/>
  <c r="X323" i="2"/>
  <c r="AD324" i="2"/>
  <c r="AF324" i="2" s="1"/>
  <c r="W324" i="2"/>
  <c r="Y324" i="2" s="1"/>
  <c r="AE323" i="2"/>
  <c r="AE324" i="2" s="1"/>
  <c r="C586" i="26"/>
  <c r="E585" i="26"/>
  <c r="B585" i="26"/>
  <c r="D586" i="26"/>
  <c r="AF291" i="25"/>
  <c r="AN292" i="2"/>
  <c r="AH293" i="24"/>
  <c r="AO293" i="5"/>
  <c r="BY293" i="5" s="1"/>
  <c r="AC326" i="5"/>
  <c r="AJ326" i="5"/>
  <c r="AL325" i="5"/>
  <c r="AE326" i="5"/>
  <c r="I326" i="5"/>
  <c r="O326" i="5"/>
  <c r="P326" i="5" s="1"/>
  <c r="V326" i="5"/>
  <c r="Q325" i="5"/>
  <c r="X325" i="5"/>
  <c r="W325" i="5"/>
  <c r="C327" i="25"/>
  <c r="H327" i="25" s="1"/>
  <c r="B326" i="25"/>
  <c r="E326" i="25"/>
  <c r="AI326" i="25" s="1"/>
  <c r="AP326" i="2" s="1"/>
  <c r="D327" i="25"/>
  <c r="AG327" i="25" s="1"/>
  <c r="E327" i="24"/>
  <c r="AK327" i="24" s="1"/>
  <c r="AQ326" i="5" s="1"/>
  <c r="B327" i="24"/>
  <c r="D328" i="24"/>
  <c r="AI328" i="24" s="1"/>
  <c r="C328" i="24"/>
  <c r="R323" i="2"/>
  <c r="D328" i="5"/>
  <c r="E327" i="5"/>
  <c r="B327" i="5"/>
  <c r="C328" i="5"/>
  <c r="B325" i="2"/>
  <c r="E325" i="2"/>
  <c r="D326" i="2"/>
  <c r="C326" i="2"/>
  <c r="P324" i="2"/>
  <c r="J324" i="2"/>
  <c r="K323" i="2"/>
  <c r="Q323" i="2"/>
  <c r="G670" i="5" l="1"/>
  <c r="BW669" i="5"/>
  <c r="BY669" i="5" s="1"/>
  <c r="AD326" i="5"/>
  <c r="AK326" i="5"/>
  <c r="H606" i="2"/>
  <c r="AR605" i="2"/>
  <c r="AT605" i="2" s="1"/>
  <c r="X324" i="2"/>
  <c r="AD325" i="2"/>
  <c r="AF325" i="2" s="1"/>
  <c r="W325" i="2"/>
  <c r="X325" i="2" s="1"/>
  <c r="B586" i="26"/>
  <c r="D587" i="26"/>
  <c r="C587" i="26"/>
  <c r="E586" i="26"/>
  <c r="AH292" i="24"/>
  <c r="AO292" i="5"/>
  <c r="BY292" i="5" s="1"/>
  <c r="AF290" i="25"/>
  <c r="AN291" i="2"/>
  <c r="AC327" i="5"/>
  <c r="AE327" i="5" s="1"/>
  <c r="AJ327" i="5"/>
  <c r="AL326" i="5"/>
  <c r="J326" i="5"/>
  <c r="I327" i="5"/>
  <c r="O327" i="5"/>
  <c r="P327" i="5" s="1"/>
  <c r="V327" i="5"/>
  <c r="W326" i="5"/>
  <c r="X326" i="5"/>
  <c r="Q326" i="5"/>
  <c r="D328" i="25"/>
  <c r="AG328" i="25" s="1"/>
  <c r="E327" i="25"/>
  <c r="AI327" i="25" s="1"/>
  <c r="AP327" i="2" s="1"/>
  <c r="B327" i="25"/>
  <c r="C328" i="25"/>
  <c r="H328" i="25" s="1"/>
  <c r="D329" i="24"/>
  <c r="AI329" i="24" s="1"/>
  <c r="C329" i="24"/>
  <c r="E328" i="24"/>
  <c r="AK328" i="24" s="1"/>
  <c r="AQ327" i="5" s="1"/>
  <c r="B328" i="24"/>
  <c r="Q324" i="2"/>
  <c r="R324" i="2"/>
  <c r="K324" i="2"/>
  <c r="D329" i="5"/>
  <c r="E328" i="5"/>
  <c r="B328" i="5"/>
  <c r="C329" i="5"/>
  <c r="P325" i="2"/>
  <c r="J325" i="2"/>
  <c r="E326" i="2"/>
  <c r="C327" i="2"/>
  <c r="D327" i="2"/>
  <c r="B326" i="2"/>
  <c r="BW670" i="5" l="1"/>
  <c r="BY670" i="5" s="1"/>
  <c r="G671" i="5"/>
  <c r="AK327" i="5"/>
  <c r="AD327" i="5"/>
  <c r="H607" i="2"/>
  <c r="AR606" i="2"/>
  <c r="AT606" i="2" s="1"/>
  <c r="Y325" i="2"/>
  <c r="AD326" i="2"/>
  <c r="AF326" i="2" s="1"/>
  <c r="W326" i="2"/>
  <c r="Y326" i="2" s="1"/>
  <c r="AE325" i="2"/>
  <c r="AE326" i="2" s="1"/>
  <c r="B587" i="26"/>
  <c r="C588" i="26"/>
  <c r="D588" i="26"/>
  <c r="E587" i="26"/>
  <c r="AF289" i="25"/>
  <c r="AN290" i="2"/>
  <c r="AH291" i="24"/>
  <c r="AO291" i="5"/>
  <c r="BY291" i="5" s="1"/>
  <c r="J327" i="5"/>
  <c r="AC328" i="5"/>
  <c r="AE328" i="5" s="1"/>
  <c r="AJ328" i="5"/>
  <c r="AL327" i="5"/>
  <c r="X327" i="5"/>
  <c r="W327" i="5"/>
  <c r="Q327" i="5"/>
  <c r="I328" i="5"/>
  <c r="O328" i="5"/>
  <c r="P328" i="5" s="1"/>
  <c r="V328" i="5"/>
  <c r="C329" i="25"/>
  <c r="H329" i="25" s="1"/>
  <c r="E328" i="25"/>
  <c r="AI328" i="25" s="1"/>
  <c r="AP328" i="2" s="1"/>
  <c r="D329" i="25"/>
  <c r="AG329" i="25" s="1"/>
  <c r="B328" i="25"/>
  <c r="B329" i="24"/>
  <c r="D330" i="24"/>
  <c r="AI330" i="24" s="1"/>
  <c r="C330" i="24"/>
  <c r="E329" i="24"/>
  <c r="AK329" i="24" s="1"/>
  <c r="AQ328" i="5" s="1"/>
  <c r="R325" i="2"/>
  <c r="B329" i="5"/>
  <c r="E329" i="5"/>
  <c r="C330" i="5"/>
  <c r="D330" i="5"/>
  <c r="K325" i="2"/>
  <c r="B327" i="2"/>
  <c r="E327" i="2"/>
  <c r="D328" i="2"/>
  <c r="C328" i="2"/>
  <c r="P326" i="2"/>
  <c r="J326" i="2"/>
  <c r="Q325" i="2"/>
  <c r="G672" i="5" l="1"/>
  <c r="BW671" i="5"/>
  <c r="BY671" i="5" s="1"/>
  <c r="AD328" i="5"/>
  <c r="AK328" i="5"/>
  <c r="H608" i="2"/>
  <c r="AR607" i="2"/>
  <c r="AT607" i="2" s="1"/>
  <c r="X326" i="2"/>
  <c r="AD327" i="2"/>
  <c r="AF327" i="2" s="1"/>
  <c r="W327" i="2"/>
  <c r="Y327" i="2" s="1"/>
  <c r="D589" i="26"/>
  <c r="E588" i="26"/>
  <c r="B588" i="26"/>
  <c r="C589" i="26"/>
  <c r="AH290" i="24"/>
  <c r="AO290" i="5"/>
  <c r="BY290" i="5" s="1"/>
  <c r="AF288" i="25"/>
  <c r="AN288" i="2" s="1"/>
  <c r="AN289" i="2"/>
  <c r="AC329" i="5"/>
  <c r="AJ329" i="5"/>
  <c r="AL328" i="5"/>
  <c r="AE329" i="5"/>
  <c r="I329" i="5"/>
  <c r="O329" i="5"/>
  <c r="P329" i="5" s="1"/>
  <c r="V329" i="5"/>
  <c r="Q328" i="5"/>
  <c r="W328" i="5"/>
  <c r="X328" i="5"/>
  <c r="J328" i="5"/>
  <c r="C330" i="25"/>
  <c r="H330" i="25" s="1"/>
  <c r="E329" i="25"/>
  <c r="AI329" i="25" s="1"/>
  <c r="AP329" i="2" s="1"/>
  <c r="B329" i="25"/>
  <c r="D330" i="25"/>
  <c r="AG330" i="25" s="1"/>
  <c r="D331" i="24"/>
  <c r="AI331" i="24" s="1"/>
  <c r="C331" i="24"/>
  <c r="E330" i="24"/>
  <c r="AK330" i="24" s="1"/>
  <c r="AQ329" i="5" s="1"/>
  <c r="B330" i="24"/>
  <c r="R326" i="2"/>
  <c r="Q326" i="2"/>
  <c r="Q327" i="2" s="1"/>
  <c r="K326" i="2"/>
  <c r="D331" i="5"/>
  <c r="C331" i="5"/>
  <c r="B330" i="5"/>
  <c r="E330" i="5"/>
  <c r="E328" i="2"/>
  <c r="D329" i="2"/>
  <c r="C329" i="2"/>
  <c r="B328" i="2"/>
  <c r="P327" i="2"/>
  <c r="J327" i="2"/>
  <c r="BW672" i="5" l="1"/>
  <c r="BY672" i="5" s="1"/>
  <c r="G673" i="5"/>
  <c r="AK329" i="5"/>
  <c r="AD329" i="5"/>
  <c r="H609" i="2"/>
  <c r="AR608" i="2"/>
  <c r="AT608" i="2" s="1"/>
  <c r="X327" i="2"/>
  <c r="AE327" i="2"/>
  <c r="AD328" i="2"/>
  <c r="AF328" i="2" s="1"/>
  <c r="W328" i="2"/>
  <c r="X328" i="2" s="1"/>
  <c r="E589" i="26"/>
  <c r="C590" i="26"/>
  <c r="B589" i="26"/>
  <c r="D590" i="26"/>
  <c r="AH289" i="24"/>
  <c r="AO289" i="5"/>
  <c r="BY289" i="5" s="1"/>
  <c r="AC330" i="5"/>
  <c r="AJ330" i="5"/>
  <c r="AL329" i="5"/>
  <c r="J329" i="5"/>
  <c r="X329" i="5"/>
  <c r="W329" i="5"/>
  <c r="I330" i="5"/>
  <c r="O330" i="5"/>
  <c r="P330" i="5" s="1"/>
  <c r="V330" i="5"/>
  <c r="Q329" i="5"/>
  <c r="E330" i="25"/>
  <c r="AI330" i="25" s="1"/>
  <c r="AP330" i="2" s="1"/>
  <c r="B330" i="25"/>
  <c r="C331" i="25"/>
  <c r="H331" i="25" s="1"/>
  <c r="D331" i="25"/>
  <c r="AG331" i="25" s="1"/>
  <c r="C332" i="24"/>
  <c r="B331" i="24"/>
  <c r="D332" i="24"/>
  <c r="AI332" i="24" s="1"/>
  <c r="E331" i="24"/>
  <c r="AK331" i="24" s="1"/>
  <c r="AQ330" i="5" s="1"/>
  <c r="R327" i="2"/>
  <c r="C332" i="5"/>
  <c r="D332" i="5"/>
  <c r="B331" i="5"/>
  <c r="E331" i="5"/>
  <c r="B329" i="2"/>
  <c r="E329" i="2"/>
  <c r="D330" i="2"/>
  <c r="C330" i="2"/>
  <c r="P328" i="2"/>
  <c r="J328" i="2"/>
  <c r="K327" i="2"/>
  <c r="G674" i="5" l="1"/>
  <c r="BW673" i="5"/>
  <c r="BY673" i="5" s="1"/>
  <c r="AK330" i="5"/>
  <c r="AD330" i="5"/>
  <c r="H610" i="2"/>
  <c r="AR609" i="2"/>
  <c r="AT609" i="2" s="1"/>
  <c r="AE328" i="2"/>
  <c r="AD329" i="2"/>
  <c r="AF329" i="2" s="1"/>
  <c r="W329" i="2"/>
  <c r="Y329" i="2" s="1"/>
  <c r="Y328" i="2"/>
  <c r="D591" i="26"/>
  <c r="E590" i="26"/>
  <c r="C591" i="26"/>
  <c r="B590" i="26"/>
  <c r="J330" i="5"/>
  <c r="AE330" i="5"/>
  <c r="AH288" i="24"/>
  <c r="AO288" i="5"/>
  <c r="BY288" i="5" s="1"/>
  <c r="AL330" i="5"/>
  <c r="AC331" i="5"/>
  <c r="AE331" i="5" s="1"/>
  <c r="AJ331" i="5"/>
  <c r="I331" i="5"/>
  <c r="O331" i="5"/>
  <c r="P331" i="5" s="1"/>
  <c r="V331" i="5"/>
  <c r="X330" i="5"/>
  <c r="W330" i="5"/>
  <c r="Q330" i="5"/>
  <c r="D332" i="25"/>
  <c r="AG332" i="25" s="1"/>
  <c r="C332" i="25"/>
  <c r="H332" i="25" s="1"/>
  <c r="E331" i="25"/>
  <c r="AI331" i="25" s="1"/>
  <c r="AP331" i="2" s="1"/>
  <c r="B331" i="25"/>
  <c r="C333" i="24"/>
  <c r="D333" i="24"/>
  <c r="AI333" i="24" s="1"/>
  <c r="B332" i="24"/>
  <c r="E332" i="24"/>
  <c r="AK332" i="24" s="1"/>
  <c r="AQ331" i="5" s="1"/>
  <c r="K328" i="2"/>
  <c r="R328" i="2"/>
  <c r="D333" i="5"/>
  <c r="B332" i="5"/>
  <c r="C333" i="5"/>
  <c r="E332" i="5"/>
  <c r="E330" i="2"/>
  <c r="D331" i="2"/>
  <c r="C331" i="2"/>
  <c r="B330" i="2"/>
  <c r="P329" i="2"/>
  <c r="J329" i="2"/>
  <c r="Q328" i="2"/>
  <c r="G675" i="5" l="1"/>
  <c r="BW674" i="5"/>
  <c r="BY674" i="5" s="1"/>
  <c r="AD331" i="5"/>
  <c r="AK331" i="5"/>
  <c r="H611" i="2"/>
  <c r="AR610" i="2"/>
  <c r="AT610" i="2" s="1"/>
  <c r="X329" i="2"/>
  <c r="AD330" i="2"/>
  <c r="AF330" i="2" s="1"/>
  <c r="W330" i="2"/>
  <c r="Y330" i="2" s="1"/>
  <c r="AE329" i="2"/>
  <c r="D592" i="26"/>
  <c r="B591" i="26"/>
  <c r="C592" i="26"/>
  <c r="E591" i="26"/>
  <c r="AH287" i="24"/>
  <c r="AO287" i="5"/>
  <c r="BY287" i="5" s="1"/>
  <c r="AC332" i="5"/>
  <c r="AE332" i="5" s="1"/>
  <c r="AJ332" i="5"/>
  <c r="AL331" i="5"/>
  <c r="J331" i="5"/>
  <c r="X331" i="5"/>
  <c r="W331" i="5"/>
  <c r="I332" i="5"/>
  <c r="O332" i="5"/>
  <c r="P332" i="5" s="1"/>
  <c r="V332" i="5"/>
  <c r="Q331" i="5"/>
  <c r="C333" i="25"/>
  <c r="H333" i="25" s="1"/>
  <c r="B332" i="25"/>
  <c r="D333" i="25"/>
  <c r="AG333" i="25" s="1"/>
  <c r="E332" i="25"/>
  <c r="AI332" i="25" s="1"/>
  <c r="AP332" i="2" s="1"/>
  <c r="E333" i="24"/>
  <c r="AK333" i="24" s="1"/>
  <c r="AQ332" i="5" s="1"/>
  <c r="B333" i="24"/>
  <c r="D334" i="24"/>
  <c r="AI334" i="24" s="1"/>
  <c r="C334" i="24"/>
  <c r="R329" i="2"/>
  <c r="B333" i="5"/>
  <c r="E333" i="5"/>
  <c r="D334" i="5"/>
  <c r="C334" i="5"/>
  <c r="Q329" i="2"/>
  <c r="P330" i="2"/>
  <c r="J330" i="2"/>
  <c r="B331" i="2"/>
  <c r="E331" i="2"/>
  <c r="C332" i="2"/>
  <c r="D332" i="2"/>
  <c r="K329" i="2"/>
  <c r="BW675" i="5" l="1"/>
  <c r="BY675" i="5" s="1"/>
  <c r="G676" i="5"/>
  <c r="AK332" i="5"/>
  <c r="AD332" i="5"/>
  <c r="AR611" i="2"/>
  <c r="AT611" i="2" s="1"/>
  <c r="H612" i="2"/>
  <c r="AE330" i="2"/>
  <c r="AD331" i="2"/>
  <c r="AF331" i="2" s="1"/>
  <c r="W331" i="2"/>
  <c r="Y331" i="2" s="1"/>
  <c r="X330" i="2"/>
  <c r="X331" i="2" s="1"/>
  <c r="E592" i="26"/>
  <c r="C593" i="26"/>
  <c r="D593" i="26"/>
  <c r="B592" i="26"/>
  <c r="AH286" i="24"/>
  <c r="AO286" i="5"/>
  <c r="BY286" i="5" s="1"/>
  <c r="AC333" i="5"/>
  <c r="AE333" i="5" s="1"/>
  <c r="AJ333" i="5"/>
  <c r="AL332" i="5"/>
  <c r="J332" i="5"/>
  <c r="I333" i="5"/>
  <c r="O333" i="5"/>
  <c r="P333" i="5" s="1"/>
  <c r="V333" i="5"/>
  <c r="Q332" i="5"/>
  <c r="X332" i="5"/>
  <c r="W332" i="5"/>
  <c r="C334" i="25"/>
  <c r="H334" i="25" s="1"/>
  <c r="E333" i="25"/>
  <c r="AI333" i="25" s="1"/>
  <c r="AP333" i="2" s="1"/>
  <c r="D334" i="25"/>
  <c r="AG334" i="25" s="1"/>
  <c r="B333" i="25"/>
  <c r="B334" i="24"/>
  <c r="D335" i="24"/>
  <c r="AI335" i="24" s="1"/>
  <c r="C335" i="24"/>
  <c r="E334" i="24"/>
  <c r="AK334" i="24" s="1"/>
  <c r="AQ333" i="5" s="1"/>
  <c r="R330" i="2"/>
  <c r="K330" i="2"/>
  <c r="C335" i="5"/>
  <c r="D335" i="5"/>
  <c r="B334" i="5"/>
  <c r="E334" i="5"/>
  <c r="E332" i="2"/>
  <c r="D333" i="2"/>
  <c r="C333" i="2"/>
  <c r="B332" i="2"/>
  <c r="P331" i="2"/>
  <c r="J331" i="2"/>
  <c r="Q330" i="2"/>
  <c r="BW676" i="5" l="1"/>
  <c r="BY676" i="5" s="1"/>
  <c r="G677" i="5"/>
  <c r="AK333" i="5"/>
  <c r="AD333" i="5"/>
  <c r="H613" i="2"/>
  <c r="AR612" i="2"/>
  <c r="AT612" i="2" s="1"/>
  <c r="AD332" i="2"/>
  <c r="AF332" i="2" s="1"/>
  <c r="W332" i="2"/>
  <c r="X332" i="2" s="1"/>
  <c r="AE331" i="2"/>
  <c r="B593" i="26"/>
  <c r="D594" i="26"/>
  <c r="C594" i="26"/>
  <c r="E593" i="26"/>
  <c r="AH285" i="24"/>
  <c r="AO285" i="5"/>
  <c r="BY285" i="5" s="1"/>
  <c r="AL333" i="5"/>
  <c r="AC334" i="5"/>
  <c r="AJ334" i="5"/>
  <c r="J333" i="5"/>
  <c r="I334" i="5"/>
  <c r="O334" i="5"/>
  <c r="P334" i="5" s="1"/>
  <c r="V334" i="5"/>
  <c r="Q333" i="5"/>
  <c r="W333" i="5"/>
  <c r="X333" i="5"/>
  <c r="D335" i="25"/>
  <c r="AG335" i="25" s="1"/>
  <c r="C335" i="25"/>
  <c r="H335" i="25" s="1"/>
  <c r="E334" i="25"/>
  <c r="AI334" i="25" s="1"/>
  <c r="AP334" i="2" s="1"/>
  <c r="B334" i="25"/>
  <c r="B335" i="24"/>
  <c r="D336" i="24"/>
  <c r="AI336" i="24" s="1"/>
  <c r="E335" i="24"/>
  <c r="AK335" i="24" s="1"/>
  <c r="AQ334" i="5" s="1"/>
  <c r="C336" i="24"/>
  <c r="R331" i="2"/>
  <c r="E335" i="5"/>
  <c r="C336" i="5"/>
  <c r="B335" i="5"/>
  <c r="D336" i="5"/>
  <c r="P332" i="2"/>
  <c r="J332" i="2"/>
  <c r="Q331" i="2"/>
  <c r="B333" i="2"/>
  <c r="E333" i="2"/>
  <c r="C334" i="2"/>
  <c r="D334" i="2"/>
  <c r="K331" i="2"/>
  <c r="J20" i="20" l="1"/>
  <c r="J102" i="20" s="1"/>
  <c r="F31" i="32" s="1"/>
  <c r="BW677" i="5"/>
  <c r="BY677" i="5" s="1"/>
  <c r="G678" i="5"/>
  <c r="AD334" i="5"/>
  <c r="AK334" i="5"/>
  <c r="H614" i="2"/>
  <c r="AR613" i="2"/>
  <c r="AT613" i="2" s="1"/>
  <c r="AE332" i="2"/>
  <c r="Y332" i="2"/>
  <c r="AD333" i="2"/>
  <c r="AF333" i="2" s="1"/>
  <c r="W333" i="2"/>
  <c r="X333" i="2" s="1"/>
  <c r="B594" i="26"/>
  <c r="E594" i="26"/>
  <c r="D595" i="26"/>
  <c r="C595" i="26"/>
  <c r="AE334" i="5"/>
  <c r="AH284" i="24"/>
  <c r="AO284" i="5"/>
  <c r="BY284" i="5" s="1"/>
  <c r="J334" i="5"/>
  <c r="AL334" i="5"/>
  <c r="AC335" i="5"/>
  <c r="AJ335" i="5"/>
  <c r="AE335" i="5"/>
  <c r="Q334" i="5"/>
  <c r="I335" i="5"/>
  <c r="O335" i="5"/>
  <c r="P335" i="5" s="1"/>
  <c r="V335" i="5"/>
  <c r="W334" i="5"/>
  <c r="X334" i="5"/>
  <c r="D336" i="25"/>
  <c r="AG336" i="25" s="1"/>
  <c r="B335" i="25"/>
  <c r="C336" i="25"/>
  <c r="H336" i="25" s="1"/>
  <c r="E335" i="25"/>
  <c r="AI335" i="25" s="1"/>
  <c r="AP335" i="2" s="1"/>
  <c r="C337" i="24"/>
  <c r="D337" i="24"/>
  <c r="AI337" i="24" s="1"/>
  <c r="E336" i="24"/>
  <c r="AK336" i="24" s="1"/>
  <c r="AQ335" i="5" s="1"/>
  <c r="B336" i="24"/>
  <c r="R332" i="2"/>
  <c r="E336" i="5"/>
  <c r="C337" i="5"/>
  <c r="D337" i="5"/>
  <c r="B336" i="5"/>
  <c r="K332" i="2"/>
  <c r="E334" i="2"/>
  <c r="D335" i="2"/>
  <c r="C335" i="2"/>
  <c r="B334" i="2"/>
  <c r="P333" i="2"/>
  <c r="J333" i="2"/>
  <c r="Q332" i="2"/>
  <c r="G679" i="5" l="1"/>
  <c r="BW678" i="5"/>
  <c r="BY678" i="5" s="1"/>
  <c r="AK335" i="5"/>
  <c r="AD335" i="5"/>
  <c r="AR614" i="2"/>
  <c r="AT614" i="2" s="1"/>
  <c r="H615" i="2"/>
  <c r="Y333" i="2"/>
  <c r="AE333" i="2"/>
  <c r="AD334" i="2"/>
  <c r="AF334" i="2" s="1"/>
  <c r="W334" i="2"/>
  <c r="X334" i="2" s="1"/>
  <c r="E595" i="26"/>
  <c r="D596" i="26"/>
  <c r="B595" i="26"/>
  <c r="C596" i="26"/>
  <c r="AH283" i="24"/>
  <c r="AO283" i="5"/>
  <c r="BY283" i="5" s="1"/>
  <c r="AL335" i="5"/>
  <c r="AC336" i="5"/>
  <c r="AE336" i="5" s="1"/>
  <c r="AJ336" i="5"/>
  <c r="J335" i="5"/>
  <c r="Q335" i="5"/>
  <c r="X335" i="5"/>
  <c r="W335" i="5"/>
  <c r="I336" i="5"/>
  <c r="O336" i="5"/>
  <c r="P336" i="5" s="1"/>
  <c r="V336" i="5"/>
  <c r="C337" i="25"/>
  <c r="H337" i="25" s="1"/>
  <c r="AF337" i="25" s="1"/>
  <c r="AN337" i="2" s="1"/>
  <c r="E336" i="25"/>
  <c r="AI336" i="25" s="1"/>
  <c r="AP336" i="2" s="1"/>
  <c r="D337" i="25"/>
  <c r="AG337" i="25" s="1"/>
  <c r="B336" i="25"/>
  <c r="E337" i="24"/>
  <c r="AK337" i="24" s="1"/>
  <c r="AQ336" i="5" s="1"/>
  <c r="B337" i="24"/>
  <c r="C338" i="24"/>
  <c r="D338" i="24"/>
  <c r="AH338" i="24" s="1"/>
  <c r="R333" i="2"/>
  <c r="E337" i="5"/>
  <c r="C338" i="5"/>
  <c r="B337" i="5"/>
  <c r="D338" i="5"/>
  <c r="P334" i="2"/>
  <c r="J334" i="2"/>
  <c r="Q333" i="2"/>
  <c r="B335" i="2"/>
  <c r="E335" i="2"/>
  <c r="C336" i="2"/>
  <c r="D336" i="2"/>
  <c r="K333" i="2"/>
  <c r="G680" i="5" l="1"/>
  <c r="BW679" i="5"/>
  <c r="BY679" i="5" s="1"/>
  <c r="AK336" i="5"/>
  <c r="AD336" i="5"/>
  <c r="H616" i="2"/>
  <c r="J18" i="19" s="1"/>
  <c r="J114" i="19" s="1"/>
  <c r="F12" i="32" s="1"/>
  <c r="AR615" i="2"/>
  <c r="AT615" i="2" s="1"/>
  <c r="Y334" i="2"/>
  <c r="AD335" i="2"/>
  <c r="AF335" i="2" s="1"/>
  <c r="W335" i="2"/>
  <c r="Y335" i="2" s="1"/>
  <c r="AE334" i="2"/>
  <c r="AE335" i="2" s="1"/>
  <c r="B596" i="26"/>
  <c r="E596" i="26"/>
  <c r="C597" i="26"/>
  <c r="D597" i="26"/>
  <c r="AF336" i="25"/>
  <c r="AH282" i="24"/>
  <c r="AO282" i="5"/>
  <c r="BY282" i="5" s="1"/>
  <c r="AI338" i="24"/>
  <c r="AL336" i="5"/>
  <c r="AC337" i="5"/>
  <c r="AE337" i="5" s="1"/>
  <c r="AJ337" i="5"/>
  <c r="Q336" i="5"/>
  <c r="W336" i="5"/>
  <c r="X336" i="5"/>
  <c r="I337" i="5"/>
  <c r="O337" i="5"/>
  <c r="P337" i="5" s="1"/>
  <c r="V337" i="5"/>
  <c r="J336" i="5"/>
  <c r="D338" i="25"/>
  <c r="AG338" i="25" s="1"/>
  <c r="C338" i="25"/>
  <c r="H338" i="25" s="1"/>
  <c r="E337" i="25"/>
  <c r="AI337" i="25" s="1"/>
  <c r="AP337" i="2" s="1"/>
  <c r="B337" i="25"/>
  <c r="E338" i="24"/>
  <c r="AK338" i="24" s="1"/>
  <c r="AQ337" i="5" s="1"/>
  <c r="C339" i="24"/>
  <c r="D339" i="24"/>
  <c r="AI339" i="24" s="1"/>
  <c r="B338" i="24"/>
  <c r="R334" i="2"/>
  <c r="E338" i="5"/>
  <c r="C339" i="5"/>
  <c r="D339" i="5"/>
  <c r="B338" i="5"/>
  <c r="K334" i="2"/>
  <c r="E336" i="2"/>
  <c r="D337" i="2"/>
  <c r="C337" i="2"/>
  <c r="B336" i="2"/>
  <c r="P335" i="2"/>
  <c r="J335" i="2"/>
  <c r="Q334" i="2"/>
  <c r="BW680" i="5" l="1"/>
  <c r="BY680" i="5" s="1"/>
  <c r="G681" i="5"/>
  <c r="AD337" i="5"/>
  <c r="AK337" i="5"/>
  <c r="AF335" i="25"/>
  <c r="AN336" i="2"/>
  <c r="AR616" i="2"/>
  <c r="AT616" i="2" s="1"/>
  <c r="H617" i="2"/>
  <c r="X335" i="2"/>
  <c r="AD336" i="2"/>
  <c r="AF336" i="2" s="1"/>
  <c r="W336" i="2"/>
  <c r="Y336" i="2" s="1"/>
  <c r="C598" i="26"/>
  <c r="B597" i="26"/>
  <c r="D598" i="26"/>
  <c r="E597" i="26"/>
  <c r="AO337" i="5"/>
  <c r="AH337" i="24"/>
  <c r="AH281" i="24"/>
  <c r="AO281" i="5"/>
  <c r="BY281" i="5" s="1"/>
  <c r="AL337" i="5"/>
  <c r="AC338" i="5"/>
  <c r="AE338" i="5" s="1"/>
  <c r="AJ338" i="5"/>
  <c r="J337" i="5"/>
  <c r="X337" i="5"/>
  <c r="W337" i="5"/>
  <c r="Q337" i="5"/>
  <c r="I338" i="5"/>
  <c r="O338" i="5"/>
  <c r="P338" i="5" s="1"/>
  <c r="V338" i="5"/>
  <c r="E338" i="25"/>
  <c r="AI338" i="25" s="1"/>
  <c r="AP338" i="2" s="1"/>
  <c r="D339" i="25"/>
  <c r="AG339" i="25" s="1"/>
  <c r="B338" i="25"/>
  <c r="C339" i="25"/>
  <c r="H339" i="25" s="1"/>
  <c r="C340" i="24"/>
  <c r="E339" i="24"/>
  <c r="AK339" i="24" s="1"/>
  <c r="AQ338" i="5" s="1"/>
  <c r="D340" i="24"/>
  <c r="AI340" i="24" s="1"/>
  <c r="B339" i="24"/>
  <c r="R335" i="2"/>
  <c r="E339" i="5"/>
  <c r="D340" i="5"/>
  <c r="B339" i="5"/>
  <c r="C340" i="5"/>
  <c r="Q335" i="2"/>
  <c r="P336" i="2"/>
  <c r="J336" i="2"/>
  <c r="B337" i="2"/>
  <c r="E337" i="2"/>
  <c r="D338" i="2"/>
  <c r="C338" i="2"/>
  <c r="K335" i="2"/>
  <c r="G682" i="5" l="1"/>
  <c r="BW681" i="5"/>
  <c r="BY681" i="5" s="1"/>
  <c r="AK338" i="5"/>
  <c r="AD338" i="5"/>
  <c r="AF334" i="25"/>
  <c r="AN335" i="2"/>
  <c r="H618" i="2"/>
  <c r="AR617" i="2"/>
  <c r="AT617" i="2" s="1"/>
  <c r="X336" i="2"/>
  <c r="AD337" i="2"/>
  <c r="AF337" i="2" s="1"/>
  <c r="W337" i="2"/>
  <c r="Y337" i="2" s="1"/>
  <c r="AE336" i="2"/>
  <c r="AE337" i="2" s="1"/>
  <c r="B598" i="26"/>
  <c r="E598" i="26"/>
  <c r="D599" i="26"/>
  <c r="C599" i="26"/>
  <c r="AH280" i="24"/>
  <c r="AO279" i="5" s="1"/>
  <c r="BY279" i="5" s="1"/>
  <c r="AO280" i="5"/>
  <c r="BY280" i="5" s="1"/>
  <c r="AO336" i="5"/>
  <c r="AH336" i="24"/>
  <c r="AO338" i="5"/>
  <c r="J338" i="5"/>
  <c r="AL338" i="5"/>
  <c r="AC339" i="5"/>
  <c r="AE339" i="5" s="1"/>
  <c r="AJ339" i="5"/>
  <c r="X338" i="5"/>
  <c r="W338" i="5"/>
  <c r="Q338" i="5"/>
  <c r="I339" i="5"/>
  <c r="O339" i="5"/>
  <c r="P339" i="5" s="1"/>
  <c r="V339" i="5"/>
  <c r="D340" i="25"/>
  <c r="AG340" i="25" s="1"/>
  <c r="C340" i="25"/>
  <c r="H340" i="25" s="1"/>
  <c r="E339" i="25"/>
  <c r="AI339" i="25" s="1"/>
  <c r="B339" i="25"/>
  <c r="D341" i="24"/>
  <c r="AI341" i="24" s="1"/>
  <c r="B340" i="24"/>
  <c r="E340" i="24"/>
  <c r="AK340" i="24" s="1"/>
  <c r="AQ339" i="5" s="1"/>
  <c r="C341" i="24"/>
  <c r="R336" i="2"/>
  <c r="C341" i="5"/>
  <c r="D341" i="5"/>
  <c r="B340" i="5"/>
  <c r="E340" i="5"/>
  <c r="K336" i="2"/>
  <c r="P337" i="2"/>
  <c r="J337" i="2"/>
  <c r="E338" i="2"/>
  <c r="D339" i="2"/>
  <c r="C339" i="2"/>
  <c r="B338" i="2"/>
  <c r="Q336" i="2"/>
  <c r="BW682" i="5" l="1"/>
  <c r="BY682" i="5" s="1"/>
  <c r="G683" i="5"/>
  <c r="AK339" i="5"/>
  <c r="AD339" i="5"/>
  <c r="AF333" i="25"/>
  <c r="AN334" i="2"/>
  <c r="H619" i="2"/>
  <c r="AR618" i="2"/>
  <c r="AT618" i="2" s="1"/>
  <c r="X337" i="2"/>
  <c r="Q337" i="2"/>
  <c r="AD338" i="2"/>
  <c r="AF338" i="2" s="1"/>
  <c r="W338" i="2"/>
  <c r="X338" i="2" s="1"/>
  <c r="AP339" i="2"/>
  <c r="E599" i="26"/>
  <c r="C600" i="26"/>
  <c r="B599" i="26"/>
  <c r="D600" i="26"/>
  <c r="AH335" i="24"/>
  <c r="AO335" i="5"/>
  <c r="AC340" i="5"/>
  <c r="AE340" i="5" s="1"/>
  <c r="AJ340" i="5"/>
  <c r="AK340" i="5" s="1"/>
  <c r="AL339" i="5"/>
  <c r="J339" i="5"/>
  <c r="X339" i="5"/>
  <c r="W339" i="5"/>
  <c r="Q339" i="5"/>
  <c r="I340" i="5"/>
  <c r="O340" i="5"/>
  <c r="P340" i="5" s="1"/>
  <c r="V340" i="5"/>
  <c r="D341" i="25"/>
  <c r="AG341" i="25" s="1"/>
  <c r="C341" i="25"/>
  <c r="H341" i="25" s="1"/>
  <c r="E340" i="25"/>
  <c r="AI340" i="25" s="1"/>
  <c r="AP340" i="2" s="1"/>
  <c r="B340" i="25"/>
  <c r="E341" i="24"/>
  <c r="AK341" i="24" s="1"/>
  <c r="AQ340" i="5" s="1"/>
  <c r="B341" i="24"/>
  <c r="D342" i="24"/>
  <c r="AI342" i="24" s="1"/>
  <c r="C342" i="24"/>
  <c r="R337" i="2"/>
  <c r="B341" i="5"/>
  <c r="C342" i="5"/>
  <c r="E341" i="5"/>
  <c r="D342" i="5"/>
  <c r="K337" i="2"/>
  <c r="B339" i="2"/>
  <c r="E339" i="2"/>
  <c r="D340" i="2"/>
  <c r="C340" i="2"/>
  <c r="P338" i="2"/>
  <c r="J338" i="2"/>
  <c r="BW683" i="5" l="1"/>
  <c r="BY683" i="5" s="1"/>
  <c r="G684" i="5"/>
  <c r="AD340" i="5"/>
  <c r="AF332" i="25"/>
  <c r="AN333" i="2"/>
  <c r="H620" i="2"/>
  <c r="AR619" i="2"/>
  <c r="AT619" i="2" s="1"/>
  <c r="Y338" i="2"/>
  <c r="AE338" i="2"/>
  <c r="AD339" i="2"/>
  <c r="AF339" i="2" s="1"/>
  <c r="W339" i="2"/>
  <c r="Y339" i="2" s="1"/>
  <c r="D601" i="26"/>
  <c r="C601" i="26"/>
  <c r="E600" i="26"/>
  <c r="B600" i="26"/>
  <c r="AH334" i="24"/>
  <c r="AO334" i="5"/>
  <c r="AC341" i="5"/>
  <c r="AJ341" i="5"/>
  <c r="AK341" i="5" s="1"/>
  <c r="AL340" i="5"/>
  <c r="I341" i="5"/>
  <c r="O341" i="5"/>
  <c r="P341" i="5" s="1"/>
  <c r="V341" i="5"/>
  <c r="X340" i="5"/>
  <c r="W340" i="5"/>
  <c r="Q340" i="5"/>
  <c r="J340" i="5"/>
  <c r="D342" i="25"/>
  <c r="AG342" i="25" s="1"/>
  <c r="C342" i="25"/>
  <c r="H342" i="25" s="1"/>
  <c r="E341" i="25"/>
  <c r="AI341" i="25" s="1"/>
  <c r="AP341" i="2" s="1"/>
  <c r="B341" i="25"/>
  <c r="B342" i="24"/>
  <c r="D343" i="24"/>
  <c r="AI343" i="24" s="1"/>
  <c r="C343" i="24"/>
  <c r="E342" i="24"/>
  <c r="AK342" i="24" s="1"/>
  <c r="AQ341" i="5" s="1"/>
  <c r="R338" i="2"/>
  <c r="K338" i="2"/>
  <c r="E342" i="5"/>
  <c r="B342" i="5"/>
  <c r="D343" i="5"/>
  <c r="C343" i="5"/>
  <c r="E340" i="2"/>
  <c r="D341" i="2"/>
  <c r="C341" i="2"/>
  <c r="B340" i="2"/>
  <c r="P339" i="2"/>
  <c r="J339" i="2"/>
  <c r="Q338" i="2"/>
  <c r="G685" i="5" l="1"/>
  <c r="BW684" i="5"/>
  <c r="BY684" i="5" s="1"/>
  <c r="AD341" i="5"/>
  <c r="AF331" i="25"/>
  <c r="AN332" i="2"/>
  <c r="H621" i="2"/>
  <c r="AR620" i="2"/>
  <c r="AT620" i="2" s="1"/>
  <c r="X339" i="2"/>
  <c r="AE339" i="2"/>
  <c r="Q339" i="2"/>
  <c r="AD340" i="2"/>
  <c r="AF340" i="2" s="1"/>
  <c r="W340" i="2"/>
  <c r="X340" i="2" s="1"/>
  <c r="B601" i="26"/>
  <c r="E601" i="26"/>
  <c r="C602" i="26"/>
  <c r="D602" i="26"/>
  <c r="AE341" i="5"/>
  <c r="AH333" i="24"/>
  <c r="AO333" i="5"/>
  <c r="AL341" i="5"/>
  <c r="AC342" i="5"/>
  <c r="AE342" i="5" s="1"/>
  <c r="AJ342" i="5"/>
  <c r="AK342" i="5" s="1"/>
  <c r="J341" i="5"/>
  <c r="X341" i="5"/>
  <c r="W341" i="5"/>
  <c r="Q341" i="5"/>
  <c r="I342" i="5"/>
  <c r="O342" i="5"/>
  <c r="P342" i="5" s="1"/>
  <c r="V342" i="5"/>
  <c r="D343" i="25"/>
  <c r="AG343" i="25" s="1"/>
  <c r="C343" i="25"/>
  <c r="H343" i="25" s="1"/>
  <c r="B342" i="25"/>
  <c r="E342" i="25"/>
  <c r="AI342" i="25" s="1"/>
  <c r="AP342" i="2" s="1"/>
  <c r="E343" i="24"/>
  <c r="AK343" i="24" s="1"/>
  <c r="AQ342" i="5" s="1"/>
  <c r="B343" i="24"/>
  <c r="C344" i="24"/>
  <c r="D344" i="24"/>
  <c r="AI344" i="24" s="1"/>
  <c r="R339" i="2"/>
  <c r="E343" i="5"/>
  <c r="C344" i="5"/>
  <c r="B343" i="5"/>
  <c r="D344" i="5"/>
  <c r="K339" i="2"/>
  <c r="B341" i="2"/>
  <c r="E341" i="2"/>
  <c r="C342" i="2"/>
  <c r="D342" i="2"/>
  <c r="P340" i="2"/>
  <c r="J340" i="2"/>
  <c r="G686" i="5" l="1"/>
  <c r="BW685" i="5"/>
  <c r="BY685" i="5" s="1"/>
  <c r="AD342" i="5"/>
  <c r="AF330" i="25"/>
  <c r="AN331" i="2"/>
  <c r="H622" i="2"/>
  <c r="AR621" i="2"/>
  <c r="AT621" i="2" s="1"/>
  <c r="AD341" i="2"/>
  <c r="AF341" i="2" s="1"/>
  <c r="W341" i="2"/>
  <c r="Y341" i="2" s="1"/>
  <c r="Y340" i="2"/>
  <c r="AE340" i="2"/>
  <c r="AE341" i="2" s="1"/>
  <c r="B602" i="26"/>
  <c r="D603" i="26"/>
  <c r="E602" i="26"/>
  <c r="C603" i="26"/>
  <c r="AH332" i="24"/>
  <c r="AO332" i="5"/>
  <c r="AL342" i="5"/>
  <c r="AC343" i="5"/>
  <c r="AJ343" i="5"/>
  <c r="AK343" i="5" s="1"/>
  <c r="J342" i="5"/>
  <c r="Q342" i="5"/>
  <c r="I343" i="5"/>
  <c r="O343" i="5"/>
  <c r="P343" i="5" s="1"/>
  <c r="V343" i="5"/>
  <c r="W342" i="5"/>
  <c r="X342" i="5"/>
  <c r="B343" i="25"/>
  <c r="D344" i="25"/>
  <c r="AG344" i="25" s="1"/>
  <c r="E343" i="25"/>
  <c r="AI343" i="25" s="1"/>
  <c r="AP343" i="2" s="1"/>
  <c r="C344" i="25"/>
  <c r="H344" i="25" s="1"/>
  <c r="C345" i="24"/>
  <c r="E344" i="24"/>
  <c r="AK344" i="24" s="1"/>
  <c r="AQ343" i="5" s="1"/>
  <c r="D345" i="24"/>
  <c r="AI345" i="24" s="1"/>
  <c r="B344" i="24"/>
  <c r="R340" i="2"/>
  <c r="C345" i="5"/>
  <c r="D345" i="5"/>
  <c r="B344" i="5"/>
  <c r="E344" i="5"/>
  <c r="B342" i="2"/>
  <c r="C343" i="2"/>
  <c r="D343" i="2"/>
  <c r="E342" i="2"/>
  <c r="P341" i="2"/>
  <c r="J341" i="2"/>
  <c r="K340" i="2"/>
  <c r="Q340" i="2"/>
  <c r="G687" i="5" l="1"/>
  <c r="BW686" i="5"/>
  <c r="BY686" i="5" s="1"/>
  <c r="AD343" i="5"/>
  <c r="AF329" i="25"/>
  <c r="AN330" i="2"/>
  <c r="H623" i="2"/>
  <c r="AR622" i="2"/>
  <c r="AT622" i="2" s="1"/>
  <c r="AD342" i="2"/>
  <c r="AF342" i="2" s="1"/>
  <c r="W342" i="2"/>
  <c r="Y342" i="2" s="1"/>
  <c r="X341" i="2"/>
  <c r="X342" i="2" s="1"/>
  <c r="E603" i="26"/>
  <c r="D604" i="26"/>
  <c r="B603" i="26"/>
  <c r="C604" i="26"/>
  <c r="AE343" i="5"/>
  <c r="AH331" i="24"/>
  <c r="AO331" i="5"/>
  <c r="AC344" i="5"/>
  <c r="AE344" i="5" s="1"/>
  <c r="AJ344" i="5"/>
  <c r="AK344" i="5" s="1"/>
  <c r="AL343" i="5"/>
  <c r="J343" i="5"/>
  <c r="I344" i="5"/>
  <c r="O344" i="5"/>
  <c r="P344" i="5" s="1"/>
  <c r="V344" i="5"/>
  <c r="X343" i="5"/>
  <c r="W343" i="5"/>
  <c r="Q343" i="5"/>
  <c r="C345" i="25"/>
  <c r="H345" i="25" s="1"/>
  <c r="B344" i="25"/>
  <c r="D345" i="25"/>
  <c r="AG345" i="25" s="1"/>
  <c r="E344" i="25"/>
  <c r="AI344" i="25" s="1"/>
  <c r="AP344" i="2" s="1"/>
  <c r="E345" i="24"/>
  <c r="AK345" i="24" s="1"/>
  <c r="AQ344" i="5" s="1"/>
  <c r="D346" i="24"/>
  <c r="AI346" i="24" s="1"/>
  <c r="C346" i="24"/>
  <c r="B345" i="24"/>
  <c r="R341" i="2"/>
  <c r="C346" i="5"/>
  <c r="D346" i="5"/>
  <c r="E345" i="5"/>
  <c r="B345" i="5"/>
  <c r="K341" i="2"/>
  <c r="P342" i="2"/>
  <c r="J342" i="2"/>
  <c r="Q341" i="2"/>
  <c r="B343" i="2"/>
  <c r="E343" i="2"/>
  <c r="C344" i="2"/>
  <c r="D344" i="2"/>
  <c r="BW687" i="5" l="1"/>
  <c r="BY687" i="5" s="1"/>
  <c r="G688" i="5"/>
  <c r="AD344" i="5"/>
  <c r="AF328" i="25"/>
  <c r="AN329" i="2"/>
  <c r="AE342" i="2"/>
  <c r="H624" i="2"/>
  <c r="AR623" i="2"/>
  <c r="AT623" i="2" s="1"/>
  <c r="AD343" i="2"/>
  <c r="AF343" i="2" s="1"/>
  <c r="W343" i="2"/>
  <c r="Y343" i="2" s="1"/>
  <c r="AE343" i="2"/>
  <c r="C605" i="26"/>
  <c r="B604" i="26"/>
  <c r="E604" i="26"/>
  <c r="D605" i="26"/>
  <c r="AH330" i="24"/>
  <c r="AO330" i="5"/>
  <c r="J344" i="5"/>
  <c r="AC345" i="5"/>
  <c r="AE345" i="5" s="1"/>
  <c r="AJ345" i="5"/>
  <c r="AK345" i="5" s="1"/>
  <c r="AL344" i="5"/>
  <c r="X344" i="5"/>
  <c r="W344" i="5"/>
  <c r="Q344" i="5"/>
  <c r="I345" i="5"/>
  <c r="O345" i="5"/>
  <c r="P345" i="5" s="1"/>
  <c r="V345" i="5"/>
  <c r="C346" i="25"/>
  <c r="H346" i="25" s="1"/>
  <c r="E345" i="25"/>
  <c r="AI345" i="25" s="1"/>
  <c r="AP345" i="2" s="1"/>
  <c r="D346" i="25"/>
  <c r="AG346" i="25" s="1"/>
  <c r="B345" i="25"/>
  <c r="Q342" i="2"/>
  <c r="B346" i="24"/>
  <c r="C347" i="24"/>
  <c r="E346" i="24"/>
  <c r="AK346" i="24" s="1"/>
  <c r="AQ345" i="5" s="1"/>
  <c r="D347" i="24"/>
  <c r="AI347" i="24" s="1"/>
  <c r="R342" i="2"/>
  <c r="B346" i="5"/>
  <c r="E346" i="5"/>
  <c r="C347" i="5"/>
  <c r="D347" i="5"/>
  <c r="K342" i="2"/>
  <c r="E344" i="2"/>
  <c r="D345" i="2"/>
  <c r="C345" i="2"/>
  <c r="B344" i="2"/>
  <c r="P343" i="2"/>
  <c r="J343" i="2"/>
  <c r="G689" i="5" l="1"/>
  <c r="BW688" i="5"/>
  <c r="BY688" i="5" s="1"/>
  <c r="AD345" i="5"/>
  <c r="AF327" i="25"/>
  <c r="AN328" i="2"/>
  <c r="H625" i="2"/>
  <c r="AR624" i="2"/>
  <c r="AT624" i="2" s="1"/>
  <c r="AD344" i="2"/>
  <c r="AF344" i="2" s="1"/>
  <c r="W344" i="2"/>
  <c r="Y344" i="2" s="1"/>
  <c r="X343" i="2"/>
  <c r="X344" i="2" s="1"/>
  <c r="E605" i="26"/>
  <c r="C606" i="26"/>
  <c r="B605" i="26"/>
  <c r="D606" i="26"/>
  <c r="AH329" i="24"/>
  <c r="AO329" i="5"/>
  <c r="AC346" i="5"/>
  <c r="AE346" i="5" s="1"/>
  <c r="AJ346" i="5"/>
  <c r="AK346" i="5" s="1"/>
  <c r="AL345" i="5"/>
  <c r="J345" i="5"/>
  <c r="Q345" i="5"/>
  <c r="I346" i="5"/>
  <c r="O346" i="5"/>
  <c r="P346" i="5" s="1"/>
  <c r="V346" i="5"/>
  <c r="X345" i="5"/>
  <c r="W345" i="5"/>
  <c r="B346" i="25"/>
  <c r="C347" i="25"/>
  <c r="H347" i="25" s="1"/>
  <c r="D347" i="25"/>
  <c r="AG347" i="25" s="1"/>
  <c r="E346" i="25"/>
  <c r="AI346" i="25" s="1"/>
  <c r="AP346" i="2" s="1"/>
  <c r="E347" i="24"/>
  <c r="AK347" i="24" s="1"/>
  <c r="AQ346" i="5" s="1"/>
  <c r="B347" i="24"/>
  <c r="C348" i="24"/>
  <c r="D348" i="24"/>
  <c r="AI348" i="24" s="1"/>
  <c r="R343" i="2"/>
  <c r="C348" i="5"/>
  <c r="D348" i="5"/>
  <c r="E347" i="5"/>
  <c r="B347" i="5"/>
  <c r="B345" i="2"/>
  <c r="E345" i="2"/>
  <c r="D346" i="2"/>
  <c r="C346" i="2"/>
  <c r="Q343" i="2"/>
  <c r="P344" i="2"/>
  <c r="J344" i="2"/>
  <c r="K343" i="2"/>
  <c r="G690" i="5" l="1"/>
  <c r="BW689" i="5"/>
  <c r="BY689" i="5" s="1"/>
  <c r="AD346" i="5"/>
  <c r="AF326" i="25"/>
  <c r="AN327" i="2"/>
  <c r="H626" i="2"/>
  <c r="AR625" i="2"/>
  <c r="AT625" i="2" s="1"/>
  <c r="AD345" i="2"/>
  <c r="AF345" i="2" s="1"/>
  <c r="W345" i="2"/>
  <c r="X345" i="2" s="1"/>
  <c r="AE344" i="2"/>
  <c r="C607" i="26"/>
  <c r="B606" i="26"/>
  <c r="D607" i="26"/>
  <c r="E606" i="26"/>
  <c r="AH328" i="24"/>
  <c r="AO328" i="5"/>
  <c r="AL346" i="5"/>
  <c r="AC347" i="5"/>
  <c r="AJ347" i="5"/>
  <c r="AK347" i="5" s="1"/>
  <c r="I347" i="5"/>
  <c r="O347" i="5"/>
  <c r="P347" i="5" s="1"/>
  <c r="V347" i="5"/>
  <c r="X346" i="5"/>
  <c r="W346" i="5"/>
  <c r="Q346" i="5"/>
  <c r="J346" i="5"/>
  <c r="C348" i="25"/>
  <c r="H348" i="25" s="1"/>
  <c r="B347" i="25"/>
  <c r="D348" i="25"/>
  <c r="AG348" i="25" s="1"/>
  <c r="E347" i="25"/>
  <c r="AI347" i="25" s="1"/>
  <c r="AP347" i="2" s="1"/>
  <c r="C349" i="24"/>
  <c r="E348" i="24"/>
  <c r="AK348" i="24" s="1"/>
  <c r="AQ347" i="5" s="1"/>
  <c r="D349" i="24"/>
  <c r="AI349" i="24" s="1"/>
  <c r="B348" i="24"/>
  <c r="R344" i="2"/>
  <c r="E348" i="5"/>
  <c r="C349" i="5"/>
  <c r="D349" i="5"/>
  <c r="B348" i="5"/>
  <c r="Q344" i="2"/>
  <c r="K344" i="2"/>
  <c r="E346" i="2"/>
  <c r="D347" i="2"/>
  <c r="C347" i="2"/>
  <c r="B346" i="2"/>
  <c r="P345" i="2"/>
  <c r="J345" i="2"/>
  <c r="G691" i="5" l="1"/>
  <c r="BW690" i="5"/>
  <c r="BY690" i="5" s="1"/>
  <c r="AD347" i="5"/>
  <c r="AF325" i="25"/>
  <c r="AN326" i="2"/>
  <c r="AR626" i="2"/>
  <c r="H627" i="2"/>
  <c r="AT626" i="2"/>
  <c r="Y345" i="2"/>
  <c r="AD346" i="2"/>
  <c r="AF346" i="2" s="1"/>
  <c r="W346" i="2"/>
  <c r="X346" i="2" s="1"/>
  <c r="AE345" i="2"/>
  <c r="AE346" i="2" s="1"/>
  <c r="D608" i="26"/>
  <c r="E607" i="26"/>
  <c r="C608" i="26"/>
  <c r="B607" i="26"/>
  <c r="AH327" i="24"/>
  <c r="AO327" i="5"/>
  <c r="AE347" i="5"/>
  <c r="AL347" i="5"/>
  <c r="AC348" i="5"/>
  <c r="AE348" i="5" s="1"/>
  <c r="AJ348" i="5"/>
  <c r="AK348" i="5" s="1"/>
  <c r="J347" i="5"/>
  <c r="I348" i="5"/>
  <c r="O348" i="5"/>
  <c r="P348" i="5" s="1"/>
  <c r="V348" i="5"/>
  <c r="X347" i="5"/>
  <c r="W347" i="5"/>
  <c r="Q347" i="5"/>
  <c r="D349" i="25"/>
  <c r="AG349" i="25" s="1"/>
  <c r="E348" i="25"/>
  <c r="AI348" i="25" s="1"/>
  <c r="AP348" i="2" s="1"/>
  <c r="B348" i="25"/>
  <c r="C349" i="25"/>
  <c r="H349" i="25" s="1"/>
  <c r="C350" i="24"/>
  <c r="D350" i="24"/>
  <c r="AI350" i="24" s="1"/>
  <c r="E349" i="24"/>
  <c r="AK349" i="24" s="1"/>
  <c r="AQ348" i="5" s="1"/>
  <c r="B349" i="24"/>
  <c r="R345" i="2"/>
  <c r="B349" i="5"/>
  <c r="D350" i="5"/>
  <c r="C350" i="5"/>
  <c r="E349" i="5"/>
  <c r="B347" i="2"/>
  <c r="E347" i="2"/>
  <c r="D348" i="2"/>
  <c r="C348" i="2"/>
  <c r="P346" i="2"/>
  <c r="J346" i="2"/>
  <c r="K345" i="2"/>
  <c r="Q345" i="2"/>
  <c r="G692" i="5" l="1"/>
  <c r="BW691" i="5"/>
  <c r="BY691" i="5" s="1"/>
  <c r="AD348" i="5"/>
  <c r="AF324" i="25"/>
  <c r="AN325" i="2"/>
  <c r="H628" i="2"/>
  <c r="AR627" i="2"/>
  <c r="AT627" i="2" s="1"/>
  <c r="AD347" i="2"/>
  <c r="AF347" i="2" s="1"/>
  <c r="W347" i="2"/>
  <c r="Y347" i="2" s="1"/>
  <c r="Y346" i="2"/>
  <c r="AE347" i="2"/>
  <c r="E608" i="26"/>
  <c r="B608" i="26"/>
  <c r="C609" i="26"/>
  <c r="D609" i="26"/>
  <c r="AH326" i="24"/>
  <c r="AO326" i="5"/>
  <c r="AL348" i="5"/>
  <c r="J348" i="5"/>
  <c r="AC349" i="5"/>
  <c r="AE349" i="5" s="1"/>
  <c r="AJ349" i="5"/>
  <c r="AK349" i="5" s="1"/>
  <c r="X348" i="5"/>
  <c r="W348" i="5"/>
  <c r="I349" i="5"/>
  <c r="O349" i="5"/>
  <c r="P349" i="5" s="1"/>
  <c r="V349" i="5"/>
  <c r="Q348" i="5"/>
  <c r="D350" i="25"/>
  <c r="AG350" i="25" s="1"/>
  <c r="B349" i="25"/>
  <c r="C350" i="25"/>
  <c r="H350" i="25" s="1"/>
  <c r="E349" i="25"/>
  <c r="AI349" i="25" s="1"/>
  <c r="AP349" i="2" s="1"/>
  <c r="C351" i="24"/>
  <c r="B350" i="24"/>
  <c r="E350" i="24"/>
  <c r="AK350" i="24" s="1"/>
  <c r="AQ349" i="5" s="1"/>
  <c r="D351" i="24"/>
  <c r="AI351" i="24" s="1"/>
  <c r="R346" i="2"/>
  <c r="B350" i="5"/>
  <c r="C351" i="5"/>
  <c r="D351" i="5"/>
  <c r="E350" i="5"/>
  <c r="K346" i="2"/>
  <c r="Q346" i="2"/>
  <c r="E348" i="2"/>
  <c r="D349" i="2"/>
  <c r="C349" i="2"/>
  <c r="B348" i="2"/>
  <c r="P347" i="2"/>
  <c r="J347" i="2"/>
  <c r="G693" i="5" l="1"/>
  <c r="BW692" i="5"/>
  <c r="BY692" i="5" s="1"/>
  <c r="AD349" i="5"/>
  <c r="AF323" i="25"/>
  <c r="AN324" i="2"/>
  <c r="H629" i="2"/>
  <c r="AR628" i="2"/>
  <c r="AT628" i="2"/>
  <c r="AD348" i="2"/>
  <c r="AF348" i="2" s="1"/>
  <c r="W348" i="2"/>
  <c r="Y348" i="2" s="1"/>
  <c r="X347" i="2"/>
  <c r="X348" i="2" s="1"/>
  <c r="D610" i="26"/>
  <c r="B609" i="26"/>
  <c r="C610" i="26"/>
  <c r="E609" i="26"/>
  <c r="AH325" i="24"/>
  <c r="AO325" i="5"/>
  <c r="AC350" i="5"/>
  <c r="AJ350" i="5"/>
  <c r="AK350" i="5" s="1"/>
  <c r="AL349" i="5"/>
  <c r="J349" i="5"/>
  <c r="W349" i="5"/>
  <c r="X349" i="5"/>
  <c r="Q349" i="5"/>
  <c r="I350" i="5"/>
  <c r="O350" i="5"/>
  <c r="P350" i="5" s="1"/>
  <c r="V350" i="5"/>
  <c r="C351" i="25"/>
  <c r="H351" i="25" s="1"/>
  <c r="E350" i="25"/>
  <c r="AI350" i="25" s="1"/>
  <c r="AP350" i="2" s="1"/>
  <c r="B350" i="25"/>
  <c r="D351" i="25"/>
  <c r="AG351" i="25" s="1"/>
  <c r="D352" i="24"/>
  <c r="AI352" i="24" s="1"/>
  <c r="B351" i="24"/>
  <c r="E351" i="24"/>
  <c r="AK351" i="24" s="1"/>
  <c r="AQ350" i="5" s="1"/>
  <c r="C352" i="24"/>
  <c r="R347" i="2"/>
  <c r="D352" i="5"/>
  <c r="E351" i="5"/>
  <c r="C352" i="5"/>
  <c r="B351" i="5"/>
  <c r="K347" i="2"/>
  <c r="B349" i="2"/>
  <c r="E349" i="2"/>
  <c r="C350" i="2"/>
  <c r="D350" i="2"/>
  <c r="P348" i="2"/>
  <c r="J348" i="2"/>
  <c r="Q347" i="2"/>
  <c r="BW693" i="5" l="1"/>
  <c r="BY693" i="5" s="1"/>
  <c r="G694" i="5"/>
  <c r="AD350" i="5"/>
  <c r="AF322" i="25"/>
  <c r="AN323" i="2"/>
  <c r="H630" i="2"/>
  <c r="AR629" i="2"/>
  <c r="AT629" i="2" s="1"/>
  <c r="AD349" i="2"/>
  <c r="AF349" i="2" s="1"/>
  <c r="W349" i="2"/>
  <c r="Z320" i="2" s="1"/>
  <c r="AE348" i="2"/>
  <c r="AE349" i="2" s="1"/>
  <c r="B610" i="26"/>
  <c r="E610" i="26"/>
  <c r="D611" i="26"/>
  <c r="C611" i="26"/>
  <c r="AE350" i="5"/>
  <c r="AH324" i="24"/>
  <c r="AO324" i="5"/>
  <c r="AC351" i="5"/>
  <c r="AE351" i="5" s="1"/>
  <c r="AJ351" i="5"/>
  <c r="AK351" i="5" s="1"/>
  <c r="AL350" i="5"/>
  <c r="W350" i="5"/>
  <c r="X350" i="5"/>
  <c r="Q350" i="5"/>
  <c r="I351" i="5"/>
  <c r="O351" i="5"/>
  <c r="P351" i="5" s="1"/>
  <c r="V351" i="5"/>
  <c r="J350" i="5"/>
  <c r="C352" i="25"/>
  <c r="H352" i="25" s="1"/>
  <c r="E351" i="25"/>
  <c r="AI351" i="25" s="1"/>
  <c r="AP351" i="2" s="1"/>
  <c r="D352" i="25"/>
  <c r="AG352" i="25" s="1"/>
  <c r="B351" i="25"/>
  <c r="B352" i="24"/>
  <c r="D353" i="24"/>
  <c r="AI353" i="24" s="1"/>
  <c r="E352" i="24"/>
  <c r="AK352" i="24" s="1"/>
  <c r="AQ351" i="5" s="1"/>
  <c r="C353" i="24"/>
  <c r="R348" i="2"/>
  <c r="D353" i="5"/>
  <c r="C353" i="5"/>
  <c r="E352" i="5"/>
  <c r="B352" i="5"/>
  <c r="Q348" i="2"/>
  <c r="P349" i="2"/>
  <c r="J349" i="2"/>
  <c r="E350" i="2"/>
  <c r="D351" i="2"/>
  <c r="C351" i="2"/>
  <c r="B350" i="2"/>
  <c r="K348" i="2"/>
  <c r="G695" i="5" l="1"/>
  <c r="BW694" i="5"/>
  <c r="BY694" i="5" s="1"/>
  <c r="AD351" i="5"/>
  <c r="AF321" i="25"/>
  <c r="AN322" i="2"/>
  <c r="H631" i="2"/>
  <c r="AR630" i="2"/>
  <c r="AT630" i="2"/>
  <c r="Q349" i="2"/>
  <c r="AD350" i="2"/>
  <c r="AF350" i="2" s="1"/>
  <c r="W350" i="2"/>
  <c r="Y350" i="2" s="1"/>
  <c r="AE350" i="2"/>
  <c r="X349" i="2"/>
  <c r="Y349" i="2"/>
  <c r="E611" i="26"/>
  <c r="D612" i="26"/>
  <c r="B611" i="26"/>
  <c r="C612" i="26"/>
  <c r="AH323" i="24"/>
  <c r="AO323" i="5"/>
  <c r="AL351" i="5"/>
  <c r="AC352" i="5"/>
  <c r="AE352" i="5" s="1"/>
  <c r="AJ352" i="5"/>
  <c r="AK352" i="5" s="1"/>
  <c r="J351" i="5"/>
  <c r="I352" i="5"/>
  <c r="O352" i="5"/>
  <c r="P352" i="5" s="1"/>
  <c r="V352" i="5"/>
  <c r="X351" i="5"/>
  <c r="W351" i="5"/>
  <c r="Q351" i="5"/>
  <c r="B352" i="25"/>
  <c r="D353" i="25"/>
  <c r="AG353" i="25" s="1"/>
  <c r="E352" i="25"/>
  <c r="AI352" i="25" s="1"/>
  <c r="AP352" i="2" s="1"/>
  <c r="C353" i="25"/>
  <c r="H353" i="25" s="1"/>
  <c r="B353" i="24"/>
  <c r="C354" i="24"/>
  <c r="D354" i="24"/>
  <c r="AI354" i="24" s="1"/>
  <c r="E353" i="24"/>
  <c r="AK353" i="24" s="1"/>
  <c r="AQ352" i="5" s="1"/>
  <c r="R349" i="2"/>
  <c r="B353" i="5"/>
  <c r="E353" i="5"/>
  <c r="C354" i="5"/>
  <c r="D354" i="5"/>
  <c r="K349" i="2"/>
  <c r="B351" i="2"/>
  <c r="E351" i="2"/>
  <c r="C352" i="2"/>
  <c r="D352" i="2"/>
  <c r="P350" i="2"/>
  <c r="J350" i="2"/>
  <c r="G696" i="5" l="1"/>
  <c r="BW695" i="5"/>
  <c r="BY695" i="5" s="1"/>
  <c r="AD352" i="5"/>
  <c r="AF320" i="25"/>
  <c r="AN321" i="2"/>
  <c r="H632" i="2"/>
  <c r="AR631" i="2"/>
  <c r="AT631" i="2" s="1"/>
  <c r="X350" i="2"/>
  <c r="X351" i="2" s="1"/>
  <c r="AD351" i="2"/>
  <c r="AF351" i="2" s="1"/>
  <c r="W351" i="2"/>
  <c r="Y351" i="2" s="1"/>
  <c r="AE351" i="2"/>
  <c r="C613" i="26"/>
  <c r="B612" i="26"/>
  <c r="E612" i="26"/>
  <c r="D613" i="26"/>
  <c r="AH322" i="24"/>
  <c r="AO322" i="5"/>
  <c r="J352" i="5"/>
  <c r="AC353" i="5"/>
  <c r="AE353" i="5" s="1"/>
  <c r="AJ353" i="5"/>
  <c r="AK353" i="5" s="1"/>
  <c r="AL352" i="5"/>
  <c r="W352" i="5"/>
  <c r="X352" i="5"/>
  <c r="Q352" i="5"/>
  <c r="I353" i="5"/>
  <c r="O353" i="5"/>
  <c r="P353" i="5" s="1"/>
  <c r="V353" i="5"/>
  <c r="E353" i="25"/>
  <c r="AI353" i="25" s="1"/>
  <c r="AP353" i="2" s="1"/>
  <c r="B353" i="25"/>
  <c r="C354" i="25"/>
  <c r="H354" i="25" s="1"/>
  <c r="D354" i="25"/>
  <c r="AG354" i="25" s="1"/>
  <c r="C355" i="24"/>
  <c r="D355" i="24"/>
  <c r="AI355" i="24" s="1"/>
  <c r="B354" i="24"/>
  <c r="E354" i="24"/>
  <c r="AK354" i="24" s="1"/>
  <c r="AQ353" i="5" s="1"/>
  <c r="R350" i="2"/>
  <c r="K350" i="2"/>
  <c r="E354" i="5"/>
  <c r="C355" i="5"/>
  <c r="D355" i="5"/>
  <c r="B354" i="5"/>
  <c r="Q350" i="2"/>
  <c r="E352" i="2"/>
  <c r="D353" i="2"/>
  <c r="C353" i="2"/>
  <c r="B352" i="2"/>
  <c r="P351" i="2"/>
  <c r="J351" i="2"/>
  <c r="G697" i="5" l="1"/>
  <c r="BW696" i="5"/>
  <c r="BY696" i="5" s="1"/>
  <c r="AD353" i="5"/>
  <c r="AF319" i="25"/>
  <c r="AN320" i="2"/>
  <c r="H633" i="2"/>
  <c r="AR632" i="2"/>
  <c r="AT632" i="2"/>
  <c r="Q351" i="2"/>
  <c r="AD352" i="2"/>
  <c r="AF352" i="2" s="1"/>
  <c r="W352" i="2"/>
  <c r="Y352" i="2" s="1"/>
  <c r="AE352" i="2"/>
  <c r="E613" i="26"/>
  <c r="B613" i="26"/>
  <c r="D614" i="26"/>
  <c r="C614" i="26"/>
  <c r="AH321" i="24"/>
  <c r="AO321" i="5"/>
  <c r="AL353" i="5"/>
  <c r="AC354" i="5"/>
  <c r="AE354" i="5" s="1"/>
  <c r="AJ354" i="5"/>
  <c r="AK354" i="5" s="1"/>
  <c r="X353" i="5"/>
  <c r="W353" i="5"/>
  <c r="I354" i="5"/>
  <c r="O354" i="5"/>
  <c r="P354" i="5" s="1"/>
  <c r="V354" i="5"/>
  <c r="Q353" i="5"/>
  <c r="J353" i="5"/>
  <c r="D355" i="25"/>
  <c r="AG355" i="25" s="1"/>
  <c r="C355" i="25"/>
  <c r="H355" i="25" s="1"/>
  <c r="B354" i="25"/>
  <c r="E354" i="25"/>
  <c r="AI354" i="25" s="1"/>
  <c r="AP354" i="2" s="1"/>
  <c r="D356" i="24"/>
  <c r="AI356" i="24" s="1"/>
  <c r="E355" i="24"/>
  <c r="AK355" i="24" s="1"/>
  <c r="AQ354" i="5" s="1"/>
  <c r="B355" i="24"/>
  <c r="C356" i="24"/>
  <c r="R351" i="2"/>
  <c r="C356" i="5"/>
  <c r="E355" i="5"/>
  <c r="D356" i="5"/>
  <c r="B355" i="5"/>
  <c r="B353" i="2"/>
  <c r="E353" i="2"/>
  <c r="D354" i="2"/>
  <c r="C354" i="2"/>
  <c r="P352" i="2"/>
  <c r="J352" i="2"/>
  <c r="K351" i="2"/>
  <c r="G698" i="5" l="1"/>
  <c r="BW697" i="5"/>
  <c r="BY697" i="5" s="1"/>
  <c r="AD354" i="5"/>
  <c r="AF318" i="25"/>
  <c r="AN319" i="2"/>
  <c r="X352" i="2"/>
  <c r="H634" i="2"/>
  <c r="AR633" i="2"/>
  <c r="AT633" i="2" s="1"/>
  <c r="AD353" i="2"/>
  <c r="AF353" i="2" s="1"/>
  <c r="W353" i="2"/>
  <c r="Y353" i="2" s="1"/>
  <c r="AE353" i="2"/>
  <c r="C615" i="26"/>
  <c r="B614" i="26"/>
  <c r="E614" i="26"/>
  <c r="D615" i="26"/>
  <c r="AH320" i="24"/>
  <c r="AO320" i="5"/>
  <c r="AL354" i="5"/>
  <c r="AC355" i="5"/>
  <c r="AE355" i="5" s="1"/>
  <c r="AJ355" i="5"/>
  <c r="AK355" i="5" s="1"/>
  <c r="J354" i="5"/>
  <c r="I355" i="5"/>
  <c r="O355" i="5"/>
  <c r="P355" i="5" s="1"/>
  <c r="V355" i="5"/>
  <c r="X354" i="5"/>
  <c r="W354" i="5"/>
  <c r="Q354" i="5"/>
  <c r="B355" i="25"/>
  <c r="D356" i="25"/>
  <c r="AG356" i="25" s="1"/>
  <c r="C356" i="25"/>
  <c r="H356" i="25" s="1"/>
  <c r="E355" i="25"/>
  <c r="AI355" i="25" s="1"/>
  <c r="AP355" i="2" s="1"/>
  <c r="B356" i="24"/>
  <c r="E356" i="24"/>
  <c r="AK356" i="24" s="1"/>
  <c r="AQ355" i="5" s="1"/>
  <c r="D357" i="24"/>
  <c r="AI357" i="24" s="1"/>
  <c r="C357" i="24"/>
  <c r="R352" i="2"/>
  <c r="K352" i="2"/>
  <c r="B356" i="5"/>
  <c r="D357" i="5"/>
  <c r="C357" i="5"/>
  <c r="E356" i="5"/>
  <c r="E354" i="2"/>
  <c r="D355" i="2"/>
  <c r="C355" i="2"/>
  <c r="B354" i="2"/>
  <c r="P353" i="2"/>
  <c r="J353" i="2"/>
  <c r="Q352" i="2"/>
  <c r="G699" i="5" l="1"/>
  <c r="BW698" i="5"/>
  <c r="BY698" i="5" s="1"/>
  <c r="AD355" i="5"/>
  <c r="AF317" i="25"/>
  <c r="AN318" i="2"/>
  <c r="H635" i="2"/>
  <c r="AR634" i="2"/>
  <c r="AT634" i="2" s="1"/>
  <c r="X353" i="2"/>
  <c r="AD354" i="2"/>
  <c r="AF354" i="2" s="1"/>
  <c r="W354" i="2"/>
  <c r="X354" i="2" s="1"/>
  <c r="AE354" i="2"/>
  <c r="D616" i="26"/>
  <c r="E615" i="26"/>
  <c r="C616" i="26"/>
  <c r="B615" i="26"/>
  <c r="AH319" i="24"/>
  <c r="AO319" i="5"/>
  <c r="AC356" i="5"/>
  <c r="AJ356" i="5"/>
  <c r="AK356" i="5" s="1"/>
  <c r="AL355" i="5"/>
  <c r="J355" i="5"/>
  <c r="I356" i="5"/>
  <c r="O356" i="5"/>
  <c r="P356" i="5" s="1"/>
  <c r="V356" i="5"/>
  <c r="X355" i="5"/>
  <c r="W355" i="5"/>
  <c r="Q355" i="5"/>
  <c r="D357" i="25"/>
  <c r="AG357" i="25" s="1"/>
  <c r="C357" i="25"/>
  <c r="H357" i="25" s="1"/>
  <c r="B356" i="25"/>
  <c r="E356" i="25"/>
  <c r="AI356" i="25" s="1"/>
  <c r="AP356" i="2" s="1"/>
  <c r="D358" i="24"/>
  <c r="AI358" i="24" s="1"/>
  <c r="B357" i="24"/>
  <c r="C358" i="24"/>
  <c r="E357" i="24"/>
  <c r="AK357" i="24" s="1"/>
  <c r="AQ356" i="5" s="1"/>
  <c r="R353" i="2"/>
  <c r="K353" i="2"/>
  <c r="E357" i="5"/>
  <c r="C358" i="5"/>
  <c r="D358" i="5"/>
  <c r="B357" i="5"/>
  <c r="Q353" i="2"/>
  <c r="B355" i="2"/>
  <c r="E355" i="2"/>
  <c r="D356" i="2"/>
  <c r="C356" i="2"/>
  <c r="P354" i="2"/>
  <c r="J354" i="2"/>
  <c r="G700" i="5" l="1"/>
  <c r="BW699" i="5"/>
  <c r="BY699" i="5" s="1"/>
  <c r="AD356" i="5"/>
  <c r="AF316" i="25"/>
  <c r="AN317" i="2"/>
  <c r="H636" i="2"/>
  <c r="AR635" i="2"/>
  <c r="AT635" i="2" s="1"/>
  <c r="AD355" i="2"/>
  <c r="AF355" i="2" s="1"/>
  <c r="W355" i="2"/>
  <c r="Y355" i="2" s="1"/>
  <c r="Y354" i="2"/>
  <c r="C617" i="26"/>
  <c r="E616" i="26"/>
  <c r="D617" i="26"/>
  <c r="B616" i="26"/>
  <c r="AE356" i="5"/>
  <c r="AH318" i="24"/>
  <c r="AO318" i="5"/>
  <c r="J356" i="5"/>
  <c r="AC357" i="5"/>
  <c r="AE357" i="5" s="1"/>
  <c r="AJ357" i="5"/>
  <c r="AK357" i="5" s="1"/>
  <c r="AL356" i="5"/>
  <c r="I357" i="5"/>
  <c r="O357" i="5"/>
  <c r="P357" i="5" s="1"/>
  <c r="V357" i="5"/>
  <c r="X356" i="5"/>
  <c r="W356" i="5"/>
  <c r="Q356" i="5"/>
  <c r="D358" i="25"/>
  <c r="AG358" i="25" s="1"/>
  <c r="C358" i="25"/>
  <c r="H358" i="25" s="1"/>
  <c r="E357" i="25"/>
  <c r="AI357" i="25" s="1"/>
  <c r="AP357" i="2" s="1"/>
  <c r="B357" i="25"/>
  <c r="B358" i="24"/>
  <c r="D359" i="24"/>
  <c r="AI359" i="24" s="1"/>
  <c r="C359" i="24"/>
  <c r="E358" i="24"/>
  <c r="AK358" i="24" s="1"/>
  <c r="AQ357" i="5" s="1"/>
  <c r="R354" i="2"/>
  <c r="C359" i="5"/>
  <c r="D359" i="5"/>
  <c r="B358" i="5"/>
  <c r="E358" i="5"/>
  <c r="E356" i="2"/>
  <c r="C357" i="2"/>
  <c r="D357" i="2"/>
  <c r="B356" i="2"/>
  <c r="P355" i="2"/>
  <c r="J355" i="2"/>
  <c r="Q354" i="2"/>
  <c r="K354" i="2"/>
  <c r="BW700" i="5" l="1"/>
  <c r="BY700" i="5" s="1"/>
  <c r="G701" i="5"/>
  <c r="AD357" i="5"/>
  <c r="AF315" i="25"/>
  <c r="AN316" i="2"/>
  <c r="H637" i="2"/>
  <c r="AR636" i="2"/>
  <c r="AT636" i="2" s="1"/>
  <c r="X355" i="2"/>
  <c r="AD356" i="2"/>
  <c r="AF356" i="2" s="1"/>
  <c r="W356" i="2"/>
  <c r="Y356" i="2" s="1"/>
  <c r="AE355" i="2"/>
  <c r="D618" i="26"/>
  <c r="C618" i="26"/>
  <c r="B617" i="26"/>
  <c r="E617" i="26"/>
  <c r="AH317" i="24"/>
  <c r="AO317" i="5"/>
  <c r="AC358" i="5"/>
  <c r="AJ358" i="5"/>
  <c r="AK358" i="5" s="1"/>
  <c r="AL357" i="5"/>
  <c r="J357" i="5"/>
  <c r="I358" i="5"/>
  <c r="O358" i="5"/>
  <c r="P358" i="5" s="1"/>
  <c r="V358" i="5"/>
  <c r="Q357" i="5"/>
  <c r="X357" i="5"/>
  <c r="W357" i="5"/>
  <c r="D359" i="25"/>
  <c r="AG359" i="25" s="1"/>
  <c r="C359" i="25"/>
  <c r="H359" i="25" s="1"/>
  <c r="B358" i="25"/>
  <c r="E358" i="25"/>
  <c r="AI358" i="25" s="1"/>
  <c r="AP358" i="2" s="1"/>
  <c r="B359" i="24"/>
  <c r="E359" i="24"/>
  <c r="AK359" i="24" s="1"/>
  <c r="AQ358" i="5" s="1"/>
  <c r="D360" i="24"/>
  <c r="AI360" i="24" s="1"/>
  <c r="C360" i="24"/>
  <c r="R355" i="2"/>
  <c r="K355" i="2"/>
  <c r="E359" i="5"/>
  <c r="D360" i="5"/>
  <c r="C360" i="5"/>
  <c r="B359" i="5"/>
  <c r="Q355" i="2"/>
  <c r="E357" i="2"/>
  <c r="B357" i="2"/>
  <c r="C358" i="2"/>
  <c r="D358" i="2"/>
  <c r="P356" i="2"/>
  <c r="J356" i="2"/>
  <c r="G702" i="5" l="1"/>
  <c r="BW701" i="5"/>
  <c r="BY701" i="5" s="1"/>
  <c r="AD358" i="5"/>
  <c r="AF314" i="25"/>
  <c r="AN315" i="2"/>
  <c r="AE356" i="2"/>
  <c r="H638" i="2"/>
  <c r="AR637" i="2"/>
  <c r="AT637" i="2" s="1"/>
  <c r="AD357" i="2"/>
  <c r="AF357" i="2" s="1"/>
  <c r="W357" i="2"/>
  <c r="Y357" i="2" s="1"/>
  <c r="AE357" i="2"/>
  <c r="X356" i="2"/>
  <c r="X357" i="2" s="1"/>
  <c r="B618" i="26"/>
  <c r="D619" i="26"/>
  <c r="E618" i="26"/>
  <c r="C619" i="26"/>
  <c r="AE358" i="5"/>
  <c r="AH316" i="24"/>
  <c r="AO316" i="5"/>
  <c r="J358" i="5"/>
  <c r="AL358" i="5"/>
  <c r="AC359" i="5"/>
  <c r="AE359" i="5" s="1"/>
  <c r="AJ359" i="5"/>
  <c r="AK359" i="5" s="1"/>
  <c r="I359" i="5"/>
  <c r="O359" i="5"/>
  <c r="P359" i="5" s="1"/>
  <c r="V359" i="5"/>
  <c r="W358" i="5"/>
  <c r="X358" i="5"/>
  <c r="Q358" i="5"/>
  <c r="B359" i="25"/>
  <c r="E359" i="25"/>
  <c r="AI359" i="25" s="1"/>
  <c r="AP359" i="2" s="1"/>
  <c r="D360" i="25"/>
  <c r="AG360" i="25" s="1"/>
  <c r="C360" i="25"/>
  <c r="H360" i="25" s="1"/>
  <c r="D361" i="24"/>
  <c r="AI361" i="24" s="1"/>
  <c r="C361" i="24"/>
  <c r="E360" i="24"/>
  <c r="AK360" i="24" s="1"/>
  <c r="AQ359" i="5" s="1"/>
  <c r="B360" i="24"/>
  <c r="R356" i="2"/>
  <c r="D361" i="5"/>
  <c r="B360" i="5"/>
  <c r="E360" i="5"/>
  <c r="C361" i="5"/>
  <c r="K356" i="2"/>
  <c r="P357" i="2"/>
  <c r="J357" i="2"/>
  <c r="Q356" i="2"/>
  <c r="E358" i="2"/>
  <c r="D359" i="2"/>
  <c r="C359" i="2"/>
  <c r="B358" i="2"/>
  <c r="G703" i="5" l="1"/>
  <c r="BW702" i="5"/>
  <c r="BY702" i="5" s="1"/>
  <c r="AD359" i="5"/>
  <c r="J359" i="5"/>
  <c r="AF313" i="25"/>
  <c r="AN314" i="2"/>
  <c r="H639" i="2"/>
  <c r="AR638" i="2"/>
  <c r="AT638" i="2" s="1"/>
  <c r="AD358" i="2"/>
  <c r="AF358" i="2" s="1"/>
  <c r="W358" i="2"/>
  <c r="X358" i="2" s="1"/>
  <c r="E619" i="26"/>
  <c r="D620" i="26"/>
  <c r="B619" i="26"/>
  <c r="C620" i="26"/>
  <c r="AH315" i="24"/>
  <c r="AO315" i="5"/>
  <c r="BY315" i="5" s="1"/>
  <c r="AC360" i="5"/>
  <c r="AJ360" i="5"/>
  <c r="AK360" i="5" s="1"/>
  <c r="AL359" i="5"/>
  <c r="I360" i="5"/>
  <c r="O360" i="5"/>
  <c r="P360" i="5" s="1"/>
  <c r="V360" i="5"/>
  <c r="X359" i="5"/>
  <c r="W359" i="5"/>
  <c r="Q359" i="5"/>
  <c r="C361" i="25"/>
  <c r="H361" i="25" s="1"/>
  <c r="E360" i="25"/>
  <c r="AI360" i="25" s="1"/>
  <c r="AP360" i="2" s="1"/>
  <c r="B360" i="25"/>
  <c r="D361" i="25"/>
  <c r="AG361" i="25" s="1"/>
  <c r="Q357" i="2"/>
  <c r="E361" i="24"/>
  <c r="AK361" i="24" s="1"/>
  <c r="AQ360" i="5" s="1"/>
  <c r="B361" i="24"/>
  <c r="D362" i="24"/>
  <c r="AI362" i="24" s="1"/>
  <c r="C362" i="24"/>
  <c r="R357" i="2"/>
  <c r="D362" i="5"/>
  <c r="E361" i="5"/>
  <c r="B361" i="5"/>
  <c r="C362" i="5"/>
  <c r="B359" i="2"/>
  <c r="E359" i="2"/>
  <c r="C360" i="2"/>
  <c r="D360" i="2"/>
  <c r="P358" i="2"/>
  <c r="J358" i="2"/>
  <c r="K357" i="2"/>
  <c r="BW703" i="5" l="1"/>
  <c r="BY703" i="5" s="1"/>
  <c r="G704" i="5"/>
  <c r="AD360" i="5"/>
  <c r="AF312" i="25"/>
  <c r="AN313" i="2"/>
  <c r="H640" i="2"/>
  <c r="AR639" i="2"/>
  <c r="AT639" i="2" s="1"/>
  <c r="AD359" i="2"/>
  <c r="AF359" i="2" s="1"/>
  <c r="W359" i="2"/>
  <c r="Y359" i="2" s="1"/>
  <c r="Y358" i="2"/>
  <c r="AE358" i="2"/>
  <c r="AE359" i="2" s="1"/>
  <c r="C621" i="26"/>
  <c r="B620" i="26"/>
  <c r="E620" i="26"/>
  <c r="D621" i="26"/>
  <c r="AE360" i="5"/>
  <c r="AH314" i="24"/>
  <c r="AO314" i="5"/>
  <c r="BY314" i="5" s="1"/>
  <c r="J360" i="5"/>
  <c r="AL360" i="5"/>
  <c r="AC361" i="5"/>
  <c r="AE361" i="5" s="1"/>
  <c r="AJ361" i="5"/>
  <c r="AK361" i="5" s="1"/>
  <c r="I361" i="5"/>
  <c r="O361" i="5"/>
  <c r="P361" i="5" s="1"/>
  <c r="V361" i="5"/>
  <c r="W360" i="5"/>
  <c r="X360" i="5"/>
  <c r="Q360" i="5"/>
  <c r="C362" i="25"/>
  <c r="H362" i="25" s="1"/>
  <c r="B361" i="25"/>
  <c r="D362" i="25"/>
  <c r="AG362" i="25" s="1"/>
  <c r="E361" i="25"/>
  <c r="AI361" i="25" s="1"/>
  <c r="AP361" i="2" s="1"/>
  <c r="C363" i="24"/>
  <c r="E362" i="24"/>
  <c r="AK362" i="24" s="1"/>
  <c r="AQ361" i="5" s="1"/>
  <c r="D363" i="24"/>
  <c r="AI363" i="24" s="1"/>
  <c r="B362" i="24"/>
  <c r="R358" i="2"/>
  <c r="C363" i="5"/>
  <c r="D363" i="5"/>
  <c r="B362" i="5"/>
  <c r="E362" i="5"/>
  <c r="K358" i="2"/>
  <c r="E360" i="2"/>
  <c r="D361" i="2"/>
  <c r="C361" i="2"/>
  <c r="B360" i="2"/>
  <c r="P359" i="2"/>
  <c r="J359" i="2"/>
  <c r="Q358" i="2"/>
  <c r="G705" i="5" l="1"/>
  <c r="BW704" i="5"/>
  <c r="BY704" i="5" s="1"/>
  <c r="AD361" i="5"/>
  <c r="AF311" i="25"/>
  <c r="AN312" i="2"/>
  <c r="H641" i="2"/>
  <c r="AR640" i="2"/>
  <c r="AT640" i="2"/>
  <c r="Q359" i="2"/>
  <c r="AD360" i="2"/>
  <c r="AF360" i="2" s="1"/>
  <c r="W360" i="2"/>
  <c r="Y360" i="2" s="1"/>
  <c r="X359" i="2"/>
  <c r="X360" i="2" s="1"/>
  <c r="E621" i="26"/>
  <c r="C622" i="26"/>
  <c r="B621" i="26"/>
  <c r="D622" i="26"/>
  <c r="AH313" i="24"/>
  <c r="AO313" i="5"/>
  <c r="BY313" i="5" s="1"/>
  <c r="AC362" i="5"/>
  <c r="AE362" i="5" s="1"/>
  <c r="AJ362" i="5"/>
  <c r="AK362" i="5" s="1"/>
  <c r="J361" i="5"/>
  <c r="AL361" i="5"/>
  <c r="X361" i="5"/>
  <c r="W361" i="5"/>
  <c r="I362" i="5"/>
  <c r="O362" i="5"/>
  <c r="P362" i="5" s="1"/>
  <c r="V362" i="5"/>
  <c r="Q361" i="5"/>
  <c r="E362" i="25"/>
  <c r="AI362" i="25" s="1"/>
  <c r="AP362" i="2" s="1"/>
  <c r="B362" i="25"/>
  <c r="D363" i="25"/>
  <c r="AG363" i="25" s="1"/>
  <c r="C363" i="25"/>
  <c r="H363" i="25" s="1"/>
  <c r="D364" i="24"/>
  <c r="AI364" i="24" s="1"/>
  <c r="B363" i="24"/>
  <c r="C364" i="24"/>
  <c r="E363" i="24"/>
  <c r="AK363" i="24" s="1"/>
  <c r="AQ362" i="5" s="1"/>
  <c r="R359" i="2"/>
  <c r="K359" i="2"/>
  <c r="E363" i="5"/>
  <c r="B363" i="5"/>
  <c r="C364" i="5"/>
  <c r="D364" i="5"/>
  <c r="B361" i="2"/>
  <c r="E361" i="2"/>
  <c r="D362" i="2"/>
  <c r="C362" i="2"/>
  <c r="P360" i="2"/>
  <c r="J360" i="2"/>
  <c r="G706" i="5" l="1"/>
  <c r="BW705" i="5"/>
  <c r="BY705" i="5" s="1"/>
  <c r="AD362" i="5"/>
  <c r="AF310" i="25"/>
  <c r="AN310" i="2" s="1"/>
  <c r="AN311" i="2"/>
  <c r="H642" i="2"/>
  <c r="AR641" i="2"/>
  <c r="AT641" i="2" s="1"/>
  <c r="AD361" i="2"/>
  <c r="AF361" i="2" s="1"/>
  <c r="W361" i="2"/>
  <c r="X361" i="2" s="1"/>
  <c r="AE360" i="2"/>
  <c r="AE361" i="2" s="1"/>
  <c r="C623" i="26"/>
  <c r="B622" i="26"/>
  <c r="D623" i="26"/>
  <c r="E622" i="26"/>
  <c r="AH312" i="24"/>
  <c r="AO312" i="5"/>
  <c r="BY312" i="5" s="1"/>
  <c r="AL362" i="5"/>
  <c r="AC363" i="5"/>
  <c r="AE363" i="5" s="1"/>
  <c r="AJ363" i="5"/>
  <c r="AK363" i="5" s="1"/>
  <c r="J362" i="5"/>
  <c r="Q362" i="5"/>
  <c r="I363" i="5"/>
  <c r="O363" i="5"/>
  <c r="P363" i="5" s="1"/>
  <c r="V363" i="5"/>
  <c r="W362" i="5"/>
  <c r="X362" i="5"/>
  <c r="C364" i="25"/>
  <c r="H364" i="25" s="1"/>
  <c r="E363" i="25"/>
  <c r="AI363" i="25" s="1"/>
  <c r="AP363" i="2" s="1"/>
  <c r="D364" i="25"/>
  <c r="AG364" i="25" s="1"/>
  <c r="B363" i="25"/>
  <c r="C365" i="24"/>
  <c r="B364" i="24"/>
  <c r="D365" i="24"/>
  <c r="AI365" i="24" s="1"/>
  <c r="E364" i="24"/>
  <c r="AK364" i="24" s="1"/>
  <c r="AQ363" i="5" s="1"/>
  <c r="R360" i="2"/>
  <c r="C365" i="5"/>
  <c r="D365" i="5"/>
  <c r="B364" i="5"/>
  <c r="E364" i="5"/>
  <c r="K360" i="2"/>
  <c r="E362" i="2"/>
  <c r="D363" i="2"/>
  <c r="C363" i="2"/>
  <c r="B362" i="2"/>
  <c r="P361" i="2"/>
  <c r="J361" i="2"/>
  <c r="Q360" i="2"/>
  <c r="G707" i="5" l="1"/>
  <c r="BW706" i="5"/>
  <c r="BY706" i="5" s="1"/>
  <c r="AD363" i="5"/>
  <c r="H643" i="2"/>
  <c r="AR642" i="2"/>
  <c r="AT642" i="2" s="1"/>
  <c r="Q361" i="2"/>
  <c r="AD362" i="2"/>
  <c r="AF362" i="2" s="1"/>
  <c r="W362" i="2"/>
  <c r="Y362" i="2" s="1"/>
  <c r="Y361" i="2"/>
  <c r="AE362" i="2"/>
  <c r="D624" i="26"/>
  <c r="E623" i="26"/>
  <c r="C624" i="26"/>
  <c r="B623" i="26"/>
  <c r="J363" i="5"/>
  <c r="AH311" i="24"/>
  <c r="AO310" i="5" s="1"/>
  <c r="BY310" i="5" s="1"/>
  <c r="AO311" i="5"/>
  <c r="BY311" i="5" s="1"/>
  <c r="AL363" i="5"/>
  <c r="AC364" i="5"/>
  <c r="AE364" i="5" s="1"/>
  <c r="AJ364" i="5"/>
  <c r="AK364" i="5" s="1"/>
  <c r="I364" i="5"/>
  <c r="O364" i="5"/>
  <c r="P364" i="5" s="1"/>
  <c r="V364" i="5"/>
  <c r="X363" i="5"/>
  <c r="W363" i="5"/>
  <c r="Q363" i="5"/>
  <c r="C365" i="25"/>
  <c r="H365" i="25" s="1"/>
  <c r="B364" i="25"/>
  <c r="E364" i="25"/>
  <c r="AI364" i="25" s="1"/>
  <c r="AP364" i="2" s="1"/>
  <c r="D365" i="25"/>
  <c r="AG365" i="25" s="1"/>
  <c r="C366" i="24"/>
  <c r="B365" i="24"/>
  <c r="E365" i="24"/>
  <c r="AK365" i="24" s="1"/>
  <c r="AQ364" i="5" s="1"/>
  <c r="D366" i="24"/>
  <c r="AI366" i="24" s="1"/>
  <c r="R361" i="2"/>
  <c r="D366" i="5"/>
  <c r="E365" i="5"/>
  <c r="C366" i="5"/>
  <c r="B365" i="5"/>
  <c r="B363" i="2"/>
  <c r="E363" i="2"/>
  <c r="D364" i="2"/>
  <c r="C364" i="2"/>
  <c r="P362" i="2"/>
  <c r="J362" i="2"/>
  <c r="K361" i="2"/>
  <c r="J21" i="20" l="1"/>
  <c r="J103" i="20" s="1"/>
  <c r="F32" i="32" s="1"/>
  <c r="G708" i="5"/>
  <c r="BW707" i="5"/>
  <c r="BY707" i="5" s="1"/>
  <c r="AD364" i="5"/>
  <c r="H644" i="2"/>
  <c r="AR643" i="2"/>
  <c r="AT643" i="2" s="1"/>
  <c r="X362" i="2"/>
  <c r="AD363" i="2"/>
  <c r="AF363" i="2" s="1"/>
  <c r="W363" i="2"/>
  <c r="X363" i="2" s="1"/>
  <c r="AE363" i="2"/>
  <c r="C625" i="26"/>
  <c r="D625" i="26"/>
  <c r="E624" i="26"/>
  <c r="B624" i="26"/>
  <c r="AC365" i="5"/>
  <c r="AE365" i="5" s="1"/>
  <c r="AJ365" i="5"/>
  <c r="AK365" i="5" s="1"/>
  <c r="AL364" i="5"/>
  <c r="J364" i="5"/>
  <c r="I365" i="5"/>
  <c r="O365" i="5"/>
  <c r="P365" i="5" s="1"/>
  <c r="V365" i="5"/>
  <c r="Q364" i="5"/>
  <c r="X364" i="5"/>
  <c r="W364" i="5"/>
  <c r="C366" i="25"/>
  <c r="H366" i="25" s="1"/>
  <c r="D366" i="25"/>
  <c r="AG366" i="25" s="1"/>
  <c r="E365" i="25"/>
  <c r="AI365" i="25" s="1"/>
  <c r="AP365" i="2" s="1"/>
  <c r="B365" i="25"/>
  <c r="B366" i="24"/>
  <c r="D367" i="24"/>
  <c r="AI367" i="24" s="1"/>
  <c r="E366" i="24"/>
  <c r="AK366" i="24" s="1"/>
  <c r="AQ365" i="5" s="1"/>
  <c r="C367" i="24"/>
  <c r="K362" i="2"/>
  <c r="R362" i="2"/>
  <c r="D367" i="5"/>
  <c r="C367" i="5"/>
  <c r="B366" i="5"/>
  <c r="E366" i="5"/>
  <c r="E364" i="2"/>
  <c r="D365" i="2"/>
  <c r="C365" i="2"/>
  <c r="B364" i="2"/>
  <c r="P363" i="2"/>
  <c r="J363" i="2"/>
  <c r="Q362" i="2"/>
  <c r="G709" i="5" l="1"/>
  <c r="BW708" i="5"/>
  <c r="BY708" i="5" s="1"/>
  <c r="AD365" i="5"/>
  <c r="H645" i="2"/>
  <c r="AR644" i="2"/>
  <c r="AT644" i="2" s="1"/>
  <c r="Q363" i="2"/>
  <c r="AD364" i="2"/>
  <c r="AF364" i="2" s="1"/>
  <c r="W364" i="2"/>
  <c r="Y364" i="2" s="1"/>
  <c r="AE364" i="2"/>
  <c r="Y363" i="2"/>
  <c r="D626" i="26"/>
  <c r="E625" i="26"/>
  <c r="C626" i="26"/>
  <c r="B625" i="26"/>
  <c r="J365" i="5"/>
  <c r="AC366" i="5"/>
  <c r="AE366" i="5" s="1"/>
  <c r="AJ366" i="5"/>
  <c r="AK366" i="5" s="1"/>
  <c r="AL365" i="5"/>
  <c r="W365" i="5"/>
  <c r="X365" i="5"/>
  <c r="Q365" i="5"/>
  <c r="I366" i="5"/>
  <c r="O366" i="5"/>
  <c r="P366" i="5" s="1"/>
  <c r="V366" i="5"/>
  <c r="D367" i="25"/>
  <c r="AG367" i="25" s="1"/>
  <c r="B366" i="25"/>
  <c r="C367" i="25"/>
  <c r="H367" i="25" s="1"/>
  <c r="E366" i="25"/>
  <c r="AI366" i="25" s="1"/>
  <c r="AP366" i="2" s="1"/>
  <c r="K363" i="2"/>
  <c r="C368" i="24"/>
  <c r="H368" i="24" s="1"/>
  <c r="B367" i="24"/>
  <c r="D368" i="24"/>
  <c r="AI368" i="24" s="1"/>
  <c r="E367" i="24"/>
  <c r="AK367" i="24" s="1"/>
  <c r="AQ366" i="5" s="1"/>
  <c r="R363" i="2"/>
  <c r="B367" i="5"/>
  <c r="D368" i="5"/>
  <c r="C368" i="5"/>
  <c r="E367" i="5"/>
  <c r="B365" i="2"/>
  <c r="E365" i="2"/>
  <c r="C366" i="2"/>
  <c r="D366" i="2"/>
  <c r="P364" i="2"/>
  <c r="J364" i="2"/>
  <c r="G710" i="5" l="1"/>
  <c r="BW709" i="5"/>
  <c r="BY709" i="5" s="1"/>
  <c r="H369" i="24"/>
  <c r="H370" i="24" s="1"/>
  <c r="AD366" i="5"/>
  <c r="X364" i="2"/>
  <c r="H646" i="2"/>
  <c r="J19" i="19" s="1"/>
  <c r="J115" i="19" s="1"/>
  <c r="F13" i="32" s="1"/>
  <c r="AR645" i="2"/>
  <c r="AT645" i="2"/>
  <c r="AD365" i="2"/>
  <c r="AF365" i="2" s="1"/>
  <c r="W365" i="2"/>
  <c r="X365" i="2" s="1"/>
  <c r="AE365" i="2"/>
  <c r="B626" i="26"/>
  <c r="C627" i="26"/>
  <c r="E626" i="26"/>
  <c r="D627" i="26"/>
  <c r="AC367" i="5"/>
  <c r="AJ367" i="5"/>
  <c r="AK367" i="5" s="1"/>
  <c r="AL366" i="5"/>
  <c r="AE367" i="5"/>
  <c r="W366" i="5"/>
  <c r="X366" i="5"/>
  <c r="Q366" i="5"/>
  <c r="J366" i="5"/>
  <c r="I367" i="5"/>
  <c r="O367" i="5"/>
  <c r="P367" i="5" s="1"/>
  <c r="V367" i="5"/>
  <c r="E367" i="25"/>
  <c r="AI367" i="25" s="1"/>
  <c r="AP367" i="2" s="1"/>
  <c r="C368" i="25"/>
  <c r="H368" i="25" s="1"/>
  <c r="D368" i="25"/>
  <c r="AG368" i="25" s="1"/>
  <c r="B367" i="25"/>
  <c r="D369" i="24"/>
  <c r="AI369" i="24" s="1"/>
  <c r="C369" i="24"/>
  <c r="E368" i="24"/>
  <c r="AK368" i="24" s="1"/>
  <c r="AQ367" i="5" s="1"/>
  <c r="B368" i="24"/>
  <c r="R364" i="2"/>
  <c r="B368" i="5"/>
  <c r="D369" i="5"/>
  <c r="C369" i="5"/>
  <c r="E368" i="5"/>
  <c r="P365" i="2"/>
  <c r="J365" i="2"/>
  <c r="K364" i="2"/>
  <c r="E366" i="2"/>
  <c r="D367" i="2"/>
  <c r="C367" i="2"/>
  <c r="B366" i="2"/>
  <c r="Q364" i="2"/>
  <c r="G711" i="5" l="1"/>
  <c r="BW710" i="5"/>
  <c r="BY710" i="5" s="1"/>
  <c r="AD367" i="5"/>
  <c r="C373" i="5"/>
  <c r="D373" i="5"/>
  <c r="H647" i="2"/>
  <c r="AR646" i="2"/>
  <c r="AT646" i="2" s="1"/>
  <c r="AD366" i="2"/>
  <c r="AF366" i="2" s="1"/>
  <c r="W366" i="2"/>
  <c r="Y366" i="2" s="1"/>
  <c r="AE366" i="2"/>
  <c r="Q365" i="2"/>
  <c r="Y365" i="2"/>
  <c r="E627" i="26"/>
  <c r="C628" i="26"/>
  <c r="D628" i="26"/>
  <c r="B627" i="26"/>
  <c r="AC368" i="5"/>
  <c r="AD368" i="5" s="1"/>
  <c r="AJ368" i="5"/>
  <c r="AK368" i="5" s="1"/>
  <c r="J367" i="5"/>
  <c r="AL367" i="5"/>
  <c r="AE368" i="5"/>
  <c r="Q367" i="5"/>
  <c r="X367" i="5"/>
  <c r="W367" i="5"/>
  <c r="I368" i="5"/>
  <c r="O368" i="5"/>
  <c r="P368" i="5" s="1"/>
  <c r="V368" i="5"/>
  <c r="D369" i="25"/>
  <c r="C369" i="25"/>
  <c r="H369" i="25" s="1"/>
  <c r="E368" i="25"/>
  <c r="AI368" i="25" s="1"/>
  <c r="AP368" i="2" s="1"/>
  <c r="B368" i="25"/>
  <c r="X366" i="2"/>
  <c r="E369" i="24"/>
  <c r="AK369" i="24" s="1"/>
  <c r="AQ368" i="5" s="1"/>
  <c r="B369" i="24"/>
  <c r="D370" i="24"/>
  <c r="AI370" i="24" s="1"/>
  <c r="C370" i="24"/>
  <c r="R365" i="2"/>
  <c r="E369" i="5"/>
  <c r="B369" i="5"/>
  <c r="K365" i="2"/>
  <c r="B367" i="2"/>
  <c r="E367" i="2"/>
  <c r="C368" i="2"/>
  <c r="D368" i="2"/>
  <c r="P366" i="2"/>
  <c r="J366" i="2"/>
  <c r="BW711" i="5" l="1"/>
  <c r="BY711" i="5" s="1"/>
  <c r="G712" i="5"/>
  <c r="I31" i="20"/>
  <c r="D374" i="5"/>
  <c r="E373" i="5"/>
  <c r="C374" i="5"/>
  <c r="B373" i="5"/>
  <c r="I27" i="20"/>
  <c r="I35" i="20"/>
  <c r="I39" i="20"/>
  <c r="AG369" i="25"/>
  <c r="D373" i="25"/>
  <c r="C373" i="25"/>
  <c r="H373" i="25" s="1"/>
  <c r="AF373" i="25" s="1"/>
  <c r="H648" i="2"/>
  <c r="AR647" i="2"/>
  <c r="AT647" i="2" s="1"/>
  <c r="AD367" i="2"/>
  <c r="AF367" i="2" s="1"/>
  <c r="W367" i="2"/>
  <c r="Y367" i="2" s="1"/>
  <c r="C629" i="26"/>
  <c r="B628" i="26"/>
  <c r="E628" i="26"/>
  <c r="D629" i="26"/>
  <c r="D373" i="24"/>
  <c r="C373" i="24"/>
  <c r="H373" i="24" s="1"/>
  <c r="J368" i="5"/>
  <c r="AC369" i="5"/>
  <c r="AE369" i="5" s="1"/>
  <c r="AJ369" i="5"/>
  <c r="AK369" i="5" s="1"/>
  <c r="AL368" i="5"/>
  <c r="W368" i="5"/>
  <c r="X368" i="5"/>
  <c r="Q368" i="5"/>
  <c r="I369" i="5"/>
  <c r="O369" i="5"/>
  <c r="P369" i="5" s="1"/>
  <c r="V369" i="5"/>
  <c r="E369" i="25"/>
  <c r="AI369" i="25" s="1"/>
  <c r="AP369" i="2" s="1"/>
  <c r="B369" i="25"/>
  <c r="X367" i="2"/>
  <c r="B370" i="24"/>
  <c r="E370" i="24"/>
  <c r="AK370" i="24" s="1"/>
  <c r="AQ369" i="5" s="1"/>
  <c r="R366" i="2"/>
  <c r="Q366" i="2"/>
  <c r="E368" i="2"/>
  <c r="C369" i="2"/>
  <c r="D369" i="2"/>
  <c r="B368" i="2"/>
  <c r="P367" i="2"/>
  <c r="J367" i="2"/>
  <c r="K366" i="2"/>
  <c r="AF369" i="25" l="1"/>
  <c r="AN373" i="2"/>
  <c r="G713" i="5"/>
  <c r="BW712" i="5"/>
  <c r="BY712" i="5" s="1"/>
  <c r="K31" i="20"/>
  <c r="K27" i="20"/>
  <c r="K39" i="20"/>
  <c r="AI373" i="24"/>
  <c r="V373" i="5"/>
  <c r="AC373" i="5"/>
  <c r="O373" i="5"/>
  <c r="I373" i="5"/>
  <c r="AJ373" i="5"/>
  <c r="K35" i="20"/>
  <c r="D375" i="5"/>
  <c r="E374" i="5"/>
  <c r="C375" i="5"/>
  <c r="B374" i="5"/>
  <c r="M35" i="20"/>
  <c r="AD369" i="5"/>
  <c r="AF368" i="25"/>
  <c r="AN369" i="2"/>
  <c r="C374" i="25"/>
  <c r="E373" i="25"/>
  <c r="AI373" i="25" s="1"/>
  <c r="AP373" i="2" s="1"/>
  <c r="B373" i="25"/>
  <c r="H649" i="2"/>
  <c r="AR648" i="2"/>
  <c r="AT648" i="2"/>
  <c r="C373" i="2"/>
  <c r="D373" i="2"/>
  <c r="J53" i="19"/>
  <c r="I53" i="19"/>
  <c r="J54" i="19"/>
  <c r="J112" i="19" s="1"/>
  <c r="F10" i="32" s="1"/>
  <c r="I54" i="19"/>
  <c r="AE367" i="2"/>
  <c r="AD368" i="2"/>
  <c r="AF368" i="2" s="1"/>
  <c r="W368" i="2"/>
  <c r="Y368" i="2" s="1"/>
  <c r="E629" i="26"/>
  <c r="C630" i="26"/>
  <c r="B629" i="26"/>
  <c r="D630" i="26"/>
  <c r="M79" i="20"/>
  <c r="B373" i="24"/>
  <c r="C374" i="24"/>
  <c r="E373" i="24"/>
  <c r="AQ373" i="5" s="1"/>
  <c r="J369" i="5"/>
  <c r="AL369" i="5"/>
  <c r="M39" i="20" s="1"/>
  <c r="X369" i="5"/>
  <c r="M31" i="20" s="1"/>
  <c r="W369" i="5"/>
  <c r="Q369" i="5"/>
  <c r="M78" i="20"/>
  <c r="X368" i="2"/>
  <c r="R367" i="2"/>
  <c r="K367" i="2"/>
  <c r="P368" i="2"/>
  <c r="J368" i="2"/>
  <c r="B369" i="2"/>
  <c r="E369" i="2"/>
  <c r="Q367" i="2"/>
  <c r="BW713" i="5" l="1"/>
  <c r="BY713" i="5" s="1"/>
  <c r="G714" i="5"/>
  <c r="J373" i="5"/>
  <c r="P373" i="5"/>
  <c r="Q373" i="5"/>
  <c r="W373" i="5"/>
  <c r="X373" i="5"/>
  <c r="E375" i="5"/>
  <c r="B375" i="5"/>
  <c r="D376" i="5"/>
  <c r="C376" i="5"/>
  <c r="AL373" i="5"/>
  <c r="AK373" i="5"/>
  <c r="AD373" i="5"/>
  <c r="AE373" i="5"/>
  <c r="AH370" i="24"/>
  <c r="AO373" i="5"/>
  <c r="O374" i="5"/>
  <c r="Q374" i="5" s="1"/>
  <c r="V374" i="5"/>
  <c r="X374" i="5" s="1"/>
  <c r="I374" i="5"/>
  <c r="AC374" i="5"/>
  <c r="AE374" i="5" s="1"/>
  <c r="AJ374" i="5"/>
  <c r="D374" i="25"/>
  <c r="H374" i="25"/>
  <c r="AF367" i="25"/>
  <c r="AN368" i="2"/>
  <c r="H650" i="2"/>
  <c r="AR649" i="2"/>
  <c r="AT649" i="2" s="1"/>
  <c r="I55" i="19"/>
  <c r="E373" i="2"/>
  <c r="B373" i="2"/>
  <c r="C374" i="2"/>
  <c r="D374" i="2" s="1"/>
  <c r="AD369" i="2"/>
  <c r="AF369" i="2" s="1"/>
  <c r="AF370" i="2" s="1"/>
  <c r="W369" i="2"/>
  <c r="K53" i="19"/>
  <c r="K54" i="19"/>
  <c r="K103" i="19" s="1"/>
  <c r="M53" i="19"/>
  <c r="AE368" i="2"/>
  <c r="C631" i="26"/>
  <c r="D631" i="26"/>
  <c r="B630" i="26"/>
  <c r="E630" i="26"/>
  <c r="D374" i="24"/>
  <c r="H374" i="24"/>
  <c r="M51" i="19"/>
  <c r="M71" i="19" s="1"/>
  <c r="R368" i="2"/>
  <c r="Q368" i="2"/>
  <c r="P369" i="2"/>
  <c r="J369" i="2"/>
  <c r="K368" i="2"/>
  <c r="AD374" i="5" l="1"/>
  <c r="BW714" i="5"/>
  <c r="BY714" i="5" s="1"/>
  <c r="G715" i="5"/>
  <c r="P374" i="5"/>
  <c r="M27" i="20"/>
  <c r="AL374" i="5"/>
  <c r="AK374" i="5"/>
  <c r="E376" i="5"/>
  <c r="B376" i="5"/>
  <c r="D377" i="5"/>
  <c r="C377" i="5"/>
  <c r="I375" i="5"/>
  <c r="O375" i="5"/>
  <c r="Q375" i="5" s="1"/>
  <c r="AJ375" i="5"/>
  <c r="AC375" i="5"/>
  <c r="AE375" i="5" s="1"/>
  <c r="V375" i="5"/>
  <c r="X375" i="5" s="1"/>
  <c r="W374" i="5"/>
  <c r="AH369" i="24"/>
  <c r="AO369" i="5"/>
  <c r="J374" i="5"/>
  <c r="AF366" i="25"/>
  <c r="AN367" i="2"/>
  <c r="B374" i="25"/>
  <c r="E374" i="25"/>
  <c r="D375" i="25"/>
  <c r="C375" i="25"/>
  <c r="H375" i="25" s="1"/>
  <c r="M54" i="19"/>
  <c r="M103" i="19" s="1"/>
  <c r="H651" i="2"/>
  <c r="AR650" i="2"/>
  <c r="AT650" i="2" s="1"/>
  <c r="K369" i="2"/>
  <c r="K370" i="2" s="1"/>
  <c r="X369" i="2"/>
  <c r="K55" i="19"/>
  <c r="AE369" i="2"/>
  <c r="Y369" i="2"/>
  <c r="D375" i="2"/>
  <c r="C375" i="2"/>
  <c r="E374" i="2"/>
  <c r="B374" i="2"/>
  <c r="AD373" i="2"/>
  <c r="P373" i="2"/>
  <c r="W373" i="2"/>
  <c r="J373" i="2"/>
  <c r="K373" i="2" s="1"/>
  <c r="C632" i="26"/>
  <c r="B631" i="26"/>
  <c r="D632" i="26"/>
  <c r="E631" i="26"/>
  <c r="E374" i="24"/>
  <c r="D375" i="24"/>
  <c r="C375" i="24"/>
  <c r="H375" i="24" s="1"/>
  <c r="B374" i="24"/>
  <c r="R369" i="2"/>
  <c r="Q369" i="2"/>
  <c r="M55" i="19" l="1"/>
  <c r="BW715" i="5"/>
  <c r="BY715" i="5" s="1"/>
  <c r="G716" i="5"/>
  <c r="W375" i="5"/>
  <c r="AL375" i="5"/>
  <c r="AK375" i="5"/>
  <c r="V376" i="5"/>
  <c r="X376" i="5" s="1"/>
  <c r="I376" i="5"/>
  <c r="O376" i="5"/>
  <c r="Q376" i="5" s="1"/>
  <c r="AC376" i="5"/>
  <c r="AE376" i="5" s="1"/>
  <c r="AJ376" i="5"/>
  <c r="B377" i="5"/>
  <c r="D378" i="5"/>
  <c r="C378" i="5"/>
  <c r="E377" i="5"/>
  <c r="J375" i="5"/>
  <c r="AH368" i="24"/>
  <c r="AO368" i="5"/>
  <c r="P375" i="5"/>
  <c r="AD375" i="5"/>
  <c r="C376" i="25"/>
  <c r="H376" i="25" s="1"/>
  <c r="E375" i="25"/>
  <c r="B375" i="25"/>
  <c r="D376" i="25"/>
  <c r="AF365" i="25"/>
  <c r="AN366" i="2"/>
  <c r="H652" i="2"/>
  <c r="AR651" i="2"/>
  <c r="AT651" i="2" s="1"/>
  <c r="R373" i="2"/>
  <c r="Q373" i="2"/>
  <c r="X373" i="2"/>
  <c r="Y373" i="2"/>
  <c r="AF373" i="2"/>
  <c r="AE373" i="2"/>
  <c r="AD374" i="2"/>
  <c r="AF374" i="2" s="1"/>
  <c r="P374" i="2"/>
  <c r="W374" i="2"/>
  <c r="J374" i="2"/>
  <c r="K374" i="2" s="1"/>
  <c r="D376" i="2"/>
  <c r="C376" i="2"/>
  <c r="E375" i="2"/>
  <c r="B375" i="2"/>
  <c r="Y370" i="2"/>
  <c r="B632" i="26"/>
  <c r="E632" i="26"/>
  <c r="D633" i="26"/>
  <c r="C633" i="26"/>
  <c r="E375" i="24"/>
  <c r="D376" i="24"/>
  <c r="C376" i="24"/>
  <c r="H376" i="24" s="1"/>
  <c r="B375" i="24"/>
  <c r="R370" i="2"/>
  <c r="W376" i="5" l="1"/>
  <c r="BW716" i="5"/>
  <c r="BY716" i="5" s="1"/>
  <c r="G717" i="5"/>
  <c r="AD376" i="5"/>
  <c r="E378" i="5"/>
  <c r="B378" i="5"/>
  <c r="D379" i="5"/>
  <c r="C379" i="5"/>
  <c r="AH367" i="24"/>
  <c r="AO367" i="5"/>
  <c r="V377" i="5"/>
  <c r="X377" i="5" s="1"/>
  <c r="O377" i="5"/>
  <c r="Q377" i="5" s="1"/>
  <c r="AC377" i="5"/>
  <c r="AE377" i="5" s="1"/>
  <c r="AJ377" i="5"/>
  <c r="I377" i="5"/>
  <c r="AK376" i="5"/>
  <c r="AL376" i="5"/>
  <c r="P376" i="5"/>
  <c r="J376" i="5"/>
  <c r="AF364" i="25"/>
  <c r="AN365" i="2"/>
  <c r="D377" i="25"/>
  <c r="C377" i="25"/>
  <c r="H377" i="25" s="1"/>
  <c r="B376" i="25"/>
  <c r="E376" i="25"/>
  <c r="H653" i="2"/>
  <c r="AR652" i="2"/>
  <c r="AT652" i="2" s="1"/>
  <c r="AU374" i="2"/>
  <c r="AV373" i="2"/>
  <c r="AD375" i="2"/>
  <c r="AF375" i="2" s="1"/>
  <c r="P375" i="2"/>
  <c r="W375" i="2"/>
  <c r="J375" i="2"/>
  <c r="K375" i="2" s="1"/>
  <c r="Y374" i="2"/>
  <c r="Q374" i="2"/>
  <c r="Q375" i="2" s="1"/>
  <c r="D377" i="2"/>
  <c r="B376" i="2"/>
  <c r="C377" i="2"/>
  <c r="E376" i="2"/>
  <c r="R374" i="2"/>
  <c r="AE374" i="2"/>
  <c r="D634" i="26"/>
  <c r="B633" i="26"/>
  <c r="C634" i="26"/>
  <c r="E633" i="26"/>
  <c r="C377" i="24"/>
  <c r="H377" i="24" s="1"/>
  <c r="B376" i="24"/>
  <c r="E376" i="24"/>
  <c r="D377" i="24"/>
  <c r="G718" i="5" l="1"/>
  <c r="BW717" i="5"/>
  <c r="BY717" i="5" s="1"/>
  <c r="B379" i="5"/>
  <c r="D380" i="5"/>
  <c r="E379" i="5"/>
  <c r="C380" i="5"/>
  <c r="AK377" i="5"/>
  <c r="AL377" i="5"/>
  <c r="AH366" i="24"/>
  <c r="AO366" i="5"/>
  <c r="AD377" i="5"/>
  <c r="J377" i="5"/>
  <c r="P377" i="5"/>
  <c r="O378" i="5"/>
  <c r="Q378" i="5" s="1"/>
  <c r="I378" i="5"/>
  <c r="AJ378" i="5"/>
  <c r="AC378" i="5"/>
  <c r="AE378" i="5" s="1"/>
  <c r="V378" i="5"/>
  <c r="X378" i="5" s="1"/>
  <c r="W377" i="5"/>
  <c r="B377" i="25"/>
  <c r="D378" i="25"/>
  <c r="C378" i="25"/>
  <c r="H378" i="25" s="1"/>
  <c r="E377" i="25"/>
  <c r="AF363" i="25"/>
  <c r="AN364" i="2"/>
  <c r="AV374" i="2"/>
  <c r="AE375" i="2"/>
  <c r="H654" i="2"/>
  <c r="AR653" i="2"/>
  <c r="AT653" i="2" s="1"/>
  <c r="AU375" i="2"/>
  <c r="D378" i="2"/>
  <c r="C378" i="2"/>
  <c r="E377" i="2"/>
  <c r="B377" i="2"/>
  <c r="AD376" i="2"/>
  <c r="AF376" i="2" s="1"/>
  <c r="P376" i="2"/>
  <c r="W376" i="2"/>
  <c r="J376" i="2"/>
  <c r="K376" i="2" s="1"/>
  <c r="Y375" i="2"/>
  <c r="R375" i="2"/>
  <c r="AV375" i="2" s="1"/>
  <c r="B634" i="26"/>
  <c r="C635" i="26"/>
  <c r="D635" i="26"/>
  <c r="E634" i="26"/>
  <c r="C378" i="24"/>
  <c r="H378" i="24" s="1"/>
  <c r="E377" i="24"/>
  <c r="B377" i="24"/>
  <c r="D378" i="24"/>
  <c r="U610" i="11"/>
  <c r="X610" i="11" s="1"/>
  <c r="U611" i="11" s="1"/>
  <c r="X611" i="11" s="1"/>
  <c r="U612" i="11" s="1"/>
  <c r="X612" i="11" s="1"/>
  <c r="U613" i="11" s="1"/>
  <c r="X613" i="11" s="1"/>
  <c r="U614" i="11" s="1"/>
  <c r="X614" i="11" s="1"/>
  <c r="U615" i="11" s="1"/>
  <c r="X615" i="11" s="1"/>
  <c r="U616" i="11" s="1"/>
  <c r="X616" i="11" s="1"/>
  <c r="U617" i="11" s="1"/>
  <c r="X617" i="11" s="1"/>
  <c r="U618" i="11" s="1"/>
  <c r="X618" i="11" s="1"/>
  <c r="U619" i="11" s="1"/>
  <c r="X619" i="11" s="1"/>
  <c r="U620" i="11" s="1"/>
  <c r="X620" i="11" s="1"/>
  <c r="U621" i="11" s="1"/>
  <c r="X621" i="11" s="1"/>
  <c r="U622" i="11" s="1"/>
  <c r="X622" i="11" s="1"/>
  <c r="U623" i="11" s="1"/>
  <c r="X623" i="11" s="1"/>
  <c r="U624" i="11" s="1"/>
  <c r="X624" i="11" s="1"/>
  <c r="U625" i="11" s="1"/>
  <c r="X625" i="11" s="1"/>
  <c r="U626" i="11" s="1"/>
  <c r="X626" i="11" s="1"/>
  <c r="U627" i="11" s="1"/>
  <c r="X627" i="11" s="1"/>
  <c r="U628" i="11" s="1"/>
  <c r="X628" i="11" s="1"/>
  <c r="U629" i="11" s="1"/>
  <c r="X629" i="11" s="1"/>
  <c r="U630" i="11" s="1"/>
  <c r="X630" i="11" s="1"/>
  <c r="U631" i="11" s="1"/>
  <c r="X631" i="11" s="1"/>
  <c r="U632" i="11" s="1"/>
  <c r="X632" i="11" s="1"/>
  <c r="G719" i="5" l="1"/>
  <c r="BW718" i="5"/>
  <c r="BY718" i="5" s="1"/>
  <c r="AD378" i="5"/>
  <c r="W378" i="5"/>
  <c r="J378" i="5"/>
  <c r="AH365" i="24"/>
  <c r="AO365" i="5"/>
  <c r="E380" i="5"/>
  <c r="C381" i="5"/>
  <c r="B380" i="5"/>
  <c r="D381" i="5"/>
  <c r="P378" i="5"/>
  <c r="V379" i="5"/>
  <c r="X379" i="5" s="1"/>
  <c r="O379" i="5"/>
  <c r="Q379" i="5" s="1"/>
  <c r="AJ379" i="5"/>
  <c r="I379" i="5"/>
  <c r="AC379" i="5"/>
  <c r="AE379" i="5" s="1"/>
  <c r="AL378" i="5"/>
  <c r="AK378" i="5"/>
  <c r="AF362" i="25"/>
  <c r="AN363" i="2"/>
  <c r="D379" i="25"/>
  <c r="C379" i="25"/>
  <c r="H379" i="25" s="1"/>
  <c r="B378" i="25"/>
  <c r="E378" i="25"/>
  <c r="H655" i="2"/>
  <c r="AR654" i="2"/>
  <c r="AT654" i="2"/>
  <c r="AU376" i="2"/>
  <c r="R376" i="2"/>
  <c r="AE376" i="2"/>
  <c r="Q376" i="2"/>
  <c r="Y376" i="2"/>
  <c r="AD377" i="2"/>
  <c r="AF377" i="2" s="1"/>
  <c r="P377" i="2"/>
  <c r="W377" i="2"/>
  <c r="J377" i="2"/>
  <c r="K377" i="2" s="1"/>
  <c r="C379" i="2"/>
  <c r="D379" i="2"/>
  <c r="B378" i="2"/>
  <c r="E378" i="2"/>
  <c r="E635" i="26"/>
  <c r="D636" i="26"/>
  <c r="B635" i="26"/>
  <c r="C636" i="26"/>
  <c r="D379" i="24"/>
  <c r="C379" i="24"/>
  <c r="H379" i="24" s="1"/>
  <c r="E378" i="24"/>
  <c r="B378" i="24"/>
  <c r="U633" i="11"/>
  <c r="X633" i="11" s="1"/>
  <c r="U634" i="11" s="1"/>
  <c r="X634" i="11" s="1"/>
  <c r="U635" i="11" s="1"/>
  <c r="X635" i="11" s="1"/>
  <c r="U636" i="11" s="1"/>
  <c r="X636" i="11" s="1"/>
  <c r="U637" i="11" s="1"/>
  <c r="X637" i="11" s="1"/>
  <c r="U638" i="11" s="1"/>
  <c r="X638" i="11" s="1"/>
  <c r="AK632" i="11"/>
  <c r="AL632" i="11" s="1"/>
  <c r="G720" i="5" l="1"/>
  <c r="BW719" i="5"/>
  <c r="BY719" i="5" s="1"/>
  <c r="C382" i="5"/>
  <c r="E381" i="5"/>
  <c r="D382" i="5"/>
  <c r="B381" i="5"/>
  <c r="V380" i="5"/>
  <c r="X380" i="5" s="1"/>
  <c r="O380" i="5"/>
  <c r="Q380" i="5" s="1"/>
  <c r="I380" i="5"/>
  <c r="AC380" i="5"/>
  <c r="AE380" i="5" s="1"/>
  <c r="AJ380" i="5"/>
  <c r="W379" i="5"/>
  <c r="P379" i="5"/>
  <c r="AH364" i="24"/>
  <c r="AO364" i="5"/>
  <c r="AD379" i="5"/>
  <c r="AL379" i="5"/>
  <c r="AK379" i="5"/>
  <c r="J379" i="5"/>
  <c r="B379" i="25"/>
  <c r="D380" i="25"/>
  <c r="C380" i="25"/>
  <c r="H380" i="25" s="1"/>
  <c r="E379" i="25"/>
  <c r="AF361" i="25"/>
  <c r="AN362" i="2"/>
  <c r="H656" i="2"/>
  <c r="AR655" i="2"/>
  <c r="AT655" i="2" s="1"/>
  <c r="AU377" i="2"/>
  <c r="AV376" i="2"/>
  <c r="AD378" i="2"/>
  <c r="AF378" i="2" s="1"/>
  <c r="P378" i="2"/>
  <c r="W378" i="2"/>
  <c r="J378" i="2"/>
  <c r="K378" i="2" s="1"/>
  <c r="B379" i="2"/>
  <c r="C380" i="2"/>
  <c r="D380" i="2"/>
  <c r="E379" i="2"/>
  <c r="Y377" i="2"/>
  <c r="R377" i="2"/>
  <c r="AV377" i="2" s="1"/>
  <c r="Q377" i="2"/>
  <c r="AE377" i="2"/>
  <c r="C637" i="26"/>
  <c r="B636" i="26"/>
  <c r="D637" i="26"/>
  <c r="E636" i="26"/>
  <c r="C380" i="24"/>
  <c r="H380" i="24" s="1"/>
  <c r="B379" i="24"/>
  <c r="E379" i="24"/>
  <c r="D380" i="24"/>
  <c r="U639" i="11"/>
  <c r="X639" i="11" s="1"/>
  <c r="U640" i="11" s="1"/>
  <c r="X640" i="11" s="1"/>
  <c r="U641" i="11" s="1"/>
  <c r="X641" i="11" s="1"/>
  <c r="U642" i="11" s="1"/>
  <c r="X642" i="11" s="1"/>
  <c r="AK638" i="11"/>
  <c r="AL638" i="11" s="1"/>
  <c r="P380" i="5" l="1"/>
  <c r="W380" i="5"/>
  <c r="BW720" i="5"/>
  <c r="BY720" i="5" s="1"/>
  <c r="G721" i="5"/>
  <c r="AL380" i="5"/>
  <c r="AK380" i="5"/>
  <c r="AH363" i="24"/>
  <c r="AO363" i="5"/>
  <c r="W381" i="5"/>
  <c r="J380" i="5"/>
  <c r="E382" i="5"/>
  <c r="D383" i="5"/>
  <c r="B382" i="5"/>
  <c r="C383" i="5"/>
  <c r="AD380" i="5"/>
  <c r="I381" i="5"/>
  <c r="O381" i="5"/>
  <c r="Q381" i="5" s="1"/>
  <c r="AJ381" i="5"/>
  <c r="AC381" i="5"/>
  <c r="AE381" i="5" s="1"/>
  <c r="V381" i="5"/>
  <c r="X381" i="5" s="1"/>
  <c r="D381" i="25"/>
  <c r="C381" i="25"/>
  <c r="H381" i="25" s="1"/>
  <c r="B380" i="25"/>
  <c r="E380" i="25"/>
  <c r="AF360" i="25"/>
  <c r="AN361" i="2"/>
  <c r="Q378" i="2"/>
  <c r="H657" i="2"/>
  <c r="AR656" i="2"/>
  <c r="AT656" i="2"/>
  <c r="AU378" i="2"/>
  <c r="AE378" i="2"/>
  <c r="AE379" i="2" s="1"/>
  <c r="E380" i="2"/>
  <c r="D381" i="2"/>
  <c r="C381" i="2"/>
  <c r="B380" i="2"/>
  <c r="AD379" i="2"/>
  <c r="AF379" i="2" s="1"/>
  <c r="P379" i="2"/>
  <c r="W379" i="2"/>
  <c r="J379" i="2"/>
  <c r="K379" i="2" s="1"/>
  <c r="Y378" i="2"/>
  <c r="R378" i="2"/>
  <c r="E637" i="26"/>
  <c r="D638" i="26"/>
  <c r="C638" i="26"/>
  <c r="B637" i="26"/>
  <c r="C381" i="24"/>
  <c r="H381" i="24" s="1"/>
  <c r="D381" i="24"/>
  <c r="E380" i="24"/>
  <c r="B380" i="24"/>
  <c r="U643" i="11"/>
  <c r="X643" i="11" s="1"/>
  <c r="U644" i="11" s="1"/>
  <c r="X644" i="11" s="1"/>
  <c r="U645" i="11" s="1"/>
  <c r="X645" i="11" s="1"/>
  <c r="U646" i="11" s="1"/>
  <c r="X646" i="11" s="1"/>
  <c r="U647" i="11" s="1"/>
  <c r="X647" i="11" s="1"/>
  <c r="U648" i="11" s="1"/>
  <c r="X648" i="11" s="1"/>
  <c r="U649" i="11" s="1"/>
  <c r="X649" i="11" s="1"/>
  <c r="U650" i="11" s="1"/>
  <c r="X650" i="11" s="1"/>
  <c r="U651" i="11" s="1"/>
  <c r="X651" i="11" s="1"/>
  <c r="U652" i="11" s="1"/>
  <c r="X652" i="11" s="1"/>
  <c r="U653" i="11" s="1"/>
  <c r="X653" i="11" s="1"/>
  <c r="U654" i="11" s="1"/>
  <c r="X654" i="11" s="1"/>
  <c r="U655" i="11" s="1"/>
  <c r="X655" i="11" s="1"/>
  <c r="U656" i="11" s="1"/>
  <c r="X656" i="11" s="1"/>
  <c r="U657" i="11" s="1"/>
  <c r="X657" i="11" s="1"/>
  <c r="U658" i="11" s="1"/>
  <c r="X658" i="11" s="1"/>
  <c r="U659" i="11" s="1"/>
  <c r="X659" i="11" s="1"/>
  <c r="U660" i="11" s="1"/>
  <c r="X660" i="11" s="1"/>
  <c r="U661" i="11" s="1"/>
  <c r="X661" i="11" s="1"/>
  <c r="U662" i="11" s="1"/>
  <c r="X662" i="11" s="1"/>
  <c r="U663" i="11" s="1"/>
  <c r="X663" i="11" s="1"/>
  <c r="U664" i="11" s="1"/>
  <c r="X664" i="11" s="1"/>
  <c r="U665" i="11" s="1"/>
  <c r="X665" i="11" s="1"/>
  <c r="U666" i="11" s="1"/>
  <c r="X666" i="11" s="1"/>
  <c r="U667" i="11" s="1"/>
  <c r="X667" i="11" s="1"/>
  <c r="U668" i="11" s="1"/>
  <c r="X668" i="11" s="1"/>
  <c r="U669" i="11" s="1"/>
  <c r="X669" i="11" s="1"/>
  <c r="U670" i="11" s="1"/>
  <c r="X670" i="11" s="1"/>
  <c r="U671" i="11" s="1"/>
  <c r="X671" i="11" s="1"/>
  <c r="U672" i="11" s="1"/>
  <c r="X672" i="11" s="1"/>
  <c r="U673" i="11" s="1"/>
  <c r="X673" i="11" s="1"/>
  <c r="U674" i="11" s="1"/>
  <c r="X674" i="11" s="1"/>
  <c r="U675" i="11" s="1"/>
  <c r="X675" i="11" s="1"/>
  <c r="U676" i="11" s="1"/>
  <c r="X676" i="11" s="1"/>
  <c r="U677" i="11" s="1"/>
  <c r="X677" i="11" s="1"/>
  <c r="U678" i="11" s="1"/>
  <c r="X678" i="11" s="1"/>
  <c r="U679" i="11" s="1"/>
  <c r="X679" i="11" s="1"/>
  <c r="U680" i="11" s="1"/>
  <c r="X680" i="11" s="1"/>
  <c r="U681" i="11" s="1"/>
  <c r="X681" i="11" s="1"/>
  <c r="U682" i="11" s="1"/>
  <c r="X682" i="11" s="1"/>
  <c r="U683" i="11" s="1"/>
  <c r="X683" i="11" s="1"/>
  <c r="U684" i="11" s="1"/>
  <c r="X684" i="11" s="1"/>
  <c r="U685" i="11" s="1"/>
  <c r="X685" i="11" s="1"/>
  <c r="U686" i="11" s="1"/>
  <c r="X686" i="11" s="1"/>
  <c r="U687" i="11" s="1"/>
  <c r="X687" i="11" s="1"/>
  <c r="U688" i="11" s="1"/>
  <c r="X688" i="11" s="1"/>
  <c r="U689" i="11" s="1"/>
  <c r="X689" i="11" s="1"/>
  <c r="U690" i="11" s="1"/>
  <c r="X690" i="11" s="1"/>
  <c r="U691" i="11" s="1"/>
  <c r="X691" i="11" s="1"/>
  <c r="U692" i="11" s="1"/>
  <c r="X692" i="11" s="1"/>
  <c r="U693" i="11" s="1"/>
  <c r="X693" i="11" s="1"/>
  <c r="U694" i="11" s="1"/>
  <c r="X694" i="11" s="1"/>
  <c r="U695" i="11" s="1"/>
  <c r="X695" i="11" s="1"/>
  <c r="U696" i="11" s="1"/>
  <c r="X696" i="11" s="1"/>
  <c r="U697" i="11" s="1"/>
  <c r="X697" i="11" s="1"/>
  <c r="U698" i="11" s="1"/>
  <c r="X698" i="11" s="1"/>
  <c r="U699" i="11" s="1"/>
  <c r="X699" i="11" s="1"/>
  <c r="U700" i="11" s="1"/>
  <c r="X700" i="11" s="1"/>
  <c r="U701" i="11" s="1"/>
  <c r="X701" i="11" s="1"/>
  <c r="U702" i="11" s="1"/>
  <c r="X702" i="11" s="1"/>
  <c r="U703" i="11" s="1"/>
  <c r="X703" i="11" s="1"/>
  <c r="U704" i="11" s="1"/>
  <c r="X704" i="11" s="1"/>
  <c r="U705" i="11" s="1"/>
  <c r="X705" i="11" s="1"/>
  <c r="U706" i="11" s="1"/>
  <c r="X706" i="11" s="1"/>
  <c r="U707" i="11" s="1"/>
  <c r="X707" i="11" s="1"/>
  <c r="U708" i="11" s="1"/>
  <c r="X708" i="11" s="1"/>
  <c r="U709" i="11" s="1"/>
  <c r="X709" i="11" s="1"/>
  <c r="U710" i="11" s="1"/>
  <c r="X710" i="11" s="1"/>
  <c r="U711" i="11" s="1"/>
  <c r="X711" i="11" s="1"/>
  <c r="U712" i="11" s="1"/>
  <c r="X712" i="11" s="1"/>
  <c r="U713" i="11" s="1"/>
  <c r="X713" i="11" s="1"/>
  <c r="U714" i="11" s="1"/>
  <c r="X714" i="11" s="1"/>
  <c r="U715" i="11" s="1"/>
  <c r="X715" i="11" s="1"/>
  <c r="U716" i="11" s="1"/>
  <c r="X716" i="11" s="1"/>
  <c r="U717" i="11" s="1"/>
  <c r="X717" i="11" s="1"/>
  <c r="U718" i="11" s="1"/>
  <c r="X718" i="11" s="1"/>
  <c r="U719" i="11" s="1"/>
  <c r="X719" i="11" s="1"/>
  <c r="U720" i="11" s="1"/>
  <c r="X720" i="11" s="1"/>
  <c r="U721" i="11" s="1"/>
  <c r="X721" i="11" s="1"/>
  <c r="U722" i="11" s="1"/>
  <c r="X722" i="11" s="1"/>
  <c r="U723" i="11" s="1"/>
  <c r="X723" i="11" s="1"/>
  <c r="U724" i="11" s="1"/>
  <c r="X724" i="11" s="1"/>
  <c r="U725" i="11" s="1"/>
  <c r="X725" i="11" s="1"/>
  <c r="U726" i="11" s="1"/>
  <c r="X726" i="11" s="1"/>
  <c r="U727" i="11" s="1"/>
  <c r="X727" i="11" s="1"/>
  <c r="U728" i="11" s="1"/>
  <c r="X728" i="11" s="1"/>
  <c r="U729" i="11" s="1"/>
  <c r="X729" i="11" s="1"/>
  <c r="U730" i="11" s="1"/>
  <c r="X730" i="11" s="1"/>
  <c r="U731" i="11" s="1"/>
  <c r="X731" i="11" s="1"/>
  <c r="U732" i="11" s="1"/>
  <c r="X732" i="11" s="1"/>
  <c r="U733" i="11" s="1"/>
  <c r="X733" i="11" s="1"/>
  <c r="U734" i="11" s="1"/>
  <c r="X734" i="11" s="1"/>
  <c r="U735" i="11" s="1"/>
  <c r="X735" i="11" s="1"/>
  <c r="AK642" i="11"/>
  <c r="AL642" i="11" s="1"/>
  <c r="BW721" i="5" l="1"/>
  <c r="BY721" i="5" s="1"/>
  <c r="G722" i="5"/>
  <c r="AD381" i="5"/>
  <c r="J381" i="5"/>
  <c r="C384" i="5"/>
  <c r="E383" i="5"/>
  <c r="B383" i="5"/>
  <c r="D384" i="5"/>
  <c r="V382" i="5"/>
  <c r="X382" i="5" s="1"/>
  <c r="AJ382" i="5"/>
  <c r="O382" i="5"/>
  <c r="Q382" i="5" s="1"/>
  <c r="I382" i="5"/>
  <c r="AC382" i="5"/>
  <c r="AE382" i="5" s="1"/>
  <c r="P381" i="5"/>
  <c r="AH362" i="24"/>
  <c r="AO362" i="5"/>
  <c r="AK381" i="5"/>
  <c r="AL381" i="5"/>
  <c r="AF359" i="25"/>
  <c r="AN360" i="2"/>
  <c r="B381" i="25"/>
  <c r="D382" i="25"/>
  <c r="C382" i="25"/>
  <c r="H382" i="25" s="1"/>
  <c r="E381" i="25"/>
  <c r="H658" i="2"/>
  <c r="AR657" i="2"/>
  <c r="AT657" i="2" s="1"/>
  <c r="AV378" i="2"/>
  <c r="AU379" i="2"/>
  <c r="Y379" i="2"/>
  <c r="R379" i="2"/>
  <c r="AV379" i="2" s="1"/>
  <c r="Q379" i="2"/>
  <c r="B381" i="2"/>
  <c r="E381" i="2"/>
  <c r="C382" i="2"/>
  <c r="D382" i="2"/>
  <c r="AD380" i="2"/>
  <c r="AF380" i="2" s="1"/>
  <c r="P380" i="2"/>
  <c r="W380" i="2"/>
  <c r="J380" i="2"/>
  <c r="K380" i="2" s="1"/>
  <c r="C639" i="26"/>
  <c r="D639" i="26"/>
  <c r="B638" i="26"/>
  <c r="E638" i="26"/>
  <c r="E381" i="24"/>
  <c r="B381" i="24"/>
  <c r="C382" i="24"/>
  <c r="H382" i="24" s="1"/>
  <c r="D382" i="24"/>
  <c r="D683" i="11"/>
  <c r="G683" i="11" s="1"/>
  <c r="D684" i="11" s="1"/>
  <c r="G684" i="11" s="1"/>
  <c r="D685" i="11" s="1"/>
  <c r="G685" i="11" s="1"/>
  <c r="D686" i="11" s="1"/>
  <c r="G686" i="11" s="1"/>
  <c r="D687" i="11" s="1"/>
  <c r="G687" i="11" s="1"/>
  <c r="D688" i="11" s="1"/>
  <c r="G688" i="11" s="1"/>
  <c r="D689" i="11" s="1"/>
  <c r="G689" i="11" s="1"/>
  <c r="D690" i="11" s="1"/>
  <c r="G690" i="11" s="1"/>
  <c r="D691" i="11" s="1"/>
  <c r="G691" i="11" s="1"/>
  <c r="D692" i="11" s="1"/>
  <c r="G692" i="11" s="1"/>
  <c r="D693" i="11" s="1"/>
  <c r="G693" i="11" s="1"/>
  <c r="D694" i="11" s="1"/>
  <c r="T339" i="29"/>
  <c r="P339" i="29" s="1"/>
  <c r="Q339" i="29" s="1"/>
  <c r="BI339" i="5" l="1"/>
  <c r="J382" i="5"/>
  <c r="P382" i="5"/>
  <c r="G723" i="5"/>
  <c r="BW722" i="5"/>
  <c r="BY722" i="5" s="1"/>
  <c r="AK382" i="5"/>
  <c r="AL382" i="5"/>
  <c r="AD382" i="5"/>
  <c r="V383" i="5"/>
  <c r="X383" i="5" s="1"/>
  <c r="O383" i="5"/>
  <c r="Q383" i="5" s="1"/>
  <c r="I383" i="5"/>
  <c r="AC383" i="5"/>
  <c r="AE383" i="5" s="1"/>
  <c r="AJ383" i="5"/>
  <c r="W382" i="5"/>
  <c r="E384" i="5"/>
  <c r="B384" i="5"/>
  <c r="D385" i="5"/>
  <c r="C385" i="5"/>
  <c r="AH361" i="24"/>
  <c r="AO361" i="5"/>
  <c r="D383" i="25"/>
  <c r="C383" i="25"/>
  <c r="H383" i="25" s="1"/>
  <c r="B382" i="25"/>
  <c r="E382" i="25"/>
  <c r="AF358" i="25"/>
  <c r="AN359" i="2"/>
  <c r="H659" i="2"/>
  <c r="AR658" i="2"/>
  <c r="AT658" i="2" s="1"/>
  <c r="AU380" i="2"/>
  <c r="D383" i="2"/>
  <c r="B382" i="2"/>
  <c r="C383" i="2"/>
  <c r="E382" i="2"/>
  <c r="Q380" i="2"/>
  <c r="Y380" i="2"/>
  <c r="R380" i="2"/>
  <c r="AV380" i="2" s="1"/>
  <c r="AD381" i="2"/>
  <c r="AF381" i="2" s="1"/>
  <c r="P381" i="2"/>
  <c r="W381" i="2"/>
  <c r="J381" i="2"/>
  <c r="K381" i="2" s="1"/>
  <c r="AE380" i="2"/>
  <c r="D640" i="26"/>
  <c r="E639" i="26"/>
  <c r="C640" i="26"/>
  <c r="B639" i="26"/>
  <c r="D383" i="24"/>
  <c r="C383" i="24"/>
  <c r="H383" i="24" s="1"/>
  <c r="E382" i="24"/>
  <c r="B382" i="24"/>
  <c r="P338" i="29"/>
  <c r="Q338" i="29" s="1"/>
  <c r="BJ339" i="5" l="1"/>
  <c r="U339" i="29"/>
  <c r="BI338" i="5"/>
  <c r="G724" i="5"/>
  <c r="BW723" i="5"/>
  <c r="BY723" i="5" s="1"/>
  <c r="W383" i="5"/>
  <c r="AJ384" i="5"/>
  <c r="I384" i="5"/>
  <c r="O384" i="5"/>
  <c r="Q384" i="5" s="1"/>
  <c r="V384" i="5"/>
  <c r="X384" i="5" s="1"/>
  <c r="AC384" i="5"/>
  <c r="AE384" i="5" s="1"/>
  <c r="AL383" i="5"/>
  <c r="AK383" i="5"/>
  <c r="AH360" i="24"/>
  <c r="AO360" i="5"/>
  <c r="P383" i="5"/>
  <c r="E385" i="5"/>
  <c r="D386" i="5"/>
  <c r="B385" i="5"/>
  <c r="C386" i="5"/>
  <c r="AD383" i="5"/>
  <c r="J383" i="5"/>
  <c r="J384" i="5" s="1"/>
  <c r="AF357" i="25"/>
  <c r="AN358" i="2"/>
  <c r="B383" i="25"/>
  <c r="D384" i="25"/>
  <c r="C384" i="25"/>
  <c r="H384" i="25" s="1"/>
  <c r="E383" i="25"/>
  <c r="H660" i="2"/>
  <c r="AR659" i="2"/>
  <c r="AT659" i="2" s="1"/>
  <c r="AU381" i="2"/>
  <c r="AE381" i="2"/>
  <c r="Y381" i="2"/>
  <c r="R381" i="2"/>
  <c r="AV381" i="2" s="1"/>
  <c r="Q381" i="2"/>
  <c r="AD382" i="2"/>
  <c r="AF382" i="2" s="1"/>
  <c r="P382" i="2"/>
  <c r="W382" i="2"/>
  <c r="J382" i="2"/>
  <c r="K382" i="2" s="1"/>
  <c r="D384" i="2"/>
  <c r="B383" i="2"/>
  <c r="C384" i="2"/>
  <c r="E383" i="2"/>
  <c r="C641" i="26"/>
  <c r="E640" i="26"/>
  <c r="B640" i="26"/>
  <c r="D641" i="26"/>
  <c r="C384" i="24"/>
  <c r="H384" i="24" s="1"/>
  <c r="E383" i="24"/>
  <c r="B383" i="24"/>
  <c r="D384" i="24"/>
  <c r="P337" i="29"/>
  <c r="Q337" i="29" s="1"/>
  <c r="BK339" i="5" l="1"/>
  <c r="BJ338" i="5"/>
  <c r="U338" i="29"/>
  <c r="BK338" i="5" s="1"/>
  <c r="BI337" i="5"/>
  <c r="G725" i="5"/>
  <c r="BW724" i="5"/>
  <c r="BY724" i="5" s="1"/>
  <c r="P384" i="5"/>
  <c r="AD384" i="5"/>
  <c r="AH359" i="24"/>
  <c r="AO359" i="5"/>
  <c r="B386" i="5"/>
  <c r="D387" i="5"/>
  <c r="C387" i="5"/>
  <c r="E386" i="5"/>
  <c r="V385" i="5"/>
  <c r="X385" i="5" s="1"/>
  <c r="I385" i="5"/>
  <c r="AJ385" i="5"/>
  <c r="O385" i="5"/>
  <c r="Q385" i="5" s="1"/>
  <c r="AC385" i="5"/>
  <c r="AE385" i="5" s="1"/>
  <c r="W384" i="5"/>
  <c r="AK384" i="5"/>
  <c r="AL384" i="5"/>
  <c r="D385" i="25"/>
  <c r="C385" i="25"/>
  <c r="H385" i="25" s="1"/>
  <c r="B384" i="25"/>
  <c r="E384" i="25"/>
  <c r="AF356" i="25"/>
  <c r="AN357" i="2"/>
  <c r="H661" i="2"/>
  <c r="AR660" i="2"/>
  <c r="AT660" i="2" s="1"/>
  <c r="AU382" i="2"/>
  <c r="Q382" i="2"/>
  <c r="AD383" i="2"/>
  <c r="AF383" i="2" s="1"/>
  <c r="P383" i="2"/>
  <c r="W383" i="2"/>
  <c r="J383" i="2"/>
  <c r="K383" i="2" s="1"/>
  <c r="Q383" i="2"/>
  <c r="E384" i="2"/>
  <c r="D385" i="2"/>
  <c r="B384" i="2"/>
  <c r="C385" i="2"/>
  <c r="Y382" i="2"/>
  <c r="R382" i="2"/>
  <c r="AV382" i="2" s="1"/>
  <c r="AE382" i="2"/>
  <c r="D642" i="26"/>
  <c r="B641" i="26"/>
  <c r="C642" i="26"/>
  <c r="E641" i="26"/>
  <c r="B384" i="24"/>
  <c r="C385" i="24"/>
  <c r="H385" i="24" s="1"/>
  <c r="D385" i="24"/>
  <c r="E384" i="24"/>
  <c r="P336" i="29"/>
  <c r="BJ337" i="5" l="1"/>
  <c r="U337" i="29"/>
  <c r="BK337" i="5" s="1"/>
  <c r="Q336" i="29"/>
  <c r="BI336" i="5"/>
  <c r="G726" i="5"/>
  <c r="BW725" i="5"/>
  <c r="BY725" i="5" s="1"/>
  <c r="J385" i="5"/>
  <c r="AL385" i="5"/>
  <c r="AK385" i="5"/>
  <c r="O386" i="5"/>
  <c r="Q386" i="5" s="1"/>
  <c r="AJ386" i="5"/>
  <c r="I386" i="5"/>
  <c r="AC386" i="5"/>
  <c r="AE386" i="5" s="1"/>
  <c r="V386" i="5"/>
  <c r="X386" i="5" s="1"/>
  <c r="AH358" i="24"/>
  <c r="AO358" i="5"/>
  <c r="W385" i="5"/>
  <c r="E387" i="5"/>
  <c r="B387" i="5"/>
  <c r="D388" i="5"/>
  <c r="C388" i="5"/>
  <c r="AD385" i="5"/>
  <c r="P385" i="5"/>
  <c r="AF355" i="25"/>
  <c r="AN356" i="2"/>
  <c r="B385" i="25"/>
  <c r="D386" i="25"/>
  <c r="C386" i="25"/>
  <c r="H386" i="25" s="1"/>
  <c r="E385" i="25"/>
  <c r="H662" i="2"/>
  <c r="AR661" i="2"/>
  <c r="AT661" i="2" s="1"/>
  <c r="AU383" i="2"/>
  <c r="AE383" i="2"/>
  <c r="C386" i="2"/>
  <c r="E385" i="2"/>
  <c r="D386" i="2"/>
  <c r="B385" i="2"/>
  <c r="AD384" i="2"/>
  <c r="AF384" i="2" s="1"/>
  <c r="P384" i="2"/>
  <c r="W384" i="2"/>
  <c r="J384" i="2"/>
  <c r="K384" i="2" s="1"/>
  <c r="Y383" i="2"/>
  <c r="R383" i="2"/>
  <c r="AV383" i="2" s="1"/>
  <c r="B642" i="26"/>
  <c r="E642" i="26"/>
  <c r="D643" i="26"/>
  <c r="C643" i="26"/>
  <c r="E385" i="24"/>
  <c r="C386" i="24"/>
  <c r="H386" i="24" s="1"/>
  <c r="B385" i="24"/>
  <c r="D386" i="24"/>
  <c r="P335" i="29"/>
  <c r="Q335" i="29" l="1"/>
  <c r="BI335" i="5"/>
  <c r="BJ336" i="5"/>
  <c r="U336" i="29"/>
  <c r="BK336" i="5" s="1"/>
  <c r="W386" i="5"/>
  <c r="BW726" i="5"/>
  <c r="BY726" i="5" s="1"/>
  <c r="G727" i="5"/>
  <c r="P386" i="5"/>
  <c r="AH357" i="24"/>
  <c r="AO357" i="5"/>
  <c r="J386" i="5"/>
  <c r="AL386" i="5"/>
  <c r="AK386" i="5"/>
  <c r="V387" i="5"/>
  <c r="X387" i="5" s="1"/>
  <c r="I387" i="5"/>
  <c r="O387" i="5"/>
  <c r="Q387" i="5" s="1"/>
  <c r="AC387" i="5"/>
  <c r="AE387" i="5" s="1"/>
  <c r="AJ387" i="5"/>
  <c r="AD386" i="5"/>
  <c r="C389" i="5"/>
  <c r="E388" i="5"/>
  <c r="B388" i="5"/>
  <c r="D389" i="5"/>
  <c r="D387" i="25"/>
  <c r="C387" i="25"/>
  <c r="H387" i="25" s="1"/>
  <c r="B386" i="25"/>
  <c r="E386" i="25"/>
  <c r="AF354" i="25"/>
  <c r="AN355" i="2"/>
  <c r="H663" i="2"/>
  <c r="AR662" i="2"/>
  <c r="AT662" i="2" s="1"/>
  <c r="AU384" i="2"/>
  <c r="R384" i="2"/>
  <c r="Q384" i="2"/>
  <c r="Y384" i="2"/>
  <c r="B386" i="2"/>
  <c r="D387" i="2"/>
  <c r="C387" i="2"/>
  <c r="E386" i="2"/>
  <c r="AD385" i="2"/>
  <c r="AF385" i="2" s="1"/>
  <c r="P385" i="2"/>
  <c r="W385" i="2"/>
  <c r="J385" i="2"/>
  <c r="K385" i="2" s="1"/>
  <c r="AE384" i="2"/>
  <c r="B643" i="26"/>
  <c r="C644" i="26"/>
  <c r="E643" i="26"/>
  <c r="D644" i="26"/>
  <c r="B386" i="24"/>
  <c r="D387" i="24"/>
  <c r="C387" i="24"/>
  <c r="H387" i="24" s="1"/>
  <c r="E386" i="24"/>
  <c r="P334" i="29"/>
  <c r="BJ335" i="5" l="1"/>
  <c r="U335" i="29"/>
  <c r="BK335" i="5" s="1"/>
  <c r="Q334" i="29"/>
  <c r="BI334" i="5"/>
  <c r="G728" i="5"/>
  <c r="BW727" i="5"/>
  <c r="BY727" i="5" s="1"/>
  <c r="W387" i="5"/>
  <c r="AL387" i="5"/>
  <c r="AK387" i="5"/>
  <c r="J387" i="5"/>
  <c r="B389" i="5"/>
  <c r="D390" i="5"/>
  <c r="C390" i="5"/>
  <c r="E389" i="5"/>
  <c r="V388" i="5"/>
  <c r="X388" i="5" s="1"/>
  <c r="O388" i="5"/>
  <c r="Q388" i="5" s="1"/>
  <c r="AJ388" i="5"/>
  <c r="AC388" i="5"/>
  <c r="AE388" i="5" s="1"/>
  <c r="I388" i="5"/>
  <c r="AH356" i="24"/>
  <c r="AO356" i="5"/>
  <c r="AD387" i="5"/>
  <c r="P387" i="5"/>
  <c r="AF353" i="25"/>
  <c r="AN354" i="2"/>
  <c r="B387" i="25"/>
  <c r="D388" i="25"/>
  <c r="C388" i="25"/>
  <c r="H388" i="25" s="1"/>
  <c r="E387" i="25"/>
  <c r="H664" i="2"/>
  <c r="AR663" i="2"/>
  <c r="AT663" i="2" s="1"/>
  <c r="AU385" i="2"/>
  <c r="AV384" i="2"/>
  <c r="AE385" i="2"/>
  <c r="AE386" i="2" s="1"/>
  <c r="R385" i="2"/>
  <c r="AD386" i="2"/>
  <c r="AF386" i="2" s="1"/>
  <c r="P386" i="2"/>
  <c r="W386" i="2"/>
  <c r="J386" i="2"/>
  <c r="K386" i="2" s="1"/>
  <c r="D388" i="2"/>
  <c r="C388" i="2"/>
  <c r="E387" i="2"/>
  <c r="B387" i="2"/>
  <c r="Y385" i="2"/>
  <c r="Q385" i="2"/>
  <c r="B644" i="26"/>
  <c r="C645" i="26"/>
  <c r="E644" i="26"/>
  <c r="D645" i="26"/>
  <c r="C388" i="24"/>
  <c r="H388" i="24" s="1"/>
  <c r="B387" i="24"/>
  <c r="D388" i="24"/>
  <c r="E387" i="24"/>
  <c r="P333" i="29"/>
  <c r="BJ334" i="5" l="1"/>
  <c r="U334" i="29"/>
  <c r="BK334" i="5" s="1"/>
  <c r="Q333" i="29"/>
  <c r="BI333" i="5"/>
  <c r="G729" i="5"/>
  <c r="BW728" i="5"/>
  <c r="BY728" i="5" s="1"/>
  <c r="J388" i="5"/>
  <c r="P388" i="5"/>
  <c r="E390" i="5"/>
  <c r="B390" i="5"/>
  <c r="D391" i="5"/>
  <c r="C391" i="5"/>
  <c r="W388" i="5"/>
  <c r="AK388" i="5"/>
  <c r="AL388" i="5"/>
  <c r="V389" i="5"/>
  <c r="X389" i="5" s="1"/>
  <c r="O389" i="5"/>
  <c r="Q389" i="5" s="1"/>
  <c r="AJ389" i="5"/>
  <c r="I389" i="5"/>
  <c r="AC389" i="5"/>
  <c r="AE389" i="5" s="1"/>
  <c r="AD388" i="5"/>
  <c r="AH355" i="24"/>
  <c r="AO355" i="5"/>
  <c r="D389" i="25"/>
  <c r="C389" i="25"/>
  <c r="H389" i="25" s="1"/>
  <c r="B388" i="25"/>
  <c r="E388" i="25"/>
  <c r="AF352" i="25"/>
  <c r="AN353" i="2"/>
  <c r="AV385" i="2"/>
  <c r="H665" i="2"/>
  <c r="AR664" i="2"/>
  <c r="AT664" i="2" s="1"/>
  <c r="AU386" i="2"/>
  <c r="Q386" i="2"/>
  <c r="R386" i="2"/>
  <c r="AD387" i="2"/>
  <c r="AF387" i="2" s="1"/>
  <c r="P387" i="2"/>
  <c r="W387" i="2"/>
  <c r="J387" i="2"/>
  <c r="K387" i="2" s="1"/>
  <c r="C389" i="2"/>
  <c r="E388" i="2"/>
  <c r="D389" i="2"/>
  <c r="B388" i="2"/>
  <c r="Y386" i="2"/>
  <c r="E645" i="26"/>
  <c r="D646" i="26"/>
  <c r="C646" i="26"/>
  <c r="B645" i="26"/>
  <c r="D389" i="24"/>
  <c r="E388" i="24"/>
  <c r="C389" i="24"/>
  <c r="H389" i="24" s="1"/>
  <c r="B388" i="24"/>
  <c r="P332" i="29"/>
  <c r="Q332" i="29" l="1"/>
  <c r="BI332" i="5"/>
  <c r="BJ333" i="5"/>
  <c r="U333" i="29"/>
  <c r="BK333" i="5" s="1"/>
  <c r="G730" i="5"/>
  <c r="BW729" i="5"/>
  <c r="BY729" i="5" s="1"/>
  <c r="J389" i="5"/>
  <c r="W389" i="5"/>
  <c r="D392" i="5"/>
  <c r="C392" i="5"/>
  <c r="E391" i="5"/>
  <c r="B391" i="5"/>
  <c r="V390" i="5"/>
  <c r="X390" i="5" s="1"/>
  <c r="I390" i="5"/>
  <c r="AC390" i="5"/>
  <c r="AE390" i="5" s="1"/>
  <c r="AJ390" i="5"/>
  <c r="O390" i="5"/>
  <c r="Q390" i="5" s="1"/>
  <c r="AL389" i="5"/>
  <c r="AK389" i="5"/>
  <c r="AH354" i="24"/>
  <c r="AO354" i="5"/>
  <c r="AD389" i="5"/>
  <c r="P389" i="5"/>
  <c r="AF351" i="25"/>
  <c r="AN352" i="2"/>
  <c r="B389" i="25"/>
  <c r="D390" i="25"/>
  <c r="C390" i="25"/>
  <c r="H390" i="25" s="1"/>
  <c r="E389" i="25"/>
  <c r="H666" i="2"/>
  <c r="AR665" i="2"/>
  <c r="AT665" i="2" s="1"/>
  <c r="AV386" i="2"/>
  <c r="AU387" i="2"/>
  <c r="Y387" i="2"/>
  <c r="B389" i="2"/>
  <c r="E389" i="2"/>
  <c r="D390" i="2"/>
  <c r="C390" i="2"/>
  <c r="AD388" i="2"/>
  <c r="AF388" i="2" s="1"/>
  <c r="P388" i="2"/>
  <c r="W388" i="2"/>
  <c r="J388" i="2"/>
  <c r="K388" i="2" s="1"/>
  <c r="R387" i="2"/>
  <c r="AE387" i="2"/>
  <c r="Q387" i="2"/>
  <c r="C647" i="26"/>
  <c r="D647" i="26"/>
  <c r="E646" i="26"/>
  <c r="B646" i="26"/>
  <c r="E389" i="24"/>
  <c r="D390" i="24"/>
  <c r="C390" i="24"/>
  <c r="H390" i="24" s="1"/>
  <c r="B389" i="24"/>
  <c r="P331" i="29"/>
  <c r="BJ332" i="5" l="1"/>
  <c r="U332" i="29"/>
  <c r="BK332" i="5" s="1"/>
  <c r="Q331" i="29"/>
  <c r="BI331" i="5"/>
  <c r="G731" i="5"/>
  <c r="BW730" i="5"/>
  <c r="BY730" i="5" s="1"/>
  <c r="V391" i="5"/>
  <c r="X391" i="5" s="1"/>
  <c r="I391" i="5"/>
  <c r="AJ391" i="5"/>
  <c r="AC391" i="5"/>
  <c r="AE391" i="5" s="1"/>
  <c r="O391" i="5"/>
  <c r="Q391" i="5" s="1"/>
  <c r="W390" i="5"/>
  <c r="W391" i="5" s="1"/>
  <c r="AD390" i="5"/>
  <c r="AD391" i="5" s="1"/>
  <c r="B392" i="5"/>
  <c r="D393" i="5"/>
  <c r="C393" i="5"/>
  <c r="E392" i="5"/>
  <c r="AL390" i="5"/>
  <c r="AK390" i="5"/>
  <c r="P390" i="5"/>
  <c r="AH353" i="24"/>
  <c r="AO353" i="5"/>
  <c r="J390" i="5"/>
  <c r="D391" i="25"/>
  <c r="C391" i="25"/>
  <c r="H391" i="25" s="1"/>
  <c r="B390" i="25"/>
  <c r="E390" i="25"/>
  <c r="AF350" i="25"/>
  <c r="AN351" i="2"/>
  <c r="AU388" i="2"/>
  <c r="AV387" i="2"/>
  <c r="H667" i="2"/>
  <c r="AR666" i="2"/>
  <c r="AT666" i="2"/>
  <c r="AE388" i="2"/>
  <c r="AE389" i="2" s="1"/>
  <c r="R388" i="2"/>
  <c r="Y388" i="2"/>
  <c r="AD389" i="2"/>
  <c r="AF389" i="2" s="1"/>
  <c r="P389" i="2"/>
  <c r="W389" i="2"/>
  <c r="J389" i="2"/>
  <c r="K389" i="2" s="1"/>
  <c r="B390" i="2"/>
  <c r="C391" i="2"/>
  <c r="E390" i="2"/>
  <c r="D391" i="2"/>
  <c r="Q388" i="2"/>
  <c r="E647" i="26"/>
  <c r="C648" i="26"/>
  <c r="B647" i="26"/>
  <c r="D648" i="26"/>
  <c r="D391" i="24"/>
  <c r="E390" i="24"/>
  <c r="B390" i="24"/>
  <c r="C391" i="24"/>
  <c r="H391" i="24" s="1"/>
  <c r="P330" i="29"/>
  <c r="Q330" i="29" l="1"/>
  <c r="BI330" i="5"/>
  <c r="BJ331" i="5"/>
  <c r="U331" i="29"/>
  <c r="BK331" i="5" s="1"/>
  <c r="J391" i="5"/>
  <c r="BW731" i="5"/>
  <c r="BY731" i="5" s="1"/>
  <c r="G732" i="5"/>
  <c r="AL391" i="5"/>
  <c r="AK391" i="5"/>
  <c r="AC392" i="5"/>
  <c r="AE392" i="5" s="1"/>
  <c r="I392" i="5"/>
  <c r="V392" i="5"/>
  <c r="X392" i="5" s="1"/>
  <c r="O392" i="5"/>
  <c r="Q392" i="5" s="1"/>
  <c r="AJ392" i="5"/>
  <c r="B393" i="5"/>
  <c r="C394" i="5"/>
  <c r="E393" i="5"/>
  <c r="D394" i="5"/>
  <c r="AH352" i="24"/>
  <c r="AO352" i="5"/>
  <c r="P391" i="5"/>
  <c r="AF349" i="25"/>
  <c r="AN350" i="2"/>
  <c r="B391" i="25"/>
  <c r="D392" i="25"/>
  <c r="C392" i="25"/>
  <c r="H392" i="25" s="1"/>
  <c r="E391" i="25"/>
  <c r="Q389" i="2"/>
  <c r="H668" i="2"/>
  <c r="AR667" i="2"/>
  <c r="AT667" i="2" s="1"/>
  <c r="AU389" i="2"/>
  <c r="AV388" i="2"/>
  <c r="AD390" i="2"/>
  <c r="AF390" i="2" s="1"/>
  <c r="P390" i="2"/>
  <c r="W390" i="2"/>
  <c r="J390" i="2"/>
  <c r="K390" i="2" s="1"/>
  <c r="E391" i="2"/>
  <c r="D392" i="2"/>
  <c r="C392" i="2"/>
  <c r="B391" i="2"/>
  <c r="Y389" i="2"/>
  <c r="R389" i="2"/>
  <c r="AV389" i="2" s="1"/>
  <c r="C649" i="26"/>
  <c r="D649" i="26"/>
  <c r="B648" i="26"/>
  <c r="E648" i="26"/>
  <c r="E391" i="24"/>
  <c r="B391" i="24"/>
  <c r="D392" i="24"/>
  <c r="C392" i="24"/>
  <c r="H392" i="24" s="1"/>
  <c r="P329" i="29"/>
  <c r="BJ330" i="5" l="1"/>
  <c r="U330" i="29"/>
  <c r="BK330" i="5" s="1"/>
  <c r="Q329" i="29"/>
  <c r="BI329" i="5"/>
  <c r="G733" i="5"/>
  <c r="BW732" i="5"/>
  <c r="BY732" i="5" s="1"/>
  <c r="B394" i="5"/>
  <c r="D395" i="5"/>
  <c r="C395" i="5"/>
  <c r="E394" i="5"/>
  <c r="AK392" i="5"/>
  <c r="AL392" i="5"/>
  <c r="V393" i="5"/>
  <c r="X393" i="5" s="1"/>
  <c r="AC393" i="5"/>
  <c r="AE393" i="5" s="1"/>
  <c r="O393" i="5"/>
  <c r="Q393" i="5" s="1"/>
  <c r="AJ393" i="5"/>
  <c r="I393" i="5"/>
  <c r="P392" i="5"/>
  <c r="J392" i="5"/>
  <c r="AH351" i="24"/>
  <c r="AO351" i="5"/>
  <c r="W392" i="5"/>
  <c r="AD392" i="5"/>
  <c r="D393" i="25"/>
  <c r="C393" i="25"/>
  <c r="H393" i="25" s="1"/>
  <c r="B392" i="25"/>
  <c r="E392" i="25"/>
  <c r="AF348" i="25"/>
  <c r="AN349" i="2"/>
  <c r="H669" i="2"/>
  <c r="AR668" i="2"/>
  <c r="AT668" i="2"/>
  <c r="AE390" i="2"/>
  <c r="AU390" i="2"/>
  <c r="AD391" i="2"/>
  <c r="AF391" i="2" s="1"/>
  <c r="P391" i="2"/>
  <c r="W391" i="2"/>
  <c r="J391" i="2"/>
  <c r="K391" i="2" s="1"/>
  <c r="AE391" i="2"/>
  <c r="D393" i="2"/>
  <c r="B392" i="2"/>
  <c r="E392" i="2"/>
  <c r="C393" i="2"/>
  <c r="Y390" i="2"/>
  <c r="R390" i="2"/>
  <c r="Q390" i="2"/>
  <c r="D650" i="26"/>
  <c r="E649" i="26"/>
  <c r="C650" i="26"/>
  <c r="B649" i="26"/>
  <c r="C393" i="24"/>
  <c r="H393" i="24" s="1"/>
  <c r="E392" i="24"/>
  <c r="B392" i="24"/>
  <c r="D393" i="24"/>
  <c r="P328" i="29"/>
  <c r="BJ329" i="5" l="1"/>
  <c r="U329" i="29"/>
  <c r="BK329" i="5" s="1"/>
  <c r="Q328" i="29"/>
  <c r="BI328" i="5"/>
  <c r="P393" i="5"/>
  <c r="G734" i="5"/>
  <c r="BW733" i="5"/>
  <c r="BY733" i="5" s="1"/>
  <c r="AH350" i="24"/>
  <c r="AO350" i="5"/>
  <c r="E395" i="5"/>
  <c r="B395" i="5"/>
  <c r="D396" i="5"/>
  <c r="C396" i="5"/>
  <c r="AL393" i="5"/>
  <c r="AK393" i="5"/>
  <c r="AD393" i="5"/>
  <c r="W393" i="5"/>
  <c r="V394" i="5"/>
  <c r="X394" i="5" s="1"/>
  <c r="O394" i="5"/>
  <c r="Q394" i="5" s="1"/>
  <c r="AJ394" i="5"/>
  <c r="AC394" i="5"/>
  <c r="AE394" i="5" s="1"/>
  <c r="I394" i="5"/>
  <c r="J393" i="5"/>
  <c r="AF347" i="25"/>
  <c r="AN348" i="2"/>
  <c r="B393" i="25"/>
  <c r="D394" i="25"/>
  <c r="C394" i="25"/>
  <c r="H394" i="25" s="1"/>
  <c r="E393" i="25"/>
  <c r="H670" i="2"/>
  <c r="AR669" i="2"/>
  <c r="AT669" i="2" s="1"/>
  <c r="AV390" i="2"/>
  <c r="AU391" i="2"/>
  <c r="Q391" i="2"/>
  <c r="AD392" i="2"/>
  <c r="AF392" i="2" s="1"/>
  <c r="P392" i="2"/>
  <c r="W392" i="2"/>
  <c r="J392" i="2"/>
  <c r="K392" i="2" s="1"/>
  <c r="B393" i="2"/>
  <c r="E393" i="2"/>
  <c r="C394" i="2"/>
  <c r="D394" i="2"/>
  <c r="Y391" i="2"/>
  <c r="R391" i="2"/>
  <c r="B650" i="26"/>
  <c r="E650" i="26"/>
  <c r="D651" i="26"/>
  <c r="C651" i="26"/>
  <c r="C394" i="24"/>
  <c r="H394" i="24" s="1"/>
  <c r="E393" i="24"/>
  <c r="D394" i="24"/>
  <c r="B393" i="24"/>
  <c r="P327" i="29"/>
  <c r="BJ328" i="5" l="1"/>
  <c r="U328" i="29"/>
  <c r="BK328" i="5" s="1"/>
  <c r="Q327" i="29"/>
  <c r="BI327" i="5"/>
  <c r="J394" i="5"/>
  <c r="BW734" i="5"/>
  <c r="BY734" i="5" s="1"/>
  <c r="G735" i="5"/>
  <c r="AD394" i="5"/>
  <c r="AH349" i="24"/>
  <c r="AO349" i="5"/>
  <c r="W394" i="5"/>
  <c r="E396" i="5"/>
  <c r="D397" i="5"/>
  <c r="C397" i="5"/>
  <c r="B396" i="5"/>
  <c r="V395" i="5"/>
  <c r="X395" i="5" s="1"/>
  <c r="AC395" i="5"/>
  <c r="AE395" i="5" s="1"/>
  <c r="AJ395" i="5"/>
  <c r="I395" i="5"/>
  <c r="O395" i="5"/>
  <c r="Q395" i="5" s="1"/>
  <c r="P394" i="5"/>
  <c r="AL394" i="5"/>
  <c r="AK394" i="5"/>
  <c r="D395" i="25"/>
  <c r="C395" i="25"/>
  <c r="H395" i="25" s="1"/>
  <c r="B394" i="25"/>
  <c r="E394" i="25"/>
  <c r="AF346" i="25"/>
  <c r="AN347" i="2"/>
  <c r="AE392" i="2"/>
  <c r="H671" i="2"/>
  <c r="AR670" i="2"/>
  <c r="AT670" i="2" s="1"/>
  <c r="AU392" i="2"/>
  <c r="AV391" i="2"/>
  <c r="P393" i="2"/>
  <c r="AD393" i="2"/>
  <c r="AF393" i="2" s="1"/>
  <c r="W393" i="2"/>
  <c r="J393" i="2"/>
  <c r="K393" i="2" s="1"/>
  <c r="AE393" i="2"/>
  <c r="E394" i="2"/>
  <c r="B394" i="2"/>
  <c r="D395" i="2"/>
  <c r="C395" i="2"/>
  <c r="Y392" i="2"/>
  <c r="R392" i="2"/>
  <c r="AV392" i="2" s="1"/>
  <c r="Q392" i="2"/>
  <c r="D652" i="26"/>
  <c r="B651" i="26"/>
  <c r="E651" i="26"/>
  <c r="C652" i="26"/>
  <c r="B394" i="24"/>
  <c r="D395" i="24"/>
  <c r="C395" i="24"/>
  <c r="H395" i="24" s="1"/>
  <c r="E394" i="24"/>
  <c r="P326" i="29"/>
  <c r="BJ327" i="5" l="1"/>
  <c r="U327" i="29"/>
  <c r="BK327" i="5" s="1"/>
  <c r="Q326" i="29"/>
  <c r="BI326" i="5"/>
  <c r="G736" i="5"/>
  <c r="BW735" i="5"/>
  <c r="BY735" i="5" s="1"/>
  <c r="P395" i="5"/>
  <c r="B397" i="5"/>
  <c r="D398" i="5"/>
  <c r="C398" i="5"/>
  <c r="E397" i="5"/>
  <c r="AL395" i="5"/>
  <c r="AK395" i="5"/>
  <c r="V396" i="5"/>
  <c r="X396" i="5" s="1"/>
  <c r="I396" i="5"/>
  <c r="AC396" i="5"/>
  <c r="AE396" i="5" s="1"/>
  <c r="O396" i="5"/>
  <c r="Q396" i="5" s="1"/>
  <c r="AJ396" i="5"/>
  <c r="AD395" i="5"/>
  <c r="W395" i="5"/>
  <c r="J395" i="5"/>
  <c r="AH348" i="24"/>
  <c r="AO348" i="5"/>
  <c r="AF345" i="25"/>
  <c r="AN346" i="2"/>
  <c r="B395" i="25"/>
  <c r="D396" i="25"/>
  <c r="C396" i="25"/>
  <c r="H396" i="25" s="1"/>
  <c r="E395" i="25"/>
  <c r="H672" i="2"/>
  <c r="AR671" i="2"/>
  <c r="AT671" i="2" s="1"/>
  <c r="AU393" i="2"/>
  <c r="Q393" i="2"/>
  <c r="Q394" i="2" s="1"/>
  <c r="P394" i="2"/>
  <c r="AD394" i="2"/>
  <c r="AF394" i="2" s="1"/>
  <c r="W394" i="2"/>
  <c r="J394" i="2"/>
  <c r="K394" i="2" s="1"/>
  <c r="D396" i="2"/>
  <c r="B395" i="2"/>
  <c r="C396" i="2"/>
  <c r="E395" i="2"/>
  <c r="Y393" i="2"/>
  <c r="R393" i="2"/>
  <c r="B652" i="26"/>
  <c r="E652" i="26"/>
  <c r="D653" i="26"/>
  <c r="C653" i="26"/>
  <c r="E395" i="24"/>
  <c r="C396" i="24"/>
  <c r="H396" i="24" s="1"/>
  <c r="B395" i="24"/>
  <c r="D396" i="24"/>
  <c r="P325" i="29"/>
  <c r="Q325" i="29" l="1"/>
  <c r="BI325" i="5"/>
  <c r="BJ326" i="5"/>
  <c r="U326" i="29"/>
  <c r="BK326" i="5" s="1"/>
  <c r="AD396" i="5"/>
  <c r="G737" i="5"/>
  <c r="BW736" i="5"/>
  <c r="BY736" i="5" s="1"/>
  <c r="W396" i="5"/>
  <c r="AL396" i="5"/>
  <c r="AK396" i="5"/>
  <c r="AH347" i="24"/>
  <c r="AO347" i="5"/>
  <c r="J396" i="5"/>
  <c r="I397" i="5"/>
  <c r="AC397" i="5"/>
  <c r="AE397" i="5" s="1"/>
  <c r="O397" i="5"/>
  <c r="Q397" i="5" s="1"/>
  <c r="AJ397" i="5"/>
  <c r="V397" i="5"/>
  <c r="X397" i="5" s="1"/>
  <c r="P396" i="5"/>
  <c r="E398" i="5"/>
  <c r="B398" i="5"/>
  <c r="D399" i="5"/>
  <c r="C399" i="5"/>
  <c r="D397" i="25"/>
  <c r="C397" i="25"/>
  <c r="H397" i="25" s="1"/>
  <c r="B396" i="25"/>
  <c r="E396" i="25"/>
  <c r="AF344" i="25"/>
  <c r="AN345" i="2"/>
  <c r="H673" i="2"/>
  <c r="AR672" i="2"/>
  <c r="AT672" i="2"/>
  <c r="AE394" i="2"/>
  <c r="AU394" i="2"/>
  <c r="AV393" i="2"/>
  <c r="AD395" i="2"/>
  <c r="AF395" i="2" s="1"/>
  <c r="P395" i="2"/>
  <c r="W395" i="2"/>
  <c r="J395" i="2"/>
  <c r="K395" i="2" s="1"/>
  <c r="Q395" i="2"/>
  <c r="AE395" i="2"/>
  <c r="B396" i="2"/>
  <c r="C397" i="2"/>
  <c r="D397" i="2"/>
  <c r="E396" i="2"/>
  <c r="Y394" i="2"/>
  <c r="R394" i="2"/>
  <c r="E653" i="26"/>
  <c r="C654" i="26"/>
  <c r="D654" i="26"/>
  <c r="B653" i="26"/>
  <c r="B396" i="24"/>
  <c r="C397" i="24"/>
  <c r="H397" i="24" s="1"/>
  <c r="E396" i="24"/>
  <c r="D397" i="24"/>
  <c r="P324" i="29"/>
  <c r="BJ325" i="5" l="1"/>
  <c r="U325" i="29"/>
  <c r="BK325" i="5" s="1"/>
  <c r="Q324" i="29"/>
  <c r="BI324" i="5"/>
  <c r="P397" i="5"/>
  <c r="G741" i="5"/>
  <c r="BW737" i="5"/>
  <c r="BY737" i="5" s="1"/>
  <c r="AK397" i="5"/>
  <c r="AL397" i="5"/>
  <c r="AJ398" i="5"/>
  <c r="AC398" i="5"/>
  <c r="AE398" i="5" s="1"/>
  <c r="I398" i="5"/>
  <c r="O398" i="5"/>
  <c r="Q398" i="5" s="1"/>
  <c r="V398" i="5"/>
  <c r="X398" i="5" s="1"/>
  <c r="W397" i="5"/>
  <c r="P398" i="5"/>
  <c r="J397" i="5"/>
  <c r="J398" i="5" s="1"/>
  <c r="AD397" i="5"/>
  <c r="AH346" i="24"/>
  <c r="AO346" i="5"/>
  <c r="D400" i="5"/>
  <c r="C400" i="5"/>
  <c r="E399" i="5"/>
  <c r="B399" i="5"/>
  <c r="AF343" i="25"/>
  <c r="AN344" i="2"/>
  <c r="B397" i="25"/>
  <c r="D398" i="25"/>
  <c r="C398" i="25"/>
  <c r="H398" i="25" s="1"/>
  <c r="E397" i="25"/>
  <c r="H674" i="2"/>
  <c r="AR673" i="2"/>
  <c r="AT673" i="2" s="1"/>
  <c r="AU395" i="2"/>
  <c r="AV394" i="2"/>
  <c r="E397" i="2"/>
  <c r="C398" i="2"/>
  <c r="D398" i="2"/>
  <c r="B397" i="2"/>
  <c r="AD396" i="2"/>
  <c r="AF396" i="2" s="1"/>
  <c r="P396" i="2"/>
  <c r="W396" i="2"/>
  <c r="J396" i="2"/>
  <c r="K396" i="2" s="1"/>
  <c r="AE396" i="2"/>
  <c r="Y395" i="2"/>
  <c r="R395" i="2"/>
  <c r="C655" i="26"/>
  <c r="E654" i="26"/>
  <c r="D655" i="26"/>
  <c r="B654" i="26"/>
  <c r="C398" i="24"/>
  <c r="H398" i="24" s="1"/>
  <c r="B397" i="24"/>
  <c r="E397" i="24"/>
  <c r="D398" i="24"/>
  <c r="P323" i="29"/>
  <c r="J22" i="20" l="1"/>
  <c r="J104" i="20" s="1"/>
  <c r="F33" i="32" s="1"/>
  <c r="Q323" i="29"/>
  <c r="BI323" i="5"/>
  <c r="BJ324" i="5"/>
  <c r="U324" i="29"/>
  <c r="BK324" i="5" s="1"/>
  <c r="AD398" i="5"/>
  <c r="G742" i="5"/>
  <c r="BW741" i="5"/>
  <c r="BY741" i="5" s="1"/>
  <c r="W398" i="5"/>
  <c r="W399" i="5" s="1"/>
  <c r="V399" i="5"/>
  <c r="X399" i="5" s="1"/>
  <c r="AC399" i="5"/>
  <c r="AE399" i="5" s="1"/>
  <c r="AJ399" i="5"/>
  <c r="O399" i="5"/>
  <c r="Q399" i="5" s="1"/>
  <c r="I399" i="5"/>
  <c r="AL398" i="5"/>
  <c r="AK398" i="5"/>
  <c r="AH345" i="24"/>
  <c r="AO345" i="5"/>
  <c r="B400" i="5"/>
  <c r="D401" i="5"/>
  <c r="E400" i="5"/>
  <c r="C401" i="5"/>
  <c r="D399" i="25"/>
  <c r="C399" i="25"/>
  <c r="H399" i="25" s="1"/>
  <c r="B398" i="25"/>
  <c r="E398" i="25"/>
  <c r="AF342" i="25"/>
  <c r="AN343" i="2"/>
  <c r="AV395" i="2"/>
  <c r="H675" i="2"/>
  <c r="AR674" i="2"/>
  <c r="AT674" i="2" s="1"/>
  <c r="AU396" i="2"/>
  <c r="R396" i="2"/>
  <c r="Q396" i="2"/>
  <c r="Y396" i="2"/>
  <c r="D399" i="2"/>
  <c r="C399" i="2"/>
  <c r="B398" i="2"/>
  <c r="E398" i="2"/>
  <c r="AD397" i="2"/>
  <c r="AF397" i="2" s="1"/>
  <c r="P397" i="2"/>
  <c r="W397" i="2"/>
  <c r="J397" i="2"/>
  <c r="K397" i="2" s="1"/>
  <c r="E655" i="26"/>
  <c r="B655" i="26"/>
  <c r="D656" i="26"/>
  <c r="C656" i="26"/>
  <c r="C399" i="24"/>
  <c r="H399" i="24" s="1"/>
  <c r="D399" i="24"/>
  <c r="E398" i="24"/>
  <c r="B398" i="24"/>
  <c r="P322" i="29"/>
  <c r="Q322" i="29" l="1"/>
  <c r="BI322" i="5"/>
  <c r="BJ323" i="5"/>
  <c r="U323" i="29"/>
  <c r="BK323" i="5" s="1"/>
  <c r="P399" i="5"/>
  <c r="AD399" i="5"/>
  <c r="BW742" i="5"/>
  <c r="BY742" i="5" s="1"/>
  <c r="G743" i="5"/>
  <c r="J399" i="5"/>
  <c r="AH344" i="24"/>
  <c r="AO344" i="5"/>
  <c r="AK399" i="5"/>
  <c r="AL399" i="5"/>
  <c r="V400" i="5"/>
  <c r="X400" i="5" s="1"/>
  <c r="I400" i="5"/>
  <c r="AC400" i="5"/>
  <c r="AE400" i="5" s="1"/>
  <c r="O400" i="5"/>
  <c r="Q400" i="5" s="1"/>
  <c r="AJ400" i="5"/>
  <c r="E401" i="5"/>
  <c r="C402" i="5"/>
  <c r="D402" i="5"/>
  <c r="B401" i="5"/>
  <c r="AF341" i="25"/>
  <c r="AN342" i="2"/>
  <c r="B399" i="25"/>
  <c r="D400" i="25"/>
  <c r="C400" i="25"/>
  <c r="H400" i="25" s="1"/>
  <c r="E399" i="25"/>
  <c r="H676" i="2"/>
  <c r="AR675" i="2"/>
  <c r="AT675" i="2" s="1"/>
  <c r="AU397" i="2"/>
  <c r="AV396" i="2"/>
  <c r="C400" i="2"/>
  <c r="E399" i="2"/>
  <c r="D400" i="2"/>
  <c r="B399" i="2"/>
  <c r="Y397" i="2"/>
  <c r="R397" i="2"/>
  <c r="AV397" i="2" s="1"/>
  <c r="P398" i="2"/>
  <c r="AD398" i="2"/>
  <c r="AF398" i="2" s="1"/>
  <c r="W398" i="2"/>
  <c r="J398" i="2"/>
  <c r="K398" i="2" s="1"/>
  <c r="AE397" i="2"/>
  <c r="AE398" i="2" s="1"/>
  <c r="Q397" i="2"/>
  <c r="C657" i="26"/>
  <c r="E656" i="26"/>
  <c r="D657" i="26"/>
  <c r="B656" i="26"/>
  <c r="E399" i="24"/>
  <c r="B399" i="24"/>
  <c r="C400" i="24"/>
  <c r="H400" i="24" s="1"/>
  <c r="D400" i="24"/>
  <c r="P321" i="29"/>
  <c r="BJ322" i="5" l="1"/>
  <c r="U322" i="29"/>
  <c r="BK322" i="5" s="1"/>
  <c r="Q321" i="29"/>
  <c r="BI321" i="5"/>
  <c r="BW743" i="5"/>
  <c r="G744" i="5"/>
  <c r="BY743" i="5"/>
  <c r="P400" i="5"/>
  <c r="B402" i="5"/>
  <c r="D403" i="5"/>
  <c r="C403" i="5"/>
  <c r="E402" i="5"/>
  <c r="AD400" i="5"/>
  <c r="AH343" i="24"/>
  <c r="AO343" i="5"/>
  <c r="V401" i="5"/>
  <c r="X401" i="5" s="1"/>
  <c r="AC401" i="5"/>
  <c r="AE401" i="5" s="1"/>
  <c r="I401" i="5"/>
  <c r="O401" i="5"/>
  <c r="Q401" i="5" s="1"/>
  <c r="AJ401" i="5"/>
  <c r="J400" i="5"/>
  <c r="AK400" i="5"/>
  <c r="AL400" i="5"/>
  <c r="W400" i="5"/>
  <c r="D401" i="25"/>
  <c r="C401" i="25"/>
  <c r="H401" i="25" s="1"/>
  <c r="B400" i="25"/>
  <c r="E400" i="25"/>
  <c r="AF340" i="25"/>
  <c r="AN341" i="2"/>
  <c r="H677" i="2"/>
  <c r="J20" i="19" s="1"/>
  <c r="J116" i="19" s="1"/>
  <c r="F14" i="32" s="1"/>
  <c r="AR676" i="2"/>
  <c r="AT676" i="2" s="1"/>
  <c r="AU398" i="2"/>
  <c r="Q398" i="2"/>
  <c r="Y398" i="2"/>
  <c r="R398" i="2"/>
  <c r="AV398" i="2" s="1"/>
  <c r="E400" i="2"/>
  <c r="D401" i="2"/>
  <c r="B400" i="2"/>
  <c r="C401" i="2"/>
  <c r="P399" i="2"/>
  <c r="AD399" i="2"/>
  <c r="AF399" i="2" s="1"/>
  <c r="W399" i="2"/>
  <c r="J399" i="2"/>
  <c r="K399" i="2" s="1"/>
  <c r="D658" i="26"/>
  <c r="C658" i="26"/>
  <c r="B657" i="26"/>
  <c r="E657" i="26"/>
  <c r="D401" i="24"/>
  <c r="C401" i="24"/>
  <c r="H401" i="24" s="1"/>
  <c r="E400" i="24"/>
  <c r="B400" i="24"/>
  <c r="P320" i="29"/>
  <c r="BJ321" i="5" l="1"/>
  <c r="U321" i="29"/>
  <c r="BK321" i="5" s="1"/>
  <c r="Q320" i="29"/>
  <c r="BI320" i="5"/>
  <c r="G745" i="5"/>
  <c r="BW744" i="5"/>
  <c r="BY744" i="5" s="1"/>
  <c r="AD401" i="5"/>
  <c r="W401" i="5"/>
  <c r="D404" i="5"/>
  <c r="C404" i="5"/>
  <c r="E403" i="5"/>
  <c r="B403" i="5"/>
  <c r="AL401" i="5"/>
  <c r="AK401" i="5"/>
  <c r="AH342" i="24"/>
  <c r="AO342" i="5"/>
  <c r="AC402" i="5"/>
  <c r="AE402" i="5" s="1"/>
  <c r="O402" i="5"/>
  <c r="Q402" i="5" s="1"/>
  <c r="I402" i="5"/>
  <c r="AJ402" i="5"/>
  <c r="V402" i="5"/>
  <c r="X402" i="5" s="1"/>
  <c r="J401" i="5"/>
  <c r="P401" i="5"/>
  <c r="AF339" i="25"/>
  <c r="AN340" i="2"/>
  <c r="B401" i="25"/>
  <c r="D402" i="25"/>
  <c r="C402" i="25"/>
  <c r="H402" i="25" s="1"/>
  <c r="E401" i="25"/>
  <c r="H678" i="2"/>
  <c r="AR677" i="2"/>
  <c r="AT677" i="2" s="1"/>
  <c r="AU399" i="2"/>
  <c r="Y399" i="2"/>
  <c r="R399" i="2"/>
  <c r="AV399" i="2" s="1"/>
  <c r="P400" i="2"/>
  <c r="AD400" i="2"/>
  <c r="AF400" i="2" s="1"/>
  <c r="W400" i="2"/>
  <c r="J400" i="2"/>
  <c r="K400" i="2" s="1"/>
  <c r="D402" i="2"/>
  <c r="C402" i="2"/>
  <c r="B401" i="2"/>
  <c r="E401" i="2"/>
  <c r="AE399" i="2"/>
  <c r="Q399" i="2"/>
  <c r="C659" i="26"/>
  <c r="D659" i="26"/>
  <c r="B658" i="26"/>
  <c r="E658" i="26"/>
  <c r="C402" i="24"/>
  <c r="H402" i="24" s="1"/>
  <c r="B401" i="24"/>
  <c r="E401" i="24"/>
  <c r="D402" i="24"/>
  <c r="P319" i="29"/>
  <c r="BJ320" i="5" l="1"/>
  <c r="U320" i="29"/>
  <c r="BK320" i="5" s="1"/>
  <c r="Q319" i="29"/>
  <c r="BI319" i="5"/>
  <c r="C405" i="5"/>
  <c r="D405" i="5"/>
  <c r="BW745" i="5"/>
  <c r="BY745" i="5" s="1"/>
  <c r="G746" i="5"/>
  <c r="W402" i="5"/>
  <c r="J402" i="5"/>
  <c r="AH341" i="24"/>
  <c r="AO341" i="5"/>
  <c r="P402" i="5"/>
  <c r="AD402" i="5"/>
  <c r="I403" i="5"/>
  <c r="O403" i="5"/>
  <c r="Q403" i="5" s="1"/>
  <c r="AC403" i="5"/>
  <c r="AE403" i="5" s="1"/>
  <c r="AJ403" i="5"/>
  <c r="V403" i="5"/>
  <c r="X403" i="5" s="1"/>
  <c r="E404" i="5"/>
  <c r="B404" i="5"/>
  <c r="AL402" i="5"/>
  <c r="AK402" i="5"/>
  <c r="D403" i="25"/>
  <c r="C403" i="25"/>
  <c r="H403" i="25" s="1"/>
  <c r="E402" i="25"/>
  <c r="B402" i="25"/>
  <c r="AF338" i="25"/>
  <c r="AN338" i="2" s="1"/>
  <c r="AN339" i="2"/>
  <c r="Q400" i="2"/>
  <c r="AE400" i="2"/>
  <c r="AR678" i="2"/>
  <c r="AT678" i="2" s="1"/>
  <c r="H679" i="2"/>
  <c r="AU400" i="2"/>
  <c r="AD401" i="2"/>
  <c r="AF401" i="2" s="1"/>
  <c r="P401" i="2"/>
  <c r="W401" i="2"/>
  <c r="J401" i="2"/>
  <c r="K401" i="2" s="1"/>
  <c r="AE401" i="2"/>
  <c r="Y400" i="2"/>
  <c r="C403" i="2"/>
  <c r="E402" i="2"/>
  <c r="B402" i="2"/>
  <c r="D403" i="2"/>
  <c r="R400" i="2"/>
  <c r="C660" i="26"/>
  <c r="E659" i="26"/>
  <c r="B659" i="26"/>
  <c r="D660" i="26"/>
  <c r="B402" i="24"/>
  <c r="C403" i="24"/>
  <c r="H403" i="24" s="1"/>
  <c r="E402" i="24"/>
  <c r="D403" i="24"/>
  <c r="P318" i="29"/>
  <c r="Q318" i="29" l="1"/>
  <c r="BI318" i="5"/>
  <c r="BJ319" i="5"/>
  <c r="U319" i="29"/>
  <c r="BK319" i="5" s="1"/>
  <c r="G747" i="5"/>
  <c r="BW746" i="5"/>
  <c r="BY746" i="5" s="1"/>
  <c r="B405" i="5"/>
  <c r="E405" i="5"/>
  <c r="D406" i="5"/>
  <c r="C406" i="5"/>
  <c r="AL403" i="5"/>
  <c r="AK403" i="5"/>
  <c r="AD403" i="5"/>
  <c r="AH340" i="24"/>
  <c r="AO340" i="5"/>
  <c r="V404" i="5"/>
  <c r="X404" i="5" s="1"/>
  <c r="AJ404" i="5"/>
  <c r="O404" i="5"/>
  <c r="Q404" i="5" s="1"/>
  <c r="AC404" i="5"/>
  <c r="AE404" i="5" s="1"/>
  <c r="I404" i="5"/>
  <c r="J403" i="5"/>
  <c r="J404" i="5" s="1"/>
  <c r="P403" i="5"/>
  <c r="P404" i="5" s="1"/>
  <c r="W403" i="5"/>
  <c r="D404" i="25"/>
  <c r="C404" i="25"/>
  <c r="H404" i="25" s="1"/>
  <c r="B403" i="25"/>
  <c r="E403" i="25"/>
  <c r="AV400" i="2"/>
  <c r="H680" i="2"/>
  <c r="AR679" i="2"/>
  <c r="AT679" i="2" s="1"/>
  <c r="AU401" i="2"/>
  <c r="D404" i="2"/>
  <c r="C404" i="2"/>
  <c r="E403" i="2"/>
  <c r="B403" i="2"/>
  <c r="AD402" i="2"/>
  <c r="AF402" i="2" s="1"/>
  <c r="P402" i="2"/>
  <c r="W402" i="2"/>
  <c r="J402" i="2"/>
  <c r="K402" i="2" s="1"/>
  <c r="AE402" i="2"/>
  <c r="Y401" i="2"/>
  <c r="R401" i="2"/>
  <c r="Q401" i="2"/>
  <c r="B660" i="26"/>
  <c r="E660" i="26"/>
  <c r="C661" i="26"/>
  <c r="D661" i="26"/>
  <c r="C404" i="24"/>
  <c r="H404" i="24" s="1"/>
  <c r="D404" i="24"/>
  <c r="B403" i="24"/>
  <c r="E403" i="24"/>
  <c r="P317" i="29"/>
  <c r="C405" i="24" l="1"/>
  <c r="H405" i="24" s="1"/>
  <c r="D405" i="24"/>
  <c r="Q317" i="29"/>
  <c r="BI317" i="5"/>
  <c r="BJ318" i="5"/>
  <c r="U318" i="29"/>
  <c r="BK318" i="5" s="1"/>
  <c r="O405" i="5"/>
  <c r="Q405" i="5" s="1"/>
  <c r="V405" i="5"/>
  <c r="X405" i="5" s="1"/>
  <c r="AC405" i="5"/>
  <c r="AE405" i="5" s="1"/>
  <c r="AJ405" i="5"/>
  <c r="I405" i="5"/>
  <c r="BZ405" i="5" s="1"/>
  <c r="P405" i="5"/>
  <c r="D407" i="5"/>
  <c r="C407" i="5"/>
  <c r="E407" i="5" s="1"/>
  <c r="B406" i="5"/>
  <c r="E406" i="5"/>
  <c r="G748" i="5"/>
  <c r="BW747" i="5"/>
  <c r="BY747" i="5" s="1"/>
  <c r="AH339" i="24"/>
  <c r="AO339" i="5"/>
  <c r="AL404" i="5"/>
  <c r="AK404" i="5"/>
  <c r="AD404" i="5"/>
  <c r="AD405" i="5" s="1"/>
  <c r="M80" i="20"/>
  <c r="W404" i="5"/>
  <c r="W405" i="5" s="1"/>
  <c r="D405" i="25"/>
  <c r="C405" i="25"/>
  <c r="H405" i="25" s="1"/>
  <c r="B404" i="25"/>
  <c r="E404" i="25"/>
  <c r="AV401" i="2"/>
  <c r="Q402" i="2"/>
  <c r="C405" i="2"/>
  <c r="D405" i="2"/>
  <c r="H681" i="2"/>
  <c r="AR680" i="2"/>
  <c r="AT680" i="2" s="1"/>
  <c r="AU402" i="2"/>
  <c r="R402" i="2"/>
  <c r="Y402" i="2"/>
  <c r="AD403" i="2"/>
  <c r="AF403" i="2" s="1"/>
  <c r="P403" i="2"/>
  <c r="W403" i="2"/>
  <c r="J403" i="2"/>
  <c r="K403" i="2" s="1"/>
  <c r="E404" i="2"/>
  <c r="B404" i="2"/>
  <c r="E661" i="26"/>
  <c r="D662" i="26"/>
  <c r="C662" i="26"/>
  <c r="B661" i="26"/>
  <c r="B404" i="24"/>
  <c r="E404" i="24"/>
  <c r="P316" i="29"/>
  <c r="AA339" i="29"/>
  <c r="X339" i="29" s="1"/>
  <c r="M95" i="20" l="1"/>
  <c r="C406" i="24"/>
  <c r="H406" i="24" s="1"/>
  <c r="D406" i="24"/>
  <c r="B405" i="24"/>
  <c r="E405" i="24"/>
  <c r="BJ317" i="5"/>
  <c r="U317" i="29"/>
  <c r="BK317" i="5" s="1"/>
  <c r="Q316" i="29"/>
  <c r="BI316" i="5"/>
  <c r="BN339" i="5"/>
  <c r="B407" i="5"/>
  <c r="D408" i="5"/>
  <c r="C408" i="5"/>
  <c r="G749" i="5"/>
  <c r="BW748" i="5"/>
  <c r="BY748" i="5"/>
  <c r="AC406" i="5"/>
  <c r="AE406" i="5" s="1"/>
  <c r="O406" i="5"/>
  <c r="Q406" i="5" s="1"/>
  <c r="AJ406" i="5"/>
  <c r="V406" i="5"/>
  <c r="X406" i="5" s="1"/>
  <c r="I406" i="5"/>
  <c r="BZ406" i="5" s="1"/>
  <c r="O407" i="5"/>
  <c r="Q407" i="5" s="1"/>
  <c r="AC407" i="5"/>
  <c r="AE407" i="5" s="1"/>
  <c r="AJ407" i="5"/>
  <c r="V407" i="5"/>
  <c r="X407" i="5" s="1"/>
  <c r="I407" i="5"/>
  <c r="AK405" i="5"/>
  <c r="AL405" i="5"/>
  <c r="J405" i="5"/>
  <c r="CA405" i="5"/>
  <c r="B405" i="25"/>
  <c r="E405" i="25"/>
  <c r="C406" i="25"/>
  <c r="H406" i="25" s="1"/>
  <c r="D406" i="25"/>
  <c r="AV402" i="2"/>
  <c r="H682" i="2"/>
  <c r="AR681" i="2"/>
  <c r="AT681" i="2" s="1"/>
  <c r="B405" i="2"/>
  <c r="D406" i="2"/>
  <c r="E405" i="2"/>
  <c r="C406" i="2"/>
  <c r="AU403" i="2"/>
  <c r="R403" i="2"/>
  <c r="Q403" i="2"/>
  <c r="AE403" i="2"/>
  <c r="AD404" i="2"/>
  <c r="AF404" i="2" s="1"/>
  <c r="P404" i="2"/>
  <c r="W404" i="2"/>
  <c r="J404" i="2"/>
  <c r="K404" i="2" s="1"/>
  <c r="Y403" i="2"/>
  <c r="C663" i="26"/>
  <c r="D663" i="26"/>
  <c r="B662" i="26"/>
  <c r="E662" i="26"/>
  <c r="Y339" i="29"/>
  <c r="X338" i="29"/>
  <c r="BN338" i="5" s="1"/>
  <c r="E406" i="24" l="1"/>
  <c r="C407" i="24"/>
  <c r="H407" i="24" s="1"/>
  <c r="D407" i="24"/>
  <c r="B406" i="24"/>
  <c r="BO339" i="5"/>
  <c r="AB339" i="29"/>
  <c r="BJ316" i="5"/>
  <c r="U316" i="29"/>
  <c r="AL406" i="5"/>
  <c r="AK406" i="5"/>
  <c r="P406" i="5"/>
  <c r="P407" i="5" s="1"/>
  <c r="CA406" i="5"/>
  <c r="J406" i="5"/>
  <c r="J407" i="5" s="1"/>
  <c r="G750" i="5"/>
  <c r="BW749" i="5"/>
  <c r="BY749" i="5" s="1"/>
  <c r="AD406" i="5"/>
  <c r="AD407" i="5" s="1"/>
  <c r="BZ407" i="5"/>
  <c r="E408" i="5"/>
  <c r="B408" i="5"/>
  <c r="C409" i="5"/>
  <c r="D409" i="5"/>
  <c r="AL407" i="5"/>
  <c r="CA407" i="5" s="1"/>
  <c r="AK407" i="5"/>
  <c r="W406" i="5"/>
  <c r="W407" i="5" s="1"/>
  <c r="B406" i="25"/>
  <c r="D407" i="25"/>
  <c r="E406" i="25"/>
  <c r="C407" i="25"/>
  <c r="H407" i="25" s="1"/>
  <c r="J405" i="2"/>
  <c r="K405" i="2" s="1"/>
  <c r="AD405" i="2"/>
  <c r="AF405" i="2" s="1"/>
  <c r="P405" i="2"/>
  <c r="W405" i="2"/>
  <c r="D407" i="2"/>
  <c r="B406" i="2"/>
  <c r="E406" i="2"/>
  <c r="C407" i="2"/>
  <c r="E407" i="2" s="1"/>
  <c r="H683" i="2"/>
  <c r="AR682" i="2"/>
  <c r="AT682" i="2" s="1"/>
  <c r="AU404" i="2"/>
  <c r="AV403" i="2"/>
  <c r="R404" i="2"/>
  <c r="Q404" i="2"/>
  <c r="Y404" i="2"/>
  <c r="AE404" i="2"/>
  <c r="AE405" i="2" s="1"/>
  <c r="E663" i="26"/>
  <c r="B663" i="26"/>
  <c r="D664" i="26"/>
  <c r="C664" i="26"/>
  <c r="X337" i="29"/>
  <c r="BN337" i="5" s="1"/>
  <c r="Y338" i="29"/>
  <c r="D408" i="24" l="1"/>
  <c r="B407" i="24"/>
  <c r="C408" i="24"/>
  <c r="H408" i="24" s="1"/>
  <c r="E407" i="24"/>
  <c r="BO338" i="5"/>
  <c r="AB338" i="29"/>
  <c r="BK316" i="5"/>
  <c r="BP339" i="5"/>
  <c r="BU339" i="5"/>
  <c r="D410" i="5"/>
  <c r="B409" i="5"/>
  <c r="E409" i="5"/>
  <c r="C410" i="5"/>
  <c r="AC408" i="5"/>
  <c r="AE408" i="5" s="1"/>
  <c r="AJ408" i="5"/>
  <c r="V408" i="5"/>
  <c r="X408" i="5" s="1"/>
  <c r="I408" i="5"/>
  <c r="G751" i="5"/>
  <c r="BW750" i="5"/>
  <c r="BY750" i="5" s="1"/>
  <c r="AD408" i="5"/>
  <c r="B407" i="25"/>
  <c r="E407" i="25"/>
  <c r="C408" i="25"/>
  <c r="H408" i="25" s="1"/>
  <c r="D408" i="25"/>
  <c r="R405" i="2"/>
  <c r="AU405" i="2"/>
  <c r="AD406" i="2"/>
  <c r="AF406" i="2" s="1"/>
  <c r="P406" i="2"/>
  <c r="W406" i="2"/>
  <c r="J406" i="2"/>
  <c r="K406" i="2" s="1"/>
  <c r="K407" i="2" s="1"/>
  <c r="C408" i="2"/>
  <c r="D408" i="2"/>
  <c r="B407" i="2"/>
  <c r="Y405" i="2"/>
  <c r="X738" i="2"/>
  <c r="H684" i="2"/>
  <c r="AR683" i="2"/>
  <c r="AT683" i="2" s="1"/>
  <c r="AD407" i="2"/>
  <c r="AF407" i="2" s="1"/>
  <c r="P407" i="2"/>
  <c r="W407" i="2"/>
  <c r="J407" i="2"/>
  <c r="AE406" i="2"/>
  <c r="AE407" i="2" s="1"/>
  <c r="Q405" i="2"/>
  <c r="Q406" i="2" s="1"/>
  <c r="Q407" i="2" s="1"/>
  <c r="AV404" i="2"/>
  <c r="E664" i="26"/>
  <c r="C665" i="26"/>
  <c r="B664" i="26"/>
  <c r="D665" i="26"/>
  <c r="X336" i="29"/>
  <c r="BN336" i="5" s="1"/>
  <c r="Y337" i="29"/>
  <c r="I95" i="20" l="1"/>
  <c r="E24" i="32" s="1"/>
  <c r="I96" i="20"/>
  <c r="E25" i="32" s="1"/>
  <c r="I97" i="20"/>
  <c r="E26" i="32" s="1"/>
  <c r="I98" i="20"/>
  <c r="E27" i="32" s="1"/>
  <c r="I99" i="20"/>
  <c r="E28" i="32" s="1"/>
  <c r="I100" i="20"/>
  <c r="E29" i="32" s="1"/>
  <c r="I101" i="20"/>
  <c r="E30" i="32" s="1"/>
  <c r="I102" i="20"/>
  <c r="E31" i="32" s="1"/>
  <c r="I103" i="20"/>
  <c r="E32" i="32" s="1"/>
  <c r="I104" i="20"/>
  <c r="E33" i="32" s="1"/>
  <c r="C409" i="24"/>
  <c r="H409" i="24" s="1"/>
  <c r="E408" i="24"/>
  <c r="D409" i="24"/>
  <c r="B408" i="24"/>
  <c r="CA339" i="5"/>
  <c r="BP338" i="5"/>
  <c r="BU338" i="5"/>
  <c r="BO337" i="5"/>
  <c r="AB337" i="29"/>
  <c r="G752" i="5"/>
  <c r="BW751" i="5"/>
  <c r="BY751" i="5" s="1"/>
  <c r="J408" i="5"/>
  <c r="BZ408" i="5"/>
  <c r="AK408" i="5"/>
  <c r="AL408" i="5"/>
  <c r="AC409" i="5"/>
  <c r="AE409" i="5" s="1"/>
  <c r="AJ409" i="5"/>
  <c r="V409" i="5"/>
  <c r="X409" i="5" s="1"/>
  <c r="I409" i="5"/>
  <c r="AD409" i="5"/>
  <c r="CA408" i="5"/>
  <c r="W408" i="5"/>
  <c r="E410" i="5"/>
  <c r="D411" i="5"/>
  <c r="B410" i="5"/>
  <c r="C411" i="5"/>
  <c r="B408" i="25"/>
  <c r="D409" i="25"/>
  <c r="E408" i="25"/>
  <c r="C409" i="25"/>
  <c r="H409" i="25" s="1"/>
  <c r="H685" i="2"/>
  <c r="AR684" i="2"/>
  <c r="AT684" i="2" s="1"/>
  <c r="R407" i="2"/>
  <c r="AU407" i="2"/>
  <c r="D409" i="2"/>
  <c r="C409" i="2"/>
  <c r="E408" i="2"/>
  <c r="B408" i="2"/>
  <c r="Y406" i="2"/>
  <c r="R406" i="2"/>
  <c r="AU406" i="2"/>
  <c r="Y407" i="2"/>
  <c r="AV405" i="2"/>
  <c r="D666" i="26"/>
  <c r="E665" i="26"/>
  <c r="B665" i="26"/>
  <c r="C666" i="26"/>
  <c r="X335" i="29"/>
  <c r="BN335" i="5" s="1"/>
  <c r="Y336" i="29"/>
  <c r="BZ409" i="5" l="1"/>
  <c r="D410" i="24"/>
  <c r="B409" i="24"/>
  <c r="E409" i="24"/>
  <c r="C410" i="24"/>
  <c r="H410" i="24" s="1"/>
  <c r="CA338" i="5"/>
  <c r="BO336" i="5"/>
  <c r="AB336" i="29"/>
  <c r="BP337" i="5"/>
  <c r="BU337" i="5"/>
  <c r="AK409" i="5"/>
  <c r="AL409" i="5"/>
  <c r="CA409" i="5" s="1"/>
  <c r="C412" i="5"/>
  <c r="E411" i="5"/>
  <c r="D412" i="5"/>
  <c r="B411" i="5"/>
  <c r="J409" i="5"/>
  <c r="AC410" i="5"/>
  <c r="AE410" i="5" s="1"/>
  <c r="V410" i="5"/>
  <c r="X410" i="5" s="1"/>
  <c r="AJ410" i="5"/>
  <c r="I410" i="5"/>
  <c r="W409" i="5"/>
  <c r="W410" i="5" s="1"/>
  <c r="G753" i="5"/>
  <c r="BW752" i="5"/>
  <c r="BY752" i="5" s="1"/>
  <c r="B409" i="25"/>
  <c r="C410" i="25"/>
  <c r="H410" i="25" s="1"/>
  <c r="E409" i="25"/>
  <c r="D410" i="25"/>
  <c r="AV407" i="2"/>
  <c r="AD408" i="2"/>
  <c r="P408" i="2"/>
  <c r="W408" i="2"/>
  <c r="J408" i="2"/>
  <c r="C410" i="2"/>
  <c r="E409" i="2"/>
  <c r="D410" i="2"/>
  <c r="B409" i="2"/>
  <c r="H686" i="2"/>
  <c r="AR685" i="2"/>
  <c r="AT685" i="2" s="1"/>
  <c r="AV406" i="2"/>
  <c r="B666" i="26"/>
  <c r="D667" i="26"/>
  <c r="E666" i="26"/>
  <c r="C667" i="26"/>
  <c r="Y335" i="29"/>
  <c r="X334" i="29"/>
  <c r="BN334" i="5" s="1"/>
  <c r="BZ410" i="5" l="1"/>
  <c r="E410" i="24"/>
  <c r="B410" i="24"/>
  <c r="D411" i="24"/>
  <c r="C411" i="24"/>
  <c r="H411" i="24" s="1"/>
  <c r="BO335" i="5"/>
  <c r="AB335" i="29"/>
  <c r="BU336" i="5"/>
  <c r="BP336" i="5"/>
  <c r="CA336" i="5" s="1"/>
  <c r="CA337" i="5"/>
  <c r="J410" i="5"/>
  <c r="C413" i="5"/>
  <c r="B412" i="5"/>
  <c r="D413" i="5"/>
  <c r="E412" i="5"/>
  <c r="AL410" i="5"/>
  <c r="AK410" i="5"/>
  <c r="AD410" i="5"/>
  <c r="AC411" i="5"/>
  <c r="AE411" i="5" s="1"/>
  <c r="AJ411" i="5"/>
  <c r="V411" i="5"/>
  <c r="X411" i="5" s="1"/>
  <c r="I411" i="5"/>
  <c r="BW753" i="5"/>
  <c r="BY753" i="5" s="1"/>
  <c r="D411" i="25"/>
  <c r="E410" i="25"/>
  <c r="C411" i="25"/>
  <c r="H411" i="25" s="1"/>
  <c r="B410" i="25"/>
  <c r="H687" i="2"/>
  <c r="AR686" i="2"/>
  <c r="AT686" i="2" s="1"/>
  <c r="B410" i="2"/>
  <c r="E410" i="2"/>
  <c r="C411" i="2"/>
  <c r="D411" i="2"/>
  <c r="AD409" i="2"/>
  <c r="AF409" i="2" s="1"/>
  <c r="P409" i="2"/>
  <c r="W409" i="2"/>
  <c r="J409" i="2"/>
  <c r="AU408" i="2"/>
  <c r="K408" i="2"/>
  <c r="K409" i="2" s="1"/>
  <c r="Y408" i="2"/>
  <c r="R408" i="2"/>
  <c r="Q408" i="2"/>
  <c r="AF408" i="2"/>
  <c r="AE408" i="2"/>
  <c r="B667" i="26"/>
  <c r="D668" i="26"/>
  <c r="C668" i="26"/>
  <c r="E667" i="26"/>
  <c r="X333" i="29"/>
  <c r="BN333" i="5" s="1"/>
  <c r="Y334" i="29"/>
  <c r="BZ411" i="5" l="1"/>
  <c r="CA410" i="5"/>
  <c r="D412" i="24"/>
  <c r="C412" i="24"/>
  <c r="H412" i="24" s="1"/>
  <c r="B411" i="24"/>
  <c r="E411" i="24"/>
  <c r="BU335" i="5"/>
  <c r="BP335" i="5"/>
  <c r="CA335" i="5" s="1"/>
  <c r="BO334" i="5"/>
  <c r="AB334" i="29"/>
  <c r="W411" i="5"/>
  <c r="AL411" i="5"/>
  <c r="CA411" i="5" s="1"/>
  <c r="AK411" i="5"/>
  <c r="AD411" i="5"/>
  <c r="D414" i="5"/>
  <c r="B413" i="5"/>
  <c r="E413" i="5"/>
  <c r="C414" i="5"/>
  <c r="AC412" i="5"/>
  <c r="AE412" i="5" s="1"/>
  <c r="V412" i="5"/>
  <c r="X412" i="5" s="1"/>
  <c r="AJ412" i="5"/>
  <c r="I412" i="5"/>
  <c r="J411" i="5"/>
  <c r="B411" i="25"/>
  <c r="D412" i="25"/>
  <c r="E411" i="25"/>
  <c r="C412" i="25"/>
  <c r="H412" i="25" s="1"/>
  <c r="AE409" i="2"/>
  <c r="Y409" i="2"/>
  <c r="R409" i="2"/>
  <c r="AV409" i="2" s="1"/>
  <c r="AU409" i="2"/>
  <c r="D412" i="2"/>
  <c r="C412" i="2"/>
  <c r="E411" i="2"/>
  <c r="B411" i="2"/>
  <c r="AD410" i="2"/>
  <c r="AF410" i="2" s="1"/>
  <c r="P410" i="2"/>
  <c r="W410" i="2"/>
  <c r="J410" i="2"/>
  <c r="K410" i="2" s="1"/>
  <c r="Q409" i="2"/>
  <c r="Q410" i="2" s="1"/>
  <c r="AV408" i="2"/>
  <c r="H688" i="2"/>
  <c r="AR687" i="2"/>
  <c r="AT687" i="2" s="1"/>
  <c r="B668" i="26"/>
  <c r="E668" i="26"/>
  <c r="D669" i="26"/>
  <c r="C669" i="26"/>
  <c r="X332" i="29"/>
  <c r="BN332" i="5" s="1"/>
  <c r="Y333" i="29"/>
  <c r="BZ412" i="5" l="1"/>
  <c r="D413" i="24"/>
  <c r="E412" i="24"/>
  <c r="C413" i="24"/>
  <c r="H413" i="24" s="1"/>
  <c r="B412" i="24"/>
  <c r="BU334" i="5"/>
  <c r="BP334" i="5"/>
  <c r="BO333" i="5"/>
  <c r="AB333" i="29"/>
  <c r="AK412" i="5"/>
  <c r="AL412" i="5"/>
  <c r="CA412" i="5" s="1"/>
  <c r="AC413" i="5"/>
  <c r="AE413" i="5" s="1"/>
  <c r="AJ413" i="5"/>
  <c r="V413" i="5"/>
  <c r="X413" i="5" s="1"/>
  <c r="I413" i="5"/>
  <c r="E414" i="5"/>
  <c r="D415" i="5"/>
  <c r="B414" i="5"/>
  <c r="C415" i="5"/>
  <c r="AD412" i="5"/>
  <c r="AD413" i="5" s="1"/>
  <c r="J412" i="5"/>
  <c r="J413" i="5" s="1"/>
  <c r="W412" i="5"/>
  <c r="B412" i="25"/>
  <c r="D413" i="25"/>
  <c r="E412" i="25"/>
  <c r="C413" i="25"/>
  <c r="H413" i="25" s="1"/>
  <c r="AD411" i="2"/>
  <c r="AF411" i="2" s="1"/>
  <c r="P411" i="2"/>
  <c r="W411" i="2"/>
  <c r="J411" i="2"/>
  <c r="K411" i="2" s="1"/>
  <c r="Y410" i="2"/>
  <c r="R410" i="2"/>
  <c r="AU410" i="2"/>
  <c r="B412" i="2"/>
  <c r="E412" i="2"/>
  <c r="C413" i="2"/>
  <c r="D413" i="2"/>
  <c r="H689" i="2"/>
  <c r="AR688" i="2"/>
  <c r="AT688" i="2" s="1"/>
  <c r="AE410" i="2"/>
  <c r="AE411" i="2" s="1"/>
  <c r="E669" i="26"/>
  <c r="C670" i="26"/>
  <c r="B669" i="26"/>
  <c r="D670" i="26"/>
  <c r="Y332" i="29"/>
  <c r="X331" i="29"/>
  <c r="BN331" i="5" s="1"/>
  <c r="C414" i="24" l="1"/>
  <c r="H414" i="24" s="1"/>
  <c r="E413" i="24"/>
  <c r="D414" i="24"/>
  <c r="B413" i="24"/>
  <c r="BP333" i="5"/>
  <c r="BU333" i="5"/>
  <c r="BO332" i="5"/>
  <c r="AB332" i="29"/>
  <c r="CA334" i="5"/>
  <c r="BZ413" i="5"/>
  <c r="C416" i="5"/>
  <c r="E415" i="5"/>
  <c r="B415" i="5"/>
  <c r="D416" i="5"/>
  <c r="AC414" i="5"/>
  <c r="AE414" i="5" s="1"/>
  <c r="AJ414" i="5"/>
  <c r="V414" i="5"/>
  <c r="X414" i="5" s="1"/>
  <c r="I414" i="5"/>
  <c r="AK413" i="5"/>
  <c r="AL413" i="5"/>
  <c r="CA413" i="5" s="1"/>
  <c r="J414" i="5"/>
  <c r="W413" i="5"/>
  <c r="E413" i="25"/>
  <c r="C414" i="25"/>
  <c r="H414" i="25" s="1"/>
  <c r="D414" i="25"/>
  <c r="B413" i="25"/>
  <c r="Y411" i="2"/>
  <c r="AD412" i="2"/>
  <c r="AF412" i="2" s="1"/>
  <c r="P412" i="2"/>
  <c r="W412" i="2"/>
  <c r="J412" i="2"/>
  <c r="K412" i="2" s="1"/>
  <c r="H690" i="2"/>
  <c r="AR689" i="2"/>
  <c r="AT689" i="2" s="1"/>
  <c r="B413" i="2"/>
  <c r="E413" i="2"/>
  <c r="C414" i="2"/>
  <c r="D414" i="2"/>
  <c r="AV410" i="2"/>
  <c r="R411" i="2"/>
  <c r="AU411" i="2"/>
  <c r="Q411" i="2"/>
  <c r="Q412" i="2" s="1"/>
  <c r="E670" i="26"/>
  <c r="B670" i="26"/>
  <c r="D671" i="26"/>
  <c r="C671" i="26"/>
  <c r="Y331" i="29"/>
  <c r="X330" i="29"/>
  <c r="BN330" i="5" s="1"/>
  <c r="B414" i="24" l="1"/>
  <c r="E414" i="24"/>
  <c r="C415" i="24"/>
  <c r="H415" i="24" s="1"/>
  <c r="D415" i="24"/>
  <c r="BU332" i="5"/>
  <c r="BP332" i="5"/>
  <c r="CA332" i="5" s="1"/>
  <c r="CA333" i="5"/>
  <c r="BO331" i="5"/>
  <c r="AB331" i="29"/>
  <c r="BZ414" i="5"/>
  <c r="AL414" i="5"/>
  <c r="CA414" i="5" s="1"/>
  <c r="AK414" i="5"/>
  <c r="AD414" i="5"/>
  <c r="B416" i="5"/>
  <c r="C417" i="5"/>
  <c r="D417" i="5"/>
  <c r="E416" i="5"/>
  <c r="AC415" i="5"/>
  <c r="AE415" i="5" s="1"/>
  <c r="AJ415" i="5"/>
  <c r="V415" i="5"/>
  <c r="X415" i="5" s="1"/>
  <c r="I415" i="5"/>
  <c r="W414" i="5"/>
  <c r="W415" i="5" s="1"/>
  <c r="E414" i="25"/>
  <c r="C415" i="25"/>
  <c r="H415" i="25" s="1"/>
  <c r="B414" i="25"/>
  <c r="D415" i="25"/>
  <c r="AV411" i="2"/>
  <c r="P413" i="2"/>
  <c r="R413" i="2" s="1"/>
  <c r="AD413" i="2"/>
  <c r="AF413" i="2" s="1"/>
  <c r="W413" i="2"/>
  <c r="J413" i="2"/>
  <c r="AU413" i="2" s="1"/>
  <c r="B414" i="2"/>
  <c r="D415" i="2"/>
  <c r="C415" i="2"/>
  <c r="E414" i="2"/>
  <c r="H691" i="2"/>
  <c r="AR690" i="2"/>
  <c r="AT690" i="2" s="1"/>
  <c r="K413" i="2"/>
  <c r="Q413" i="2"/>
  <c r="Y412" i="2"/>
  <c r="R412" i="2"/>
  <c r="AU412" i="2"/>
  <c r="AE412" i="2"/>
  <c r="AE413" i="2" s="1"/>
  <c r="B671" i="26"/>
  <c r="C672" i="26"/>
  <c r="E671" i="26"/>
  <c r="D672" i="26"/>
  <c r="X329" i="29"/>
  <c r="BN329" i="5" s="1"/>
  <c r="Y330" i="29"/>
  <c r="C416" i="24" l="1"/>
  <c r="H416" i="24" s="1"/>
  <c r="B415" i="24"/>
  <c r="E415" i="24"/>
  <c r="D416" i="24"/>
  <c r="BU331" i="5"/>
  <c r="BP331" i="5"/>
  <c r="CA331" i="5" s="1"/>
  <c r="BO330" i="5"/>
  <c r="AB330" i="29"/>
  <c r="AK415" i="5"/>
  <c r="AL415" i="5"/>
  <c r="CA415" i="5" s="1"/>
  <c r="AC416" i="5"/>
  <c r="AE416" i="5" s="1"/>
  <c r="AJ416" i="5"/>
  <c r="V416" i="5"/>
  <c r="X416" i="5" s="1"/>
  <c r="I416" i="5"/>
  <c r="AD415" i="5"/>
  <c r="AD416" i="5" s="1"/>
  <c r="B417" i="5"/>
  <c r="D418" i="5"/>
  <c r="C418" i="5"/>
  <c r="E417" i="5"/>
  <c r="BZ415" i="5"/>
  <c r="J415" i="5"/>
  <c r="C416" i="25"/>
  <c r="H416" i="25" s="1"/>
  <c r="D416" i="25"/>
  <c r="E415" i="25"/>
  <c r="B415" i="25"/>
  <c r="H692" i="2"/>
  <c r="AR691" i="2"/>
  <c r="AT691" i="2" s="1"/>
  <c r="AD414" i="2"/>
  <c r="AF414" i="2" s="1"/>
  <c r="P414" i="2"/>
  <c r="R414" i="2" s="1"/>
  <c r="W414" i="2"/>
  <c r="J414" i="2"/>
  <c r="C416" i="2"/>
  <c r="D416" i="2"/>
  <c r="B415" i="2"/>
  <c r="E415" i="2"/>
  <c r="AE414" i="2"/>
  <c r="Y413" i="2"/>
  <c r="AV413" i="2" s="1"/>
  <c r="AV412" i="2"/>
  <c r="D673" i="26"/>
  <c r="B672" i="26"/>
  <c r="E672" i="26"/>
  <c r="C673" i="26"/>
  <c r="X328" i="29"/>
  <c r="BN328" i="5" s="1"/>
  <c r="Y329" i="29"/>
  <c r="BZ416" i="5" l="1"/>
  <c r="C417" i="24"/>
  <c r="H417" i="24" s="1"/>
  <c r="D417" i="24"/>
  <c r="E416" i="24"/>
  <c r="B416" i="24"/>
  <c r="BP330" i="5"/>
  <c r="BU330" i="5"/>
  <c r="BO329" i="5"/>
  <c r="AB329" i="29"/>
  <c r="AC417" i="5"/>
  <c r="AE417" i="5" s="1"/>
  <c r="V417" i="5"/>
  <c r="X417" i="5" s="1"/>
  <c r="AJ417" i="5"/>
  <c r="I417" i="5"/>
  <c r="AD417" i="5"/>
  <c r="C419" i="5"/>
  <c r="D419" i="5"/>
  <c r="B418" i="5"/>
  <c r="E418" i="5"/>
  <c r="AL416" i="5"/>
  <c r="CA416" i="5" s="1"/>
  <c r="AK416" i="5"/>
  <c r="J416" i="5"/>
  <c r="W416" i="5"/>
  <c r="E416" i="25"/>
  <c r="C417" i="25"/>
  <c r="H417" i="25" s="1"/>
  <c r="D417" i="25"/>
  <c r="B416" i="25"/>
  <c r="AD415" i="2"/>
  <c r="AF415" i="2" s="1"/>
  <c r="P415" i="2"/>
  <c r="W415" i="2"/>
  <c r="J415" i="2"/>
  <c r="Y414" i="2"/>
  <c r="AE415" i="2"/>
  <c r="E416" i="2"/>
  <c r="D417" i="2"/>
  <c r="B416" i="2"/>
  <c r="C417" i="2"/>
  <c r="AU414" i="2"/>
  <c r="AV414" i="2"/>
  <c r="H693" i="2"/>
  <c r="AR692" i="2"/>
  <c r="AT692" i="2" s="1"/>
  <c r="K414" i="2"/>
  <c r="K415" i="2" s="1"/>
  <c r="Q414" i="2"/>
  <c r="Q415" i="2" s="1"/>
  <c r="D674" i="26"/>
  <c r="C674" i="26"/>
  <c r="B673" i="26"/>
  <c r="E673" i="26"/>
  <c r="Y328" i="29"/>
  <c r="X327" i="29"/>
  <c r="BN327" i="5" s="1"/>
  <c r="J417" i="5" l="1"/>
  <c r="D418" i="24"/>
  <c r="B417" i="24"/>
  <c r="E417" i="24"/>
  <c r="C418" i="24"/>
  <c r="H418" i="24" s="1"/>
  <c r="BO328" i="5"/>
  <c r="AB328" i="29"/>
  <c r="CA330" i="5"/>
  <c r="BP329" i="5"/>
  <c r="BU329" i="5"/>
  <c r="BZ417" i="5"/>
  <c r="AC418" i="5"/>
  <c r="AE418" i="5" s="1"/>
  <c r="V418" i="5"/>
  <c r="X418" i="5" s="1"/>
  <c r="AJ418" i="5"/>
  <c r="I418" i="5"/>
  <c r="AD418" i="5"/>
  <c r="J418" i="5"/>
  <c r="E419" i="5"/>
  <c r="B419" i="5"/>
  <c r="C420" i="5"/>
  <c r="D420" i="5"/>
  <c r="AL417" i="5"/>
  <c r="CA417" i="5" s="1"/>
  <c r="AK417" i="5"/>
  <c r="W417" i="5"/>
  <c r="B417" i="25"/>
  <c r="C418" i="25"/>
  <c r="H418" i="25" s="1"/>
  <c r="D418" i="25"/>
  <c r="E417" i="25"/>
  <c r="H694" i="2"/>
  <c r="AR693" i="2"/>
  <c r="AT693" i="2" s="1"/>
  <c r="E417" i="2"/>
  <c r="B417" i="2"/>
  <c r="D418" i="2"/>
  <c r="C418" i="2"/>
  <c r="AD416" i="2"/>
  <c r="AF416" i="2" s="1"/>
  <c r="P416" i="2"/>
  <c r="R416" i="2" s="1"/>
  <c r="W416" i="2"/>
  <c r="J416" i="2"/>
  <c r="AE416" i="2"/>
  <c r="Y415" i="2"/>
  <c r="AU415" i="2"/>
  <c r="R415" i="2"/>
  <c r="D675" i="26"/>
  <c r="B674" i="26"/>
  <c r="E674" i="26"/>
  <c r="C675" i="26"/>
  <c r="Y327" i="29"/>
  <c r="X326" i="29"/>
  <c r="BN326" i="5" s="1"/>
  <c r="BZ418" i="5" l="1"/>
  <c r="C419" i="24"/>
  <c r="H419" i="24" s="1"/>
  <c r="D419" i="24"/>
  <c r="E418" i="24"/>
  <c r="B418" i="24"/>
  <c r="CA329" i="5"/>
  <c r="BP328" i="5"/>
  <c r="BU328" i="5"/>
  <c r="BO327" i="5"/>
  <c r="AB327" i="29"/>
  <c r="W418" i="5"/>
  <c r="C421" i="5"/>
  <c r="E420" i="5"/>
  <c r="D421" i="5"/>
  <c r="B420" i="5"/>
  <c r="AC419" i="5"/>
  <c r="AE419" i="5" s="1"/>
  <c r="V419" i="5"/>
  <c r="X419" i="5" s="1"/>
  <c r="AJ419" i="5"/>
  <c r="I419" i="5"/>
  <c r="BZ419" i="5" s="1"/>
  <c r="AD419" i="5"/>
  <c r="AL418" i="5"/>
  <c r="CA418" i="5" s="1"/>
  <c r="AK418" i="5"/>
  <c r="C419" i="25"/>
  <c r="H419" i="25" s="1"/>
  <c r="E418" i="25"/>
  <c r="D419" i="25"/>
  <c r="B418" i="25"/>
  <c r="AV415" i="2"/>
  <c r="Y416" i="2"/>
  <c r="AV416" i="2"/>
  <c r="B418" i="2"/>
  <c r="E418" i="2"/>
  <c r="C419" i="2"/>
  <c r="D419" i="2"/>
  <c r="Q416" i="2"/>
  <c r="AU416" i="2"/>
  <c r="P417" i="2"/>
  <c r="R417" i="2" s="1"/>
  <c r="AD417" i="2"/>
  <c r="AF417" i="2" s="1"/>
  <c r="W417" i="2"/>
  <c r="J417" i="2"/>
  <c r="AU417" i="2" s="1"/>
  <c r="K416" i="2"/>
  <c r="H695" i="2"/>
  <c r="AR694" i="2"/>
  <c r="AT694" i="2" s="1"/>
  <c r="B675" i="26"/>
  <c r="C676" i="26"/>
  <c r="E675" i="26"/>
  <c r="D676" i="26"/>
  <c r="X325" i="29"/>
  <c r="BN325" i="5" s="1"/>
  <c r="Y326" i="29"/>
  <c r="B419" i="24" l="1"/>
  <c r="E419" i="24"/>
  <c r="D420" i="24"/>
  <c r="C420" i="24"/>
  <c r="H420" i="24" s="1"/>
  <c r="BU327" i="5"/>
  <c r="BP327" i="5"/>
  <c r="CA327" i="5" s="1"/>
  <c r="CA328" i="5"/>
  <c r="BO326" i="5"/>
  <c r="AB326" i="29"/>
  <c r="W419" i="5"/>
  <c r="AL419" i="5"/>
  <c r="CA419" i="5" s="1"/>
  <c r="AK419" i="5"/>
  <c r="C422" i="5"/>
  <c r="E421" i="5"/>
  <c r="D422" i="5"/>
  <c r="B421" i="5"/>
  <c r="AC420" i="5"/>
  <c r="AE420" i="5" s="1"/>
  <c r="AJ420" i="5"/>
  <c r="V420" i="5"/>
  <c r="X420" i="5" s="1"/>
  <c r="I420" i="5"/>
  <c r="J419" i="5"/>
  <c r="C420" i="25"/>
  <c r="H420" i="25" s="1"/>
  <c r="D420" i="25"/>
  <c r="E419" i="25"/>
  <c r="B419" i="25"/>
  <c r="Q417" i="2"/>
  <c r="AE417" i="2"/>
  <c r="Y417" i="2"/>
  <c r="AV417" i="2" s="1"/>
  <c r="D420" i="2"/>
  <c r="C420" i="2"/>
  <c r="E419" i="2"/>
  <c r="B419" i="2"/>
  <c r="AD418" i="2"/>
  <c r="AF418" i="2" s="1"/>
  <c r="P418" i="2"/>
  <c r="R418" i="2" s="1"/>
  <c r="W418" i="2"/>
  <c r="J418" i="2"/>
  <c r="AU418" i="2" s="1"/>
  <c r="H696" i="2"/>
  <c r="AR695" i="2"/>
  <c r="AT695" i="2" s="1"/>
  <c r="K417" i="2"/>
  <c r="B676" i="26"/>
  <c r="C677" i="26"/>
  <c r="E676" i="26"/>
  <c r="D677" i="26"/>
  <c r="X324" i="29"/>
  <c r="BN324" i="5" s="1"/>
  <c r="Y325" i="29"/>
  <c r="E420" i="24" l="1"/>
  <c r="B420" i="24"/>
  <c r="C421" i="24"/>
  <c r="H421" i="24" s="1"/>
  <c r="D421" i="24"/>
  <c r="BO325" i="5"/>
  <c r="AB325" i="29"/>
  <c r="BU326" i="5"/>
  <c r="BP326" i="5"/>
  <c r="CA326" i="5" s="1"/>
  <c r="J420" i="5"/>
  <c r="BZ420" i="5"/>
  <c r="AL420" i="5"/>
  <c r="CA420" i="5" s="1"/>
  <c r="AK420" i="5"/>
  <c r="E422" i="5"/>
  <c r="D423" i="5"/>
  <c r="C423" i="5"/>
  <c r="B422" i="5"/>
  <c r="W420" i="5"/>
  <c r="AC421" i="5"/>
  <c r="AE421" i="5" s="1"/>
  <c r="V421" i="5"/>
  <c r="X421" i="5" s="1"/>
  <c r="AJ421" i="5"/>
  <c r="I421" i="5"/>
  <c r="BZ421" i="5" s="1"/>
  <c r="AD420" i="5"/>
  <c r="C421" i="25"/>
  <c r="H421" i="25" s="1"/>
  <c r="D421" i="25"/>
  <c r="E420" i="25"/>
  <c r="B420" i="25"/>
  <c r="H697" i="2"/>
  <c r="AR696" i="2"/>
  <c r="AT696" i="2" s="1"/>
  <c r="Y418" i="2"/>
  <c r="AV418" i="2" s="1"/>
  <c r="AD419" i="2"/>
  <c r="AF419" i="2" s="1"/>
  <c r="P419" i="2"/>
  <c r="W419" i="2"/>
  <c r="J419" i="2"/>
  <c r="E420" i="2"/>
  <c r="B420" i="2"/>
  <c r="C421" i="2"/>
  <c r="D421" i="2"/>
  <c r="K418" i="2"/>
  <c r="AE418" i="2"/>
  <c r="Q418" i="2"/>
  <c r="E677" i="26"/>
  <c r="C678" i="26"/>
  <c r="D678" i="26"/>
  <c r="B677" i="26"/>
  <c r="Y324" i="29"/>
  <c r="X323" i="29"/>
  <c r="BN323" i="5" s="1"/>
  <c r="D422" i="24" l="1"/>
  <c r="C422" i="24"/>
  <c r="H422" i="24" s="1"/>
  <c r="B421" i="24"/>
  <c r="E421" i="24"/>
  <c r="BU325" i="5"/>
  <c r="BP325" i="5"/>
  <c r="CA325" i="5" s="1"/>
  <c r="BO324" i="5"/>
  <c r="AB324" i="29"/>
  <c r="W421" i="5"/>
  <c r="AK421" i="5"/>
  <c r="AL421" i="5"/>
  <c r="CA421" i="5" s="1"/>
  <c r="J421" i="5"/>
  <c r="D424" i="5"/>
  <c r="C424" i="5"/>
  <c r="E423" i="5"/>
  <c r="B423" i="5"/>
  <c r="AC422" i="5"/>
  <c r="AE422" i="5" s="1"/>
  <c r="AJ422" i="5"/>
  <c r="V422" i="5"/>
  <c r="X422" i="5" s="1"/>
  <c r="I422" i="5"/>
  <c r="BZ422" i="5" s="1"/>
  <c r="AD421" i="5"/>
  <c r="D422" i="25"/>
  <c r="E421" i="25"/>
  <c r="B421" i="25"/>
  <c r="C422" i="25"/>
  <c r="H422" i="25" s="1"/>
  <c r="AU419" i="2"/>
  <c r="R419" i="2"/>
  <c r="Y419" i="2"/>
  <c r="AD420" i="2"/>
  <c r="AF420" i="2" s="1"/>
  <c r="P420" i="2"/>
  <c r="R420" i="2" s="1"/>
  <c r="W420" i="2"/>
  <c r="J420" i="2"/>
  <c r="AU420" i="2" s="1"/>
  <c r="Q419" i="2"/>
  <c r="Q420" i="2" s="1"/>
  <c r="AE419" i="2"/>
  <c r="AE420" i="2" s="1"/>
  <c r="H698" i="2"/>
  <c r="AR697" i="2"/>
  <c r="AT697" i="2" s="1"/>
  <c r="K419" i="2"/>
  <c r="D422" i="2"/>
  <c r="C422" i="2"/>
  <c r="B421" i="2"/>
  <c r="E421" i="2"/>
  <c r="C679" i="26"/>
  <c r="E678" i="26"/>
  <c r="D679" i="26"/>
  <c r="B678" i="26"/>
  <c r="Y323" i="29"/>
  <c r="X322" i="29"/>
  <c r="BN322" i="5" s="1"/>
  <c r="C423" i="24" l="1"/>
  <c r="H423" i="24" s="1"/>
  <c r="D423" i="24"/>
  <c r="E422" i="24"/>
  <c r="B422" i="24"/>
  <c r="BO323" i="5"/>
  <c r="AB323" i="29"/>
  <c r="BU324" i="5"/>
  <c r="BP324" i="5"/>
  <c r="CA324" i="5" s="1"/>
  <c r="AK422" i="5"/>
  <c r="AL422" i="5"/>
  <c r="C425" i="5"/>
  <c r="B424" i="5"/>
  <c r="D425" i="5"/>
  <c r="E424" i="5"/>
  <c r="CA422" i="5"/>
  <c r="AC423" i="5"/>
  <c r="AE423" i="5" s="1"/>
  <c r="V423" i="5"/>
  <c r="X423" i="5" s="1"/>
  <c r="AJ423" i="5"/>
  <c r="I423" i="5"/>
  <c r="BZ423" i="5" s="1"/>
  <c r="J422" i="5"/>
  <c r="J423" i="5" s="1"/>
  <c r="AD422" i="5"/>
  <c r="W422" i="5"/>
  <c r="B422" i="25"/>
  <c r="E422" i="25"/>
  <c r="D423" i="25"/>
  <c r="C423" i="25"/>
  <c r="H423" i="25" s="1"/>
  <c r="AD421" i="2"/>
  <c r="AF421" i="2" s="1"/>
  <c r="P421" i="2"/>
  <c r="R421" i="2" s="1"/>
  <c r="W421" i="2"/>
  <c r="J421" i="2"/>
  <c r="AE421" i="2"/>
  <c r="Y420" i="2"/>
  <c r="AV420" i="2" s="1"/>
  <c r="B422" i="2"/>
  <c r="E422" i="2"/>
  <c r="D423" i="2"/>
  <c r="C423" i="2"/>
  <c r="H699" i="2"/>
  <c r="AR698" i="2"/>
  <c r="AT698" i="2" s="1"/>
  <c r="AV419" i="2"/>
  <c r="K420" i="2"/>
  <c r="B679" i="26"/>
  <c r="D680" i="26"/>
  <c r="E679" i="26"/>
  <c r="C680" i="26"/>
  <c r="X321" i="29"/>
  <c r="BN321" i="5" s="1"/>
  <c r="Y322" i="29"/>
  <c r="E423" i="24" l="1"/>
  <c r="C424" i="24"/>
  <c r="H424" i="24" s="1"/>
  <c r="D424" i="24"/>
  <c r="B423" i="24"/>
  <c r="BO322" i="5"/>
  <c r="AB322" i="29"/>
  <c r="BU323" i="5"/>
  <c r="BP323" i="5"/>
  <c r="CA323" i="5" s="1"/>
  <c r="AC424" i="5"/>
  <c r="AE424" i="5" s="1"/>
  <c r="AJ424" i="5"/>
  <c r="V424" i="5"/>
  <c r="X424" i="5" s="1"/>
  <c r="I424" i="5"/>
  <c r="J424" i="5" s="1"/>
  <c r="AL423" i="5"/>
  <c r="CA423" i="5" s="1"/>
  <c r="AK423" i="5"/>
  <c r="C426" i="5"/>
  <c r="B425" i="5"/>
  <c r="D426" i="5"/>
  <c r="E425" i="5"/>
  <c r="W423" i="5"/>
  <c r="AD423" i="5"/>
  <c r="B423" i="25"/>
  <c r="E423" i="25"/>
  <c r="C424" i="25"/>
  <c r="H424" i="25" s="1"/>
  <c r="D424" i="25"/>
  <c r="H700" i="2"/>
  <c r="AR699" i="2"/>
  <c r="AT699" i="2" s="1"/>
  <c r="D424" i="2"/>
  <c r="E423" i="2"/>
  <c r="B423" i="2"/>
  <c r="C424" i="2"/>
  <c r="AD422" i="2"/>
  <c r="AF422" i="2" s="1"/>
  <c r="P422" i="2"/>
  <c r="W422" i="2"/>
  <c r="J422" i="2"/>
  <c r="AE422" i="2"/>
  <c r="AU421" i="2"/>
  <c r="Y421" i="2"/>
  <c r="AV421" i="2" s="1"/>
  <c r="K421" i="2"/>
  <c r="Q421" i="2"/>
  <c r="C681" i="26"/>
  <c r="E680" i="26"/>
  <c r="B680" i="26"/>
  <c r="D681" i="26"/>
  <c r="X320" i="29"/>
  <c r="BN320" i="5" s="1"/>
  <c r="Y321" i="29"/>
  <c r="K422" i="2" l="1"/>
  <c r="E424" i="24"/>
  <c r="C425" i="24"/>
  <c r="H425" i="24" s="1"/>
  <c r="D425" i="24"/>
  <c r="B424" i="24"/>
  <c r="BP322" i="5"/>
  <c r="BU322" i="5"/>
  <c r="BO321" i="5"/>
  <c r="AB321" i="29"/>
  <c r="BZ424" i="5"/>
  <c r="B426" i="5"/>
  <c r="C427" i="5"/>
  <c r="D427" i="5"/>
  <c r="E426" i="5"/>
  <c r="AC425" i="5"/>
  <c r="AE425" i="5" s="1"/>
  <c r="AJ425" i="5"/>
  <c r="V425" i="5"/>
  <c r="X425" i="5" s="1"/>
  <c r="I425" i="5"/>
  <c r="AK424" i="5"/>
  <c r="AL424" i="5"/>
  <c r="CA424" i="5" s="1"/>
  <c r="AD424" i="5"/>
  <c r="AD425" i="5" s="1"/>
  <c r="W424" i="5"/>
  <c r="E424" i="25"/>
  <c r="B424" i="25"/>
  <c r="D425" i="25"/>
  <c r="C425" i="25"/>
  <c r="H425" i="25" s="1"/>
  <c r="Y422" i="2"/>
  <c r="R422" i="2"/>
  <c r="AU422" i="2"/>
  <c r="P423" i="2"/>
  <c r="AD423" i="2"/>
  <c r="AF423" i="2" s="1"/>
  <c r="W423" i="2"/>
  <c r="J423" i="2"/>
  <c r="K423" i="2" s="1"/>
  <c r="E424" i="2"/>
  <c r="B424" i="2"/>
  <c r="D425" i="2"/>
  <c r="C425" i="2"/>
  <c r="Q422" i="2"/>
  <c r="Q423" i="2" s="1"/>
  <c r="H701" i="2"/>
  <c r="AR700" i="2"/>
  <c r="AT700" i="2" s="1"/>
  <c r="D682" i="26"/>
  <c r="E681" i="26"/>
  <c r="C682" i="26"/>
  <c r="B681" i="26"/>
  <c r="Y320" i="29"/>
  <c r="X319" i="29"/>
  <c r="BN319" i="5" s="1"/>
  <c r="E425" i="24" l="1"/>
  <c r="B425" i="24"/>
  <c r="D426" i="24"/>
  <c r="C426" i="24"/>
  <c r="H426" i="24" s="1"/>
  <c r="BP321" i="5"/>
  <c r="BU321" i="5"/>
  <c r="BO320" i="5"/>
  <c r="AB320" i="29"/>
  <c r="CA322" i="5"/>
  <c r="J425" i="5"/>
  <c r="BZ425" i="5"/>
  <c r="AK425" i="5"/>
  <c r="AL425" i="5"/>
  <c r="CA425" i="5" s="1"/>
  <c r="AC426" i="5"/>
  <c r="AE426" i="5" s="1"/>
  <c r="V426" i="5"/>
  <c r="X426" i="5" s="1"/>
  <c r="AJ426" i="5"/>
  <c r="I426" i="5"/>
  <c r="B427" i="5"/>
  <c r="E427" i="5"/>
  <c r="C428" i="5"/>
  <c r="D428" i="5"/>
  <c r="W425" i="5"/>
  <c r="E425" i="25"/>
  <c r="B425" i="25"/>
  <c r="D426" i="25"/>
  <c r="C426" i="25"/>
  <c r="H426" i="25" s="1"/>
  <c r="D426" i="2"/>
  <c r="B425" i="2"/>
  <c r="C426" i="2"/>
  <c r="E425" i="2"/>
  <c r="Q424" i="2"/>
  <c r="P424" i="2"/>
  <c r="AD424" i="2"/>
  <c r="AF424" i="2" s="1"/>
  <c r="W424" i="2"/>
  <c r="J424" i="2"/>
  <c r="K424" i="2" s="1"/>
  <c r="Y423" i="2"/>
  <c r="R423" i="2"/>
  <c r="AU423" i="2"/>
  <c r="AV422" i="2"/>
  <c r="H702" i="2"/>
  <c r="AR701" i="2"/>
  <c r="AT701" i="2" s="1"/>
  <c r="AE423" i="2"/>
  <c r="D683" i="26"/>
  <c r="E682" i="26"/>
  <c r="C683" i="26"/>
  <c r="B682" i="26"/>
  <c r="Y319" i="29"/>
  <c r="X318" i="29"/>
  <c r="BN318" i="5" s="1"/>
  <c r="BZ426" i="5" l="1"/>
  <c r="D427" i="24"/>
  <c r="E426" i="24"/>
  <c r="C427" i="24"/>
  <c r="H427" i="24" s="1"/>
  <c r="B426" i="24"/>
  <c r="BP320" i="5"/>
  <c r="BU320" i="5"/>
  <c r="BO319" i="5"/>
  <c r="AB319" i="29"/>
  <c r="CA321" i="5"/>
  <c r="AC427" i="5"/>
  <c r="AE427" i="5" s="1"/>
  <c r="AJ427" i="5"/>
  <c r="V427" i="5"/>
  <c r="X427" i="5" s="1"/>
  <c r="I427" i="5"/>
  <c r="AL426" i="5"/>
  <c r="CA426" i="5" s="1"/>
  <c r="AK426" i="5"/>
  <c r="J426" i="5"/>
  <c r="C429" i="5"/>
  <c r="B428" i="5"/>
  <c r="E428" i="5"/>
  <c r="D429" i="5"/>
  <c r="W426" i="5"/>
  <c r="W427" i="5" s="1"/>
  <c r="AD426" i="5"/>
  <c r="B426" i="25"/>
  <c r="E426" i="25"/>
  <c r="D427" i="25"/>
  <c r="C427" i="25"/>
  <c r="H427" i="25" s="1"/>
  <c r="AV423" i="2"/>
  <c r="H703" i="2"/>
  <c r="AR702" i="2"/>
  <c r="AT702" i="2" s="1"/>
  <c r="Y424" i="2"/>
  <c r="R424" i="2"/>
  <c r="AU424" i="2"/>
  <c r="AE424" i="2"/>
  <c r="AD425" i="2"/>
  <c r="AF425" i="2" s="1"/>
  <c r="P425" i="2"/>
  <c r="W425" i="2"/>
  <c r="J425" i="2"/>
  <c r="K425" i="2" s="1"/>
  <c r="C427" i="2"/>
  <c r="B426" i="2"/>
  <c r="E426" i="2"/>
  <c r="D427" i="2"/>
  <c r="E683" i="26"/>
  <c r="D684" i="26"/>
  <c r="B683" i="26"/>
  <c r="C684" i="26"/>
  <c r="X317" i="29"/>
  <c r="BN317" i="5" s="1"/>
  <c r="Y318" i="29"/>
  <c r="J427" i="5" l="1"/>
  <c r="B427" i="24"/>
  <c r="E427" i="24"/>
  <c r="C428" i="24"/>
  <c r="H428" i="24" s="1"/>
  <c r="D428" i="24"/>
  <c r="BO318" i="5"/>
  <c r="AB318" i="29"/>
  <c r="CA320" i="5"/>
  <c r="BU319" i="5"/>
  <c r="BP319" i="5"/>
  <c r="CA319" i="5" s="1"/>
  <c r="BZ427" i="5"/>
  <c r="AC428" i="5"/>
  <c r="AE428" i="5" s="1"/>
  <c r="V428" i="5"/>
  <c r="X428" i="5" s="1"/>
  <c r="AJ428" i="5"/>
  <c r="I428" i="5"/>
  <c r="W428" i="5"/>
  <c r="J428" i="5"/>
  <c r="AL427" i="5"/>
  <c r="CA427" i="5" s="1"/>
  <c r="AK427" i="5"/>
  <c r="C430" i="5"/>
  <c r="E429" i="5"/>
  <c r="B429" i="5"/>
  <c r="D430" i="5"/>
  <c r="AD427" i="5"/>
  <c r="E427" i="25"/>
  <c r="C428" i="25"/>
  <c r="H428" i="25" s="1"/>
  <c r="B427" i="25"/>
  <c r="D428" i="25"/>
  <c r="AV424" i="2"/>
  <c r="R425" i="2"/>
  <c r="AU425" i="2"/>
  <c r="P426" i="2"/>
  <c r="R426" i="2" s="1"/>
  <c r="AD426" i="2"/>
  <c r="AF426" i="2" s="1"/>
  <c r="W426" i="2"/>
  <c r="J426" i="2"/>
  <c r="AU426" i="2" s="1"/>
  <c r="Y425" i="2"/>
  <c r="AE425" i="2"/>
  <c r="AE426" i="2" s="1"/>
  <c r="B427" i="2"/>
  <c r="E427" i="2"/>
  <c r="C428" i="2"/>
  <c r="D428" i="2"/>
  <c r="H704" i="2"/>
  <c r="AR703" i="2"/>
  <c r="AT703" i="2" s="1"/>
  <c r="Q425" i="2"/>
  <c r="Q426" i="2" s="1"/>
  <c r="B684" i="26"/>
  <c r="E684" i="26"/>
  <c r="D685" i="26"/>
  <c r="C685" i="26"/>
  <c r="Y317" i="29"/>
  <c r="X316" i="29"/>
  <c r="AH339" i="29"/>
  <c r="AE339" i="29" s="1"/>
  <c r="B428" i="24" l="1"/>
  <c r="C429" i="24"/>
  <c r="H429" i="24" s="1"/>
  <c r="E428" i="24"/>
  <c r="D429" i="24"/>
  <c r="BS339" i="5"/>
  <c r="BY339" i="5" s="1"/>
  <c r="BO317" i="5"/>
  <c r="AB317" i="29"/>
  <c r="BP318" i="5"/>
  <c r="BU318" i="5"/>
  <c r="Y316" i="29"/>
  <c r="BN316" i="5"/>
  <c r="E430" i="5"/>
  <c r="D431" i="5"/>
  <c r="B430" i="5"/>
  <c r="C431" i="5"/>
  <c r="AC429" i="5"/>
  <c r="AE429" i="5" s="1"/>
  <c r="V429" i="5"/>
  <c r="X429" i="5" s="1"/>
  <c r="AJ429" i="5"/>
  <c r="I429" i="5"/>
  <c r="BZ429" i="5" s="1"/>
  <c r="BZ428" i="5"/>
  <c r="AL428" i="5"/>
  <c r="CA428" i="5" s="1"/>
  <c r="AK428" i="5"/>
  <c r="AD428" i="5"/>
  <c r="E428" i="25"/>
  <c r="D429" i="25"/>
  <c r="B428" i="25"/>
  <c r="C429" i="25"/>
  <c r="H429" i="25" s="1"/>
  <c r="D429" i="2"/>
  <c r="E428" i="2"/>
  <c r="B428" i="2"/>
  <c r="C429" i="2"/>
  <c r="AD427" i="2"/>
  <c r="AF427" i="2" s="1"/>
  <c r="P427" i="2"/>
  <c r="W427" i="2"/>
  <c r="J427" i="2"/>
  <c r="AE427" i="2"/>
  <c r="K426" i="2"/>
  <c r="Q427" i="2"/>
  <c r="Y426" i="2"/>
  <c r="AV426" i="2" s="1"/>
  <c r="H705" i="2"/>
  <c r="AR704" i="2"/>
  <c r="AT704" i="2" s="1"/>
  <c r="AV425" i="2"/>
  <c r="C686" i="26"/>
  <c r="B685" i="26"/>
  <c r="D686" i="26"/>
  <c r="E685" i="26"/>
  <c r="AF339" i="29"/>
  <c r="AE338" i="29"/>
  <c r="BS338" i="5" s="1"/>
  <c r="BY338" i="5" s="1"/>
  <c r="C430" i="24" l="1"/>
  <c r="H430" i="24" s="1"/>
  <c r="D430" i="24"/>
  <c r="B429" i="24"/>
  <c r="E429" i="24"/>
  <c r="BT339" i="5"/>
  <c r="BZ339" i="5" s="1"/>
  <c r="AI339" i="29"/>
  <c r="BP317" i="5"/>
  <c r="BU317" i="5"/>
  <c r="BO316" i="5"/>
  <c r="AB316" i="29"/>
  <c r="CA318" i="5"/>
  <c r="AL429" i="5"/>
  <c r="CA429" i="5" s="1"/>
  <c r="AK429" i="5"/>
  <c r="J429" i="5"/>
  <c r="W429" i="5"/>
  <c r="E431" i="5"/>
  <c r="B431" i="5"/>
  <c r="C432" i="5"/>
  <c r="D432" i="5"/>
  <c r="AD429" i="5"/>
  <c r="AC430" i="5"/>
  <c r="AE430" i="5" s="1"/>
  <c r="V430" i="5"/>
  <c r="X430" i="5" s="1"/>
  <c r="AJ430" i="5"/>
  <c r="I430" i="5"/>
  <c r="C430" i="25"/>
  <c r="H430" i="25" s="1"/>
  <c r="B429" i="25"/>
  <c r="E429" i="25"/>
  <c r="D430" i="25"/>
  <c r="R427" i="2"/>
  <c r="AU427" i="2"/>
  <c r="H706" i="2"/>
  <c r="AR705" i="2"/>
  <c r="AT705" i="2" s="1"/>
  <c r="K427" i="2"/>
  <c r="Y427" i="2"/>
  <c r="AV427" i="2" s="1"/>
  <c r="P428" i="2"/>
  <c r="R428" i="2" s="1"/>
  <c r="AD428" i="2"/>
  <c r="AF428" i="2" s="1"/>
  <c r="W428" i="2"/>
  <c r="J428" i="2"/>
  <c r="D430" i="2"/>
  <c r="C430" i="2"/>
  <c r="B429" i="2"/>
  <c r="E429" i="2"/>
  <c r="C687" i="26"/>
  <c r="B686" i="26"/>
  <c r="E686" i="26"/>
  <c r="D687" i="26"/>
  <c r="AE337" i="29"/>
  <c r="BS337" i="5" s="1"/>
  <c r="BY337" i="5" s="1"/>
  <c r="AF338" i="29"/>
  <c r="B430" i="24" l="1"/>
  <c r="C431" i="24"/>
  <c r="H431" i="24" s="1"/>
  <c r="E430" i="24"/>
  <c r="D431" i="24"/>
  <c r="BT338" i="5"/>
  <c r="BZ338" i="5" s="1"/>
  <c r="AI338" i="29"/>
  <c r="BP316" i="5"/>
  <c r="BU316" i="5"/>
  <c r="CA317" i="5"/>
  <c r="J430" i="5"/>
  <c r="AL430" i="5"/>
  <c r="CA430" i="5" s="1"/>
  <c r="AK430" i="5"/>
  <c r="W430" i="5"/>
  <c r="AD430" i="5"/>
  <c r="D433" i="5"/>
  <c r="C433" i="5"/>
  <c r="E432" i="5"/>
  <c r="B432" i="5"/>
  <c r="AC431" i="5"/>
  <c r="AE431" i="5" s="1"/>
  <c r="AJ431" i="5"/>
  <c r="V431" i="5"/>
  <c r="X431" i="5" s="1"/>
  <c r="I431" i="5"/>
  <c r="BZ431" i="5" s="1"/>
  <c r="BZ430" i="5"/>
  <c r="D431" i="25"/>
  <c r="E430" i="25"/>
  <c r="C431" i="25"/>
  <c r="H431" i="25" s="1"/>
  <c r="B430" i="25"/>
  <c r="K428" i="2"/>
  <c r="AD429" i="2"/>
  <c r="AF429" i="2" s="1"/>
  <c r="P429" i="2"/>
  <c r="W429" i="2"/>
  <c r="J429" i="2"/>
  <c r="AU428" i="2"/>
  <c r="Y428" i="2"/>
  <c r="AV428" i="2" s="1"/>
  <c r="AE428" i="2"/>
  <c r="AE429" i="2" s="1"/>
  <c r="H707" i="2"/>
  <c r="J21" i="19" s="1"/>
  <c r="J117" i="19" s="1"/>
  <c r="F15" i="32" s="1"/>
  <c r="AR706" i="2"/>
  <c r="AT706" i="2" s="1"/>
  <c r="D431" i="2"/>
  <c r="B430" i="2"/>
  <c r="C431" i="2"/>
  <c r="E430" i="2"/>
  <c r="Q428" i="2"/>
  <c r="C688" i="26"/>
  <c r="B687" i="26"/>
  <c r="D688" i="26"/>
  <c r="E687" i="26"/>
  <c r="AE336" i="29"/>
  <c r="BS336" i="5" s="1"/>
  <c r="BY336" i="5" s="1"/>
  <c r="AF337" i="29"/>
  <c r="C432" i="24" l="1"/>
  <c r="H432" i="24" s="1"/>
  <c r="B431" i="24"/>
  <c r="D432" i="24"/>
  <c r="E431" i="24"/>
  <c r="CA316" i="5"/>
  <c r="BT337" i="5"/>
  <c r="BZ337" i="5" s="1"/>
  <c r="AI337" i="29"/>
  <c r="AL431" i="5"/>
  <c r="CA431" i="5" s="1"/>
  <c r="AK431" i="5"/>
  <c r="C434" i="5"/>
  <c r="E433" i="5"/>
  <c r="D434" i="5"/>
  <c r="B433" i="5"/>
  <c r="AC432" i="5"/>
  <c r="AE432" i="5" s="1"/>
  <c r="V432" i="5"/>
  <c r="X432" i="5" s="1"/>
  <c r="AJ432" i="5"/>
  <c r="I432" i="5"/>
  <c r="AD431" i="5"/>
  <c r="AD432" i="5" s="1"/>
  <c r="W431" i="5"/>
  <c r="W432" i="5" s="1"/>
  <c r="J431" i="5"/>
  <c r="B431" i="25"/>
  <c r="C432" i="25"/>
  <c r="H432" i="25" s="1"/>
  <c r="D432" i="25"/>
  <c r="E431" i="25"/>
  <c r="C432" i="2"/>
  <c r="B431" i="2"/>
  <c r="E431" i="2"/>
  <c r="D432" i="2"/>
  <c r="H708" i="2"/>
  <c r="AR707" i="2"/>
  <c r="AT707" i="2" s="1"/>
  <c r="AE430" i="2"/>
  <c r="Y429" i="2"/>
  <c r="Q429" i="2"/>
  <c r="AU429" i="2"/>
  <c r="R429" i="2"/>
  <c r="AV429" i="2" s="1"/>
  <c r="P430" i="2"/>
  <c r="R430" i="2" s="1"/>
  <c r="AD430" i="2"/>
  <c r="AF430" i="2" s="1"/>
  <c r="W430" i="2"/>
  <c r="J430" i="2"/>
  <c r="K429" i="2"/>
  <c r="D689" i="26"/>
  <c r="C689" i="26"/>
  <c r="B688" i="26"/>
  <c r="E688" i="26"/>
  <c r="AE335" i="29"/>
  <c r="BS335" i="5" s="1"/>
  <c r="BY335" i="5" s="1"/>
  <c r="AF336" i="29"/>
  <c r="K430" i="2" l="1"/>
  <c r="J432" i="5"/>
  <c r="BZ432" i="5"/>
  <c r="B432" i="24"/>
  <c r="D433" i="24"/>
  <c r="C433" i="24"/>
  <c r="H433" i="24" s="1"/>
  <c r="E432" i="24"/>
  <c r="BT336" i="5"/>
  <c r="BZ336" i="5" s="1"/>
  <c r="AI336" i="29"/>
  <c r="AL432" i="5"/>
  <c r="CA432" i="5" s="1"/>
  <c r="AK432" i="5"/>
  <c r="B434" i="5"/>
  <c r="C435" i="5"/>
  <c r="E434" i="5"/>
  <c r="D435" i="5"/>
  <c r="AC433" i="5"/>
  <c r="AE433" i="5" s="1"/>
  <c r="V433" i="5"/>
  <c r="X433" i="5" s="1"/>
  <c r="AJ433" i="5"/>
  <c r="I433" i="5"/>
  <c r="C433" i="25"/>
  <c r="H433" i="25" s="1"/>
  <c r="B432" i="25"/>
  <c r="D433" i="25"/>
  <c r="E432" i="25"/>
  <c r="Y430" i="2"/>
  <c r="AV430" i="2"/>
  <c r="Q430" i="2"/>
  <c r="Q431" i="2" s="1"/>
  <c r="H709" i="2"/>
  <c r="AR708" i="2"/>
  <c r="AT708" i="2" s="1"/>
  <c r="B432" i="2"/>
  <c r="C433" i="2"/>
  <c r="D433" i="2"/>
  <c r="E432" i="2"/>
  <c r="AU430" i="2"/>
  <c r="AD431" i="2"/>
  <c r="AF431" i="2" s="1"/>
  <c r="P431" i="2"/>
  <c r="W431" i="2"/>
  <c r="J431" i="2"/>
  <c r="K431" i="2" s="1"/>
  <c r="C690" i="26"/>
  <c r="B689" i="26"/>
  <c r="D690" i="26"/>
  <c r="E689" i="26"/>
  <c r="AF335" i="29"/>
  <c r="AE334" i="29"/>
  <c r="BS334" i="5" s="1"/>
  <c r="BY334" i="5" s="1"/>
  <c r="B433" i="24" l="1"/>
  <c r="E433" i="24"/>
  <c r="C434" i="24"/>
  <c r="H434" i="24" s="1"/>
  <c r="D434" i="24"/>
  <c r="BT335" i="5"/>
  <c r="BZ335" i="5" s="1"/>
  <c r="AI335" i="29"/>
  <c r="BZ433" i="5"/>
  <c r="AK433" i="5"/>
  <c r="AL433" i="5"/>
  <c r="CA433" i="5" s="1"/>
  <c r="AC434" i="5"/>
  <c r="AE434" i="5" s="1"/>
  <c r="AJ434" i="5"/>
  <c r="V434" i="5"/>
  <c r="X434" i="5" s="1"/>
  <c r="I434" i="5"/>
  <c r="J433" i="5"/>
  <c r="D436" i="5"/>
  <c r="B435" i="5"/>
  <c r="C436" i="5"/>
  <c r="E435" i="5"/>
  <c r="AD433" i="5"/>
  <c r="AD434" i="5" s="1"/>
  <c r="W433" i="5"/>
  <c r="B433" i="25"/>
  <c r="C434" i="25"/>
  <c r="H434" i="25" s="1"/>
  <c r="E433" i="25"/>
  <c r="D434" i="25"/>
  <c r="P432" i="2"/>
  <c r="R432" i="2" s="1"/>
  <c r="AD432" i="2"/>
  <c r="AF432" i="2" s="1"/>
  <c r="W432" i="2"/>
  <c r="J432" i="2"/>
  <c r="E433" i="2"/>
  <c r="D434" i="2"/>
  <c r="C434" i="2"/>
  <c r="B433" i="2"/>
  <c r="H710" i="2"/>
  <c r="AR709" i="2"/>
  <c r="AT709" i="2" s="1"/>
  <c r="Q432" i="2"/>
  <c r="Y431" i="2"/>
  <c r="AV431" i="2" s="1"/>
  <c r="R431" i="2"/>
  <c r="AU431" i="2"/>
  <c r="AE431" i="2"/>
  <c r="AE432" i="2" s="1"/>
  <c r="D691" i="26"/>
  <c r="B690" i="26"/>
  <c r="C691" i="26"/>
  <c r="E690" i="26"/>
  <c r="AE333" i="29"/>
  <c r="BS333" i="5" s="1"/>
  <c r="BY333" i="5" s="1"/>
  <c r="AF334" i="29"/>
  <c r="AU432" i="2" l="1"/>
  <c r="K432" i="2"/>
  <c r="C435" i="24"/>
  <c r="H435" i="24" s="1"/>
  <c r="D435" i="24"/>
  <c r="B434" i="24"/>
  <c r="E434" i="24"/>
  <c r="BT334" i="5"/>
  <c r="BZ334" i="5" s="1"/>
  <c r="AI334" i="29"/>
  <c r="AC435" i="5"/>
  <c r="AE435" i="5" s="1"/>
  <c r="AJ435" i="5"/>
  <c r="V435" i="5"/>
  <c r="X435" i="5" s="1"/>
  <c r="I435" i="5"/>
  <c r="BZ435" i="5" s="1"/>
  <c r="B436" i="5"/>
  <c r="E436" i="5"/>
  <c r="C437" i="5"/>
  <c r="D437" i="5"/>
  <c r="J434" i="5"/>
  <c r="BZ434" i="5"/>
  <c r="AL434" i="5"/>
  <c r="CA434" i="5" s="1"/>
  <c r="AK434" i="5"/>
  <c r="W434" i="5"/>
  <c r="E434" i="25"/>
  <c r="D435" i="25"/>
  <c r="B434" i="25"/>
  <c r="C435" i="25"/>
  <c r="H435" i="25" s="1"/>
  <c r="H711" i="2"/>
  <c r="AR710" i="2"/>
  <c r="AT710" i="2" s="1"/>
  <c r="E434" i="2"/>
  <c r="C435" i="2"/>
  <c r="D435" i="2"/>
  <c r="B434" i="2"/>
  <c r="AD433" i="2"/>
  <c r="AF433" i="2" s="1"/>
  <c r="P433" i="2"/>
  <c r="R433" i="2" s="1"/>
  <c r="W433" i="2"/>
  <c r="J433" i="2"/>
  <c r="Y432" i="2"/>
  <c r="AV432" i="2"/>
  <c r="B691" i="26"/>
  <c r="D692" i="26"/>
  <c r="E691" i="26"/>
  <c r="C692" i="26"/>
  <c r="AE332" i="29"/>
  <c r="BS332" i="5" s="1"/>
  <c r="BY332" i="5" s="1"/>
  <c r="AF333" i="29"/>
  <c r="J435" i="5" l="1"/>
  <c r="D436" i="24"/>
  <c r="B435" i="24"/>
  <c r="E435" i="24"/>
  <c r="C436" i="24"/>
  <c r="H436" i="24" s="1"/>
  <c r="BT333" i="5"/>
  <c r="BZ333" i="5" s="1"/>
  <c r="AI333" i="29"/>
  <c r="AC436" i="5"/>
  <c r="AE436" i="5" s="1"/>
  <c r="V436" i="5"/>
  <c r="X436" i="5" s="1"/>
  <c r="AJ436" i="5"/>
  <c r="I436" i="5"/>
  <c r="W435" i="5"/>
  <c r="W436" i="5" s="1"/>
  <c r="C438" i="5"/>
  <c r="E437" i="5"/>
  <c r="B437" i="5"/>
  <c r="D438" i="5"/>
  <c r="AK435" i="5"/>
  <c r="AL435" i="5"/>
  <c r="CA435" i="5" s="1"/>
  <c r="AD435" i="5"/>
  <c r="C436" i="25"/>
  <c r="H436" i="25" s="1"/>
  <c r="D436" i="25"/>
  <c r="B435" i="25"/>
  <c r="E435" i="25"/>
  <c r="Y433" i="2"/>
  <c r="AV433" i="2" s="1"/>
  <c r="AU433" i="2"/>
  <c r="B435" i="2"/>
  <c r="E435" i="2"/>
  <c r="D436" i="2"/>
  <c r="C436" i="2"/>
  <c r="P434" i="2"/>
  <c r="R434" i="2" s="1"/>
  <c r="AD434" i="2"/>
  <c r="AF434" i="2" s="1"/>
  <c r="W434" i="2"/>
  <c r="J434" i="2"/>
  <c r="Q433" i="2"/>
  <c r="Q434" i="2" s="1"/>
  <c r="H712" i="2"/>
  <c r="AR711" i="2"/>
  <c r="AT711" i="2" s="1"/>
  <c r="AE433" i="2"/>
  <c r="K433" i="2"/>
  <c r="E692" i="26"/>
  <c r="C693" i="26"/>
  <c r="B692" i="26"/>
  <c r="D693" i="26"/>
  <c r="AE331" i="29"/>
  <c r="BS331" i="5" s="1"/>
  <c r="BY331" i="5" s="1"/>
  <c r="AF332" i="29"/>
  <c r="AU434" i="2" l="1"/>
  <c r="D437" i="24"/>
  <c r="C437" i="24"/>
  <c r="H437" i="24" s="1"/>
  <c r="B436" i="24"/>
  <c r="E436" i="24"/>
  <c r="BT332" i="5"/>
  <c r="BZ332" i="5" s="1"/>
  <c r="AI332" i="29"/>
  <c r="BZ436" i="5"/>
  <c r="AC437" i="5"/>
  <c r="AE437" i="5" s="1"/>
  <c r="AJ437" i="5"/>
  <c r="V437" i="5"/>
  <c r="X437" i="5" s="1"/>
  <c r="I437" i="5"/>
  <c r="E438" i="5"/>
  <c r="C439" i="5"/>
  <c r="D439" i="5"/>
  <c r="B438" i="5"/>
  <c r="W437" i="5"/>
  <c r="AK436" i="5"/>
  <c r="AL436" i="5"/>
  <c r="CA436" i="5" s="1"/>
  <c r="AD436" i="5"/>
  <c r="J436" i="5"/>
  <c r="E436" i="25"/>
  <c r="B436" i="25"/>
  <c r="D437" i="25"/>
  <c r="C437" i="25"/>
  <c r="H437" i="25" s="1"/>
  <c r="C437" i="2"/>
  <c r="E436" i="2"/>
  <c r="D437" i="2"/>
  <c r="B436" i="2"/>
  <c r="H713" i="2"/>
  <c r="AR712" i="2"/>
  <c r="AT712" i="2" s="1"/>
  <c r="Y434" i="2"/>
  <c r="AV434" i="2" s="1"/>
  <c r="P435" i="2"/>
  <c r="R435" i="2" s="1"/>
  <c r="AD435" i="2"/>
  <c r="AF435" i="2" s="1"/>
  <c r="W435" i="2"/>
  <c r="J435" i="2"/>
  <c r="K434" i="2"/>
  <c r="K435" i="2" s="1"/>
  <c r="AE434" i="2"/>
  <c r="E693" i="26"/>
  <c r="C694" i="26"/>
  <c r="D694" i="26"/>
  <c r="B693" i="26"/>
  <c r="AF331" i="29"/>
  <c r="AE330" i="29"/>
  <c r="BS330" i="5" s="1"/>
  <c r="BY330" i="5" s="1"/>
  <c r="D438" i="24" l="1"/>
  <c r="B437" i="24"/>
  <c r="E437" i="24"/>
  <c r="C438" i="24"/>
  <c r="H438" i="24" s="1"/>
  <c r="BT331" i="5"/>
  <c r="BZ331" i="5" s="1"/>
  <c r="AI331" i="29"/>
  <c r="AD437" i="5"/>
  <c r="BZ437" i="5"/>
  <c r="AC438" i="5"/>
  <c r="AE438" i="5" s="1"/>
  <c r="AJ438" i="5"/>
  <c r="V438" i="5"/>
  <c r="X438" i="5" s="1"/>
  <c r="I438" i="5"/>
  <c r="BZ438" i="5" s="1"/>
  <c r="AK437" i="5"/>
  <c r="AL437" i="5"/>
  <c r="CA437" i="5" s="1"/>
  <c r="AD438" i="5"/>
  <c r="D440" i="5"/>
  <c r="B439" i="5"/>
  <c r="C440" i="5"/>
  <c r="E439" i="5"/>
  <c r="J437" i="5"/>
  <c r="B437" i="25"/>
  <c r="C438" i="25"/>
  <c r="H438" i="25" s="1"/>
  <c r="E437" i="25"/>
  <c r="D438" i="25"/>
  <c r="Q435" i="2"/>
  <c r="H714" i="2"/>
  <c r="AR713" i="2"/>
  <c r="AT713" i="2" s="1"/>
  <c r="Y435" i="2"/>
  <c r="AV435" i="2" s="1"/>
  <c r="AE435" i="2"/>
  <c r="E437" i="2"/>
  <c r="C438" i="2"/>
  <c r="B437" i="2"/>
  <c r="D438" i="2"/>
  <c r="AD436" i="2"/>
  <c r="AF436" i="2" s="1"/>
  <c r="P436" i="2"/>
  <c r="R436" i="2" s="1"/>
  <c r="W436" i="2"/>
  <c r="J436" i="2"/>
  <c r="AU435" i="2"/>
  <c r="C695" i="26"/>
  <c r="B694" i="26"/>
  <c r="E694" i="26"/>
  <c r="D695" i="26"/>
  <c r="AE329" i="29"/>
  <c r="BS329" i="5" s="1"/>
  <c r="BY329" i="5" s="1"/>
  <c r="AF330" i="29"/>
  <c r="K436" i="2" l="1"/>
  <c r="E438" i="24"/>
  <c r="C439" i="24"/>
  <c r="H439" i="24" s="1"/>
  <c r="D439" i="24"/>
  <c r="B438" i="24"/>
  <c r="BT330" i="5"/>
  <c r="BZ330" i="5" s="1"/>
  <c r="AI330" i="29"/>
  <c r="B440" i="5"/>
  <c r="C441" i="5"/>
  <c r="D441" i="5"/>
  <c r="E440" i="5"/>
  <c r="AC439" i="5"/>
  <c r="AE439" i="5" s="1"/>
  <c r="V439" i="5"/>
  <c r="X439" i="5" s="1"/>
  <c r="AJ439" i="5"/>
  <c r="I439" i="5"/>
  <c r="AD439" i="5"/>
  <c r="AL438" i="5"/>
  <c r="CA438" i="5" s="1"/>
  <c r="AK438" i="5"/>
  <c r="J438" i="5"/>
  <c r="W438" i="5"/>
  <c r="C439" i="25"/>
  <c r="H439" i="25" s="1"/>
  <c r="B438" i="25"/>
  <c r="E438" i="25"/>
  <c r="D439" i="25"/>
  <c r="D439" i="2"/>
  <c r="C439" i="2"/>
  <c r="B438" i="2"/>
  <c r="E438" i="2"/>
  <c r="AV436" i="2"/>
  <c r="P437" i="2"/>
  <c r="R437" i="2" s="1"/>
  <c r="AD437" i="2"/>
  <c r="AF437" i="2" s="1"/>
  <c r="W437" i="2"/>
  <c r="J437" i="2"/>
  <c r="AU437" i="2" s="1"/>
  <c r="AE436" i="2"/>
  <c r="AE437" i="2" s="1"/>
  <c r="AU436" i="2"/>
  <c r="H715" i="2"/>
  <c r="AR714" i="2"/>
  <c r="AT714" i="2" s="1"/>
  <c r="Y436" i="2"/>
  <c r="Q436" i="2"/>
  <c r="C696" i="26"/>
  <c r="B695" i="26"/>
  <c r="E695" i="26"/>
  <c r="D696" i="26"/>
  <c r="AE328" i="29"/>
  <c r="BS328" i="5" s="1"/>
  <c r="BY328" i="5" s="1"/>
  <c r="AF329" i="29"/>
  <c r="J439" i="5" l="1"/>
  <c r="BZ439" i="5"/>
  <c r="C440" i="24"/>
  <c r="H440" i="24" s="1"/>
  <c r="D440" i="24"/>
  <c r="B439" i="24"/>
  <c r="E439" i="24"/>
  <c r="BT329" i="5"/>
  <c r="BZ329" i="5" s="1"/>
  <c r="AI329" i="29"/>
  <c r="AK439" i="5"/>
  <c r="AL439" i="5"/>
  <c r="CA439" i="5" s="1"/>
  <c r="D442" i="5"/>
  <c r="C442" i="5"/>
  <c r="E441" i="5"/>
  <c r="B441" i="5"/>
  <c r="AC440" i="5"/>
  <c r="AE440" i="5" s="1"/>
  <c r="V440" i="5"/>
  <c r="X440" i="5" s="1"/>
  <c r="AJ440" i="5"/>
  <c r="I440" i="5"/>
  <c r="W439" i="5"/>
  <c r="E439" i="25"/>
  <c r="C440" i="25"/>
  <c r="H440" i="25" s="1"/>
  <c r="D440" i="25"/>
  <c r="B439" i="25"/>
  <c r="Y437" i="2"/>
  <c r="Q437" i="2"/>
  <c r="H716" i="2"/>
  <c r="AR715" i="2"/>
  <c r="AT715" i="2" s="1"/>
  <c r="AV437" i="2"/>
  <c r="AD438" i="2"/>
  <c r="AF438" i="2" s="1"/>
  <c r="P438" i="2"/>
  <c r="W438" i="2"/>
  <c r="J438" i="2"/>
  <c r="E439" i="2"/>
  <c r="C440" i="2"/>
  <c r="B439" i="2"/>
  <c r="D440" i="2"/>
  <c r="K437" i="2"/>
  <c r="D697" i="26"/>
  <c r="E696" i="26"/>
  <c r="C697" i="26"/>
  <c r="B696" i="26"/>
  <c r="AE327" i="29"/>
  <c r="BS327" i="5" s="1"/>
  <c r="BY327" i="5" s="1"/>
  <c r="AF328" i="29"/>
  <c r="D441" i="24" l="1"/>
  <c r="B440" i="24"/>
  <c r="C441" i="24"/>
  <c r="H441" i="24" s="1"/>
  <c r="E440" i="24"/>
  <c r="BT328" i="5"/>
  <c r="BZ328" i="5" s="1"/>
  <c r="AI328" i="29"/>
  <c r="AK440" i="5"/>
  <c r="AL440" i="5"/>
  <c r="BZ440" i="5"/>
  <c r="AD440" i="5"/>
  <c r="CA440" i="5"/>
  <c r="AC441" i="5"/>
  <c r="AE441" i="5" s="1"/>
  <c r="V441" i="5"/>
  <c r="X441" i="5" s="1"/>
  <c r="AJ441" i="5"/>
  <c r="I441" i="5"/>
  <c r="C443" i="5"/>
  <c r="D443" i="5"/>
  <c r="B442" i="5"/>
  <c r="E442" i="5"/>
  <c r="W440" i="5"/>
  <c r="J440" i="5"/>
  <c r="D441" i="25"/>
  <c r="E440" i="25"/>
  <c r="B440" i="25"/>
  <c r="C441" i="25"/>
  <c r="H441" i="25" s="1"/>
  <c r="R438" i="2"/>
  <c r="AU438" i="2"/>
  <c r="AE438" i="2"/>
  <c r="AD439" i="2"/>
  <c r="AF439" i="2" s="1"/>
  <c r="P439" i="2"/>
  <c r="R439" i="2" s="1"/>
  <c r="W439" i="2"/>
  <c r="J439" i="2"/>
  <c r="AU439" i="2" s="1"/>
  <c r="Y438" i="2"/>
  <c r="H717" i="2"/>
  <c r="AR716" i="2"/>
  <c r="AT716" i="2" s="1"/>
  <c r="K438" i="2"/>
  <c r="B440" i="2"/>
  <c r="D441" i="2"/>
  <c r="E440" i="2"/>
  <c r="C441" i="2"/>
  <c r="Q438" i="2"/>
  <c r="D698" i="26"/>
  <c r="C698" i="26"/>
  <c r="B697" i="26"/>
  <c r="E697" i="26"/>
  <c r="AF327" i="29"/>
  <c r="AE326" i="29"/>
  <c r="BS326" i="5" s="1"/>
  <c r="BY326" i="5" s="1"/>
  <c r="K439" i="2" l="1"/>
  <c r="BZ441" i="5"/>
  <c r="E441" i="24"/>
  <c r="B441" i="24"/>
  <c r="C442" i="24"/>
  <c r="H442" i="24" s="1"/>
  <c r="D442" i="24"/>
  <c r="BT327" i="5"/>
  <c r="BZ327" i="5" s="1"/>
  <c r="AI327" i="29"/>
  <c r="C444" i="5"/>
  <c r="B443" i="5"/>
  <c r="D444" i="5"/>
  <c r="E443" i="5"/>
  <c r="J441" i="5"/>
  <c r="AD441" i="5"/>
  <c r="AL441" i="5"/>
  <c r="CA441" i="5" s="1"/>
  <c r="AK441" i="5"/>
  <c r="W441" i="5"/>
  <c r="AC442" i="5"/>
  <c r="AE442" i="5" s="1"/>
  <c r="V442" i="5"/>
  <c r="X442" i="5" s="1"/>
  <c r="AJ442" i="5"/>
  <c r="I442" i="5"/>
  <c r="E441" i="25"/>
  <c r="B441" i="25"/>
  <c r="D442" i="25"/>
  <c r="C442" i="25"/>
  <c r="H442" i="25" s="1"/>
  <c r="H718" i="2"/>
  <c r="AR717" i="2"/>
  <c r="AT717" i="2" s="1"/>
  <c r="Y439" i="2"/>
  <c r="AV439" i="2" s="1"/>
  <c r="Q439" i="2"/>
  <c r="AE439" i="2"/>
  <c r="AD440" i="2"/>
  <c r="AF440" i="2" s="1"/>
  <c r="P440" i="2"/>
  <c r="W440" i="2"/>
  <c r="J440" i="2"/>
  <c r="K440" i="2" s="1"/>
  <c r="D442" i="2"/>
  <c r="C442" i="2"/>
  <c r="E441" i="2"/>
  <c r="B441" i="2"/>
  <c r="AV438" i="2"/>
  <c r="E698" i="26"/>
  <c r="B698" i="26"/>
  <c r="C699" i="26"/>
  <c r="D699" i="26"/>
  <c r="AE325" i="29"/>
  <c r="BS325" i="5" s="1"/>
  <c r="BY325" i="5" s="1"/>
  <c r="AF326" i="29"/>
  <c r="J442" i="5" l="1"/>
  <c r="B442" i="24"/>
  <c r="C443" i="24"/>
  <c r="H443" i="24" s="1"/>
  <c r="D443" i="24"/>
  <c r="E442" i="24"/>
  <c r="BT326" i="5"/>
  <c r="BZ326" i="5" s="1"/>
  <c r="AI326" i="29"/>
  <c r="AL442" i="5"/>
  <c r="AK442" i="5"/>
  <c r="W442" i="5"/>
  <c r="W443" i="5" s="1"/>
  <c r="B444" i="5"/>
  <c r="D445" i="5"/>
  <c r="C445" i="5"/>
  <c r="E444" i="5"/>
  <c r="CA442" i="5"/>
  <c r="AD442" i="5"/>
  <c r="AC443" i="5"/>
  <c r="AE443" i="5" s="1"/>
  <c r="AJ443" i="5"/>
  <c r="V443" i="5"/>
  <c r="X443" i="5" s="1"/>
  <c r="I443" i="5"/>
  <c r="J443" i="5" s="1"/>
  <c r="BZ442" i="5"/>
  <c r="E442" i="25"/>
  <c r="D443" i="25"/>
  <c r="B442" i="25"/>
  <c r="C443" i="25"/>
  <c r="H443" i="25" s="1"/>
  <c r="Y440" i="2"/>
  <c r="Q440" i="2"/>
  <c r="E442" i="2"/>
  <c r="C443" i="2"/>
  <c r="B442" i="2"/>
  <c r="D443" i="2"/>
  <c r="R440" i="2"/>
  <c r="AV440" i="2" s="1"/>
  <c r="AU440" i="2"/>
  <c r="AE440" i="2"/>
  <c r="AE441" i="2" s="1"/>
  <c r="AD441" i="2"/>
  <c r="AF441" i="2" s="1"/>
  <c r="P441" i="2"/>
  <c r="W441" i="2"/>
  <c r="J441" i="2"/>
  <c r="K441" i="2" s="1"/>
  <c r="H719" i="2"/>
  <c r="AR718" i="2"/>
  <c r="AT718" i="2" s="1"/>
  <c r="B699" i="26"/>
  <c r="D700" i="26"/>
  <c r="E699" i="26"/>
  <c r="C700" i="26"/>
  <c r="AE324" i="29"/>
  <c r="BS324" i="5" s="1"/>
  <c r="BY324" i="5" s="1"/>
  <c r="AF325" i="29"/>
  <c r="C444" i="24" l="1"/>
  <c r="H444" i="24" s="1"/>
  <c r="E443" i="24"/>
  <c r="B443" i="24"/>
  <c r="D444" i="24"/>
  <c r="BT325" i="5"/>
  <c r="BZ325" i="5" s="1"/>
  <c r="AI325" i="29"/>
  <c r="AL443" i="5"/>
  <c r="CA443" i="5" s="1"/>
  <c r="AK443" i="5"/>
  <c r="AD443" i="5"/>
  <c r="AC444" i="5"/>
  <c r="AE444" i="5" s="1"/>
  <c r="AJ444" i="5"/>
  <c r="V444" i="5"/>
  <c r="X444" i="5" s="1"/>
  <c r="I444" i="5"/>
  <c r="J444" i="5" s="1"/>
  <c r="C446" i="5"/>
  <c r="D446" i="5"/>
  <c r="E445" i="5"/>
  <c r="B445" i="5"/>
  <c r="BZ443" i="5"/>
  <c r="D444" i="25"/>
  <c r="E443" i="25"/>
  <c r="C444" i="25"/>
  <c r="H444" i="25" s="1"/>
  <c r="B443" i="25"/>
  <c r="D444" i="2"/>
  <c r="C444" i="2"/>
  <c r="B443" i="2"/>
  <c r="E443" i="2"/>
  <c r="Y441" i="2"/>
  <c r="R441" i="2"/>
  <c r="AU441" i="2"/>
  <c r="P442" i="2"/>
  <c r="R442" i="2" s="1"/>
  <c r="AD442" i="2"/>
  <c r="AF442" i="2" s="1"/>
  <c r="W442" i="2"/>
  <c r="J442" i="2"/>
  <c r="AU442" i="2" s="1"/>
  <c r="Q441" i="2"/>
  <c r="H720" i="2"/>
  <c r="AR719" i="2"/>
  <c r="AT719" i="2" s="1"/>
  <c r="C701" i="26"/>
  <c r="B700" i="26"/>
  <c r="D701" i="26"/>
  <c r="E700" i="26"/>
  <c r="AE323" i="29"/>
  <c r="BS323" i="5" s="1"/>
  <c r="BY323" i="5" s="1"/>
  <c r="AF324" i="29"/>
  <c r="C445" i="24" l="1"/>
  <c r="H445" i="24" s="1"/>
  <c r="D445" i="24"/>
  <c r="B444" i="24"/>
  <c r="E444" i="24"/>
  <c r="BT324" i="5"/>
  <c r="BZ324" i="5" s="1"/>
  <c r="AI324" i="29"/>
  <c r="AC445" i="5"/>
  <c r="AE445" i="5" s="1"/>
  <c r="AJ445" i="5"/>
  <c r="V445" i="5"/>
  <c r="X445" i="5" s="1"/>
  <c r="I445" i="5"/>
  <c r="BZ445" i="5" s="1"/>
  <c r="D447" i="5"/>
  <c r="B446" i="5"/>
  <c r="C447" i="5"/>
  <c r="E446" i="5"/>
  <c r="AL444" i="5"/>
  <c r="CA444" i="5" s="1"/>
  <c r="AK444" i="5"/>
  <c r="AD444" i="5"/>
  <c r="AD445" i="5" s="1"/>
  <c r="W444" i="5"/>
  <c r="W445" i="5" s="1"/>
  <c r="BZ444" i="5"/>
  <c r="D445" i="25"/>
  <c r="B444" i="25"/>
  <c r="E444" i="25"/>
  <c r="C445" i="25"/>
  <c r="H445" i="25" s="1"/>
  <c r="AD443" i="2"/>
  <c r="AF443" i="2" s="1"/>
  <c r="P443" i="2"/>
  <c r="R443" i="2" s="1"/>
  <c r="W443" i="2"/>
  <c r="J443" i="2"/>
  <c r="Y442" i="2"/>
  <c r="AV442" i="2" s="1"/>
  <c r="AV441" i="2"/>
  <c r="C445" i="2"/>
  <c r="E444" i="2"/>
  <c r="B444" i="2"/>
  <c r="D445" i="2"/>
  <c r="H721" i="2"/>
  <c r="AR720" i="2"/>
  <c r="AT720" i="2" s="1"/>
  <c r="AE442" i="2"/>
  <c r="AE443" i="2" s="1"/>
  <c r="Q442" i="2"/>
  <c r="Q443" i="2" s="1"/>
  <c r="K442" i="2"/>
  <c r="E701" i="26"/>
  <c r="C702" i="26"/>
  <c r="B701" i="26"/>
  <c r="D702" i="26"/>
  <c r="AF323" i="29"/>
  <c r="AE322" i="29"/>
  <c r="BS322" i="5" s="1"/>
  <c r="BY322" i="5" s="1"/>
  <c r="K443" i="2" l="1"/>
  <c r="D446" i="24"/>
  <c r="E445" i="24"/>
  <c r="C446" i="24"/>
  <c r="H446" i="24" s="1"/>
  <c r="B445" i="24"/>
  <c r="BT323" i="5"/>
  <c r="BZ323" i="5" s="1"/>
  <c r="AI323" i="29"/>
  <c r="D448" i="5"/>
  <c r="C448" i="5"/>
  <c r="E447" i="5"/>
  <c r="B447" i="5"/>
  <c r="AC446" i="5"/>
  <c r="AE446" i="5" s="1"/>
  <c r="AJ446" i="5"/>
  <c r="V446" i="5"/>
  <c r="X446" i="5" s="1"/>
  <c r="I446" i="5"/>
  <c r="AK445" i="5"/>
  <c r="AL445" i="5"/>
  <c r="CA445" i="5" s="1"/>
  <c r="J445" i="5"/>
  <c r="B445" i="25"/>
  <c r="C446" i="25"/>
  <c r="H446" i="25" s="1"/>
  <c r="D446" i="25"/>
  <c r="E445" i="25"/>
  <c r="AU443" i="2"/>
  <c r="D446" i="2"/>
  <c r="C446" i="2"/>
  <c r="B445" i="2"/>
  <c r="E445" i="2"/>
  <c r="AR721" i="2"/>
  <c r="AT721" i="2" s="1"/>
  <c r="H722" i="2"/>
  <c r="P444" i="2"/>
  <c r="R444" i="2" s="1"/>
  <c r="AD444" i="2"/>
  <c r="AF444" i="2" s="1"/>
  <c r="W444" i="2"/>
  <c r="J444" i="2"/>
  <c r="Y443" i="2"/>
  <c r="AV443" i="2" s="1"/>
  <c r="C703" i="26"/>
  <c r="E702" i="26"/>
  <c r="D703" i="26"/>
  <c r="B702" i="26"/>
  <c r="AE321" i="29"/>
  <c r="BS321" i="5" s="1"/>
  <c r="BY321" i="5" s="1"/>
  <c r="AF322" i="29"/>
  <c r="E446" i="24" l="1"/>
  <c r="B446" i="24"/>
  <c r="C447" i="24"/>
  <c r="H447" i="24" s="1"/>
  <c r="D447" i="24"/>
  <c r="BT322" i="5"/>
  <c r="BZ322" i="5" s="1"/>
  <c r="AI322" i="29"/>
  <c r="BZ446" i="5"/>
  <c r="AC447" i="5"/>
  <c r="AE447" i="5" s="1"/>
  <c r="V447" i="5"/>
  <c r="X447" i="5" s="1"/>
  <c r="AJ447" i="5"/>
  <c r="I447" i="5"/>
  <c r="BZ447" i="5" s="1"/>
  <c r="AD446" i="5"/>
  <c r="AD447" i="5" s="1"/>
  <c r="AL446" i="5"/>
  <c r="CA446" i="5" s="1"/>
  <c r="AK446" i="5"/>
  <c r="D449" i="5"/>
  <c r="B448" i="5"/>
  <c r="E448" i="5"/>
  <c r="C449" i="5"/>
  <c r="J446" i="5"/>
  <c r="W446" i="5"/>
  <c r="C447" i="25"/>
  <c r="H447" i="25" s="1"/>
  <c r="D447" i="25"/>
  <c r="B446" i="25"/>
  <c r="E446" i="25"/>
  <c r="Y444" i="2"/>
  <c r="AV444" i="2"/>
  <c r="H723" i="2"/>
  <c r="AR722" i="2"/>
  <c r="AT722" i="2" s="1"/>
  <c r="AU444" i="2"/>
  <c r="K444" i="2"/>
  <c r="AD445" i="2"/>
  <c r="AF445" i="2" s="1"/>
  <c r="P445" i="2"/>
  <c r="W445" i="2"/>
  <c r="J445" i="2"/>
  <c r="AE444" i="2"/>
  <c r="AE445" i="2" s="1"/>
  <c r="Q444" i="2"/>
  <c r="D447" i="2"/>
  <c r="E446" i="2"/>
  <c r="C447" i="2"/>
  <c r="B446" i="2"/>
  <c r="B703" i="26"/>
  <c r="E703" i="26"/>
  <c r="C704" i="26"/>
  <c r="D704" i="26"/>
  <c r="AE320" i="29"/>
  <c r="BS320" i="5" s="1"/>
  <c r="BY320" i="5" s="1"/>
  <c r="AF321" i="29"/>
  <c r="B447" i="24" l="1"/>
  <c r="E447" i="24"/>
  <c r="D448" i="24"/>
  <c r="C448" i="24"/>
  <c r="H448" i="24" s="1"/>
  <c r="BT321" i="5"/>
  <c r="BZ321" i="5" s="1"/>
  <c r="AI321" i="29"/>
  <c r="W447" i="5"/>
  <c r="AC448" i="5"/>
  <c r="AE448" i="5" s="1"/>
  <c r="AJ448" i="5"/>
  <c r="V448" i="5"/>
  <c r="X448" i="5" s="1"/>
  <c r="I448" i="5"/>
  <c r="BZ448" i="5" s="1"/>
  <c r="J447" i="5"/>
  <c r="C450" i="5"/>
  <c r="B449" i="5"/>
  <c r="D450" i="5"/>
  <c r="E449" i="5"/>
  <c r="AK447" i="5"/>
  <c r="AL447" i="5"/>
  <c r="CA447" i="5" s="1"/>
  <c r="B447" i="25"/>
  <c r="C448" i="25"/>
  <c r="H448" i="25" s="1"/>
  <c r="D448" i="25"/>
  <c r="E447" i="25"/>
  <c r="Y445" i="2"/>
  <c r="AU445" i="2"/>
  <c r="R445" i="2"/>
  <c r="AV445" i="2" s="1"/>
  <c r="K445" i="2"/>
  <c r="Q445" i="2"/>
  <c r="H724" i="2"/>
  <c r="AR723" i="2"/>
  <c r="AT723" i="2" s="1"/>
  <c r="AD446" i="2"/>
  <c r="AF446" i="2" s="1"/>
  <c r="P446" i="2"/>
  <c r="W446" i="2"/>
  <c r="J446" i="2"/>
  <c r="B447" i="2"/>
  <c r="D448" i="2"/>
  <c r="E447" i="2"/>
  <c r="C448" i="2"/>
  <c r="D705" i="26"/>
  <c r="E704" i="26"/>
  <c r="C705" i="26"/>
  <c r="B704" i="26"/>
  <c r="AE319" i="29"/>
  <c r="BS319" i="5" s="1"/>
  <c r="BY319" i="5" s="1"/>
  <c r="AF320" i="29"/>
  <c r="D449" i="24" l="1"/>
  <c r="B448" i="24"/>
  <c r="E448" i="24"/>
  <c r="C449" i="24"/>
  <c r="H449" i="24" s="1"/>
  <c r="BT320" i="5"/>
  <c r="BZ320" i="5" s="1"/>
  <c r="AI320" i="29"/>
  <c r="J448" i="5"/>
  <c r="B450" i="5"/>
  <c r="C451" i="5"/>
  <c r="E450" i="5"/>
  <c r="D451" i="5"/>
  <c r="AC449" i="5"/>
  <c r="AE449" i="5" s="1"/>
  <c r="V449" i="5"/>
  <c r="X449" i="5" s="1"/>
  <c r="AJ449" i="5"/>
  <c r="I449" i="5"/>
  <c r="AK448" i="5"/>
  <c r="AL448" i="5"/>
  <c r="CA448" i="5" s="1"/>
  <c r="W448" i="5"/>
  <c r="W449" i="5" s="1"/>
  <c r="AD448" i="5"/>
  <c r="B448" i="25"/>
  <c r="E448" i="25"/>
  <c r="D449" i="25"/>
  <c r="C449" i="25"/>
  <c r="H449" i="25" s="1"/>
  <c r="AE446" i="2"/>
  <c r="B448" i="2"/>
  <c r="C449" i="2"/>
  <c r="E448" i="2"/>
  <c r="D449" i="2"/>
  <c r="Y446" i="2"/>
  <c r="R446" i="2"/>
  <c r="AU446" i="2"/>
  <c r="H725" i="2"/>
  <c r="AR724" i="2"/>
  <c r="AT724" i="2" s="1"/>
  <c r="Q446" i="2"/>
  <c r="Q447" i="2" s="1"/>
  <c r="AD447" i="2"/>
  <c r="AF447" i="2" s="1"/>
  <c r="P447" i="2"/>
  <c r="W447" i="2"/>
  <c r="J447" i="2"/>
  <c r="K446" i="2"/>
  <c r="D706" i="26"/>
  <c r="E705" i="26"/>
  <c r="C706" i="26"/>
  <c r="B705" i="26"/>
  <c r="AF319" i="29"/>
  <c r="AE318" i="29"/>
  <c r="BS318" i="5" s="1"/>
  <c r="BY318" i="5" s="1"/>
  <c r="J449" i="5" l="1"/>
  <c r="D450" i="24"/>
  <c r="E449" i="24"/>
  <c r="C450" i="24"/>
  <c r="H450" i="24" s="1"/>
  <c r="B449" i="24"/>
  <c r="BT319" i="5"/>
  <c r="BZ319" i="5" s="1"/>
  <c r="AI319" i="29"/>
  <c r="AK449" i="5"/>
  <c r="AL449" i="5"/>
  <c r="BZ449" i="5"/>
  <c r="AC450" i="5"/>
  <c r="AE450" i="5" s="1"/>
  <c r="AJ450" i="5"/>
  <c r="V450" i="5"/>
  <c r="X450" i="5" s="1"/>
  <c r="I450" i="5"/>
  <c r="CA449" i="5"/>
  <c r="D452" i="5"/>
  <c r="E451" i="5"/>
  <c r="C452" i="5"/>
  <c r="B451" i="5"/>
  <c r="AD449" i="5"/>
  <c r="C450" i="25"/>
  <c r="H450" i="25" s="1"/>
  <c r="D450" i="25"/>
  <c r="E449" i="25"/>
  <c r="B449" i="25"/>
  <c r="AV446" i="2"/>
  <c r="H726" i="2"/>
  <c r="AR725" i="2"/>
  <c r="AT725" i="2" s="1"/>
  <c r="E449" i="2"/>
  <c r="B449" i="2"/>
  <c r="D450" i="2"/>
  <c r="C450" i="2"/>
  <c r="P448" i="2"/>
  <c r="R448" i="2" s="1"/>
  <c r="AD448" i="2"/>
  <c r="AF448" i="2" s="1"/>
  <c r="W448" i="2"/>
  <c r="J448" i="2"/>
  <c r="AU448" i="2" s="1"/>
  <c r="K447" i="2"/>
  <c r="K448" i="2" s="1"/>
  <c r="Y447" i="2"/>
  <c r="R447" i="2"/>
  <c r="AU447" i="2"/>
  <c r="AE447" i="2"/>
  <c r="D707" i="26"/>
  <c r="B706" i="26"/>
  <c r="E706" i="26"/>
  <c r="C707" i="26"/>
  <c r="AE317" i="29"/>
  <c r="BS317" i="5" s="1"/>
  <c r="BY317" i="5" s="1"/>
  <c r="AF318" i="29"/>
  <c r="BZ450" i="5" l="1"/>
  <c r="B450" i="24"/>
  <c r="C451" i="24"/>
  <c r="H451" i="24" s="1"/>
  <c r="D451" i="24"/>
  <c r="E450" i="24"/>
  <c r="BT318" i="5"/>
  <c r="BZ318" i="5" s="1"/>
  <c r="AI318" i="29"/>
  <c r="D453" i="5"/>
  <c r="C453" i="5"/>
  <c r="E452" i="5"/>
  <c r="B452" i="5"/>
  <c r="J450" i="5"/>
  <c r="AD450" i="5"/>
  <c r="AC451" i="5"/>
  <c r="AE451" i="5" s="1"/>
  <c r="V451" i="5"/>
  <c r="X451" i="5" s="1"/>
  <c r="AJ451" i="5"/>
  <c r="I451" i="5"/>
  <c r="BZ451" i="5" s="1"/>
  <c r="AK450" i="5"/>
  <c r="AL450" i="5"/>
  <c r="CA450" i="5" s="1"/>
  <c r="W450" i="5"/>
  <c r="B450" i="25"/>
  <c r="E450" i="25"/>
  <c r="D451" i="25"/>
  <c r="C451" i="25"/>
  <c r="H451" i="25" s="1"/>
  <c r="AV447" i="2"/>
  <c r="D451" i="2"/>
  <c r="E450" i="2"/>
  <c r="C451" i="2"/>
  <c r="B450" i="2"/>
  <c r="AE448" i="2"/>
  <c r="Y448" i="2"/>
  <c r="AV448" i="2" s="1"/>
  <c r="AD449" i="2"/>
  <c r="AF449" i="2" s="1"/>
  <c r="P449" i="2"/>
  <c r="W449" i="2"/>
  <c r="J449" i="2"/>
  <c r="K449" i="2" s="1"/>
  <c r="H727" i="2"/>
  <c r="AR726" i="2"/>
  <c r="AT726" i="2" s="1"/>
  <c r="Q448" i="2"/>
  <c r="B707" i="26"/>
  <c r="C708" i="26"/>
  <c r="D708" i="26"/>
  <c r="E707" i="26"/>
  <c r="AE316" i="29"/>
  <c r="AF317" i="29"/>
  <c r="E451" i="24" l="1"/>
  <c r="B451" i="24"/>
  <c r="C452" i="24"/>
  <c r="H452" i="24" s="1"/>
  <c r="D452" i="24"/>
  <c r="BT317" i="5"/>
  <c r="BZ317" i="5" s="1"/>
  <c r="AI317" i="29"/>
  <c r="AF316" i="29"/>
  <c r="BS316" i="5"/>
  <c r="BY316" i="5" s="1"/>
  <c r="J451" i="5"/>
  <c r="AL451" i="5"/>
  <c r="CA451" i="5" s="1"/>
  <c r="AK451" i="5"/>
  <c r="AD451" i="5"/>
  <c r="AC452" i="5"/>
  <c r="AE452" i="5" s="1"/>
  <c r="AJ452" i="5"/>
  <c r="V452" i="5"/>
  <c r="X452" i="5" s="1"/>
  <c r="I452" i="5"/>
  <c r="W451" i="5"/>
  <c r="D454" i="5"/>
  <c r="C454" i="5"/>
  <c r="E453" i="5"/>
  <c r="B453" i="5"/>
  <c r="B451" i="25"/>
  <c r="C452" i="25"/>
  <c r="H452" i="25" s="1"/>
  <c r="E451" i="25"/>
  <c r="D452" i="25"/>
  <c r="Y449" i="2"/>
  <c r="AU449" i="2"/>
  <c r="R449" i="2"/>
  <c r="AV449" i="2" s="1"/>
  <c r="AE449" i="2"/>
  <c r="Q449" i="2"/>
  <c r="AD450" i="2"/>
  <c r="AF450" i="2" s="1"/>
  <c r="P450" i="2"/>
  <c r="W450" i="2"/>
  <c r="J450" i="2"/>
  <c r="K450" i="2" s="1"/>
  <c r="H728" i="2"/>
  <c r="AR727" i="2"/>
  <c r="AT727" i="2" s="1"/>
  <c r="B451" i="2"/>
  <c r="E451" i="2"/>
  <c r="C452" i="2"/>
  <c r="D452" i="2"/>
  <c r="B708" i="26"/>
  <c r="E708" i="26"/>
  <c r="D709" i="26"/>
  <c r="C709" i="26"/>
  <c r="G694" i="11"/>
  <c r="D695" i="11" s="1"/>
  <c r="G695" i="11" s="1"/>
  <c r="D696" i="11" s="1"/>
  <c r="G696" i="11" s="1"/>
  <c r="D697" i="11" s="1"/>
  <c r="G697" i="11" s="1"/>
  <c r="D698" i="11" s="1"/>
  <c r="G698" i="11" s="1"/>
  <c r="D699" i="11" s="1"/>
  <c r="G699" i="11" s="1"/>
  <c r="D700" i="11" s="1"/>
  <c r="G700" i="11" s="1"/>
  <c r="D701" i="11" s="1"/>
  <c r="G701" i="11" s="1"/>
  <c r="D702" i="11" s="1"/>
  <c r="G702" i="11" s="1"/>
  <c r="D703" i="11" s="1"/>
  <c r="G703" i="11" s="1"/>
  <c r="D704" i="11" s="1"/>
  <c r="G704" i="11" s="1"/>
  <c r="D705" i="11" s="1"/>
  <c r="G705" i="11" s="1"/>
  <c r="D706" i="11" s="1"/>
  <c r="G706" i="11" s="1"/>
  <c r="D707" i="11" s="1"/>
  <c r="G707" i="11" s="1"/>
  <c r="D708" i="11" s="1"/>
  <c r="G708" i="11" s="1"/>
  <c r="D709" i="11" s="1"/>
  <c r="G709" i="11" s="1"/>
  <c r="D710" i="11" s="1"/>
  <c r="G710" i="11" s="1"/>
  <c r="D711" i="11" s="1"/>
  <c r="G711" i="11" s="1"/>
  <c r="D712" i="11" s="1"/>
  <c r="G712" i="11" s="1"/>
  <c r="D713" i="11" s="1"/>
  <c r="G713" i="11" s="1"/>
  <c r="D714" i="11" s="1"/>
  <c r="G714" i="11" s="1"/>
  <c r="D715" i="11" s="1"/>
  <c r="G715" i="11" s="1"/>
  <c r="D716" i="11" s="1"/>
  <c r="G716" i="11" s="1"/>
  <c r="D717" i="11" s="1"/>
  <c r="G717" i="11" s="1"/>
  <c r="D718" i="11" s="1"/>
  <c r="G718" i="11" s="1"/>
  <c r="D719" i="11" s="1"/>
  <c r="G719" i="11" s="1"/>
  <c r="D720" i="11" s="1"/>
  <c r="G720" i="11" s="1"/>
  <c r="D721" i="11" s="1"/>
  <c r="G721" i="11" s="1"/>
  <c r="D722" i="11" s="1"/>
  <c r="G722" i="11" s="1"/>
  <c r="D723" i="11" s="1"/>
  <c r="G723" i="11" s="1"/>
  <c r="D724" i="11" s="1"/>
  <c r="G724" i="11" s="1"/>
  <c r="D725" i="11" s="1"/>
  <c r="G725" i="11" s="1"/>
  <c r="D726" i="11" s="1"/>
  <c r="G726" i="11" s="1"/>
  <c r="D727" i="11" s="1"/>
  <c r="G727" i="11" s="1"/>
  <c r="D728" i="11" s="1"/>
  <c r="G728" i="11" s="1"/>
  <c r="D729" i="11" s="1"/>
  <c r="G729" i="11" s="1"/>
  <c r="D730" i="11" s="1"/>
  <c r="G730" i="11" s="1"/>
  <c r="D731" i="11" s="1"/>
  <c r="G731" i="11" s="1"/>
  <c r="D732" i="11" s="1"/>
  <c r="G732" i="11" s="1"/>
  <c r="D733" i="11" s="1"/>
  <c r="G733" i="11" s="1"/>
  <c r="D734" i="11" s="1"/>
  <c r="G734" i="11" s="1"/>
  <c r="D735" i="11" s="1"/>
  <c r="G735" i="11" s="1"/>
  <c r="D736" i="11" s="1"/>
  <c r="G736" i="11" s="1"/>
  <c r="D737" i="11" s="1"/>
  <c r="G737" i="11" s="1"/>
  <c r="D738" i="11" s="1"/>
  <c r="G738" i="11" s="1"/>
  <c r="D739" i="11" s="1"/>
  <c r="G739" i="11" s="1"/>
  <c r="D740" i="11" s="1"/>
  <c r="G740" i="11" s="1"/>
  <c r="D741" i="11" s="1"/>
  <c r="G741" i="11" s="1"/>
  <c r="D742" i="11" s="1"/>
  <c r="G742" i="11" s="1"/>
  <c r="D743" i="11" s="1"/>
  <c r="G743" i="11" s="1"/>
  <c r="D744" i="11" s="1"/>
  <c r="G744" i="11" s="1"/>
  <c r="D745" i="11" s="1"/>
  <c r="G745" i="11" s="1"/>
  <c r="D746" i="11" s="1"/>
  <c r="G746" i="11" s="1"/>
  <c r="D747" i="11" s="1"/>
  <c r="G747" i="11" s="1"/>
  <c r="D748" i="11" s="1"/>
  <c r="G748" i="11" s="1"/>
  <c r="D749" i="11" s="1"/>
  <c r="G749" i="11" s="1"/>
  <c r="D750" i="11" s="1"/>
  <c r="G750" i="11" s="1"/>
  <c r="D751" i="11" s="1"/>
  <c r="G751" i="11" s="1"/>
  <c r="D752" i="11" s="1"/>
  <c r="G752" i="11" s="1"/>
  <c r="D753" i="11" s="1"/>
  <c r="G753" i="11" s="1"/>
  <c r="D754" i="11" s="1"/>
  <c r="G754" i="11" s="1"/>
  <c r="D755" i="11" s="1"/>
  <c r="G755" i="11" s="1"/>
  <c r="D756" i="11" s="1"/>
  <c r="G756" i="11" s="1"/>
  <c r="D757" i="11" s="1"/>
  <c r="G757" i="11" s="1"/>
  <c r="D758" i="11" s="1"/>
  <c r="G758" i="11" s="1"/>
  <c r="D759" i="11" s="1"/>
  <c r="G759" i="11" s="1"/>
  <c r="D760" i="11" s="1"/>
  <c r="G760" i="11" s="1"/>
  <c r="D761" i="11" s="1"/>
  <c r="G761" i="11" s="1"/>
  <c r="D762" i="11" s="1"/>
  <c r="G762" i="11" s="1"/>
  <c r="D763" i="11" s="1"/>
  <c r="G763" i="11" s="1"/>
  <c r="D764" i="11" s="1"/>
  <c r="G764" i="11" s="1"/>
  <c r="D765" i="11" s="1"/>
  <c r="G765" i="11" s="1"/>
  <c r="D766" i="11" s="1"/>
  <c r="G766" i="11" s="1"/>
  <c r="D767" i="11" s="1"/>
  <c r="G767" i="11" s="1"/>
  <c r="D768" i="11" s="1"/>
  <c r="G768" i="11" s="1"/>
  <c r="D769" i="11" s="1"/>
  <c r="G769" i="11" s="1"/>
  <c r="D770" i="11" s="1"/>
  <c r="G770" i="11" s="1"/>
  <c r="D771" i="11" s="1"/>
  <c r="G771" i="11" s="1"/>
  <c r="D772" i="11" s="1"/>
  <c r="G772" i="11" s="1"/>
  <c r="D773" i="11" s="1"/>
  <c r="G773" i="11" s="1"/>
  <c r="D774" i="11" s="1"/>
  <c r="G774" i="11" s="1"/>
  <c r="D775" i="11" s="1"/>
  <c r="G775" i="11" s="1"/>
  <c r="D776" i="11" s="1"/>
  <c r="G776" i="11" s="1"/>
  <c r="D777" i="11" s="1"/>
  <c r="G777" i="11" s="1"/>
  <c r="D778" i="11" s="1"/>
  <c r="G778" i="11" s="1"/>
  <c r="D779" i="11" s="1"/>
  <c r="G779" i="11" s="1"/>
  <c r="D780" i="11" s="1"/>
  <c r="G780" i="11" s="1"/>
  <c r="D781" i="11" s="1"/>
  <c r="G781" i="11" s="1"/>
  <c r="D782" i="11" s="1"/>
  <c r="G782" i="11" s="1"/>
  <c r="D783" i="11" s="1"/>
  <c r="G783" i="11" s="1"/>
  <c r="D784" i="11" s="1"/>
  <c r="G784" i="11" s="1"/>
  <c r="D785" i="11" s="1"/>
  <c r="G785" i="11" s="1"/>
  <c r="D786" i="11" s="1"/>
  <c r="G786" i="11" s="1"/>
  <c r="D787" i="11" s="1"/>
  <c r="G787" i="11" s="1"/>
  <c r="D788" i="11" s="1"/>
  <c r="G788" i="11" s="1"/>
  <c r="D789" i="11" s="1"/>
  <c r="G789" i="11" s="1"/>
  <c r="D790" i="11" s="1"/>
  <c r="G790" i="11" s="1"/>
  <c r="D791" i="11" s="1"/>
  <c r="G791" i="11" s="1"/>
  <c r="D792" i="11" s="1"/>
  <c r="G792" i="11" s="1"/>
  <c r="D793" i="11" s="1"/>
  <c r="G793" i="11" s="1"/>
  <c r="D794" i="11" s="1"/>
  <c r="G794" i="11" s="1"/>
  <c r="D795" i="11" s="1"/>
  <c r="G795" i="11" s="1"/>
  <c r="D796" i="11" s="1"/>
  <c r="G796" i="11" s="1"/>
  <c r="D797" i="11" s="1"/>
  <c r="G797" i="11" s="1"/>
  <c r="D798" i="11" s="1"/>
  <c r="G798" i="11" s="1"/>
  <c r="D799" i="11" s="1"/>
  <c r="G799" i="11" s="1"/>
  <c r="D800" i="11" s="1"/>
  <c r="G800" i="11" s="1"/>
  <c r="D801" i="11" s="1"/>
  <c r="G801" i="11" s="1"/>
  <c r="D802" i="11" s="1"/>
  <c r="G802" i="11" s="1"/>
  <c r="D803" i="11" s="1"/>
  <c r="G803" i="11" s="1"/>
  <c r="D804" i="11" s="1"/>
  <c r="G804" i="11" s="1"/>
  <c r="D805" i="11" s="1"/>
  <c r="G805" i="11" s="1"/>
  <c r="D806" i="11" s="1"/>
  <c r="G806" i="11" s="1"/>
  <c r="D807" i="11" s="1"/>
  <c r="G807" i="11" s="1"/>
  <c r="D808" i="11" s="1"/>
  <c r="G808" i="11" s="1"/>
  <c r="D809" i="11" s="1"/>
  <c r="G809" i="11" s="1"/>
  <c r="D810" i="11" s="1"/>
  <c r="G810" i="11" s="1"/>
  <c r="E452" i="24" l="1"/>
  <c r="C453" i="24"/>
  <c r="H453" i="24" s="1"/>
  <c r="D453" i="24"/>
  <c r="B452" i="24"/>
  <c r="BT316" i="5"/>
  <c r="BZ316" i="5" s="1"/>
  <c r="AI316" i="29"/>
  <c r="C455" i="5"/>
  <c r="D455" i="5"/>
  <c r="B454" i="5"/>
  <c r="E454" i="5"/>
  <c r="W452" i="5"/>
  <c r="W453" i="5" s="1"/>
  <c r="AK452" i="5"/>
  <c r="AL452" i="5"/>
  <c r="CA452" i="5" s="1"/>
  <c r="AD452" i="5"/>
  <c r="J452" i="5"/>
  <c r="BZ452" i="5"/>
  <c r="AC453" i="5"/>
  <c r="AE453" i="5" s="1"/>
  <c r="AJ453" i="5"/>
  <c r="V453" i="5"/>
  <c r="X453" i="5" s="1"/>
  <c r="I453" i="5"/>
  <c r="E452" i="25"/>
  <c r="D453" i="25"/>
  <c r="B452" i="25"/>
  <c r="C453" i="25"/>
  <c r="H453" i="25" s="1"/>
  <c r="H729" i="2"/>
  <c r="AR728" i="2"/>
  <c r="AT728" i="2" s="1"/>
  <c r="Y450" i="2"/>
  <c r="R450" i="2"/>
  <c r="AU450" i="2"/>
  <c r="Q450" i="2"/>
  <c r="Q451" i="2" s="1"/>
  <c r="AE450" i="2"/>
  <c r="AE451" i="2" s="1"/>
  <c r="C453" i="2"/>
  <c r="B452" i="2"/>
  <c r="E452" i="2"/>
  <c r="D453" i="2"/>
  <c r="AD451" i="2"/>
  <c r="AF451" i="2" s="1"/>
  <c r="P451" i="2"/>
  <c r="R451" i="2" s="1"/>
  <c r="W451" i="2"/>
  <c r="J451" i="2"/>
  <c r="AU451" i="2" s="1"/>
  <c r="E709" i="26"/>
  <c r="C710" i="26"/>
  <c r="B709" i="26"/>
  <c r="D710" i="26"/>
  <c r="AA373" i="29"/>
  <c r="X373" i="29" l="1"/>
  <c r="X404" i="29"/>
  <c r="J453" i="5"/>
  <c r="B453" i="24"/>
  <c r="C454" i="24"/>
  <c r="H454" i="24" s="1"/>
  <c r="E453" i="24"/>
  <c r="D454" i="24"/>
  <c r="Y373" i="29"/>
  <c r="AK453" i="5"/>
  <c r="AL453" i="5"/>
  <c r="CA453" i="5" s="1"/>
  <c r="B455" i="5"/>
  <c r="E455" i="5"/>
  <c r="D456" i="5"/>
  <c r="C456" i="5"/>
  <c r="AD453" i="5"/>
  <c r="AC454" i="5"/>
  <c r="AE454" i="5" s="1"/>
  <c r="V454" i="5"/>
  <c r="X454" i="5" s="1"/>
  <c r="AJ454" i="5"/>
  <c r="I454" i="5"/>
  <c r="J454" i="5" s="1"/>
  <c r="BZ453" i="5"/>
  <c r="C454" i="25"/>
  <c r="H454" i="25" s="1"/>
  <c r="D454" i="25"/>
  <c r="B453" i="25"/>
  <c r="E453" i="25"/>
  <c r="E453" i="2"/>
  <c r="D454" i="2"/>
  <c r="C454" i="2"/>
  <c r="B453" i="2"/>
  <c r="P452" i="2"/>
  <c r="AD452" i="2"/>
  <c r="AF452" i="2" s="1"/>
  <c r="W452" i="2"/>
  <c r="J452" i="2"/>
  <c r="Q452" i="2"/>
  <c r="AV450" i="2"/>
  <c r="Y451" i="2"/>
  <c r="AV451" i="2" s="1"/>
  <c r="H730" i="2"/>
  <c r="AR729" i="2"/>
  <c r="AT729" i="2" s="1"/>
  <c r="K451" i="2"/>
  <c r="C711" i="26"/>
  <c r="D711" i="26"/>
  <c r="E710" i="26"/>
  <c r="B710" i="26"/>
  <c r="X369" i="29"/>
  <c r="BN373" i="5"/>
  <c r="K452" i="2" l="1"/>
  <c r="X403" i="29"/>
  <c r="Y404" i="29"/>
  <c r="BN404" i="5"/>
  <c r="I94" i="20" s="1"/>
  <c r="E23" i="32" s="1"/>
  <c r="I84" i="20"/>
  <c r="D455" i="24"/>
  <c r="B454" i="24"/>
  <c r="E454" i="24"/>
  <c r="C455" i="24"/>
  <c r="H455" i="24" s="1"/>
  <c r="BN369" i="5"/>
  <c r="Y369" i="29"/>
  <c r="BO369" i="5" s="1"/>
  <c r="C457" i="5"/>
  <c r="D457" i="5"/>
  <c r="E456" i="5"/>
  <c r="B456" i="5"/>
  <c r="W454" i="5"/>
  <c r="AD454" i="5"/>
  <c r="AC455" i="5"/>
  <c r="AE455" i="5" s="1"/>
  <c r="V455" i="5"/>
  <c r="X455" i="5" s="1"/>
  <c r="AJ455" i="5"/>
  <c r="I455" i="5"/>
  <c r="BZ454" i="5"/>
  <c r="AK454" i="5"/>
  <c r="AL454" i="5"/>
  <c r="CA454" i="5" s="1"/>
  <c r="D455" i="25"/>
  <c r="B454" i="25"/>
  <c r="E454" i="25"/>
  <c r="C455" i="25"/>
  <c r="H455" i="25" s="1"/>
  <c r="Y452" i="2"/>
  <c r="AE452" i="2"/>
  <c r="AE453" i="2" s="1"/>
  <c r="R452" i="2"/>
  <c r="AU452" i="2"/>
  <c r="H731" i="2"/>
  <c r="AR730" i="2"/>
  <c r="AT730" i="2" s="1"/>
  <c r="Q453" i="2"/>
  <c r="D455" i="2"/>
  <c r="C455" i="2"/>
  <c r="E454" i="2"/>
  <c r="B454" i="2"/>
  <c r="AD453" i="2"/>
  <c r="AF453" i="2" s="1"/>
  <c r="P453" i="2"/>
  <c r="W453" i="2"/>
  <c r="J453" i="2"/>
  <c r="K453" i="2" s="1"/>
  <c r="B711" i="26"/>
  <c r="E711" i="26"/>
  <c r="C712" i="26"/>
  <c r="D712" i="26"/>
  <c r="AB373" i="29"/>
  <c r="BO373" i="5"/>
  <c r="X368" i="29"/>
  <c r="BO404" i="5" l="1"/>
  <c r="BZ404" i="5" s="1"/>
  <c r="AB404" i="29"/>
  <c r="Y403" i="29"/>
  <c r="X402" i="29"/>
  <c r="BN403" i="5"/>
  <c r="BZ455" i="5"/>
  <c r="D456" i="24"/>
  <c r="C456" i="24"/>
  <c r="H456" i="24" s="1"/>
  <c r="E455" i="24"/>
  <c r="B455" i="24"/>
  <c r="AB369" i="29"/>
  <c r="BP369" i="5" s="1"/>
  <c r="BN368" i="5"/>
  <c r="Y368" i="29"/>
  <c r="BO368" i="5" s="1"/>
  <c r="J455" i="5"/>
  <c r="AD455" i="5"/>
  <c r="W455" i="5"/>
  <c r="AC456" i="5"/>
  <c r="AE456" i="5" s="1"/>
  <c r="AJ456" i="5"/>
  <c r="V456" i="5"/>
  <c r="X456" i="5" s="1"/>
  <c r="I456" i="5"/>
  <c r="CA455" i="5"/>
  <c r="C458" i="5"/>
  <c r="E457" i="5"/>
  <c r="B457" i="5"/>
  <c r="D458" i="5"/>
  <c r="AK455" i="5"/>
  <c r="AL455" i="5"/>
  <c r="E455" i="25"/>
  <c r="C456" i="25"/>
  <c r="H456" i="25" s="1"/>
  <c r="B455" i="25"/>
  <c r="D456" i="25"/>
  <c r="AD454" i="2"/>
  <c r="AF454" i="2" s="1"/>
  <c r="P454" i="2"/>
  <c r="W454" i="2"/>
  <c r="J454" i="2"/>
  <c r="K454" i="2" s="1"/>
  <c r="D456" i="2"/>
  <c r="E455" i="2"/>
  <c r="B455" i="2"/>
  <c r="C456" i="2"/>
  <c r="Q454" i="2"/>
  <c r="H732" i="2"/>
  <c r="AR731" i="2"/>
  <c r="AT731" i="2" s="1"/>
  <c r="Y453" i="2"/>
  <c r="AV453" i="2" s="1"/>
  <c r="AE454" i="2"/>
  <c r="R453" i="2"/>
  <c r="AU453" i="2"/>
  <c r="AV452" i="2"/>
  <c r="D713" i="26"/>
  <c r="E712" i="26"/>
  <c r="C713" i="26"/>
  <c r="B712" i="26"/>
  <c r="X367" i="29"/>
  <c r="BU373" i="5"/>
  <c r="BP373" i="5"/>
  <c r="BO403" i="5" l="1"/>
  <c r="BZ403" i="5" s="1"/>
  <c r="AB403" i="29"/>
  <c r="BP404" i="5"/>
  <c r="BU404" i="5"/>
  <c r="BU369" i="5"/>
  <c r="X401" i="29"/>
  <c r="BN402" i="5"/>
  <c r="Y402" i="29"/>
  <c r="BZ456" i="5"/>
  <c r="B456" i="24"/>
  <c r="E456" i="24"/>
  <c r="C457" i="24"/>
  <c r="H457" i="24" s="1"/>
  <c r="D457" i="24"/>
  <c r="AB368" i="29"/>
  <c r="BU368" i="5" s="1"/>
  <c r="BN367" i="5"/>
  <c r="Y367" i="29"/>
  <c r="BO367" i="5" s="1"/>
  <c r="W456" i="5"/>
  <c r="AD456" i="5"/>
  <c r="CA369" i="5"/>
  <c r="AC457" i="5"/>
  <c r="AE457" i="5" s="1"/>
  <c r="V457" i="5"/>
  <c r="X457" i="5" s="1"/>
  <c r="AJ457" i="5"/>
  <c r="I457" i="5"/>
  <c r="AK456" i="5"/>
  <c r="AL456" i="5"/>
  <c r="CA456" i="5" s="1"/>
  <c r="B458" i="5"/>
  <c r="C459" i="5"/>
  <c r="E458" i="5"/>
  <c r="D459" i="5"/>
  <c r="J456" i="5"/>
  <c r="E456" i="25"/>
  <c r="B456" i="25"/>
  <c r="D457" i="25"/>
  <c r="C457" i="25"/>
  <c r="H457" i="25" s="1"/>
  <c r="H733" i="2"/>
  <c r="AR732" i="2"/>
  <c r="AT732" i="2" s="1"/>
  <c r="AD455" i="2"/>
  <c r="AF455" i="2" s="1"/>
  <c r="P455" i="2"/>
  <c r="W455" i="2"/>
  <c r="J455" i="2"/>
  <c r="K455" i="2" s="1"/>
  <c r="B456" i="2"/>
  <c r="C457" i="2"/>
  <c r="D457" i="2"/>
  <c r="E456" i="2"/>
  <c r="Y454" i="2"/>
  <c r="R454" i="2"/>
  <c r="AU454" i="2"/>
  <c r="D714" i="26"/>
  <c r="C714" i="26"/>
  <c r="B713" i="26"/>
  <c r="E713" i="26"/>
  <c r="X366" i="29"/>
  <c r="CA404" i="5" l="1"/>
  <c r="BO402" i="5"/>
  <c r="BZ402" i="5" s="1"/>
  <c r="AB402" i="29"/>
  <c r="BU403" i="5"/>
  <c r="BP403" i="5"/>
  <c r="CA403" i="5" s="1"/>
  <c r="X400" i="29"/>
  <c r="Y401" i="29"/>
  <c r="BN401" i="5"/>
  <c r="BP368" i="5"/>
  <c r="CA368" i="5" s="1"/>
  <c r="BZ457" i="5"/>
  <c r="C458" i="24"/>
  <c r="H458" i="24" s="1"/>
  <c r="D458" i="24"/>
  <c r="B457" i="24"/>
  <c r="E457" i="24"/>
  <c r="AB367" i="29"/>
  <c r="BU367" i="5" s="1"/>
  <c r="BN366" i="5"/>
  <c r="Y366" i="29"/>
  <c r="BO366" i="5" s="1"/>
  <c r="J457" i="5"/>
  <c r="AK457" i="5"/>
  <c r="AL457" i="5"/>
  <c r="CA457" i="5" s="1"/>
  <c r="W457" i="5"/>
  <c r="AD457" i="5"/>
  <c r="D460" i="5"/>
  <c r="B459" i="5"/>
  <c r="E459" i="5"/>
  <c r="C460" i="5"/>
  <c r="AC458" i="5"/>
  <c r="AE458" i="5" s="1"/>
  <c r="V458" i="5"/>
  <c r="X458" i="5" s="1"/>
  <c r="AJ458" i="5"/>
  <c r="I458" i="5"/>
  <c r="C458" i="25"/>
  <c r="H458" i="25" s="1"/>
  <c r="D458" i="25"/>
  <c r="B457" i="25"/>
  <c r="E457" i="25"/>
  <c r="AV454" i="2"/>
  <c r="AD456" i="2"/>
  <c r="AF456" i="2" s="1"/>
  <c r="P456" i="2"/>
  <c r="W456" i="2"/>
  <c r="J456" i="2"/>
  <c r="K456" i="2" s="1"/>
  <c r="E457" i="2"/>
  <c r="C458" i="2"/>
  <c r="B457" i="2"/>
  <c r="D458" i="2"/>
  <c r="Y455" i="2"/>
  <c r="Q455" i="2"/>
  <c r="Q456" i="2" s="1"/>
  <c r="AU455" i="2"/>
  <c r="R455" i="2"/>
  <c r="AE455" i="2"/>
  <c r="H734" i="2"/>
  <c r="AR733" i="2"/>
  <c r="AT733" i="2" s="1"/>
  <c r="D715" i="26"/>
  <c r="B714" i="26"/>
  <c r="E714" i="26"/>
  <c r="C715" i="26"/>
  <c r="X365" i="29"/>
  <c r="J458" i="5" l="1"/>
  <c r="BO401" i="5"/>
  <c r="BZ401" i="5" s="1"/>
  <c r="AB401" i="29"/>
  <c r="BU402" i="5"/>
  <c r="BP402" i="5"/>
  <c r="CA402" i="5" s="1"/>
  <c r="BP367" i="5"/>
  <c r="CA367" i="5" s="1"/>
  <c r="AB366" i="29"/>
  <c r="BU366" i="5" s="1"/>
  <c r="X399" i="29"/>
  <c r="BN400" i="5"/>
  <c r="Y400" i="29"/>
  <c r="B458" i="24"/>
  <c r="E458" i="24"/>
  <c r="C459" i="24"/>
  <c r="H459" i="24" s="1"/>
  <c r="D459" i="24"/>
  <c r="BN365" i="5"/>
  <c r="Y365" i="29"/>
  <c r="BO365" i="5" s="1"/>
  <c r="AL458" i="5"/>
  <c r="CA458" i="5" s="1"/>
  <c r="AK458" i="5"/>
  <c r="W458" i="5"/>
  <c r="AC459" i="5"/>
  <c r="AE459" i="5" s="1"/>
  <c r="V459" i="5"/>
  <c r="X459" i="5" s="1"/>
  <c r="AJ459" i="5"/>
  <c r="I459" i="5"/>
  <c r="AD458" i="5"/>
  <c r="AD459" i="5" s="1"/>
  <c r="E460" i="5"/>
  <c r="C461" i="5"/>
  <c r="D461" i="5"/>
  <c r="B460" i="5"/>
  <c r="BZ458" i="5"/>
  <c r="D459" i="25"/>
  <c r="B458" i="25"/>
  <c r="C459" i="25"/>
  <c r="H459" i="25" s="1"/>
  <c r="E458" i="25"/>
  <c r="B458" i="2"/>
  <c r="E458" i="2"/>
  <c r="C459" i="2"/>
  <c r="D459" i="2"/>
  <c r="AD457" i="2"/>
  <c r="AF457" i="2" s="1"/>
  <c r="P457" i="2"/>
  <c r="W457" i="2"/>
  <c r="J457" i="2"/>
  <c r="K457" i="2" s="1"/>
  <c r="AV455" i="2"/>
  <c r="Y456" i="2"/>
  <c r="R456" i="2"/>
  <c r="AU456" i="2"/>
  <c r="H735" i="2"/>
  <c r="AR734" i="2"/>
  <c r="AT734" i="2" s="1"/>
  <c r="AE456" i="2"/>
  <c r="AE457" i="2" s="1"/>
  <c r="B715" i="26"/>
  <c r="D716" i="26"/>
  <c r="E715" i="26"/>
  <c r="C716" i="26"/>
  <c r="X364" i="29"/>
  <c r="BP401" i="5" l="1"/>
  <c r="BU401" i="5"/>
  <c r="BO400" i="5"/>
  <c r="BZ400" i="5" s="1"/>
  <c r="AB400" i="29"/>
  <c r="BP366" i="5"/>
  <c r="CA366" i="5" s="1"/>
  <c r="Y399" i="29"/>
  <c r="X398" i="29"/>
  <c r="BN399" i="5"/>
  <c r="BZ459" i="5"/>
  <c r="E459" i="24"/>
  <c r="C460" i="24"/>
  <c r="H460" i="24" s="1"/>
  <c r="B459" i="24"/>
  <c r="D460" i="24"/>
  <c r="AB365" i="29"/>
  <c r="BP365" i="5" s="1"/>
  <c r="BN364" i="5"/>
  <c r="Y364" i="29"/>
  <c r="BO364" i="5" s="1"/>
  <c r="AC460" i="5"/>
  <c r="AE460" i="5" s="1"/>
  <c r="AJ460" i="5"/>
  <c r="V460" i="5"/>
  <c r="X460" i="5" s="1"/>
  <c r="I460" i="5"/>
  <c r="B461" i="5"/>
  <c r="E461" i="5"/>
  <c r="D462" i="5"/>
  <c r="C462" i="5"/>
  <c r="AK459" i="5"/>
  <c r="AL459" i="5"/>
  <c r="CA459" i="5" s="1"/>
  <c r="W459" i="5"/>
  <c r="W460" i="5" s="1"/>
  <c r="J459" i="5"/>
  <c r="B459" i="25"/>
  <c r="C460" i="25"/>
  <c r="H460" i="25" s="1"/>
  <c r="E459" i="25"/>
  <c r="D460" i="25"/>
  <c r="Y457" i="2"/>
  <c r="R457" i="2"/>
  <c r="AV457" i="2" s="1"/>
  <c r="AU457" i="2"/>
  <c r="H736" i="2"/>
  <c r="AR735" i="2"/>
  <c r="AT735" i="2" s="1"/>
  <c r="AV456" i="2"/>
  <c r="E459" i="2"/>
  <c r="D460" i="2"/>
  <c r="B459" i="2"/>
  <c r="C460" i="2"/>
  <c r="AD458" i="2"/>
  <c r="AF458" i="2" s="1"/>
  <c r="P458" i="2"/>
  <c r="W458" i="2"/>
  <c r="J458" i="2"/>
  <c r="K458" i="2" s="1"/>
  <c r="Q457" i="2"/>
  <c r="Q458" i="2" s="1"/>
  <c r="B716" i="26"/>
  <c r="E716" i="26"/>
  <c r="D717" i="26"/>
  <c r="C717" i="26"/>
  <c r="X363" i="29"/>
  <c r="BU400" i="5" l="1"/>
  <c r="BP400" i="5"/>
  <c r="CA400" i="5" s="1"/>
  <c r="BO399" i="5"/>
  <c r="BZ399" i="5" s="1"/>
  <c r="AB399" i="29"/>
  <c r="CA401" i="5"/>
  <c r="BU365" i="5"/>
  <c r="CA365" i="5" s="1"/>
  <c r="Y398" i="29"/>
  <c r="BN398" i="5"/>
  <c r="X397" i="29"/>
  <c r="D461" i="24"/>
  <c r="C461" i="24"/>
  <c r="H461" i="24" s="1"/>
  <c r="B460" i="24"/>
  <c r="E460" i="24"/>
  <c r="AB364" i="29"/>
  <c r="BP364" i="5" s="1"/>
  <c r="BN363" i="5"/>
  <c r="Y363" i="29"/>
  <c r="BO363" i="5" s="1"/>
  <c r="BZ460" i="5"/>
  <c r="AC461" i="5"/>
  <c r="AE461" i="5" s="1"/>
  <c r="V461" i="5"/>
  <c r="X461" i="5" s="1"/>
  <c r="AJ461" i="5"/>
  <c r="I461" i="5"/>
  <c r="BZ461" i="5" s="1"/>
  <c r="AK460" i="5"/>
  <c r="AL460" i="5"/>
  <c r="CA460" i="5" s="1"/>
  <c r="W461" i="5"/>
  <c r="C463" i="5"/>
  <c r="D463" i="5"/>
  <c r="B462" i="5"/>
  <c r="E462" i="5"/>
  <c r="J460" i="5"/>
  <c r="AD460" i="5"/>
  <c r="C461" i="25"/>
  <c r="H461" i="25" s="1"/>
  <c r="B460" i="25"/>
  <c r="E460" i="25"/>
  <c r="D461" i="25"/>
  <c r="E460" i="2"/>
  <c r="D461" i="2"/>
  <c r="B460" i="2"/>
  <c r="C461" i="2"/>
  <c r="P459" i="2"/>
  <c r="R459" i="2" s="1"/>
  <c r="AD459" i="2"/>
  <c r="AF459" i="2" s="1"/>
  <c r="W459" i="2"/>
  <c r="J459" i="2"/>
  <c r="AU459" i="2" s="1"/>
  <c r="H737" i="2"/>
  <c r="H741" i="2" s="1"/>
  <c r="AR736" i="2"/>
  <c r="AT736" i="2" s="1"/>
  <c r="Q459" i="2"/>
  <c r="Y458" i="2"/>
  <c r="R458" i="2"/>
  <c r="AU458" i="2"/>
  <c r="AE458" i="2"/>
  <c r="B717" i="26"/>
  <c r="E717" i="26"/>
  <c r="C718" i="26"/>
  <c r="D718" i="26"/>
  <c r="AB363" i="29"/>
  <c r="X362" i="29"/>
  <c r="K459" i="2" l="1"/>
  <c r="AR741" i="2"/>
  <c r="AT741" i="2" s="1"/>
  <c r="J741" i="2"/>
  <c r="J22" i="19"/>
  <c r="J118" i="19" s="1"/>
  <c r="F16" i="32" s="1"/>
  <c r="BO398" i="5"/>
  <c r="BZ398" i="5" s="1"/>
  <c r="AB398" i="29"/>
  <c r="BU399" i="5"/>
  <c r="BP399" i="5"/>
  <c r="CA399" i="5" s="1"/>
  <c r="BU364" i="5"/>
  <c r="CA364" i="5" s="1"/>
  <c r="Y397" i="29"/>
  <c r="BN397" i="5"/>
  <c r="X396" i="29"/>
  <c r="B461" i="24"/>
  <c r="E461" i="24"/>
  <c r="C462" i="24"/>
  <c r="H462" i="24" s="1"/>
  <c r="D462" i="24"/>
  <c r="BN362" i="5"/>
  <c r="Y362" i="29"/>
  <c r="BO362" i="5" s="1"/>
  <c r="AC462" i="5"/>
  <c r="AE462" i="5" s="1"/>
  <c r="AJ462" i="5"/>
  <c r="V462" i="5"/>
  <c r="X462" i="5" s="1"/>
  <c r="I462" i="5"/>
  <c r="E463" i="5"/>
  <c r="C464" i="5"/>
  <c r="B463" i="5"/>
  <c r="D464" i="5"/>
  <c r="AL461" i="5"/>
  <c r="CA461" i="5" s="1"/>
  <c r="AK461" i="5"/>
  <c r="AD461" i="5"/>
  <c r="AD462" i="5" s="1"/>
  <c r="J461" i="5"/>
  <c r="BP363" i="5"/>
  <c r="BU363" i="5"/>
  <c r="B461" i="25"/>
  <c r="C462" i="25"/>
  <c r="H462" i="25" s="1"/>
  <c r="D462" i="25"/>
  <c r="E461" i="25"/>
  <c r="AR737" i="2"/>
  <c r="AT737" i="2" s="1"/>
  <c r="Y459" i="2"/>
  <c r="AV459" i="2" s="1"/>
  <c r="AE459" i="2"/>
  <c r="D462" i="2"/>
  <c r="C462" i="2"/>
  <c r="E461" i="2"/>
  <c r="B461" i="2"/>
  <c r="AV458" i="2"/>
  <c r="AD460" i="2"/>
  <c r="AF460" i="2" s="1"/>
  <c r="P460" i="2"/>
  <c r="W460" i="2"/>
  <c r="J460" i="2"/>
  <c r="K460" i="2" s="1"/>
  <c r="C719" i="26"/>
  <c r="D719" i="26"/>
  <c r="B718" i="26"/>
  <c r="E718" i="26"/>
  <c r="X361" i="29"/>
  <c r="AW741" i="2" l="1"/>
  <c r="I108" i="19"/>
  <c r="E6" i="32" s="1"/>
  <c r="I109" i="19"/>
  <c r="E7" i="32" s="1"/>
  <c r="I110" i="19"/>
  <c r="E8" i="32" s="1"/>
  <c r="I111" i="19"/>
  <c r="E9" i="32" s="1"/>
  <c r="I112" i="19"/>
  <c r="E10" i="32" s="1"/>
  <c r="I113" i="19"/>
  <c r="E11" i="32" s="1"/>
  <c r="I114" i="19"/>
  <c r="E12" i="32" s="1"/>
  <c r="I115" i="19"/>
  <c r="E13" i="32" s="1"/>
  <c r="I116" i="19"/>
  <c r="E14" i="32" s="1"/>
  <c r="I117" i="19"/>
  <c r="E15" i="32" s="1"/>
  <c r="I118" i="19"/>
  <c r="E16" i="32" s="1"/>
  <c r="K741" i="2"/>
  <c r="AU741" i="2"/>
  <c r="K12" i="19"/>
  <c r="K108" i="19" s="1"/>
  <c r="G6" i="32" s="1"/>
  <c r="BP398" i="5"/>
  <c r="BU398" i="5"/>
  <c r="BO397" i="5"/>
  <c r="BZ397" i="5" s="1"/>
  <c r="AB397" i="29"/>
  <c r="X395" i="29"/>
  <c r="Y396" i="29"/>
  <c r="BN396" i="5"/>
  <c r="AB362" i="29"/>
  <c r="BU362" i="5" s="1"/>
  <c r="J462" i="5"/>
  <c r="B462" i="24"/>
  <c r="E462" i="24"/>
  <c r="C463" i="24"/>
  <c r="H463" i="24" s="1"/>
  <c r="D463" i="24"/>
  <c r="I119" i="19"/>
  <c r="BN361" i="5"/>
  <c r="Y361" i="29"/>
  <c r="BO361" i="5" s="1"/>
  <c r="W462" i="5"/>
  <c r="BZ462" i="5"/>
  <c r="AL462" i="5"/>
  <c r="CA462" i="5" s="1"/>
  <c r="AK462" i="5"/>
  <c r="C465" i="5"/>
  <c r="E464" i="5"/>
  <c r="D465" i="5"/>
  <c r="B464" i="5"/>
  <c r="CA363" i="5"/>
  <c r="AC463" i="5"/>
  <c r="AE463" i="5" s="1"/>
  <c r="V463" i="5"/>
  <c r="X463" i="5" s="1"/>
  <c r="AJ463" i="5"/>
  <c r="I463" i="5"/>
  <c r="B462" i="25"/>
  <c r="D463" i="25"/>
  <c r="C463" i="25"/>
  <c r="H463" i="25" s="1"/>
  <c r="E462" i="25"/>
  <c r="AE460" i="2"/>
  <c r="P461" i="2"/>
  <c r="R461" i="2" s="1"/>
  <c r="AD461" i="2"/>
  <c r="AF461" i="2" s="1"/>
  <c r="W461" i="2"/>
  <c r="J461" i="2"/>
  <c r="AU461" i="2" s="1"/>
  <c r="C463" i="2"/>
  <c r="B462" i="2"/>
  <c r="E462" i="2"/>
  <c r="D463" i="2"/>
  <c r="Y460" i="2"/>
  <c r="R460" i="2"/>
  <c r="AV460" i="2" s="1"/>
  <c r="AU460" i="2"/>
  <c r="Q460" i="2"/>
  <c r="B719" i="26"/>
  <c r="E719" i="26"/>
  <c r="D720" i="26"/>
  <c r="C720" i="26"/>
  <c r="X360" i="29"/>
  <c r="C20" i="30" l="1"/>
  <c r="E17" i="32"/>
  <c r="K13" i="19"/>
  <c r="K109" i="19" s="1"/>
  <c r="G7" i="32" s="1"/>
  <c r="BO396" i="5"/>
  <c r="BZ396" i="5" s="1"/>
  <c r="AB396" i="29"/>
  <c r="BP362" i="5"/>
  <c r="BP397" i="5"/>
  <c r="BU397" i="5"/>
  <c r="CA398" i="5"/>
  <c r="AB361" i="29"/>
  <c r="BP361" i="5" s="1"/>
  <c r="X394" i="29"/>
  <c r="Y395" i="29"/>
  <c r="BN395" i="5"/>
  <c r="D464" i="24"/>
  <c r="B463" i="24"/>
  <c r="C464" i="24"/>
  <c r="H464" i="24" s="1"/>
  <c r="E463" i="24"/>
  <c r="BN360" i="5"/>
  <c r="Y360" i="29"/>
  <c r="BO360" i="5" s="1"/>
  <c r="CA362" i="5"/>
  <c r="AK463" i="5"/>
  <c r="AL463" i="5"/>
  <c r="CA463" i="5" s="1"/>
  <c r="AC464" i="5"/>
  <c r="AE464" i="5" s="1"/>
  <c r="V464" i="5"/>
  <c r="X464" i="5" s="1"/>
  <c r="AJ464" i="5"/>
  <c r="I464" i="5"/>
  <c r="BZ464" i="5" s="1"/>
  <c r="AD463" i="5"/>
  <c r="AD464" i="5" s="1"/>
  <c r="W463" i="5"/>
  <c r="W464" i="5" s="1"/>
  <c r="E465" i="5"/>
  <c r="D466" i="5"/>
  <c r="B465" i="5"/>
  <c r="C466" i="5"/>
  <c r="BZ463" i="5"/>
  <c r="J463" i="5"/>
  <c r="B463" i="25"/>
  <c r="E463" i="25"/>
  <c r="C464" i="25"/>
  <c r="H464" i="25" s="1"/>
  <c r="D464" i="25"/>
  <c r="C464" i="2"/>
  <c r="D464" i="2"/>
  <c r="B463" i="2"/>
  <c r="E463" i="2"/>
  <c r="AD462" i="2"/>
  <c r="AF462" i="2" s="1"/>
  <c r="P462" i="2"/>
  <c r="W462" i="2"/>
  <c r="J462" i="2"/>
  <c r="Y461" i="2"/>
  <c r="AV461" i="2"/>
  <c r="AE461" i="2"/>
  <c r="AE462" i="2" s="1"/>
  <c r="Q461" i="2"/>
  <c r="Q462" i="2" s="1"/>
  <c r="K461" i="2"/>
  <c r="C721" i="26"/>
  <c r="B720" i="26"/>
  <c r="D721" i="26"/>
  <c r="E720" i="26"/>
  <c r="X359" i="29"/>
  <c r="K462" i="2" l="1"/>
  <c r="BO395" i="5"/>
  <c r="BZ395" i="5" s="1"/>
  <c r="AB395" i="29"/>
  <c r="BU361" i="5"/>
  <c r="CA361" i="5" s="1"/>
  <c r="CA397" i="5"/>
  <c r="BP396" i="5"/>
  <c r="BU396" i="5"/>
  <c r="X393" i="29"/>
  <c r="Y394" i="29"/>
  <c r="BN394" i="5"/>
  <c r="B464" i="24"/>
  <c r="E464" i="24"/>
  <c r="C465" i="24"/>
  <c r="H465" i="24" s="1"/>
  <c r="D465" i="24"/>
  <c r="AB360" i="29"/>
  <c r="BU360" i="5" s="1"/>
  <c r="BN359" i="5"/>
  <c r="Y359" i="29"/>
  <c r="BO359" i="5" s="1"/>
  <c r="C467" i="5"/>
  <c r="D467" i="5"/>
  <c r="B466" i="5"/>
  <c r="E466" i="5"/>
  <c r="AK464" i="5"/>
  <c r="AL464" i="5"/>
  <c r="CA464" i="5" s="1"/>
  <c r="J464" i="5"/>
  <c r="AC465" i="5"/>
  <c r="AE465" i="5" s="1"/>
  <c r="AJ465" i="5"/>
  <c r="V465" i="5"/>
  <c r="X465" i="5" s="1"/>
  <c r="I465" i="5"/>
  <c r="BP360" i="5"/>
  <c r="B464" i="25"/>
  <c r="E464" i="25"/>
  <c r="D465" i="25"/>
  <c r="C465" i="25"/>
  <c r="H465" i="25" s="1"/>
  <c r="Y462" i="2"/>
  <c r="R462" i="2"/>
  <c r="AU462" i="2"/>
  <c r="AD463" i="2"/>
  <c r="AF463" i="2" s="1"/>
  <c r="P463" i="2"/>
  <c r="R463" i="2" s="1"/>
  <c r="W463" i="2"/>
  <c r="J463" i="2"/>
  <c r="C465" i="2"/>
  <c r="B464" i="2"/>
  <c r="E464" i="2"/>
  <c r="D465" i="2"/>
  <c r="C722" i="26"/>
  <c r="B721" i="26"/>
  <c r="E721" i="26"/>
  <c r="D722" i="26"/>
  <c r="X358" i="29"/>
  <c r="K463" i="2" l="1"/>
  <c r="BU395" i="5"/>
  <c r="BP395" i="5"/>
  <c r="CA395" i="5" s="1"/>
  <c r="BO394" i="5"/>
  <c r="BZ394" i="5" s="1"/>
  <c r="AB394" i="29"/>
  <c r="CA396" i="5"/>
  <c r="X392" i="29"/>
  <c r="BN393" i="5"/>
  <c r="Y393" i="29"/>
  <c r="C466" i="24"/>
  <c r="H466" i="24" s="1"/>
  <c r="D466" i="24"/>
  <c r="E465" i="24"/>
  <c r="B465" i="24"/>
  <c r="AB359" i="29"/>
  <c r="BU359" i="5" s="1"/>
  <c r="BN358" i="5"/>
  <c r="Y358" i="29"/>
  <c r="BO358" i="5" s="1"/>
  <c r="CA360" i="5"/>
  <c r="W465" i="5"/>
  <c r="J465" i="5"/>
  <c r="AL465" i="5"/>
  <c r="CA465" i="5" s="1"/>
  <c r="AK465" i="5"/>
  <c r="AC466" i="5"/>
  <c r="AE466" i="5" s="1"/>
  <c r="V466" i="5"/>
  <c r="X466" i="5" s="1"/>
  <c r="AJ466" i="5"/>
  <c r="I466" i="5"/>
  <c r="BZ465" i="5"/>
  <c r="C468" i="5"/>
  <c r="B467" i="5"/>
  <c r="E467" i="5"/>
  <c r="D468" i="5"/>
  <c r="AD465" i="5"/>
  <c r="B465" i="25"/>
  <c r="D466" i="25"/>
  <c r="E465" i="25"/>
  <c r="C466" i="25"/>
  <c r="H466" i="25" s="1"/>
  <c r="AD464" i="2"/>
  <c r="AF464" i="2" s="1"/>
  <c r="P464" i="2"/>
  <c r="W464" i="2"/>
  <c r="J464" i="2"/>
  <c r="K464" i="2" s="1"/>
  <c r="AU463" i="2"/>
  <c r="Y463" i="2"/>
  <c r="AV463" i="2" s="1"/>
  <c r="AE463" i="2"/>
  <c r="AE464" i="2" s="1"/>
  <c r="Q463" i="2"/>
  <c r="Q464" i="2" s="1"/>
  <c r="AV462" i="2"/>
  <c r="D466" i="2"/>
  <c r="B465" i="2"/>
  <c r="E465" i="2"/>
  <c r="C466" i="2"/>
  <c r="C723" i="26"/>
  <c r="D723" i="26"/>
  <c r="B722" i="26"/>
  <c r="E722" i="26"/>
  <c r="X357" i="29"/>
  <c r="BO393" i="5" l="1"/>
  <c r="BZ393" i="5" s="1"/>
  <c r="AB393" i="29"/>
  <c r="BP359" i="5"/>
  <c r="CA359" i="5" s="1"/>
  <c r="BP394" i="5"/>
  <c r="BU394" i="5"/>
  <c r="X391" i="29"/>
  <c r="Y392" i="29"/>
  <c r="BN392" i="5"/>
  <c r="E466" i="24"/>
  <c r="C467" i="24"/>
  <c r="H467" i="24" s="1"/>
  <c r="B466" i="24"/>
  <c r="D467" i="24"/>
  <c r="AB358" i="29"/>
  <c r="BP358" i="5" s="1"/>
  <c r="BN357" i="5"/>
  <c r="Y357" i="29"/>
  <c r="BO357" i="5" s="1"/>
  <c r="AC467" i="5"/>
  <c r="AE467" i="5" s="1"/>
  <c r="AJ467" i="5"/>
  <c r="V467" i="5"/>
  <c r="X467" i="5" s="1"/>
  <c r="I467" i="5"/>
  <c r="AK466" i="5"/>
  <c r="AL466" i="5"/>
  <c r="CA466" i="5" s="1"/>
  <c r="BZ466" i="5"/>
  <c r="W466" i="5"/>
  <c r="W467" i="5" s="1"/>
  <c r="AD466" i="5"/>
  <c r="AD467" i="5" s="1"/>
  <c r="B468" i="5"/>
  <c r="D469" i="5"/>
  <c r="E468" i="5"/>
  <c r="C469" i="5"/>
  <c r="J466" i="5"/>
  <c r="E466" i="25"/>
  <c r="D467" i="25"/>
  <c r="B466" i="25"/>
  <c r="C467" i="25"/>
  <c r="H467" i="25" s="1"/>
  <c r="AD465" i="2"/>
  <c r="AF465" i="2" s="1"/>
  <c r="P465" i="2"/>
  <c r="W465" i="2"/>
  <c r="J465" i="2"/>
  <c r="B466" i="2"/>
  <c r="C467" i="2"/>
  <c r="E466" i="2"/>
  <c r="D467" i="2"/>
  <c r="Q465" i="2"/>
  <c r="AE465" i="2"/>
  <c r="Y464" i="2"/>
  <c r="AU464" i="2"/>
  <c r="R464" i="2"/>
  <c r="B723" i="26"/>
  <c r="C724" i="26"/>
  <c r="E723" i="26"/>
  <c r="D724" i="26"/>
  <c r="X356" i="29"/>
  <c r="K465" i="2" l="1"/>
  <c r="BO392" i="5"/>
  <c r="BZ392" i="5" s="1"/>
  <c r="AB392" i="29"/>
  <c r="BU393" i="5"/>
  <c r="BP393" i="5"/>
  <c r="BU358" i="5"/>
  <c r="CA394" i="5"/>
  <c r="X390" i="29"/>
  <c r="Y391" i="29"/>
  <c r="BN391" i="5"/>
  <c r="D468" i="24"/>
  <c r="B467" i="24"/>
  <c r="E467" i="24"/>
  <c r="C468" i="24"/>
  <c r="H468" i="24" s="1"/>
  <c r="AB357" i="29"/>
  <c r="BU357" i="5" s="1"/>
  <c r="BN356" i="5"/>
  <c r="Y356" i="29"/>
  <c r="BO356" i="5" s="1"/>
  <c r="AC468" i="5"/>
  <c r="AE468" i="5" s="1"/>
  <c r="AJ468" i="5"/>
  <c r="V468" i="5"/>
  <c r="X468" i="5" s="1"/>
  <c r="I468" i="5"/>
  <c r="CA358" i="5"/>
  <c r="AL467" i="5"/>
  <c r="CA467" i="5" s="1"/>
  <c r="AK467" i="5"/>
  <c r="E469" i="5"/>
  <c r="B469" i="5"/>
  <c r="D470" i="5"/>
  <c r="C470" i="5"/>
  <c r="AD468" i="5"/>
  <c r="W468" i="5"/>
  <c r="BZ467" i="5"/>
  <c r="J467" i="5"/>
  <c r="B467" i="25"/>
  <c r="E467" i="25"/>
  <c r="C468" i="25"/>
  <c r="H468" i="25" s="1"/>
  <c r="D468" i="25"/>
  <c r="AV464" i="2"/>
  <c r="C468" i="2"/>
  <c r="B467" i="2"/>
  <c r="D468" i="2"/>
  <c r="E467" i="2"/>
  <c r="AD466" i="2"/>
  <c r="AF466" i="2" s="1"/>
  <c r="P466" i="2"/>
  <c r="W466" i="2"/>
  <c r="J466" i="2"/>
  <c r="K466" i="2" s="1"/>
  <c r="Y465" i="2"/>
  <c r="R465" i="2"/>
  <c r="AU465" i="2"/>
  <c r="B724" i="26"/>
  <c r="C725" i="26"/>
  <c r="D725" i="26"/>
  <c r="E724" i="26"/>
  <c r="X355" i="29"/>
  <c r="BO391" i="5" l="1"/>
  <c r="BZ391" i="5" s="1"/>
  <c r="AB391" i="29"/>
  <c r="BP392" i="5"/>
  <c r="BU392" i="5"/>
  <c r="BP357" i="5"/>
  <c r="CA357" i="5" s="1"/>
  <c r="CA393" i="5"/>
  <c r="X389" i="29"/>
  <c r="Y390" i="29"/>
  <c r="BN390" i="5"/>
  <c r="D469" i="24"/>
  <c r="B468" i="24"/>
  <c r="C469" i="24"/>
  <c r="H469" i="24" s="1"/>
  <c r="E468" i="24"/>
  <c r="AB356" i="29"/>
  <c r="BP356" i="5" s="1"/>
  <c r="BN355" i="5"/>
  <c r="Y355" i="29"/>
  <c r="BO355" i="5" s="1"/>
  <c r="BZ468" i="5"/>
  <c r="AC469" i="5"/>
  <c r="AE469" i="5" s="1"/>
  <c r="V469" i="5"/>
  <c r="X469" i="5" s="1"/>
  <c r="AJ469" i="5"/>
  <c r="I469" i="5"/>
  <c r="J468" i="5"/>
  <c r="AK468" i="5"/>
  <c r="AL468" i="5"/>
  <c r="CA468" i="5" s="1"/>
  <c r="D471" i="5"/>
  <c r="B470" i="5"/>
  <c r="E470" i="5"/>
  <c r="C471" i="5"/>
  <c r="W469" i="5"/>
  <c r="D469" i="25"/>
  <c r="B468" i="25"/>
  <c r="E468" i="25"/>
  <c r="C469" i="25"/>
  <c r="H469" i="25" s="1"/>
  <c r="Y466" i="2"/>
  <c r="C469" i="2"/>
  <c r="E468" i="2"/>
  <c r="D469" i="2"/>
  <c r="B468" i="2"/>
  <c r="AV465" i="2"/>
  <c r="R466" i="2"/>
  <c r="AU466" i="2"/>
  <c r="AD467" i="2"/>
  <c r="AF467" i="2" s="1"/>
  <c r="P467" i="2"/>
  <c r="W467" i="2"/>
  <c r="J467" i="2"/>
  <c r="Q466" i="2"/>
  <c r="Q467" i="2" s="1"/>
  <c r="AE466" i="2"/>
  <c r="B725" i="26"/>
  <c r="D726" i="26"/>
  <c r="E725" i="26"/>
  <c r="C726" i="26"/>
  <c r="X354" i="29"/>
  <c r="J469" i="5" l="1"/>
  <c r="K467" i="2"/>
  <c r="BO390" i="5"/>
  <c r="BZ390" i="5" s="1"/>
  <c r="AB390" i="29"/>
  <c r="CA392" i="5"/>
  <c r="BP391" i="5"/>
  <c r="BU391" i="5"/>
  <c r="BU356" i="5"/>
  <c r="X388" i="29"/>
  <c r="Y389" i="29"/>
  <c r="BN389" i="5"/>
  <c r="E469" i="24"/>
  <c r="B469" i="24"/>
  <c r="C470" i="24"/>
  <c r="H470" i="24" s="1"/>
  <c r="D470" i="24"/>
  <c r="BN354" i="5"/>
  <c r="Y354" i="29"/>
  <c r="BO354" i="5" s="1"/>
  <c r="AB355" i="29"/>
  <c r="BP355" i="5" s="1"/>
  <c r="BZ469" i="5"/>
  <c r="B471" i="5"/>
  <c r="D472" i="5"/>
  <c r="E471" i="5"/>
  <c r="C472" i="5"/>
  <c r="AC470" i="5"/>
  <c r="AE470" i="5" s="1"/>
  <c r="V470" i="5"/>
  <c r="X470" i="5" s="1"/>
  <c r="AJ470" i="5"/>
  <c r="I470" i="5"/>
  <c r="J470" i="5" s="1"/>
  <c r="AL469" i="5"/>
  <c r="CA469" i="5" s="1"/>
  <c r="AK469" i="5"/>
  <c r="CA356" i="5"/>
  <c r="AD469" i="5"/>
  <c r="E469" i="25"/>
  <c r="D470" i="25"/>
  <c r="C470" i="25"/>
  <c r="H470" i="25" s="1"/>
  <c r="B469" i="25"/>
  <c r="Y467" i="2"/>
  <c r="AU467" i="2"/>
  <c r="R467" i="2"/>
  <c r="B469" i="2"/>
  <c r="D470" i="2"/>
  <c r="C470" i="2"/>
  <c r="E469" i="2"/>
  <c r="AD468" i="2"/>
  <c r="AF468" i="2" s="1"/>
  <c r="P468" i="2"/>
  <c r="W468" i="2"/>
  <c r="J468" i="2"/>
  <c r="K468" i="2" s="1"/>
  <c r="AV466" i="2"/>
  <c r="AE467" i="2"/>
  <c r="D727" i="26"/>
  <c r="C727" i="26"/>
  <c r="B726" i="26"/>
  <c r="E726" i="26"/>
  <c r="X353" i="29"/>
  <c r="BO389" i="5" l="1"/>
  <c r="BZ389" i="5" s="1"/>
  <c r="AB389" i="29"/>
  <c r="BP390" i="5"/>
  <c r="BU390" i="5"/>
  <c r="CA391" i="5"/>
  <c r="AB354" i="29"/>
  <c r="BU354" i="5" s="1"/>
  <c r="X387" i="29"/>
  <c r="Y388" i="29"/>
  <c r="BN388" i="5"/>
  <c r="B470" i="24"/>
  <c r="C471" i="24"/>
  <c r="H471" i="24" s="1"/>
  <c r="E470" i="24"/>
  <c r="D471" i="24"/>
  <c r="BU355" i="5"/>
  <c r="CA355" i="5" s="1"/>
  <c r="BN353" i="5"/>
  <c r="Y353" i="29"/>
  <c r="BO353" i="5" s="1"/>
  <c r="BZ470" i="5"/>
  <c r="W470" i="5"/>
  <c r="AK470" i="5"/>
  <c r="AL470" i="5"/>
  <c r="CA470" i="5" s="1"/>
  <c r="AD470" i="5"/>
  <c r="AC471" i="5"/>
  <c r="AE471" i="5" s="1"/>
  <c r="V471" i="5"/>
  <c r="X471" i="5" s="1"/>
  <c r="AJ471" i="5"/>
  <c r="I471" i="5"/>
  <c r="E472" i="5"/>
  <c r="D473" i="5"/>
  <c r="B472" i="5"/>
  <c r="C473" i="5"/>
  <c r="E470" i="25"/>
  <c r="B470" i="25"/>
  <c r="D471" i="25"/>
  <c r="C471" i="25"/>
  <c r="H471" i="25" s="1"/>
  <c r="R468" i="2"/>
  <c r="AU468" i="2"/>
  <c r="Y468" i="2"/>
  <c r="AV468" i="2" s="1"/>
  <c r="AD469" i="2"/>
  <c r="AF469" i="2" s="1"/>
  <c r="P469" i="2"/>
  <c r="W469" i="2"/>
  <c r="J469" i="2"/>
  <c r="C471" i="2"/>
  <c r="B470" i="2"/>
  <c r="E470" i="2"/>
  <c r="D471" i="2"/>
  <c r="AV467" i="2"/>
  <c r="AE468" i="2"/>
  <c r="Q468" i="2"/>
  <c r="B727" i="26"/>
  <c r="E727" i="26"/>
  <c r="C728" i="26"/>
  <c r="D728" i="26"/>
  <c r="X352" i="29"/>
  <c r="AU469" i="2" l="1"/>
  <c r="CA390" i="5"/>
  <c r="BO388" i="5"/>
  <c r="BZ388" i="5" s="1"/>
  <c r="AB388" i="29"/>
  <c r="BP354" i="5"/>
  <c r="CA354" i="5" s="1"/>
  <c r="BU389" i="5"/>
  <c r="BP389" i="5"/>
  <c r="CA389" i="5" s="1"/>
  <c r="X386" i="29"/>
  <c r="Y387" i="29"/>
  <c r="BN387" i="5"/>
  <c r="C472" i="24"/>
  <c r="H472" i="24" s="1"/>
  <c r="D472" i="24"/>
  <c r="B471" i="24"/>
  <c r="E471" i="24"/>
  <c r="BN352" i="5"/>
  <c r="Y352" i="29"/>
  <c r="BO352" i="5" s="1"/>
  <c r="AB353" i="29"/>
  <c r="D474" i="5"/>
  <c r="B473" i="5"/>
  <c r="E473" i="5"/>
  <c r="C474" i="5"/>
  <c r="AL471" i="5"/>
  <c r="CA471" i="5" s="1"/>
  <c r="AK471" i="5"/>
  <c r="AD471" i="5"/>
  <c r="W471" i="5"/>
  <c r="AC472" i="5"/>
  <c r="AE472" i="5" s="1"/>
  <c r="V472" i="5"/>
  <c r="X472" i="5" s="1"/>
  <c r="AJ472" i="5"/>
  <c r="I472" i="5"/>
  <c r="BZ472" i="5" s="1"/>
  <c r="BZ471" i="5"/>
  <c r="J471" i="5"/>
  <c r="BU353" i="5"/>
  <c r="BP353" i="5"/>
  <c r="CA353" i="5" s="1"/>
  <c r="C472" i="25"/>
  <c r="H472" i="25" s="1"/>
  <c r="D472" i="25"/>
  <c r="B471" i="25"/>
  <c r="E471" i="25"/>
  <c r="E471" i="2"/>
  <c r="C472" i="2"/>
  <c r="D472" i="2"/>
  <c r="B471" i="2"/>
  <c r="AD470" i="2"/>
  <c r="AF470" i="2" s="1"/>
  <c r="P470" i="2"/>
  <c r="W470" i="2"/>
  <c r="J470" i="2"/>
  <c r="Y469" i="2"/>
  <c r="Q469" i="2"/>
  <c r="Q470" i="2" s="1"/>
  <c r="R469" i="2"/>
  <c r="AV469" i="2" s="1"/>
  <c r="K469" i="2"/>
  <c r="AE469" i="2"/>
  <c r="AE470" i="2" s="1"/>
  <c r="E728" i="26"/>
  <c r="B728" i="26"/>
  <c r="C729" i="26"/>
  <c r="D729" i="26"/>
  <c r="X351" i="29"/>
  <c r="K470" i="2" l="1"/>
  <c r="BO387" i="5"/>
  <c r="BZ387" i="5" s="1"/>
  <c r="AB387" i="29"/>
  <c r="BU388" i="5"/>
  <c r="BP388" i="5"/>
  <c r="CA388" i="5" s="1"/>
  <c r="AB352" i="29"/>
  <c r="BU352" i="5" s="1"/>
  <c r="X385" i="29"/>
  <c r="Y386" i="29"/>
  <c r="BN386" i="5"/>
  <c r="E472" i="24"/>
  <c r="B472" i="24"/>
  <c r="C473" i="24"/>
  <c r="H473" i="24" s="1"/>
  <c r="D473" i="24"/>
  <c r="BN351" i="5"/>
  <c r="Y351" i="29"/>
  <c r="BO351" i="5" s="1"/>
  <c r="AD472" i="5"/>
  <c r="W472" i="5"/>
  <c r="J472" i="5"/>
  <c r="AC473" i="5"/>
  <c r="AE473" i="5" s="1"/>
  <c r="AJ473" i="5"/>
  <c r="V473" i="5"/>
  <c r="X473" i="5" s="1"/>
  <c r="I473" i="5"/>
  <c r="AL472" i="5"/>
  <c r="AK472" i="5"/>
  <c r="CA472" i="5"/>
  <c r="B474" i="5"/>
  <c r="C475" i="5"/>
  <c r="D475" i="5"/>
  <c r="E474" i="5"/>
  <c r="D473" i="25"/>
  <c r="E472" i="25"/>
  <c r="C473" i="25"/>
  <c r="H473" i="25" s="1"/>
  <c r="B472" i="25"/>
  <c r="Y470" i="2"/>
  <c r="R470" i="2"/>
  <c r="AV470" i="2" s="1"/>
  <c r="AU470" i="2"/>
  <c r="B472" i="2"/>
  <c r="C473" i="2"/>
  <c r="E472" i="2"/>
  <c r="D473" i="2"/>
  <c r="AD471" i="2"/>
  <c r="AF471" i="2" s="1"/>
  <c r="P471" i="2"/>
  <c r="R471" i="2" s="1"/>
  <c r="W471" i="2"/>
  <c r="J471" i="2"/>
  <c r="K471" i="2" s="1"/>
  <c r="C730" i="26"/>
  <c r="B729" i="26"/>
  <c r="E729" i="26"/>
  <c r="D730" i="26"/>
  <c r="X350" i="29"/>
  <c r="BO386" i="5" l="1"/>
  <c r="BZ386" i="5" s="1"/>
  <c r="AB386" i="29"/>
  <c r="BP387" i="5"/>
  <c r="BU387" i="5"/>
  <c r="BP352" i="5"/>
  <c r="CA352" i="5" s="1"/>
  <c r="X384" i="29"/>
  <c r="BN385" i="5"/>
  <c r="Y385" i="29"/>
  <c r="D474" i="24"/>
  <c r="B473" i="24"/>
  <c r="C474" i="24"/>
  <c r="H474" i="24" s="1"/>
  <c r="E473" i="24"/>
  <c r="AB351" i="29"/>
  <c r="BU351" i="5" s="1"/>
  <c r="BN350" i="5"/>
  <c r="Y350" i="29"/>
  <c r="BO350" i="5" s="1"/>
  <c r="BZ473" i="5"/>
  <c r="AC474" i="5"/>
  <c r="AE474" i="5" s="1"/>
  <c r="AJ474" i="5"/>
  <c r="V474" i="5"/>
  <c r="X474" i="5" s="1"/>
  <c r="I474" i="5"/>
  <c r="BZ474" i="5" s="1"/>
  <c r="AK473" i="5"/>
  <c r="AL473" i="5"/>
  <c r="CA473" i="5" s="1"/>
  <c r="J473" i="5"/>
  <c r="W473" i="5"/>
  <c r="W474" i="5" s="1"/>
  <c r="C476" i="5"/>
  <c r="E475" i="5"/>
  <c r="B475" i="5"/>
  <c r="D476" i="5"/>
  <c r="AD473" i="5"/>
  <c r="B473" i="25"/>
  <c r="C474" i="25"/>
  <c r="H474" i="25" s="1"/>
  <c r="D474" i="25"/>
  <c r="E473" i="25"/>
  <c r="Y471" i="2"/>
  <c r="AV471" i="2" s="1"/>
  <c r="C474" i="2"/>
  <c r="B473" i="2"/>
  <c r="E473" i="2"/>
  <c r="D474" i="2"/>
  <c r="P472" i="2"/>
  <c r="R472" i="2" s="1"/>
  <c r="AD472" i="2"/>
  <c r="AF472" i="2" s="1"/>
  <c r="W472" i="2"/>
  <c r="J472" i="2"/>
  <c r="AU472" i="2" s="1"/>
  <c r="Q471" i="2"/>
  <c r="Q472" i="2" s="1"/>
  <c r="AU471" i="2"/>
  <c r="AE471" i="2"/>
  <c r="AE472" i="2" s="1"/>
  <c r="E730" i="26"/>
  <c r="D731" i="26"/>
  <c r="C731" i="26"/>
  <c r="B730" i="26"/>
  <c r="X349" i="29"/>
  <c r="K472" i="2" l="1"/>
  <c r="CA387" i="5"/>
  <c r="BO385" i="5"/>
  <c r="BZ385" i="5" s="1"/>
  <c r="AB385" i="29"/>
  <c r="BU386" i="5"/>
  <c r="BP386" i="5"/>
  <c r="CA386" i="5" s="1"/>
  <c r="BP351" i="5"/>
  <c r="CA351" i="5" s="1"/>
  <c r="X383" i="29"/>
  <c r="Y384" i="29"/>
  <c r="BN384" i="5"/>
  <c r="J474" i="5"/>
  <c r="E474" i="24"/>
  <c r="B474" i="24"/>
  <c r="C475" i="24"/>
  <c r="H475" i="24" s="1"/>
  <c r="D475" i="24"/>
  <c r="AB350" i="29"/>
  <c r="BP350" i="5" s="1"/>
  <c r="BN349" i="5"/>
  <c r="Y349" i="29"/>
  <c r="BO349" i="5" s="1"/>
  <c r="AD474" i="5"/>
  <c r="AK474" i="5"/>
  <c r="AL474" i="5"/>
  <c r="CA474" i="5" s="1"/>
  <c r="AC475" i="5"/>
  <c r="AE475" i="5" s="1"/>
  <c r="V475" i="5"/>
  <c r="X475" i="5" s="1"/>
  <c r="AJ475" i="5"/>
  <c r="I475" i="5"/>
  <c r="AD475" i="5"/>
  <c r="D477" i="5"/>
  <c r="C477" i="5"/>
  <c r="E476" i="5"/>
  <c r="B476" i="5"/>
  <c r="C475" i="25"/>
  <c r="H475" i="25" s="1"/>
  <c r="B474" i="25"/>
  <c r="E474" i="25"/>
  <c r="D475" i="25"/>
  <c r="E474" i="2"/>
  <c r="D475" i="2"/>
  <c r="C475" i="2"/>
  <c r="B474" i="2"/>
  <c r="Y472" i="2"/>
  <c r="AV472" i="2" s="1"/>
  <c r="AD473" i="2"/>
  <c r="AF473" i="2" s="1"/>
  <c r="P473" i="2"/>
  <c r="W473" i="2"/>
  <c r="J473" i="2"/>
  <c r="K473" i="2" s="1"/>
  <c r="C732" i="26"/>
  <c r="E731" i="26"/>
  <c r="B731" i="26"/>
  <c r="D732" i="26"/>
  <c r="X348" i="29"/>
  <c r="BO384" i="5" l="1"/>
  <c r="BZ384" i="5" s="1"/>
  <c r="AB384" i="29"/>
  <c r="BU385" i="5"/>
  <c r="BP385" i="5"/>
  <c r="CA385" i="5" s="1"/>
  <c r="X382" i="29"/>
  <c r="BN383" i="5"/>
  <c r="Y383" i="29"/>
  <c r="AB349" i="29"/>
  <c r="BP349" i="5" s="1"/>
  <c r="BZ475" i="5"/>
  <c r="B475" i="24"/>
  <c r="E475" i="24"/>
  <c r="C476" i="24"/>
  <c r="H476" i="24" s="1"/>
  <c r="D476" i="24"/>
  <c r="BU350" i="5"/>
  <c r="CA350" i="5" s="1"/>
  <c r="BN348" i="5"/>
  <c r="Y348" i="29"/>
  <c r="BO348" i="5" s="1"/>
  <c r="J475" i="5"/>
  <c r="AC476" i="5"/>
  <c r="AE476" i="5" s="1"/>
  <c r="V476" i="5"/>
  <c r="X476" i="5" s="1"/>
  <c r="AJ476" i="5"/>
  <c r="I476" i="5"/>
  <c r="BZ476" i="5" s="1"/>
  <c r="B477" i="5"/>
  <c r="E477" i="5"/>
  <c r="D478" i="5"/>
  <c r="C478" i="5"/>
  <c r="AK475" i="5"/>
  <c r="AL475" i="5"/>
  <c r="CA475" i="5" s="1"/>
  <c r="W475" i="5"/>
  <c r="W476" i="5" s="1"/>
  <c r="B475" i="25"/>
  <c r="C476" i="25"/>
  <c r="H476" i="25" s="1"/>
  <c r="E475" i="25"/>
  <c r="D476" i="25"/>
  <c r="Y473" i="2"/>
  <c r="R473" i="2"/>
  <c r="AV473" i="2" s="1"/>
  <c r="AU473" i="2"/>
  <c r="Q473" i="2"/>
  <c r="E475" i="2"/>
  <c r="B475" i="2"/>
  <c r="D476" i="2"/>
  <c r="C476" i="2"/>
  <c r="P474" i="2"/>
  <c r="R474" i="2" s="1"/>
  <c r="AD474" i="2"/>
  <c r="AF474" i="2" s="1"/>
  <c r="W474" i="2"/>
  <c r="J474" i="2"/>
  <c r="AE473" i="2"/>
  <c r="D733" i="26"/>
  <c r="B732" i="26"/>
  <c r="E732" i="26"/>
  <c r="C733" i="26"/>
  <c r="X347" i="29"/>
  <c r="BP384" i="5" l="1"/>
  <c r="BU384" i="5"/>
  <c r="BO383" i="5"/>
  <c r="BZ383" i="5" s="1"/>
  <c r="AB383" i="29"/>
  <c r="BU349" i="5"/>
  <c r="CA349" i="5" s="1"/>
  <c r="X381" i="29"/>
  <c r="Y382" i="29"/>
  <c r="BN382" i="5"/>
  <c r="J476" i="5"/>
  <c r="B476" i="24"/>
  <c r="C477" i="24"/>
  <c r="H477" i="24" s="1"/>
  <c r="D477" i="24"/>
  <c r="E476" i="24"/>
  <c r="AB348" i="29"/>
  <c r="BN347" i="5"/>
  <c r="Y347" i="29"/>
  <c r="BO347" i="5" s="1"/>
  <c r="E478" i="5"/>
  <c r="C479" i="5"/>
  <c r="D479" i="5"/>
  <c r="B478" i="5"/>
  <c r="AC477" i="5"/>
  <c r="AE477" i="5" s="1"/>
  <c r="V477" i="5"/>
  <c r="X477" i="5" s="1"/>
  <c r="AJ477" i="5"/>
  <c r="I477" i="5"/>
  <c r="AL476" i="5"/>
  <c r="CA476" i="5" s="1"/>
  <c r="AK476" i="5"/>
  <c r="AD476" i="5"/>
  <c r="BP348" i="5"/>
  <c r="BU348" i="5"/>
  <c r="D477" i="25"/>
  <c r="B476" i="25"/>
  <c r="C477" i="25"/>
  <c r="H477" i="25" s="1"/>
  <c r="E476" i="25"/>
  <c r="Y474" i="2"/>
  <c r="E476" i="2"/>
  <c r="C477" i="2"/>
  <c r="B476" i="2"/>
  <c r="D477" i="2"/>
  <c r="AU474" i="2"/>
  <c r="AV474" i="2"/>
  <c r="AD475" i="2"/>
  <c r="AF475" i="2" s="1"/>
  <c r="P475" i="2"/>
  <c r="W475" i="2"/>
  <c r="J475" i="2"/>
  <c r="Q474" i="2"/>
  <c r="Q475" i="2" s="1"/>
  <c r="AE474" i="2"/>
  <c r="AE475" i="2" s="1"/>
  <c r="K474" i="2"/>
  <c r="C734" i="26"/>
  <c r="D734" i="26"/>
  <c r="B733" i="26"/>
  <c r="E733" i="26"/>
  <c r="X346" i="29"/>
  <c r="BP383" i="5" l="1"/>
  <c r="BU383" i="5"/>
  <c r="BO382" i="5"/>
  <c r="BZ382" i="5" s="1"/>
  <c r="AB382" i="29"/>
  <c r="CA384" i="5"/>
  <c r="AB347" i="29"/>
  <c r="BP347" i="5" s="1"/>
  <c r="X380" i="29"/>
  <c r="BN381" i="5"/>
  <c r="Y381" i="29"/>
  <c r="BZ477" i="5"/>
  <c r="D478" i="24"/>
  <c r="E477" i="24"/>
  <c r="C478" i="24"/>
  <c r="H478" i="24" s="1"/>
  <c r="B477" i="24"/>
  <c r="CA348" i="5"/>
  <c r="BN346" i="5"/>
  <c r="Y346" i="29"/>
  <c r="BO346" i="5" s="1"/>
  <c r="C480" i="5"/>
  <c r="E479" i="5"/>
  <c r="D480" i="5"/>
  <c r="B479" i="5"/>
  <c r="W477" i="5"/>
  <c r="AK477" i="5"/>
  <c r="AL477" i="5"/>
  <c r="CA477" i="5" s="1"/>
  <c r="AC478" i="5"/>
  <c r="AE478" i="5" s="1"/>
  <c r="AJ478" i="5"/>
  <c r="V478" i="5"/>
  <c r="X478" i="5" s="1"/>
  <c r="I478" i="5"/>
  <c r="AD477" i="5"/>
  <c r="AD478" i="5" s="1"/>
  <c r="J477" i="5"/>
  <c r="E477" i="25"/>
  <c r="B477" i="25"/>
  <c r="C478" i="25"/>
  <c r="H478" i="25" s="1"/>
  <c r="D478" i="25"/>
  <c r="D478" i="2"/>
  <c r="C478" i="2"/>
  <c r="E477" i="2"/>
  <c r="B477" i="2"/>
  <c r="Y475" i="2"/>
  <c r="AU475" i="2"/>
  <c r="R475" i="2"/>
  <c r="P476" i="2"/>
  <c r="R476" i="2" s="1"/>
  <c r="AD476" i="2"/>
  <c r="AF476" i="2" s="1"/>
  <c r="W476" i="2"/>
  <c r="J476" i="2"/>
  <c r="AU476" i="2" s="1"/>
  <c r="K475" i="2"/>
  <c r="D735" i="26"/>
  <c r="B734" i="26"/>
  <c r="E734" i="26"/>
  <c r="C735" i="26"/>
  <c r="X345" i="29"/>
  <c r="BO381" i="5" l="1"/>
  <c r="BZ381" i="5" s="1"/>
  <c r="AB381" i="29"/>
  <c r="BU347" i="5"/>
  <c r="CA347" i="5" s="1"/>
  <c r="BP382" i="5"/>
  <c r="BU382" i="5"/>
  <c r="CA383" i="5"/>
  <c r="AB346" i="29"/>
  <c r="BU346" i="5" s="1"/>
  <c r="X379" i="29"/>
  <c r="BN380" i="5"/>
  <c r="Y380" i="29"/>
  <c r="C479" i="24"/>
  <c r="H479" i="24" s="1"/>
  <c r="D479" i="24"/>
  <c r="B478" i="24"/>
  <c r="E478" i="24"/>
  <c r="BN345" i="5"/>
  <c r="Y345" i="29"/>
  <c r="BO345" i="5" s="1"/>
  <c r="BZ478" i="5"/>
  <c r="AL478" i="5"/>
  <c r="CA478" i="5" s="1"/>
  <c r="AK478" i="5"/>
  <c r="W478" i="5"/>
  <c r="E480" i="5"/>
  <c r="C481" i="5"/>
  <c r="D481" i="5"/>
  <c r="B480" i="5"/>
  <c r="AC479" i="5"/>
  <c r="AE479" i="5" s="1"/>
  <c r="V479" i="5"/>
  <c r="X479" i="5" s="1"/>
  <c r="AJ479" i="5"/>
  <c r="I479" i="5"/>
  <c r="BZ479" i="5" s="1"/>
  <c r="J478" i="5"/>
  <c r="B478" i="25"/>
  <c r="E478" i="25"/>
  <c r="D479" i="25"/>
  <c r="C479" i="25"/>
  <c r="H479" i="25" s="1"/>
  <c r="Y476" i="2"/>
  <c r="AV476" i="2" s="1"/>
  <c r="AV475" i="2"/>
  <c r="AE476" i="2"/>
  <c r="AD477" i="2"/>
  <c r="AF477" i="2" s="1"/>
  <c r="P477" i="2"/>
  <c r="R477" i="2" s="1"/>
  <c r="W477" i="2"/>
  <c r="J477" i="2"/>
  <c r="AU477" i="2" s="1"/>
  <c r="D479" i="2"/>
  <c r="C479" i="2"/>
  <c r="B478" i="2"/>
  <c r="E478" i="2"/>
  <c r="K476" i="2"/>
  <c r="Q476" i="2"/>
  <c r="Q477" i="2" s="1"/>
  <c r="B735" i="26"/>
  <c r="C736" i="26"/>
  <c r="E735" i="26"/>
  <c r="D736" i="26"/>
  <c r="X344" i="29"/>
  <c r="K477" i="2" l="1"/>
  <c r="BP346" i="5"/>
  <c r="BO380" i="5"/>
  <c r="BZ380" i="5" s="1"/>
  <c r="AB380" i="29"/>
  <c r="CA382" i="5"/>
  <c r="BU381" i="5"/>
  <c r="BP381" i="5"/>
  <c r="CA381" i="5" s="1"/>
  <c r="AB345" i="29"/>
  <c r="BU345" i="5" s="1"/>
  <c r="X378" i="29"/>
  <c r="Y379" i="29"/>
  <c r="BN379" i="5"/>
  <c r="B479" i="24"/>
  <c r="E479" i="24"/>
  <c r="C480" i="24"/>
  <c r="H480" i="24" s="1"/>
  <c r="D480" i="24"/>
  <c r="BN344" i="5"/>
  <c r="Y344" i="29"/>
  <c r="BO344" i="5" s="1"/>
  <c r="CA346" i="5"/>
  <c r="AL479" i="5"/>
  <c r="CA479" i="5" s="1"/>
  <c r="AK479" i="5"/>
  <c r="W479" i="5"/>
  <c r="E481" i="5"/>
  <c r="C482" i="5"/>
  <c r="D482" i="5"/>
  <c r="B481" i="5"/>
  <c r="AC480" i="5"/>
  <c r="AE480" i="5" s="1"/>
  <c r="V480" i="5"/>
  <c r="X480" i="5" s="1"/>
  <c r="AJ480" i="5"/>
  <c r="I480" i="5"/>
  <c r="BZ480" i="5" s="1"/>
  <c r="AD479" i="5"/>
  <c r="AD480" i="5" s="1"/>
  <c r="J479" i="5"/>
  <c r="B479" i="25"/>
  <c r="E479" i="25"/>
  <c r="C480" i="25"/>
  <c r="H480" i="25" s="1"/>
  <c r="D480" i="25"/>
  <c r="AD478" i="2"/>
  <c r="AF478" i="2" s="1"/>
  <c r="P478" i="2"/>
  <c r="W478" i="2"/>
  <c r="J478" i="2"/>
  <c r="K478" i="2" s="1"/>
  <c r="E479" i="2"/>
  <c r="D480" i="2"/>
  <c r="C480" i="2"/>
  <c r="B479" i="2"/>
  <c r="Y477" i="2"/>
  <c r="AV477" i="2" s="1"/>
  <c r="AE477" i="2"/>
  <c r="AE478" i="2" s="1"/>
  <c r="C737" i="26"/>
  <c r="E736" i="26"/>
  <c r="B736" i="26"/>
  <c r="D737" i="26"/>
  <c r="X343" i="29"/>
  <c r="BO379" i="5" l="1"/>
  <c r="BZ379" i="5" s="1"/>
  <c r="AB379" i="29"/>
  <c r="BP345" i="5"/>
  <c r="BP380" i="5"/>
  <c r="BU380" i="5"/>
  <c r="X377" i="29"/>
  <c r="Y378" i="29"/>
  <c r="BN378" i="5"/>
  <c r="E480" i="24"/>
  <c r="C481" i="24"/>
  <c r="H481" i="24" s="1"/>
  <c r="B480" i="24"/>
  <c r="D481" i="24"/>
  <c r="AB344" i="29"/>
  <c r="BP344" i="5" s="1"/>
  <c r="BN343" i="5"/>
  <c r="Y343" i="29"/>
  <c r="BO343" i="5" s="1"/>
  <c r="AK480" i="5"/>
  <c r="AL480" i="5"/>
  <c r="CA480" i="5" s="1"/>
  <c r="E482" i="5"/>
  <c r="C483" i="5"/>
  <c r="D483" i="5"/>
  <c r="B482" i="5"/>
  <c r="AC481" i="5"/>
  <c r="AE481" i="5" s="1"/>
  <c r="V481" i="5"/>
  <c r="X481" i="5" s="1"/>
  <c r="AJ481" i="5"/>
  <c r="I481" i="5"/>
  <c r="W480" i="5"/>
  <c r="CA345" i="5"/>
  <c r="J480" i="5"/>
  <c r="E480" i="25"/>
  <c r="D481" i="25"/>
  <c r="B480" i="25"/>
  <c r="C481" i="25"/>
  <c r="H481" i="25" s="1"/>
  <c r="C481" i="2"/>
  <c r="B480" i="2"/>
  <c r="E480" i="2"/>
  <c r="D481" i="2"/>
  <c r="P479" i="2"/>
  <c r="R479" i="2" s="1"/>
  <c r="AD479" i="2"/>
  <c r="AF479" i="2" s="1"/>
  <c r="W479" i="2"/>
  <c r="J479" i="2"/>
  <c r="K479" i="2" s="1"/>
  <c r="Y478" i="2"/>
  <c r="R478" i="2"/>
  <c r="AU478" i="2"/>
  <c r="Q478" i="2"/>
  <c r="E737" i="26"/>
  <c r="B737" i="26"/>
  <c r="X342" i="29"/>
  <c r="CA380" i="5" l="1"/>
  <c r="BU379" i="5"/>
  <c r="BP379" i="5"/>
  <c r="CA379" i="5" s="1"/>
  <c r="BO378" i="5"/>
  <c r="BZ378" i="5" s="1"/>
  <c r="AB378" i="29"/>
  <c r="BU344" i="5"/>
  <c r="CA344" i="5" s="1"/>
  <c r="AB343" i="29"/>
  <c r="BP343" i="5" s="1"/>
  <c r="X376" i="29"/>
  <c r="BN377" i="5"/>
  <c r="Y377" i="29"/>
  <c r="B481" i="24"/>
  <c r="D482" i="24"/>
  <c r="C482" i="24"/>
  <c r="H482" i="24" s="1"/>
  <c r="E481" i="24"/>
  <c r="BN342" i="5"/>
  <c r="Y342" i="29"/>
  <c r="BO342" i="5" s="1"/>
  <c r="BZ481" i="5"/>
  <c r="AL481" i="5"/>
  <c r="CA481" i="5" s="1"/>
  <c r="AK481" i="5"/>
  <c r="D484" i="5"/>
  <c r="C484" i="5"/>
  <c r="E483" i="5"/>
  <c r="B483" i="5"/>
  <c r="AC482" i="5"/>
  <c r="AE482" i="5" s="1"/>
  <c r="V482" i="5"/>
  <c r="X482" i="5" s="1"/>
  <c r="AJ482" i="5"/>
  <c r="I482" i="5"/>
  <c r="J481" i="5"/>
  <c r="J482" i="5" s="1"/>
  <c r="W481" i="5"/>
  <c r="AD481" i="5"/>
  <c r="E481" i="25"/>
  <c r="B481" i="25"/>
  <c r="C482" i="25"/>
  <c r="H482" i="25" s="1"/>
  <c r="D482" i="25"/>
  <c r="AV478" i="2"/>
  <c r="AU479" i="2"/>
  <c r="Y479" i="2"/>
  <c r="AV479" i="2"/>
  <c r="C482" i="2"/>
  <c r="E481" i="2"/>
  <c r="B481" i="2"/>
  <c r="D482" i="2"/>
  <c r="AD480" i="2"/>
  <c r="AF480" i="2" s="1"/>
  <c r="P480" i="2"/>
  <c r="W480" i="2"/>
  <c r="J480" i="2"/>
  <c r="K480" i="2" s="1"/>
  <c r="Q479" i="2"/>
  <c r="AE479" i="2"/>
  <c r="X341" i="29"/>
  <c r="BU378" i="5" l="1"/>
  <c r="BP378" i="5"/>
  <c r="CA378" i="5" s="1"/>
  <c r="BU343" i="5"/>
  <c r="BO377" i="5"/>
  <c r="BZ377" i="5" s="1"/>
  <c r="AB377" i="29"/>
  <c r="AB342" i="29"/>
  <c r="BP342" i="5" s="1"/>
  <c r="X375" i="29"/>
  <c r="BN376" i="5"/>
  <c r="Y376" i="29"/>
  <c r="D483" i="24"/>
  <c r="E482" i="24"/>
  <c r="C483" i="24"/>
  <c r="H483" i="24" s="1"/>
  <c r="B482" i="24"/>
  <c r="BN341" i="5"/>
  <c r="Y341" i="29"/>
  <c r="BO341" i="5" s="1"/>
  <c r="CA343" i="5"/>
  <c r="BZ482" i="5"/>
  <c r="AK482" i="5"/>
  <c r="AL482" i="5"/>
  <c r="CA482" i="5" s="1"/>
  <c r="W482" i="5"/>
  <c r="AC483" i="5"/>
  <c r="AE483" i="5" s="1"/>
  <c r="AJ483" i="5"/>
  <c r="V483" i="5"/>
  <c r="X483" i="5" s="1"/>
  <c r="I483" i="5"/>
  <c r="E484" i="5"/>
  <c r="B484" i="5"/>
  <c r="C485" i="5"/>
  <c r="D485" i="5"/>
  <c r="AD482" i="5"/>
  <c r="D483" i="25"/>
  <c r="B482" i="25"/>
  <c r="E482" i="25"/>
  <c r="C483" i="25"/>
  <c r="H483" i="25" s="1"/>
  <c r="Y480" i="2"/>
  <c r="B482" i="2"/>
  <c r="C483" i="2"/>
  <c r="E482" i="2"/>
  <c r="D483" i="2"/>
  <c r="R480" i="2"/>
  <c r="AV480" i="2" s="1"/>
  <c r="AU480" i="2"/>
  <c r="P481" i="2"/>
  <c r="R481" i="2" s="1"/>
  <c r="AD481" i="2"/>
  <c r="AF481" i="2" s="1"/>
  <c r="W481" i="2"/>
  <c r="J481" i="2"/>
  <c r="AU481" i="2" s="1"/>
  <c r="AE480" i="2"/>
  <c r="AE481" i="2" s="1"/>
  <c r="Q480" i="2"/>
  <c r="X340" i="29"/>
  <c r="BO376" i="5" l="1"/>
  <c r="BZ376" i="5" s="1"/>
  <c r="AB376" i="29"/>
  <c r="BP377" i="5"/>
  <c r="BU377" i="5"/>
  <c r="BU342" i="5"/>
  <c r="AB341" i="29"/>
  <c r="BP341" i="5" s="1"/>
  <c r="X374" i="29"/>
  <c r="BN375" i="5"/>
  <c r="Y375" i="29"/>
  <c r="BZ483" i="5"/>
  <c r="D484" i="24"/>
  <c r="B483" i="24"/>
  <c r="E483" i="24"/>
  <c r="C484" i="24"/>
  <c r="H484" i="24" s="1"/>
  <c r="BN340" i="5"/>
  <c r="Y340" i="29"/>
  <c r="BO340" i="5" s="1"/>
  <c r="W483" i="5"/>
  <c r="AD483" i="5"/>
  <c r="AC484" i="5"/>
  <c r="AE484" i="5" s="1"/>
  <c r="V484" i="5"/>
  <c r="X484" i="5" s="1"/>
  <c r="AJ484" i="5"/>
  <c r="I484" i="5"/>
  <c r="AK483" i="5"/>
  <c r="AL483" i="5"/>
  <c r="CA483" i="5"/>
  <c r="CA342" i="5"/>
  <c r="D486" i="5"/>
  <c r="B485" i="5"/>
  <c r="C486" i="5"/>
  <c r="E485" i="5"/>
  <c r="J483" i="5"/>
  <c r="E483" i="25"/>
  <c r="C484" i="25"/>
  <c r="H484" i="25" s="1"/>
  <c r="B483" i="25"/>
  <c r="D484" i="25"/>
  <c r="Y481" i="2"/>
  <c r="AV481" i="2"/>
  <c r="C484" i="2"/>
  <c r="B483" i="2"/>
  <c r="E483" i="2"/>
  <c r="D484" i="2"/>
  <c r="AD482" i="2"/>
  <c r="AF482" i="2" s="1"/>
  <c r="P482" i="2"/>
  <c r="W482" i="2"/>
  <c r="J482" i="2"/>
  <c r="Q481" i="2"/>
  <c r="Q482" i="2" s="1"/>
  <c r="K481" i="2"/>
  <c r="K482" i="2" s="1"/>
  <c r="BO375" i="5" l="1"/>
  <c r="BZ375" i="5" s="1"/>
  <c r="AB375" i="29"/>
  <c r="BU341" i="5"/>
  <c r="CA377" i="5"/>
  <c r="BP376" i="5"/>
  <c r="BU376" i="5"/>
  <c r="AB340" i="29"/>
  <c r="BP340" i="5" s="1"/>
  <c r="Y374" i="29"/>
  <c r="AB374" i="29" s="1"/>
  <c r="BN374" i="5"/>
  <c r="B484" i="24"/>
  <c r="C485" i="24"/>
  <c r="H485" i="24" s="1"/>
  <c r="E484" i="24"/>
  <c r="D485" i="24"/>
  <c r="E486" i="5"/>
  <c r="D487" i="5"/>
  <c r="C487" i="5"/>
  <c r="B486" i="5"/>
  <c r="BZ484" i="5"/>
  <c r="AL484" i="5"/>
  <c r="AK484" i="5"/>
  <c r="CA341" i="5"/>
  <c r="J484" i="5"/>
  <c r="CA484" i="5"/>
  <c r="AC485" i="5"/>
  <c r="AE485" i="5" s="1"/>
  <c r="V485" i="5"/>
  <c r="X485" i="5" s="1"/>
  <c r="AJ485" i="5"/>
  <c r="I485" i="5"/>
  <c r="AD484" i="5"/>
  <c r="W484" i="5"/>
  <c r="E484" i="25"/>
  <c r="D485" i="25"/>
  <c r="B484" i="25"/>
  <c r="C485" i="25"/>
  <c r="H485" i="25" s="1"/>
  <c r="C485" i="2"/>
  <c r="E484" i="2"/>
  <c r="D485" i="2"/>
  <c r="B484" i="2"/>
  <c r="Y482" i="2"/>
  <c r="R482" i="2"/>
  <c r="AU482" i="2"/>
  <c r="P483" i="2"/>
  <c r="R483" i="2" s="1"/>
  <c r="AD483" i="2"/>
  <c r="AF483" i="2" s="1"/>
  <c r="W483" i="2"/>
  <c r="J483" i="2"/>
  <c r="AU483" i="2" s="1"/>
  <c r="AE482" i="2"/>
  <c r="AH373" i="29"/>
  <c r="AE373" i="29" s="1"/>
  <c r="J485" i="5" l="1"/>
  <c r="CA376" i="5"/>
  <c r="BU374" i="5"/>
  <c r="BP374" i="5"/>
  <c r="CA374" i="5" s="1"/>
  <c r="BU340" i="5"/>
  <c r="BP375" i="5"/>
  <c r="BU375" i="5"/>
  <c r="AC404" i="29"/>
  <c r="BO374" i="5"/>
  <c r="BZ374" i="5" s="1"/>
  <c r="C486" i="24"/>
  <c r="H486" i="24" s="1"/>
  <c r="E485" i="24"/>
  <c r="B485" i="24"/>
  <c r="D486" i="24"/>
  <c r="CA340" i="5"/>
  <c r="CA370" i="5" s="1"/>
  <c r="AE369" i="29"/>
  <c r="AE368" i="29" s="1"/>
  <c r="AF373" i="29"/>
  <c r="I86" i="20"/>
  <c r="W485" i="5"/>
  <c r="AD485" i="5"/>
  <c r="E487" i="5"/>
  <c r="D488" i="5"/>
  <c r="B487" i="5"/>
  <c r="C488" i="5"/>
  <c r="BZ485" i="5"/>
  <c r="AC486" i="5"/>
  <c r="AE486" i="5" s="1"/>
  <c r="V486" i="5"/>
  <c r="X486" i="5" s="1"/>
  <c r="AJ486" i="5"/>
  <c r="I486" i="5"/>
  <c r="AK485" i="5"/>
  <c r="AL485" i="5"/>
  <c r="CA485" i="5" s="1"/>
  <c r="C486" i="25"/>
  <c r="H486" i="25" s="1"/>
  <c r="D486" i="25"/>
  <c r="E485" i="25"/>
  <c r="B485" i="25"/>
  <c r="Y483" i="2"/>
  <c r="Q483" i="2"/>
  <c r="AV483" i="2"/>
  <c r="AV482" i="2"/>
  <c r="K483" i="2"/>
  <c r="B485" i="2"/>
  <c r="E485" i="2"/>
  <c r="C486" i="2"/>
  <c r="D486" i="2"/>
  <c r="AD484" i="2"/>
  <c r="AF484" i="2" s="1"/>
  <c r="P484" i="2"/>
  <c r="R484" i="2" s="1"/>
  <c r="W484" i="2"/>
  <c r="J484" i="2"/>
  <c r="AU484" i="2" s="1"/>
  <c r="AE483" i="2"/>
  <c r="BS373" i="5"/>
  <c r="BY373" i="5" s="1"/>
  <c r="CA375" i="5" l="1"/>
  <c r="BY738" i="5"/>
  <c r="I93" i="20"/>
  <c r="E22" i="32" s="1"/>
  <c r="C487" i="24"/>
  <c r="H487" i="24" s="1"/>
  <c r="D487" i="24"/>
  <c r="E486" i="24"/>
  <c r="B486" i="24"/>
  <c r="BS368" i="5"/>
  <c r="BY368" i="5" s="1"/>
  <c r="AF368" i="29"/>
  <c r="BT368" i="5" s="1"/>
  <c r="BZ368" i="5" s="1"/>
  <c r="BS369" i="5"/>
  <c r="BY369" i="5" s="1"/>
  <c r="AF369" i="29"/>
  <c r="AL486" i="5"/>
  <c r="CA486" i="5" s="1"/>
  <c r="AK486" i="5"/>
  <c r="C489" i="5"/>
  <c r="D489" i="5"/>
  <c r="E488" i="5"/>
  <c r="B488" i="5"/>
  <c r="W486" i="5"/>
  <c r="BZ486" i="5"/>
  <c r="AC487" i="5"/>
  <c r="AE487" i="5" s="1"/>
  <c r="V487" i="5"/>
  <c r="X487" i="5" s="1"/>
  <c r="AJ487" i="5"/>
  <c r="I487" i="5"/>
  <c r="AD486" i="5"/>
  <c r="J486" i="5"/>
  <c r="D487" i="25"/>
  <c r="E486" i="25"/>
  <c r="C487" i="25"/>
  <c r="H487" i="25" s="1"/>
  <c r="B486" i="25"/>
  <c r="Y484" i="2"/>
  <c r="P485" i="2"/>
  <c r="R485" i="2" s="1"/>
  <c r="AD485" i="2"/>
  <c r="AF485" i="2" s="1"/>
  <c r="W485" i="2"/>
  <c r="J485" i="2"/>
  <c r="AU485" i="2" s="1"/>
  <c r="AV484" i="2"/>
  <c r="B486" i="2"/>
  <c r="E486" i="2"/>
  <c r="D487" i="2"/>
  <c r="C487" i="2"/>
  <c r="K484" i="2"/>
  <c r="K485" i="2" s="1"/>
  <c r="Q484" i="2"/>
  <c r="Q485" i="2" s="1"/>
  <c r="AE484" i="2"/>
  <c r="AE485" i="2" s="1"/>
  <c r="AE367" i="29"/>
  <c r="BT373" i="5"/>
  <c r="AI373" i="29"/>
  <c r="AI368" i="29" l="1"/>
  <c r="M88" i="20"/>
  <c r="M93" i="20"/>
  <c r="C8" i="30"/>
  <c r="I105" i="20"/>
  <c r="C21" i="30" s="1"/>
  <c r="E487" i="24"/>
  <c r="C488" i="24"/>
  <c r="H488" i="24" s="1"/>
  <c r="D488" i="24"/>
  <c r="B487" i="24"/>
  <c r="BT369" i="5"/>
  <c r="BZ369" i="5" s="1"/>
  <c r="AI369" i="29"/>
  <c r="BS367" i="5"/>
  <c r="BY367" i="5" s="1"/>
  <c r="AF367" i="29"/>
  <c r="BT367" i="5" s="1"/>
  <c r="BZ367" i="5" s="1"/>
  <c r="AK487" i="5"/>
  <c r="AL487" i="5"/>
  <c r="CA487" i="5" s="1"/>
  <c r="W487" i="5"/>
  <c r="J487" i="5"/>
  <c r="BZ487" i="5"/>
  <c r="AC488" i="5"/>
  <c r="AE488" i="5" s="1"/>
  <c r="AJ488" i="5"/>
  <c r="V488" i="5"/>
  <c r="X488" i="5" s="1"/>
  <c r="I488" i="5"/>
  <c r="B489" i="5"/>
  <c r="C490" i="5"/>
  <c r="E489" i="5"/>
  <c r="D490" i="5"/>
  <c r="AD487" i="5"/>
  <c r="B487" i="25"/>
  <c r="E487" i="25"/>
  <c r="C488" i="25"/>
  <c r="H488" i="25" s="1"/>
  <c r="D488" i="25"/>
  <c r="P486" i="2"/>
  <c r="R486" i="2" s="1"/>
  <c r="AD486" i="2"/>
  <c r="AF486" i="2" s="1"/>
  <c r="W486" i="2"/>
  <c r="J486" i="2"/>
  <c r="AU486" i="2" s="1"/>
  <c r="AE486" i="2"/>
  <c r="K486" i="2"/>
  <c r="E487" i="2"/>
  <c r="C488" i="2"/>
  <c r="D488" i="2"/>
  <c r="B487" i="2"/>
  <c r="Y485" i="2"/>
  <c r="AV485" i="2" s="1"/>
  <c r="AE366" i="29"/>
  <c r="AI367" i="29" l="1"/>
  <c r="M105" i="20"/>
  <c r="I21" i="30" s="1"/>
  <c r="I8" i="30"/>
  <c r="C489" i="24"/>
  <c r="H489" i="24" s="1"/>
  <c r="D489" i="24"/>
  <c r="B488" i="24"/>
  <c r="E488" i="24"/>
  <c r="BS366" i="5"/>
  <c r="BY366" i="5" s="1"/>
  <c r="AF366" i="29"/>
  <c r="BT366" i="5" s="1"/>
  <c r="BZ366" i="5" s="1"/>
  <c r="AC489" i="5"/>
  <c r="AE489" i="5" s="1"/>
  <c r="V489" i="5"/>
  <c r="X489" i="5" s="1"/>
  <c r="AJ489" i="5"/>
  <c r="I489" i="5"/>
  <c r="BZ488" i="5"/>
  <c r="AL488" i="5"/>
  <c r="CA488" i="5" s="1"/>
  <c r="AK488" i="5"/>
  <c r="J488" i="5"/>
  <c r="W488" i="5"/>
  <c r="W489" i="5" s="1"/>
  <c r="AD488" i="5"/>
  <c r="AD489" i="5" s="1"/>
  <c r="B490" i="5"/>
  <c r="D491" i="5"/>
  <c r="E490" i="5"/>
  <c r="C491" i="5"/>
  <c r="C489" i="25"/>
  <c r="H489" i="25" s="1"/>
  <c r="D489" i="25"/>
  <c r="B488" i="25"/>
  <c r="E488" i="25"/>
  <c r="E488" i="2"/>
  <c r="B488" i="2"/>
  <c r="C489" i="2"/>
  <c r="D489" i="2"/>
  <c r="AD487" i="2"/>
  <c r="AF487" i="2" s="1"/>
  <c r="P487" i="2"/>
  <c r="R487" i="2" s="1"/>
  <c r="W487" i="2"/>
  <c r="J487" i="2"/>
  <c r="K487" i="2" s="1"/>
  <c r="AE487" i="2"/>
  <c r="Y486" i="2"/>
  <c r="AV486" i="2" s="1"/>
  <c r="Q486" i="2"/>
  <c r="Q487" i="2" s="1"/>
  <c r="AI366" i="29"/>
  <c r="AE365" i="29"/>
  <c r="J489" i="5" l="1"/>
  <c r="I10" i="30"/>
  <c r="I12" i="30"/>
  <c r="B489" i="24"/>
  <c r="E489" i="24"/>
  <c r="C490" i="24"/>
  <c r="H490" i="24" s="1"/>
  <c r="D490" i="24"/>
  <c r="BS365" i="5"/>
  <c r="BY365" i="5" s="1"/>
  <c r="AF365" i="29"/>
  <c r="BT365" i="5" s="1"/>
  <c r="BZ365" i="5" s="1"/>
  <c r="BZ489" i="5"/>
  <c r="D492" i="5"/>
  <c r="B491" i="5"/>
  <c r="E491" i="5"/>
  <c r="C492" i="5"/>
  <c r="AK489" i="5"/>
  <c r="AL489" i="5"/>
  <c r="CA489" i="5" s="1"/>
  <c r="AC490" i="5"/>
  <c r="AE490" i="5" s="1"/>
  <c r="AJ490" i="5"/>
  <c r="V490" i="5"/>
  <c r="X490" i="5" s="1"/>
  <c r="I490" i="5"/>
  <c r="J490" i="5" s="1"/>
  <c r="B489" i="25"/>
  <c r="C490" i="25"/>
  <c r="H490" i="25" s="1"/>
  <c r="E489" i="25"/>
  <c r="D490" i="25"/>
  <c r="AU487" i="2"/>
  <c r="Y487" i="2"/>
  <c r="AV487" i="2" s="1"/>
  <c r="D490" i="2"/>
  <c r="B489" i="2"/>
  <c r="C490" i="2"/>
  <c r="E489" i="2"/>
  <c r="P488" i="2"/>
  <c r="R488" i="2" s="1"/>
  <c r="AD488" i="2"/>
  <c r="AF488" i="2" s="1"/>
  <c r="W488" i="2"/>
  <c r="J488" i="2"/>
  <c r="AE364" i="29"/>
  <c r="I13" i="30" l="1"/>
  <c r="AI365" i="29"/>
  <c r="C491" i="24"/>
  <c r="H491" i="24" s="1"/>
  <c r="D491" i="24"/>
  <c r="B490" i="24"/>
  <c r="E490" i="24"/>
  <c r="BS364" i="5"/>
  <c r="BY364" i="5" s="1"/>
  <c r="AF364" i="29"/>
  <c r="BT364" i="5" s="1"/>
  <c r="BZ364" i="5" s="1"/>
  <c r="AL490" i="5"/>
  <c r="CA490" i="5" s="1"/>
  <c r="AK490" i="5"/>
  <c r="W490" i="5"/>
  <c r="AD490" i="5"/>
  <c r="AC491" i="5"/>
  <c r="AE491" i="5" s="1"/>
  <c r="V491" i="5"/>
  <c r="X491" i="5" s="1"/>
  <c r="AJ491" i="5"/>
  <c r="I491" i="5"/>
  <c r="E492" i="5"/>
  <c r="B492" i="5"/>
  <c r="C493" i="5"/>
  <c r="D493" i="5"/>
  <c r="BZ490" i="5"/>
  <c r="E490" i="25"/>
  <c r="C491" i="25"/>
  <c r="H491" i="25" s="1"/>
  <c r="D491" i="25"/>
  <c r="B490" i="25"/>
  <c r="Y488" i="2"/>
  <c r="AV488" i="2" s="1"/>
  <c r="AU488" i="2"/>
  <c r="AD489" i="2"/>
  <c r="AF489" i="2" s="1"/>
  <c r="P489" i="2"/>
  <c r="W489" i="2"/>
  <c r="J489" i="2"/>
  <c r="C491" i="2"/>
  <c r="B490" i="2"/>
  <c r="D491" i="2"/>
  <c r="E490" i="2"/>
  <c r="K488" i="2"/>
  <c r="AE488" i="2"/>
  <c r="AE489" i="2" s="1"/>
  <c r="Q488" i="2"/>
  <c r="Q489" i="2" s="1"/>
  <c r="AE363" i="29"/>
  <c r="AI364" i="29"/>
  <c r="K489" i="2" l="1"/>
  <c r="D492" i="24"/>
  <c r="C492" i="24"/>
  <c r="H492" i="24" s="1"/>
  <c r="B491" i="24"/>
  <c r="E491" i="24"/>
  <c r="BS363" i="5"/>
  <c r="BY363" i="5" s="1"/>
  <c r="AF363" i="29"/>
  <c r="BT363" i="5" s="1"/>
  <c r="BZ363" i="5" s="1"/>
  <c r="BZ491" i="5"/>
  <c r="B493" i="5"/>
  <c r="D494" i="5"/>
  <c r="E493" i="5"/>
  <c r="C494" i="5"/>
  <c r="AC492" i="5"/>
  <c r="AE492" i="5" s="1"/>
  <c r="AJ492" i="5"/>
  <c r="V492" i="5"/>
  <c r="X492" i="5" s="1"/>
  <c r="I492" i="5"/>
  <c r="AK491" i="5"/>
  <c r="AL491" i="5"/>
  <c r="CA491" i="5" s="1"/>
  <c r="J491" i="5"/>
  <c r="AD491" i="5"/>
  <c r="AD492" i="5" s="1"/>
  <c r="W491" i="5"/>
  <c r="B491" i="25"/>
  <c r="E491" i="25"/>
  <c r="C492" i="25"/>
  <c r="H492" i="25" s="1"/>
  <c r="D492" i="25"/>
  <c r="C492" i="2"/>
  <c r="D492" i="2"/>
  <c r="B491" i="2"/>
  <c r="E491" i="2"/>
  <c r="P490" i="2"/>
  <c r="R490" i="2" s="1"/>
  <c r="AD490" i="2"/>
  <c r="AF490" i="2" s="1"/>
  <c r="W490" i="2"/>
  <c r="J490" i="2"/>
  <c r="Y489" i="2"/>
  <c r="AV489" i="2" s="1"/>
  <c r="AU489" i="2"/>
  <c r="R489" i="2"/>
  <c r="AE362" i="29"/>
  <c r="AI363" i="29"/>
  <c r="J492" i="5" l="1"/>
  <c r="BZ492" i="5"/>
  <c r="E492" i="24"/>
  <c r="D493" i="24"/>
  <c r="C493" i="24"/>
  <c r="H493" i="24" s="1"/>
  <c r="B492" i="24"/>
  <c r="BS362" i="5"/>
  <c r="BY362" i="5" s="1"/>
  <c r="AF362" i="29"/>
  <c r="BT362" i="5" s="1"/>
  <c r="BZ362" i="5" s="1"/>
  <c r="AC493" i="5"/>
  <c r="AE493" i="5" s="1"/>
  <c r="AJ493" i="5"/>
  <c r="V493" i="5"/>
  <c r="X493" i="5" s="1"/>
  <c r="I493" i="5"/>
  <c r="AD493" i="5"/>
  <c r="D495" i="5"/>
  <c r="B494" i="5"/>
  <c r="E494" i="5"/>
  <c r="C495" i="5"/>
  <c r="AK492" i="5"/>
  <c r="AL492" i="5"/>
  <c r="CA492" i="5" s="1"/>
  <c r="W492" i="5"/>
  <c r="B492" i="25"/>
  <c r="E492" i="25"/>
  <c r="D493" i="25"/>
  <c r="C493" i="25"/>
  <c r="H493" i="25" s="1"/>
  <c r="AU490" i="2"/>
  <c r="Y490" i="2"/>
  <c r="AV490" i="2" s="1"/>
  <c r="K490" i="2"/>
  <c r="Q490" i="2"/>
  <c r="AD491" i="2"/>
  <c r="AF491" i="2" s="1"/>
  <c r="P491" i="2"/>
  <c r="R491" i="2" s="1"/>
  <c r="W491" i="2"/>
  <c r="J491" i="2"/>
  <c r="AU491" i="2" s="1"/>
  <c r="B492" i="2"/>
  <c r="E492" i="2"/>
  <c r="C493" i="2"/>
  <c r="D493" i="2"/>
  <c r="AE490" i="2"/>
  <c r="AE361" i="29"/>
  <c r="AI362" i="29" l="1"/>
  <c r="J493" i="5"/>
  <c r="E493" i="24"/>
  <c r="C494" i="24"/>
  <c r="H494" i="24" s="1"/>
  <c r="B493" i="24"/>
  <c r="D494" i="24"/>
  <c r="BS361" i="5"/>
  <c r="BY361" i="5" s="1"/>
  <c r="AF361" i="29"/>
  <c r="BT361" i="5" s="1"/>
  <c r="BZ361" i="5" s="1"/>
  <c r="BZ493" i="5"/>
  <c r="AC494" i="5"/>
  <c r="AE494" i="5" s="1"/>
  <c r="AJ494" i="5"/>
  <c r="V494" i="5"/>
  <c r="X494" i="5" s="1"/>
  <c r="I494" i="5"/>
  <c r="BZ494" i="5" s="1"/>
  <c r="E495" i="5"/>
  <c r="D496" i="5"/>
  <c r="C496" i="5"/>
  <c r="B495" i="5"/>
  <c r="AD494" i="5"/>
  <c r="AK493" i="5"/>
  <c r="AL493" i="5"/>
  <c r="CA493" i="5" s="1"/>
  <c r="W493" i="5"/>
  <c r="B493" i="25"/>
  <c r="E493" i="25"/>
  <c r="C494" i="25"/>
  <c r="H494" i="25" s="1"/>
  <c r="D494" i="25"/>
  <c r="E493" i="2"/>
  <c r="C494" i="2"/>
  <c r="D494" i="2"/>
  <c r="B493" i="2"/>
  <c r="P492" i="2"/>
  <c r="R492" i="2" s="1"/>
  <c r="AD492" i="2"/>
  <c r="AF492" i="2" s="1"/>
  <c r="W492" i="2"/>
  <c r="J492" i="2"/>
  <c r="Y491" i="2"/>
  <c r="AV491" i="2"/>
  <c r="Q491" i="2"/>
  <c r="Q492" i="2" s="1"/>
  <c r="K491" i="2"/>
  <c r="K492" i="2" s="1"/>
  <c r="AE491" i="2"/>
  <c r="AE492" i="2" s="1"/>
  <c r="AI361" i="29"/>
  <c r="AE360" i="29"/>
  <c r="E494" i="24" l="1"/>
  <c r="C495" i="24"/>
  <c r="H495" i="24" s="1"/>
  <c r="B494" i="24"/>
  <c r="D495" i="24"/>
  <c r="BS360" i="5"/>
  <c r="BY360" i="5" s="1"/>
  <c r="AF360" i="29"/>
  <c r="BT360" i="5" s="1"/>
  <c r="BZ360" i="5" s="1"/>
  <c r="AC495" i="5"/>
  <c r="AE495" i="5" s="1"/>
  <c r="V495" i="5"/>
  <c r="X495" i="5" s="1"/>
  <c r="AJ495" i="5"/>
  <c r="I495" i="5"/>
  <c r="AD495" i="5"/>
  <c r="D497" i="5"/>
  <c r="B496" i="5"/>
  <c r="E496" i="5"/>
  <c r="C497" i="5"/>
  <c r="AK494" i="5"/>
  <c r="AL494" i="5"/>
  <c r="CA494" i="5" s="1"/>
  <c r="W494" i="5"/>
  <c r="J494" i="5"/>
  <c r="E494" i="25"/>
  <c r="D495" i="25"/>
  <c r="C495" i="25"/>
  <c r="H495" i="25" s="1"/>
  <c r="B494" i="25"/>
  <c r="AU492" i="2"/>
  <c r="Y492" i="2"/>
  <c r="AV492" i="2"/>
  <c r="E494" i="2"/>
  <c r="D495" i="2"/>
  <c r="B494" i="2"/>
  <c r="C495" i="2"/>
  <c r="AD493" i="2"/>
  <c r="AF493" i="2" s="1"/>
  <c r="P493" i="2"/>
  <c r="W493" i="2"/>
  <c r="J493" i="2"/>
  <c r="AE359" i="29"/>
  <c r="K493" i="2" l="1"/>
  <c r="E495" i="24"/>
  <c r="B495" i="24"/>
  <c r="C496" i="24"/>
  <c r="H496" i="24" s="1"/>
  <c r="D496" i="24"/>
  <c r="AI360" i="29"/>
  <c r="BS359" i="5"/>
  <c r="BY359" i="5" s="1"/>
  <c r="AF359" i="29"/>
  <c r="BT359" i="5" s="1"/>
  <c r="BZ359" i="5" s="1"/>
  <c r="AC496" i="5"/>
  <c r="AE496" i="5" s="1"/>
  <c r="AJ496" i="5"/>
  <c r="V496" i="5"/>
  <c r="X496" i="5" s="1"/>
  <c r="I496" i="5"/>
  <c r="BZ496" i="5" s="1"/>
  <c r="D498" i="5"/>
  <c r="C498" i="5"/>
  <c r="E497" i="5"/>
  <c r="B497" i="5"/>
  <c r="AK495" i="5"/>
  <c r="AL495" i="5"/>
  <c r="CA495" i="5" s="1"/>
  <c r="AD496" i="5"/>
  <c r="BZ495" i="5"/>
  <c r="J495" i="5"/>
  <c r="W495" i="5"/>
  <c r="B495" i="25"/>
  <c r="E495" i="25"/>
  <c r="C496" i="25"/>
  <c r="H496" i="25" s="1"/>
  <c r="D496" i="25"/>
  <c r="AU493" i="2"/>
  <c r="R493" i="2"/>
  <c r="Y493" i="2"/>
  <c r="AV493" i="2" s="1"/>
  <c r="B495" i="2"/>
  <c r="D496" i="2"/>
  <c r="C496" i="2"/>
  <c r="E495" i="2"/>
  <c r="AD494" i="2"/>
  <c r="AF494" i="2" s="1"/>
  <c r="P494" i="2"/>
  <c r="W494" i="2"/>
  <c r="J494" i="2"/>
  <c r="K494" i="2" s="1"/>
  <c r="Q493" i="2"/>
  <c r="Q494" i="2" s="1"/>
  <c r="AE493" i="2"/>
  <c r="AE494" i="2" s="1"/>
  <c r="AI359" i="29"/>
  <c r="AE358" i="29"/>
  <c r="J496" i="5" l="1"/>
  <c r="D497" i="24"/>
  <c r="C497" i="24"/>
  <c r="H497" i="24" s="1"/>
  <c r="B496" i="24"/>
  <c r="E496" i="24"/>
  <c r="BS358" i="5"/>
  <c r="BY358" i="5" s="1"/>
  <c r="AF358" i="29"/>
  <c r="BT358" i="5" s="1"/>
  <c r="BZ358" i="5" s="1"/>
  <c r="B498" i="5"/>
  <c r="C499" i="5"/>
  <c r="D499" i="5"/>
  <c r="E498" i="5"/>
  <c r="AC497" i="5"/>
  <c r="AE497" i="5" s="1"/>
  <c r="AJ497" i="5"/>
  <c r="I497" i="5"/>
  <c r="AK496" i="5"/>
  <c r="AL496" i="5"/>
  <c r="CA496" i="5" s="1"/>
  <c r="W496" i="5"/>
  <c r="D497" i="25"/>
  <c r="C497" i="25"/>
  <c r="H497" i="25" s="1"/>
  <c r="B496" i="25"/>
  <c r="E496" i="25"/>
  <c r="AD495" i="2"/>
  <c r="AF495" i="2" s="1"/>
  <c r="P495" i="2"/>
  <c r="W495" i="2"/>
  <c r="J495" i="2"/>
  <c r="Q495" i="2"/>
  <c r="Y494" i="2"/>
  <c r="R494" i="2"/>
  <c r="AV494" i="2" s="1"/>
  <c r="AU494" i="2"/>
  <c r="C497" i="2"/>
  <c r="B496" i="2"/>
  <c r="D497" i="2"/>
  <c r="E496" i="2"/>
  <c r="AE357" i="29"/>
  <c r="K495" i="2" l="1"/>
  <c r="AI358" i="29"/>
  <c r="E497" i="24"/>
  <c r="D498" i="24"/>
  <c r="B497" i="24"/>
  <c r="C498" i="24"/>
  <c r="H498" i="24" s="1"/>
  <c r="BS357" i="5"/>
  <c r="BY357" i="5" s="1"/>
  <c r="AF357" i="29"/>
  <c r="BT357" i="5" s="1"/>
  <c r="BZ357" i="5" s="1"/>
  <c r="B499" i="5"/>
  <c r="E499" i="5"/>
  <c r="C500" i="5"/>
  <c r="D500" i="5"/>
  <c r="BZ497" i="5"/>
  <c r="AK497" i="5"/>
  <c r="AL497" i="5"/>
  <c r="CA497" i="5" s="1"/>
  <c r="AC498" i="5"/>
  <c r="AE498" i="5" s="1"/>
  <c r="AJ498" i="5"/>
  <c r="I498" i="5"/>
  <c r="BZ498" i="5" s="1"/>
  <c r="AD497" i="5"/>
  <c r="J497" i="5"/>
  <c r="E497" i="25"/>
  <c r="C498" i="25"/>
  <c r="H498" i="25" s="1"/>
  <c r="B497" i="25"/>
  <c r="D498" i="25"/>
  <c r="P496" i="2"/>
  <c r="R496" i="2" s="1"/>
  <c r="AD496" i="2"/>
  <c r="AF496" i="2" s="1"/>
  <c r="W496" i="2"/>
  <c r="J496" i="2"/>
  <c r="AU496" i="2" s="1"/>
  <c r="D498" i="2"/>
  <c r="C498" i="2"/>
  <c r="B497" i="2"/>
  <c r="E497" i="2"/>
  <c r="Q496" i="2"/>
  <c r="Y495" i="2"/>
  <c r="R495" i="2"/>
  <c r="AU495" i="2"/>
  <c r="AE495" i="2"/>
  <c r="AE356" i="29"/>
  <c r="K496" i="2" l="1"/>
  <c r="B498" i="24"/>
  <c r="E498" i="24"/>
  <c r="C499" i="24"/>
  <c r="H499" i="24" s="1"/>
  <c r="D499" i="24"/>
  <c r="AI357" i="29"/>
  <c r="BS356" i="5"/>
  <c r="BY356" i="5" s="1"/>
  <c r="AF356" i="29"/>
  <c r="BT356" i="5" s="1"/>
  <c r="BZ356" i="5" s="1"/>
  <c r="AK498" i="5"/>
  <c r="AL498" i="5"/>
  <c r="CA498" i="5" s="1"/>
  <c r="AC499" i="5"/>
  <c r="AE499" i="5" s="1"/>
  <c r="AJ499" i="5"/>
  <c r="I499" i="5"/>
  <c r="J498" i="5"/>
  <c r="E500" i="5"/>
  <c r="D501" i="5"/>
  <c r="B500" i="5"/>
  <c r="C501" i="5"/>
  <c r="AD498" i="5"/>
  <c r="AD499" i="5" s="1"/>
  <c r="E498" i="25"/>
  <c r="C499" i="25"/>
  <c r="H499" i="25" s="1"/>
  <c r="D499" i="25"/>
  <c r="B498" i="25"/>
  <c r="AD497" i="2"/>
  <c r="AF497" i="2" s="1"/>
  <c r="P497" i="2"/>
  <c r="R497" i="2" s="1"/>
  <c r="W497" i="2"/>
  <c r="J497" i="2"/>
  <c r="AV495" i="2"/>
  <c r="K497" i="2"/>
  <c r="E498" i="2"/>
  <c r="C499" i="2"/>
  <c r="B498" i="2"/>
  <c r="D499" i="2"/>
  <c r="Y496" i="2"/>
  <c r="AV496" i="2" s="1"/>
  <c r="AE496" i="2"/>
  <c r="AE497" i="2" s="1"/>
  <c r="AE355" i="29"/>
  <c r="AU497" i="2" l="1"/>
  <c r="C500" i="24"/>
  <c r="H500" i="24" s="1"/>
  <c r="B499" i="24"/>
  <c r="E499" i="24"/>
  <c r="D500" i="24"/>
  <c r="AI356" i="29"/>
  <c r="BS355" i="5"/>
  <c r="BY355" i="5" s="1"/>
  <c r="AF355" i="29"/>
  <c r="BT355" i="5" s="1"/>
  <c r="BZ355" i="5" s="1"/>
  <c r="J499" i="5"/>
  <c r="BZ499" i="5"/>
  <c r="E501" i="5"/>
  <c r="C502" i="5"/>
  <c r="D502" i="5"/>
  <c r="B501" i="5"/>
  <c r="AL499" i="5"/>
  <c r="CA499" i="5" s="1"/>
  <c r="AK499" i="5"/>
  <c r="AC500" i="5"/>
  <c r="AE500" i="5" s="1"/>
  <c r="AJ500" i="5"/>
  <c r="I500" i="5"/>
  <c r="C500" i="25"/>
  <c r="H500" i="25" s="1"/>
  <c r="D500" i="25"/>
  <c r="B499" i="25"/>
  <c r="E499" i="25"/>
  <c r="B499" i="2"/>
  <c r="E499" i="2"/>
  <c r="C500" i="2"/>
  <c r="D500" i="2"/>
  <c r="P498" i="2"/>
  <c r="R498" i="2" s="1"/>
  <c r="AD498" i="2"/>
  <c r="AF498" i="2" s="1"/>
  <c r="W498" i="2"/>
  <c r="J498" i="2"/>
  <c r="K498" i="2" s="1"/>
  <c r="Y497" i="2"/>
  <c r="AV497" i="2"/>
  <c r="Q497" i="2"/>
  <c r="Q498" i="2" s="1"/>
  <c r="AE354" i="29"/>
  <c r="E500" i="24" l="1"/>
  <c r="C501" i="24"/>
  <c r="H501" i="24" s="1"/>
  <c r="B500" i="24"/>
  <c r="D501" i="24"/>
  <c r="AI355" i="29"/>
  <c r="BS354" i="5"/>
  <c r="BY354" i="5" s="1"/>
  <c r="AF354" i="29"/>
  <c r="BT354" i="5" s="1"/>
  <c r="BZ354" i="5" s="1"/>
  <c r="AL500" i="5"/>
  <c r="CA500" i="5" s="1"/>
  <c r="AK500" i="5"/>
  <c r="BZ500" i="5"/>
  <c r="J500" i="5"/>
  <c r="E502" i="5"/>
  <c r="B502" i="5"/>
  <c r="C503" i="5"/>
  <c r="D503" i="5"/>
  <c r="AC501" i="5"/>
  <c r="AE501" i="5" s="1"/>
  <c r="AJ501" i="5"/>
  <c r="I501" i="5"/>
  <c r="AD500" i="5"/>
  <c r="D501" i="25"/>
  <c r="C501" i="25"/>
  <c r="H501" i="25" s="1"/>
  <c r="E500" i="25"/>
  <c r="B500" i="25"/>
  <c r="Y498" i="2"/>
  <c r="AV498" i="2" s="1"/>
  <c r="AU498" i="2"/>
  <c r="B500" i="2"/>
  <c r="D501" i="2"/>
  <c r="E500" i="2"/>
  <c r="C501" i="2"/>
  <c r="P499" i="2"/>
  <c r="R499" i="2" s="1"/>
  <c r="AD499" i="2"/>
  <c r="AF499" i="2" s="1"/>
  <c r="W499" i="2"/>
  <c r="J499" i="2"/>
  <c r="AE498" i="2"/>
  <c r="AE499" i="2" s="1"/>
  <c r="AE353" i="29"/>
  <c r="AU499" i="2" l="1"/>
  <c r="C502" i="24"/>
  <c r="H502" i="24" s="1"/>
  <c r="E501" i="24"/>
  <c r="B501" i="24"/>
  <c r="D502" i="24"/>
  <c r="AI354" i="29"/>
  <c r="BS353" i="5"/>
  <c r="BY353" i="5" s="1"/>
  <c r="AF353" i="29"/>
  <c r="BT353" i="5" s="1"/>
  <c r="BZ353" i="5" s="1"/>
  <c r="E503" i="5"/>
  <c r="C504" i="5"/>
  <c r="B503" i="5"/>
  <c r="D504" i="5"/>
  <c r="AL501" i="5"/>
  <c r="CA501" i="5" s="1"/>
  <c r="AK501" i="5"/>
  <c r="AC502" i="5"/>
  <c r="AE502" i="5" s="1"/>
  <c r="AJ502" i="5"/>
  <c r="I502" i="5"/>
  <c r="BZ501" i="5"/>
  <c r="J501" i="5"/>
  <c r="AD501" i="5"/>
  <c r="B501" i="25"/>
  <c r="E501" i="25"/>
  <c r="C502" i="25"/>
  <c r="H502" i="25" s="1"/>
  <c r="D502" i="25"/>
  <c r="E501" i="2"/>
  <c r="C502" i="2"/>
  <c r="D502" i="2"/>
  <c r="B501" i="2"/>
  <c r="Y499" i="2"/>
  <c r="AV499" i="2" s="1"/>
  <c r="AD500" i="2"/>
  <c r="AF500" i="2" s="1"/>
  <c r="P500" i="2"/>
  <c r="W500" i="2"/>
  <c r="J500" i="2"/>
  <c r="K499" i="2"/>
  <c r="K500" i="2" s="1"/>
  <c r="Q499" i="2"/>
  <c r="Q500" i="2" s="1"/>
  <c r="AE352" i="29"/>
  <c r="BZ502" i="5" l="1"/>
  <c r="B502" i="24"/>
  <c r="D503" i="24"/>
  <c r="E502" i="24"/>
  <c r="C503" i="24"/>
  <c r="H503" i="24" s="1"/>
  <c r="AI353" i="29"/>
  <c r="BS352" i="5"/>
  <c r="BY352" i="5" s="1"/>
  <c r="AF352" i="29"/>
  <c r="BT352" i="5" s="1"/>
  <c r="BZ352" i="5" s="1"/>
  <c r="J502" i="5"/>
  <c r="AK502" i="5"/>
  <c r="AL502" i="5"/>
  <c r="E504" i="5"/>
  <c r="B504" i="5"/>
  <c r="C505" i="5"/>
  <c r="D505" i="5"/>
  <c r="CA502" i="5"/>
  <c r="AD502" i="5"/>
  <c r="AC503" i="5"/>
  <c r="AE503" i="5" s="1"/>
  <c r="AJ503" i="5"/>
  <c r="I503" i="5"/>
  <c r="C503" i="25"/>
  <c r="H503" i="25" s="1"/>
  <c r="E502" i="25"/>
  <c r="D503" i="25"/>
  <c r="B502" i="25"/>
  <c r="Y500" i="2"/>
  <c r="AU500" i="2"/>
  <c r="R500" i="2"/>
  <c r="AV500" i="2" s="1"/>
  <c r="C503" i="2"/>
  <c r="E502" i="2"/>
  <c r="D503" i="2"/>
  <c r="B502" i="2"/>
  <c r="AD501" i="2"/>
  <c r="AF501" i="2" s="1"/>
  <c r="P501" i="2"/>
  <c r="W501" i="2"/>
  <c r="J501" i="2"/>
  <c r="K501" i="2" s="1"/>
  <c r="AE500" i="2"/>
  <c r="AE501" i="2" s="1"/>
  <c r="AE351" i="29"/>
  <c r="AI352" i="29" l="1"/>
  <c r="B503" i="24"/>
  <c r="E503" i="24"/>
  <c r="C504" i="24"/>
  <c r="H504" i="24" s="1"/>
  <c r="D504" i="24"/>
  <c r="BS351" i="5"/>
  <c r="BY351" i="5" s="1"/>
  <c r="AF351" i="29"/>
  <c r="BT351" i="5" s="1"/>
  <c r="BZ351" i="5" s="1"/>
  <c r="AD503" i="5"/>
  <c r="AC504" i="5"/>
  <c r="AE504" i="5" s="1"/>
  <c r="AJ504" i="5"/>
  <c r="I504" i="5"/>
  <c r="BZ504" i="5" s="1"/>
  <c r="D506" i="5"/>
  <c r="E505" i="5"/>
  <c r="B505" i="5"/>
  <c r="C506" i="5"/>
  <c r="BZ503" i="5"/>
  <c r="AK503" i="5"/>
  <c r="AL503" i="5"/>
  <c r="CA503" i="5" s="1"/>
  <c r="J503" i="5"/>
  <c r="B503" i="25"/>
  <c r="C504" i="25"/>
  <c r="H504" i="25" s="1"/>
  <c r="E503" i="25"/>
  <c r="D504" i="25"/>
  <c r="Y501" i="2"/>
  <c r="Q501" i="2"/>
  <c r="R501" i="2"/>
  <c r="AV501" i="2" s="1"/>
  <c r="AU501" i="2"/>
  <c r="B503" i="2"/>
  <c r="E503" i="2"/>
  <c r="D504" i="2"/>
  <c r="C504" i="2"/>
  <c r="P502" i="2"/>
  <c r="R502" i="2" s="1"/>
  <c r="AD502" i="2"/>
  <c r="AF502" i="2" s="1"/>
  <c r="W502" i="2"/>
  <c r="J502" i="2"/>
  <c r="AE350" i="29"/>
  <c r="AI351" i="29" l="1"/>
  <c r="B504" i="24"/>
  <c r="C505" i="24"/>
  <c r="H505" i="24" s="1"/>
  <c r="D505" i="24"/>
  <c r="E504" i="24"/>
  <c r="BS350" i="5"/>
  <c r="BY350" i="5" s="1"/>
  <c r="AF350" i="29"/>
  <c r="BT350" i="5" s="1"/>
  <c r="BZ350" i="5" s="1"/>
  <c r="B506" i="5"/>
  <c r="C507" i="5"/>
  <c r="D507" i="5"/>
  <c r="E506" i="5"/>
  <c r="AC505" i="5"/>
  <c r="AE505" i="5" s="1"/>
  <c r="AJ505" i="5"/>
  <c r="I505" i="5"/>
  <c r="AK504" i="5"/>
  <c r="AL504" i="5"/>
  <c r="CA504" i="5" s="1"/>
  <c r="J504" i="5"/>
  <c r="AD504" i="5"/>
  <c r="C505" i="25"/>
  <c r="H505" i="25" s="1"/>
  <c r="B504" i="25"/>
  <c r="E504" i="25"/>
  <c r="D505" i="25"/>
  <c r="Y502" i="2"/>
  <c r="AD503" i="2"/>
  <c r="AF503" i="2" s="1"/>
  <c r="P503" i="2"/>
  <c r="W503" i="2"/>
  <c r="J503" i="2"/>
  <c r="AV502" i="2"/>
  <c r="B504" i="2"/>
  <c r="E504" i="2"/>
  <c r="D505" i="2"/>
  <c r="C505" i="2"/>
  <c r="Q502" i="2"/>
  <c r="Q503" i="2" s="1"/>
  <c r="AE502" i="2"/>
  <c r="AE503" i="2" s="1"/>
  <c r="AU502" i="2"/>
  <c r="K502" i="2"/>
  <c r="AE349" i="29"/>
  <c r="J505" i="5" l="1"/>
  <c r="AI350" i="29"/>
  <c r="D506" i="24"/>
  <c r="C506" i="24"/>
  <c r="H506" i="24" s="1"/>
  <c r="B505" i="24"/>
  <c r="E505" i="24"/>
  <c r="BS349" i="5"/>
  <c r="BY349" i="5" s="1"/>
  <c r="AF349" i="29"/>
  <c r="BT349" i="5" s="1"/>
  <c r="BZ349" i="5" s="1"/>
  <c r="BZ505" i="5"/>
  <c r="AL505" i="5"/>
  <c r="CA505" i="5" s="1"/>
  <c r="AK505" i="5"/>
  <c r="AC506" i="5"/>
  <c r="AE506" i="5" s="1"/>
  <c r="AJ506" i="5"/>
  <c r="I506" i="5"/>
  <c r="E507" i="5"/>
  <c r="C508" i="5"/>
  <c r="B507" i="5"/>
  <c r="D508" i="5"/>
  <c r="AD505" i="5"/>
  <c r="B505" i="25"/>
  <c r="C506" i="25"/>
  <c r="H506" i="25" s="1"/>
  <c r="D506" i="25"/>
  <c r="E505" i="25"/>
  <c r="P504" i="2"/>
  <c r="AD504" i="2"/>
  <c r="AF504" i="2" s="1"/>
  <c r="W504" i="2"/>
  <c r="J504" i="2"/>
  <c r="Q504" i="2"/>
  <c r="C506" i="2"/>
  <c r="B505" i="2"/>
  <c r="D506" i="2"/>
  <c r="E505" i="2"/>
  <c r="Y503" i="2"/>
  <c r="AU503" i="2"/>
  <c r="R503" i="2"/>
  <c r="AV503" i="2" s="1"/>
  <c r="K503" i="2"/>
  <c r="AE348" i="29"/>
  <c r="AI349" i="29"/>
  <c r="K504" i="2" l="1"/>
  <c r="C507" i="24"/>
  <c r="H507" i="24" s="1"/>
  <c r="B506" i="24"/>
  <c r="E506" i="24"/>
  <c r="D507" i="24"/>
  <c r="BS348" i="5"/>
  <c r="BY348" i="5" s="1"/>
  <c r="AF348" i="29"/>
  <c r="BT348" i="5" s="1"/>
  <c r="BZ348" i="5" s="1"/>
  <c r="BZ506" i="5"/>
  <c r="E508" i="5"/>
  <c r="C509" i="5"/>
  <c r="D509" i="5"/>
  <c r="B508" i="5"/>
  <c r="J506" i="5"/>
  <c r="AC507" i="5"/>
  <c r="AE507" i="5" s="1"/>
  <c r="AJ507" i="5"/>
  <c r="I507" i="5"/>
  <c r="AK506" i="5"/>
  <c r="AL506" i="5"/>
  <c r="CA506" i="5" s="1"/>
  <c r="AD506" i="5"/>
  <c r="B506" i="25"/>
  <c r="E506" i="25"/>
  <c r="C507" i="25"/>
  <c r="H507" i="25" s="1"/>
  <c r="D507" i="25"/>
  <c r="B506" i="2"/>
  <c r="E506" i="2"/>
  <c r="D507" i="2"/>
  <c r="C507" i="2"/>
  <c r="P505" i="2"/>
  <c r="AD505" i="2"/>
  <c r="AF505" i="2" s="1"/>
  <c r="W505" i="2"/>
  <c r="J505" i="2"/>
  <c r="K505" i="2" s="1"/>
  <c r="Q505" i="2"/>
  <c r="Y504" i="2"/>
  <c r="R504" i="2"/>
  <c r="AU504" i="2"/>
  <c r="AE504" i="2"/>
  <c r="AE505" i="2" s="1"/>
  <c r="AE347" i="29"/>
  <c r="D508" i="24" l="1"/>
  <c r="B507" i="24"/>
  <c r="E507" i="24"/>
  <c r="C508" i="24"/>
  <c r="H508" i="24" s="1"/>
  <c r="AI348" i="29"/>
  <c r="BS347" i="5"/>
  <c r="BY347" i="5" s="1"/>
  <c r="AF347" i="29"/>
  <c r="BT347" i="5" s="1"/>
  <c r="BZ347" i="5" s="1"/>
  <c r="B509" i="5"/>
  <c r="D510" i="5"/>
  <c r="E509" i="5"/>
  <c r="C510" i="5"/>
  <c r="J507" i="5"/>
  <c r="J508" i="5" s="1"/>
  <c r="AD507" i="5"/>
  <c r="BZ507" i="5"/>
  <c r="AK507" i="5"/>
  <c r="AL507" i="5"/>
  <c r="CA507" i="5" s="1"/>
  <c r="AC508" i="5"/>
  <c r="AE508" i="5" s="1"/>
  <c r="AJ508" i="5"/>
  <c r="I508" i="5"/>
  <c r="B507" i="25"/>
  <c r="C508" i="25"/>
  <c r="H508" i="25" s="1"/>
  <c r="E507" i="25"/>
  <c r="D508" i="25"/>
  <c r="AV504" i="2"/>
  <c r="Y505" i="2"/>
  <c r="R505" i="2"/>
  <c r="AV505" i="2" s="1"/>
  <c r="AU505" i="2"/>
  <c r="E507" i="2"/>
  <c r="C508" i="2"/>
  <c r="B507" i="2"/>
  <c r="D508" i="2"/>
  <c r="AD506" i="2"/>
  <c r="AF506" i="2" s="1"/>
  <c r="P506" i="2"/>
  <c r="W506" i="2"/>
  <c r="J506" i="2"/>
  <c r="K506" i="2" s="1"/>
  <c r="AE346" i="29"/>
  <c r="AI347" i="29" l="1"/>
  <c r="E508" i="24"/>
  <c r="C509" i="24"/>
  <c r="H509" i="24" s="1"/>
  <c r="B508" i="24"/>
  <c r="D509" i="24"/>
  <c r="BS346" i="5"/>
  <c r="BY346" i="5" s="1"/>
  <c r="AF346" i="29"/>
  <c r="BT346" i="5" s="1"/>
  <c r="BZ346" i="5" s="1"/>
  <c r="AC509" i="5"/>
  <c r="AE509" i="5" s="1"/>
  <c r="AJ509" i="5"/>
  <c r="I509" i="5"/>
  <c r="BZ509" i="5" s="1"/>
  <c r="BZ508" i="5"/>
  <c r="C511" i="5"/>
  <c r="B510" i="5"/>
  <c r="D511" i="5"/>
  <c r="E510" i="5"/>
  <c r="AK508" i="5"/>
  <c r="AL508" i="5"/>
  <c r="CA508" i="5" s="1"/>
  <c r="AD508" i="5"/>
  <c r="E508" i="25"/>
  <c r="D509" i="25"/>
  <c r="C509" i="25"/>
  <c r="H509" i="25" s="1"/>
  <c r="B508" i="25"/>
  <c r="AU506" i="2"/>
  <c r="R506" i="2"/>
  <c r="B508" i="2"/>
  <c r="D509" i="2"/>
  <c r="C509" i="2"/>
  <c r="E508" i="2"/>
  <c r="Y506" i="2"/>
  <c r="AV506" i="2" s="1"/>
  <c r="AD507" i="2"/>
  <c r="AF507" i="2" s="1"/>
  <c r="P507" i="2"/>
  <c r="W507" i="2"/>
  <c r="J507" i="2"/>
  <c r="K507" i="2" s="1"/>
  <c r="Q506" i="2"/>
  <c r="AE506" i="2"/>
  <c r="AE507" i="2" s="1"/>
  <c r="AE345" i="29"/>
  <c r="AI346" i="29"/>
  <c r="D510" i="24" l="1"/>
  <c r="E509" i="24"/>
  <c r="C510" i="24"/>
  <c r="H510" i="24" s="1"/>
  <c r="B509" i="24"/>
  <c r="BS345" i="5"/>
  <c r="BY345" i="5" s="1"/>
  <c r="AF345" i="29"/>
  <c r="BT345" i="5" s="1"/>
  <c r="BZ345" i="5" s="1"/>
  <c r="AC510" i="5"/>
  <c r="AE510" i="5" s="1"/>
  <c r="AJ510" i="5"/>
  <c r="I510" i="5"/>
  <c r="C512" i="5"/>
  <c r="D512" i="5"/>
  <c r="B511" i="5"/>
  <c r="E511" i="5"/>
  <c r="AL509" i="5"/>
  <c r="CA509" i="5" s="1"/>
  <c r="AK509" i="5"/>
  <c r="AD509" i="5"/>
  <c r="AD510" i="5" s="1"/>
  <c r="J509" i="5"/>
  <c r="B509" i="25"/>
  <c r="C510" i="25"/>
  <c r="H510" i="25" s="1"/>
  <c r="E509" i="25"/>
  <c r="D510" i="25"/>
  <c r="R507" i="2"/>
  <c r="AU507" i="2"/>
  <c r="Q507" i="2"/>
  <c r="Y507" i="2"/>
  <c r="AD508" i="2"/>
  <c r="AF508" i="2" s="1"/>
  <c r="P508" i="2"/>
  <c r="W508" i="2"/>
  <c r="J508" i="2"/>
  <c r="K508" i="2" s="1"/>
  <c r="D510" i="2"/>
  <c r="C510" i="2"/>
  <c r="B509" i="2"/>
  <c r="E509" i="2"/>
  <c r="AE344" i="29"/>
  <c r="J510" i="5" l="1"/>
  <c r="D511" i="24"/>
  <c r="B510" i="24"/>
  <c r="C511" i="24"/>
  <c r="H511" i="24" s="1"/>
  <c r="E510" i="24"/>
  <c r="AI345" i="29"/>
  <c r="BS344" i="5"/>
  <c r="BY344" i="5" s="1"/>
  <c r="AF344" i="29"/>
  <c r="BT344" i="5" s="1"/>
  <c r="BZ344" i="5" s="1"/>
  <c r="BZ510" i="5"/>
  <c r="AC511" i="5"/>
  <c r="AE511" i="5" s="1"/>
  <c r="AJ511" i="5"/>
  <c r="I511" i="5"/>
  <c r="J511" i="5" s="1"/>
  <c r="AL510" i="5"/>
  <c r="CA510" i="5" s="1"/>
  <c r="AK510" i="5"/>
  <c r="AD511" i="5"/>
  <c r="B512" i="5"/>
  <c r="D513" i="5"/>
  <c r="E512" i="5"/>
  <c r="C513" i="5"/>
  <c r="D511" i="25"/>
  <c r="E510" i="25"/>
  <c r="C511" i="25"/>
  <c r="H511" i="25" s="1"/>
  <c r="B510" i="25"/>
  <c r="AD509" i="2"/>
  <c r="AF509" i="2" s="1"/>
  <c r="P509" i="2"/>
  <c r="W509" i="2"/>
  <c r="J509" i="2"/>
  <c r="K509" i="2" s="1"/>
  <c r="C511" i="2"/>
  <c r="B510" i="2"/>
  <c r="E510" i="2"/>
  <c r="D511" i="2"/>
  <c r="Y508" i="2"/>
  <c r="R508" i="2"/>
  <c r="AU508" i="2"/>
  <c r="Q508" i="2"/>
  <c r="Q509" i="2" s="1"/>
  <c r="AE508" i="2"/>
  <c r="AE509" i="2" s="1"/>
  <c r="AV507" i="2"/>
  <c r="AE343" i="29"/>
  <c r="AI344" i="29" l="1"/>
  <c r="BZ511" i="5"/>
  <c r="C512" i="24"/>
  <c r="H512" i="24" s="1"/>
  <c r="D512" i="24"/>
  <c r="B511" i="24"/>
  <c r="E511" i="24"/>
  <c r="BS343" i="5"/>
  <c r="BY343" i="5" s="1"/>
  <c r="AF343" i="29"/>
  <c r="BT343" i="5" s="1"/>
  <c r="BZ343" i="5" s="1"/>
  <c r="AC512" i="5"/>
  <c r="AE512" i="5" s="1"/>
  <c r="AJ512" i="5"/>
  <c r="I512" i="5"/>
  <c r="J512" i="5" s="1"/>
  <c r="E513" i="5"/>
  <c r="D514" i="5"/>
  <c r="B513" i="5"/>
  <c r="C514" i="5"/>
  <c r="AL511" i="5"/>
  <c r="CA511" i="5" s="1"/>
  <c r="AK511" i="5"/>
  <c r="E511" i="25"/>
  <c r="C512" i="25"/>
  <c r="H512" i="25" s="1"/>
  <c r="D512" i="25"/>
  <c r="B511" i="25"/>
  <c r="AD510" i="2"/>
  <c r="AF510" i="2" s="1"/>
  <c r="P510" i="2"/>
  <c r="W510" i="2"/>
  <c r="J510" i="2"/>
  <c r="K510" i="2" s="1"/>
  <c r="AE510" i="2"/>
  <c r="AV508" i="2"/>
  <c r="E511" i="2"/>
  <c r="B511" i="2"/>
  <c r="D512" i="2"/>
  <c r="C512" i="2"/>
  <c r="Y509" i="2"/>
  <c r="R509" i="2"/>
  <c r="AV509" i="2" s="1"/>
  <c r="AU509" i="2"/>
  <c r="AE342" i="29"/>
  <c r="AI343" i="29" l="1"/>
  <c r="B512" i="24"/>
  <c r="E512" i="24"/>
  <c r="D513" i="24"/>
  <c r="C513" i="24"/>
  <c r="H513" i="24" s="1"/>
  <c r="BS342" i="5"/>
  <c r="BY342" i="5" s="1"/>
  <c r="AF342" i="29"/>
  <c r="BT342" i="5" s="1"/>
  <c r="BZ342" i="5" s="1"/>
  <c r="AD512" i="5"/>
  <c r="BZ512" i="5"/>
  <c r="AC513" i="5"/>
  <c r="AE513" i="5" s="1"/>
  <c r="AJ513" i="5"/>
  <c r="I513" i="5"/>
  <c r="J513" i="5" s="1"/>
  <c r="AD513" i="5"/>
  <c r="C515" i="5"/>
  <c r="D515" i="5"/>
  <c r="B514" i="5"/>
  <c r="E514" i="5"/>
  <c r="AL512" i="5"/>
  <c r="CA512" i="5" s="1"/>
  <c r="AK512" i="5"/>
  <c r="E512" i="25"/>
  <c r="C513" i="25"/>
  <c r="H513" i="25" s="1"/>
  <c r="D513" i="25"/>
  <c r="B512" i="25"/>
  <c r="B512" i="2"/>
  <c r="C513" i="2"/>
  <c r="D513" i="2"/>
  <c r="E512" i="2"/>
  <c r="AD511" i="2"/>
  <c r="AF511" i="2" s="1"/>
  <c r="P511" i="2"/>
  <c r="W511" i="2"/>
  <c r="J511" i="2"/>
  <c r="K511" i="2" s="1"/>
  <c r="AE511" i="2"/>
  <c r="Y510" i="2"/>
  <c r="R510" i="2"/>
  <c r="AV510" i="2" s="1"/>
  <c r="AU510" i="2"/>
  <c r="Q510" i="2"/>
  <c r="Q511" i="2" s="1"/>
  <c r="AE341" i="29"/>
  <c r="C514" i="24" l="1"/>
  <c r="H514" i="24" s="1"/>
  <c r="E513" i="24"/>
  <c r="D514" i="24"/>
  <c r="B513" i="24"/>
  <c r="AI342" i="29"/>
  <c r="BS341" i="5"/>
  <c r="BY341" i="5" s="1"/>
  <c r="AF341" i="29"/>
  <c r="BT341" i="5" s="1"/>
  <c r="BZ341" i="5" s="1"/>
  <c r="BZ513" i="5"/>
  <c r="AC514" i="5"/>
  <c r="AE514" i="5" s="1"/>
  <c r="AJ514" i="5"/>
  <c r="I514" i="5"/>
  <c r="J514" i="5" s="1"/>
  <c r="E515" i="5"/>
  <c r="B515" i="5"/>
  <c r="C516" i="5"/>
  <c r="D516" i="5"/>
  <c r="AD514" i="5"/>
  <c r="AL513" i="5"/>
  <c r="CA513" i="5" s="1"/>
  <c r="AK513" i="5"/>
  <c r="C514" i="25"/>
  <c r="H514" i="25" s="1"/>
  <c r="D514" i="25"/>
  <c r="B513" i="25"/>
  <c r="E513" i="25"/>
  <c r="Y511" i="2"/>
  <c r="AU511" i="2"/>
  <c r="R511" i="2"/>
  <c r="AV511" i="2" s="1"/>
  <c r="AD512" i="2"/>
  <c r="AF512" i="2" s="1"/>
  <c r="P512" i="2"/>
  <c r="W512" i="2"/>
  <c r="J512" i="2"/>
  <c r="K512" i="2" s="1"/>
  <c r="D514" i="2"/>
  <c r="C514" i="2"/>
  <c r="E513" i="2"/>
  <c r="B513" i="2"/>
  <c r="AE340" i="29"/>
  <c r="C515" i="24" l="1"/>
  <c r="H515" i="24" s="1"/>
  <c r="D515" i="24"/>
  <c r="B514" i="24"/>
  <c r="E514" i="24"/>
  <c r="AI341" i="29"/>
  <c r="BS340" i="5"/>
  <c r="BY340" i="5" s="1"/>
  <c r="AF340" i="29"/>
  <c r="BT340" i="5" s="1"/>
  <c r="BZ340" i="5" s="1"/>
  <c r="BZ514" i="5"/>
  <c r="E516" i="5"/>
  <c r="C517" i="5"/>
  <c r="B516" i="5"/>
  <c r="D517" i="5"/>
  <c r="AC515" i="5"/>
  <c r="AE515" i="5" s="1"/>
  <c r="AJ515" i="5"/>
  <c r="I515" i="5"/>
  <c r="AK514" i="5"/>
  <c r="AL514" i="5"/>
  <c r="CA514" i="5" s="1"/>
  <c r="D515" i="25"/>
  <c r="E514" i="25"/>
  <c r="B514" i="25"/>
  <c r="C515" i="25"/>
  <c r="H515" i="25" s="1"/>
  <c r="AD513" i="2"/>
  <c r="AF513" i="2" s="1"/>
  <c r="P513" i="2"/>
  <c r="W513" i="2"/>
  <c r="J513" i="2"/>
  <c r="K513" i="2" s="1"/>
  <c r="E514" i="2"/>
  <c r="B514" i="2"/>
  <c r="D515" i="2"/>
  <c r="C515" i="2"/>
  <c r="Y512" i="2"/>
  <c r="AV512" i="2" s="1"/>
  <c r="R512" i="2"/>
  <c r="AU512" i="2"/>
  <c r="AE512" i="2"/>
  <c r="AE513" i="2" s="1"/>
  <c r="Q512" i="2"/>
  <c r="Q513" i="2" s="1"/>
  <c r="BY370" i="5"/>
  <c r="C516" i="24" l="1"/>
  <c r="H516" i="24" s="1"/>
  <c r="D516" i="24"/>
  <c r="B515" i="24"/>
  <c r="E515" i="24"/>
  <c r="AL515" i="5"/>
  <c r="AK515" i="5"/>
  <c r="B517" i="5"/>
  <c r="D518" i="5"/>
  <c r="E517" i="5"/>
  <c r="C518" i="5"/>
  <c r="BZ515" i="5"/>
  <c r="CA515" i="5"/>
  <c r="AC516" i="5"/>
  <c r="AE516" i="5" s="1"/>
  <c r="AJ516" i="5"/>
  <c r="I516" i="5"/>
  <c r="J515" i="5"/>
  <c r="J516" i="5" s="1"/>
  <c r="AD515" i="5"/>
  <c r="B515" i="25"/>
  <c r="E515" i="25"/>
  <c r="C516" i="25"/>
  <c r="H516" i="25" s="1"/>
  <c r="D516" i="25"/>
  <c r="B515" i="2"/>
  <c r="E515" i="2"/>
  <c r="C516" i="2"/>
  <c r="D516" i="2"/>
  <c r="AD514" i="2"/>
  <c r="AF514" i="2" s="1"/>
  <c r="P514" i="2"/>
  <c r="R514" i="2" s="1"/>
  <c r="W514" i="2"/>
  <c r="J514" i="2"/>
  <c r="K514" i="2" s="1"/>
  <c r="Y513" i="2"/>
  <c r="R513" i="2"/>
  <c r="AV513" i="2" s="1"/>
  <c r="AU513" i="2"/>
  <c r="BZ370" i="5"/>
  <c r="AI340" i="29"/>
  <c r="BZ516" i="5" l="1"/>
  <c r="E516" i="24"/>
  <c r="C517" i="24"/>
  <c r="H517" i="24" s="1"/>
  <c r="B516" i="24"/>
  <c r="D517" i="24"/>
  <c r="AK516" i="5"/>
  <c r="AL516" i="5"/>
  <c r="CA516" i="5" s="1"/>
  <c r="AD516" i="5"/>
  <c r="AC517" i="5"/>
  <c r="AE517" i="5" s="1"/>
  <c r="AJ517" i="5"/>
  <c r="I517" i="5"/>
  <c r="BZ517" i="5" s="1"/>
  <c r="D519" i="5"/>
  <c r="B518" i="5"/>
  <c r="C519" i="5"/>
  <c r="E518" i="5"/>
  <c r="M86" i="20"/>
  <c r="C517" i="25"/>
  <c r="H517" i="25" s="1"/>
  <c r="E516" i="25"/>
  <c r="B516" i="25"/>
  <c r="D517" i="25"/>
  <c r="Y514" i="2"/>
  <c r="AU514" i="2"/>
  <c r="AV514" i="2"/>
  <c r="AE514" i="2"/>
  <c r="E516" i="2"/>
  <c r="C517" i="2"/>
  <c r="B516" i="2"/>
  <c r="D517" i="2"/>
  <c r="P515" i="2"/>
  <c r="AD515" i="2"/>
  <c r="AF515" i="2" s="1"/>
  <c r="W515" i="2"/>
  <c r="J515" i="2"/>
  <c r="K515" i="2" s="1"/>
  <c r="Q514" i="2"/>
  <c r="B517" i="24" l="1"/>
  <c r="E517" i="24"/>
  <c r="D518" i="24"/>
  <c r="C518" i="24"/>
  <c r="H518" i="24" s="1"/>
  <c r="AK517" i="5"/>
  <c r="AL517" i="5"/>
  <c r="CA517" i="5" s="1"/>
  <c r="D520" i="5"/>
  <c r="C520" i="5"/>
  <c r="B519" i="5"/>
  <c r="E519" i="5"/>
  <c r="AC518" i="5"/>
  <c r="AE518" i="5" s="1"/>
  <c r="AJ518" i="5"/>
  <c r="I518" i="5"/>
  <c r="AD517" i="5"/>
  <c r="AD518" i="5" s="1"/>
  <c r="J517" i="5"/>
  <c r="B517" i="25"/>
  <c r="C518" i="25"/>
  <c r="H518" i="25" s="1"/>
  <c r="E517" i="25"/>
  <c r="D518" i="25"/>
  <c r="Q515" i="2"/>
  <c r="B517" i="2"/>
  <c r="D518" i="2"/>
  <c r="E517" i="2"/>
  <c r="C518" i="2"/>
  <c r="Y515" i="2"/>
  <c r="AD516" i="2"/>
  <c r="AF516" i="2" s="1"/>
  <c r="P516" i="2"/>
  <c r="W516" i="2"/>
  <c r="J516" i="2"/>
  <c r="K516" i="2" s="1"/>
  <c r="AE515" i="2"/>
  <c r="AE516" i="2" s="1"/>
  <c r="AU515" i="2"/>
  <c r="R515" i="2"/>
  <c r="AV515" i="2" s="1"/>
  <c r="E518" i="24" l="1"/>
  <c r="D519" i="24"/>
  <c r="B518" i="24"/>
  <c r="C519" i="24"/>
  <c r="H519" i="24" s="1"/>
  <c r="BZ518" i="5"/>
  <c r="AL518" i="5"/>
  <c r="AK518" i="5"/>
  <c r="AC519" i="5"/>
  <c r="AE519" i="5" s="1"/>
  <c r="AJ519" i="5"/>
  <c r="I519" i="5"/>
  <c r="BZ519" i="5" s="1"/>
  <c r="AD519" i="5"/>
  <c r="CA518" i="5"/>
  <c r="B520" i="5"/>
  <c r="E520" i="5"/>
  <c r="C521" i="5"/>
  <c r="D521" i="5"/>
  <c r="J518" i="5"/>
  <c r="B518" i="25"/>
  <c r="E518" i="25"/>
  <c r="C519" i="25"/>
  <c r="H519" i="25" s="1"/>
  <c r="D519" i="25"/>
  <c r="Y516" i="2"/>
  <c r="D519" i="2"/>
  <c r="C519" i="2"/>
  <c r="E518" i="2"/>
  <c r="B518" i="2"/>
  <c r="R516" i="2"/>
  <c r="AU516" i="2"/>
  <c r="P517" i="2"/>
  <c r="R517" i="2" s="1"/>
  <c r="AD517" i="2"/>
  <c r="AF517" i="2" s="1"/>
  <c r="W517" i="2"/>
  <c r="J517" i="2"/>
  <c r="K517" i="2" s="1"/>
  <c r="Q516" i="2"/>
  <c r="D520" i="24" l="1"/>
  <c r="C520" i="24"/>
  <c r="H520" i="24" s="1"/>
  <c r="E519" i="24"/>
  <c r="B519" i="24"/>
  <c r="AC520" i="5"/>
  <c r="AE520" i="5" s="1"/>
  <c r="AJ520" i="5"/>
  <c r="I520" i="5"/>
  <c r="BZ520" i="5" s="1"/>
  <c r="AD520" i="5"/>
  <c r="AK519" i="5"/>
  <c r="AL519" i="5"/>
  <c r="CA519" i="5" s="1"/>
  <c r="J519" i="5"/>
  <c r="E521" i="5"/>
  <c r="C522" i="5"/>
  <c r="D522" i="5"/>
  <c r="B521" i="5"/>
  <c r="B519" i="25"/>
  <c r="E519" i="25"/>
  <c r="D520" i="25"/>
  <c r="C520" i="25"/>
  <c r="H520" i="25" s="1"/>
  <c r="Y517" i="2"/>
  <c r="AV517" i="2" s="1"/>
  <c r="AU517" i="2"/>
  <c r="AD518" i="2"/>
  <c r="AF518" i="2" s="1"/>
  <c r="P518" i="2"/>
  <c r="W518" i="2"/>
  <c r="J518" i="2"/>
  <c r="K518" i="2" s="1"/>
  <c r="D520" i="2"/>
  <c r="B519" i="2"/>
  <c r="E519" i="2"/>
  <c r="C520" i="2"/>
  <c r="AV516" i="2"/>
  <c r="Q517" i="2"/>
  <c r="Q518" i="2" s="1"/>
  <c r="AE517" i="2"/>
  <c r="J520" i="5" l="1"/>
  <c r="E520" i="24"/>
  <c r="B520" i="24"/>
  <c r="C521" i="24"/>
  <c r="H521" i="24" s="1"/>
  <c r="D521" i="24"/>
  <c r="C523" i="5"/>
  <c r="D523" i="5"/>
  <c r="B522" i="5"/>
  <c r="E522" i="5"/>
  <c r="AC521" i="5"/>
  <c r="AE521" i="5" s="1"/>
  <c r="AJ521" i="5"/>
  <c r="I521" i="5"/>
  <c r="J521" i="5" s="1"/>
  <c r="AL520" i="5"/>
  <c r="CA520" i="5" s="1"/>
  <c r="AK520" i="5"/>
  <c r="B520" i="25"/>
  <c r="E520" i="25"/>
  <c r="C521" i="25"/>
  <c r="H521" i="25" s="1"/>
  <c r="D521" i="25"/>
  <c r="AD519" i="2"/>
  <c r="AF519" i="2" s="1"/>
  <c r="P519" i="2"/>
  <c r="R519" i="2" s="1"/>
  <c r="W519" i="2"/>
  <c r="J519" i="2"/>
  <c r="AU519" i="2" s="1"/>
  <c r="D521" i="2"/>
  <c r="B520" i="2"/>
  <c r="C521" i="2"/>
  <c r="E520" i="2"/>
  <c r="Y518" i="2"/>
  <c r="AU518" i="2"/>
  <c r="R518" i="2"/>
  <c r="AV518" i="2" s="1"/>
  <c r="AE518" i="2"/>
  <c r="E521" i="24" l="1"/>
  <c r="D522" i="24"/>
  <c r="C522" i="24"/>
  <c r="H522" i="24" s="1"/>
  <c r="B521" i="24"/>
  <c r="AC522" i="5"/>
  <c r="AE522" i="5" s="1"/>
  <c r="AJ522" i="5"/>
  <c r="I522" i="5"/>
  <c r="BZ522" i="5" s="1"/>
  <c r="BZ521" i="5"/>
  <c r="AK521" i="5"/>
  <c r="AL521" i="5"/>
  <c r="CA521" i="5"/>
  <c r="B523" i="5"/>
  <c r="E523" i="5"/>
  <c r="C524" i="5"/>
  <c r="D524" i="5"/>
  <c r="AD521" i="5"/>
  <c r="B521" i="25"/>
  <c r="C522" i="25"/>
  <c r="H522" i="25" s="1"/>
  <c r="D522" i="25"/>
  <c r="E521" i="25"/>
  <c r="P520" i="2"/>
  <c r="R520" i="2" s="1"/>
  <c r="AD520" i="2"/>
  <c r="AF520" i="2" s="1"/>
  <c r="W520" i="2"/>
  <c r="J520" i="2"/>
  <c r="AU520" i="2" s="1"/>
  <c r="D522" i="2"/>
  <c r="B521" i="2"/>
  <c r="C522" i="2"/>
  <c r="E521" i="2"/>
  <c r="Y519" i="2"/>
  <c r="AV519" i="2" s="1"/>
  <c r="Q519" i="2"/>
  <c r="Q520" i="2" s="1"/>
  <c r="AE519" i="2"/>
  <c r="AE520" i="2" s="1"/>
  <c r="K519" i="2"/>
  <c r="K520" i="2" l="1"/>
  <c r="E522" i="24"/>
  <c r="C523" i="24"/>
  <c r="H523" i="24" s="1"/>
  <c r="B522" i="24"/>
  <c r="D523" i="24"/>
  <c r="AD522" i="5"/>
  <c r="AC523" i="5"/>
  <c r="AE523" i="5" s="1"/>
  <c r="AJ523" i="5"/>
  <c r="I523" i="5"/>
  <c r="J522" i="5"/>
  <c r="J523" i="5" s="1"/>
  <c r="AL522" i="5"/>
  <c r="CA522" i="5" s="1"/>
  <c r="AK522" i="5"/>
  <c r="AD523" i="5"/>
  <c r="C525" i="5"/>
  <c r="B524" i="5"/>
  <c r="E524" i="5"/>
  <c r="D525" i="5"/>
  <c r="E522" i="25"/>
  <c r="D523" i="25"/>
  <c r="C523" i="25"/>
  <c r="H523" i="25" s="1"/>
  <c r="B522" i="25"/>
  <c r="AD521" i="2"/>
  <c r="AF521" i="2" s="1"/>
  <c r="P521" i="2"/>
  <c r="W521" i="2"/>
  <c r="J521" i="2"/>
  <c r="K521" i="2" s="1"/>
  <c r="B522" i="2"/>
  <c r="E522" i="2"/>
  <c r="D523" i="2"/>
  <c r="C523" i="2"/>
  <c r="Y520" i="2"/>
  <c r="AV520" i="2"/>
  <c r="E523" i="24" l="1"/>
  <c r="D524" i="24"/>
  <c r="C524" i="24"/>
  <c r="H524" i="24" s="1"/>
  <c r="B523" i="24"/>
  <c r="D526" i="5"/>
  <c r="B525" i="5"/>
  <c r="C526" i="5"/>
  <c r="E525" i="5"/>
  <c r="AC524" i="5"/>
  <c r="AE524" i="5" s="1"/>
  <c r="AJ524" i="5"/>
  <c r="I524" i="5"/>
  <c r="AD524" i="5"/>
  <c r="BZ523" i="5"/>
  <c r="AL523" i="5"/>
  <c r="CA523" i="5" s="1"/>
  <c r="AK523" i="5"/>
  <c r="D524" i="25"/>
  <c r="B523" i="25"/>
  <c r="C524" i="25"/>
  <c r="H524" i="25" s="1"/>
  <c r="E523" i="25"/>
  <c r="AD522" i="2"/>
  <c r="AF522" i="2" s="1"/>
  <c r="P522" i="2"/>
  <c r="W522" i="2"/>
  <c r="J522" i="2"/>
  <c r="K522" i="2" s="1"/>
  <c r="B523" i="2"/>
  <c r="D524" i="2"/>
  <c r="E523" i="2"/>
  <c r="C524" i="2"/>
  <c r="Y521" i="2"/>
  <c r="R521" i="2"/>
  <c r="AV521" i="2" s="1"/>
  <c r="AU521" i="2"/>
  <c r="Q521" i="2"/>
  <c r="Q522" i="2" s="1"/>
  <c r="AE521" i="2"/>
  <c r="J524" i="5" l="1"/>
  <c r="D525" i="24"/>
  <c r="E524" i="24"/>
  <c r="C525" i="24"/>
  <c r="H525" i="24" s="1"/>
  <c r="B524" i="24"/>
  <c r="AK524" i="5"/>
  <c r="AL524" i="5"/>
  <c r="BZ524" i="5"/>
  <c r="CA524" i="5"/>
  <c r="AC525" i="5"/>
  <c r="AE525" i="5" s="1"/>
  <c r="AJ525" i="5"/>
  <c r="I525" i="5"/>
  <c r="BZ525" i="5" s="1"/>
  <c r="B526" i="5"/>
  <c r="E526" i="5"/>
  <c r="C527" i="5"/>
  <c r="D527" i="5"/>
  <c r="D525" i="25"/>
  <c r="E524" i="25"/>
  <c r="C525" i="25"/>
  <c r="H525" i="25" s="1"/>
  <c r="B524" i="25"/>
  <c r="E524" i="2"/>
  <c r="B524" i="2"/>
  <c r="C525" i="2"/>
  <c r="D525" i="2"/>
  <c r="AD523" i="2"/>
  <c r="AF523" i="2" s="1"/>
  <c r="P523" i="2"/>
  <c r="W523" i="2"/>
  <c r="J523" i="2"/>
  <c r="K523" i="2" s="1"/>
  <c r="Y522" i="2"/>
  <c r="R522" i="2"/>
  <c r="AU522" i="2"/>
  <c r="AE522" i="2"/>
  <c r="B525" i="24" l="1"/>
  <c r="E525" i="24"/>
  <c r="C526" i="24"/>
  <c r="H526" i="24" s="1"/>
  <c r="D526" i="24"/>
  <c r="AK525" i="5"/>
  <c r="AL525" i="5"/>
  <c r="CA525" i="5" s="1"/>
  <c r="AD525" i="5"/>
  <c r="C528" i="5"/>
  <c r="D528" i="5"/>
  <c r="B527" i="5"/>
  <c r="E527" i="5"/>
  <c r="AC526" i="5"/>
  <c r="AE526" i="5" s="1"/>
  <c r="AJ526" i="5"/>
  <c r="I526" i="5"/>
  <c r="J525" i="5"/>
  <c r="E525" i="25"/>
  <c r="C526" i="25"/>
  <c r="H526" i="25" s="1"/>
  <c r="D526" i="25"/>
  <c r="B525" i="25"/>
  <c r="AU523" i="2"/>
  <c r="R523" i="2"/>
  <c r="AV522" i="2"/>
  <c r="Y523" i="2"/>
  <c r="Q523" i="2"/>
  <c r="E525" i="2"/>
  <c r="C526" i="2"/>
  <c r="B525" i="2"/>
  <c r="D526" i="2"/>
  <c r="AD524" i="2"/>
  <c r="AF524" i="2" s="1"/>
  <c r="P524" i="2"/>
  <c r="W524" i="2"/>
  <c r="J524" i="2"/>
  <c r="AE523" i="2"/>
  <c r="K524" i="2" l="1"/>
  <c r="B526" i="24"/>
  <c r="E526" i="24"/>
  <c r="C527" i="24"/>
  <c r="H527" i="24" s="1"/>
  <c r="D527" i="24"/>
  <c r="BZ526" i="5"/>
  <c r="AK526" i="5"/>
  <c r="AL526" i="5"/>
  <c r="CA526" i="5"/>
  <c r="AC527" i="5"/>
  <c r="AE527" i="5" s="1"/>
  <c r="AJ527" i="5"/>
  <c r="I527" i="5"/>
  <c r="C529" i="5"/>
  <c r="E528" i="5"/>
  <c r="B528" i="5"/>
  <c r="D529" i="5"/>
  <c r="AD526" i="5"/>
  <c r="AD527" i="5" s="1"/>
  <c r="J526" i="5"/>
  <c r="E526" i="25"/>
  <c r="B526" i="25"/>
  <c r="C527" i="25"/>
  <c r="H527" i="25" s="1"/>
  <c r="D527" i="25"/>
  <c r="R524" i="2"/>
  <c r="AU524" i="2"/>
  <c r="B526" i="2"/>
  <c r="E526" i="2"/>
  <c r="C527" i="2"/>
  <c r="D527" i="2"/>
  <c r="Y524" i="2"/>
  <c r="Q524" i="2"/>
  <c r="AV523" i="2"/>
  <c r="AD525" i="2"/>
  <c r="AF525" i="2" s="1"/>
  <c r="P525" i="2"/>
  <c r="W525" i="2"/>
  <c r="J525" i="2"/>
  <c r="K525" i="2" s="1"/>
  <c r="AE524" i="2"/>
  <c r="C528" i="24" l="1"/>
  <c r="H528" i="24" s="1"/>
  <c r="D528" i="24"/>
  <c r="B527" i="24"/>
  <c r="E527" i="24"/>
  <c r="E529" i="5"/>
  <c r="D530" i="5"/>
  <c r="B529" i="5"/>
  <c r="C530" i="5"/>
  <c r="AK527" i="5"/>
  <c r="AL527" i="5"/>
  <c r="CA527" i="5" s="1"/>
  <c r="AC528" i="5"/>
  <c r="AE528" i="5" s="1"/>
  <c r="AJ528" i="5"/>
  <c r="I528" i="5"/>
  <c r="BZ527" i="5"/>
  <c r="J527" i="5"/>
  <c r="C528" i="25"/>
  <c r="H528" i="25" s="1"/>
  <c r="D528" i="25"/>
  <c r="B527" i="25"/>
  <c r="E527" i="25"/>
  <c r="R525" i="2"/>
  <c r="AU525" i="2"/>
  <c r="Q525" i="2"/>
  <c r="P526" i="2"/>
  <c r="R526" i="2" s="1"/>
  <c r="AD526" i="2"/>
  <c r="AF526" i="2" s="1"/>
  <c r="W526" i="2"/>
  <c r="J526" i="2"/>
  <c r="Y525" i="2"/>
  <c r="AV525" i="2" s="1"/>
  <c r="C528" i="2"/>
  <c r="E527" i="2"/>
  <c r="B527" i="2"/>
  <c r="D528" i="2"/>
  <c r="AE525" i="2"/>
  <c r="AV524" i="2"/>
  <c r="AU526" i="2" l="1"/>
  <c r="BZ528" i="5"/>
  <c r="B528" i="24"/>
  <c r="C529" i="24"/>
  <c r="H529" i="24" s="1"/>
  <c r="E528" i="24"/>
  <c r="D529" i="24"/>
  <c r="AK528" i="5"/>
  <c r="AL528" i="5"/>
  <c r="CA528" i="5" s="1"/>
  <c r="D531" i="5"/>
  <c r="E530" i="5"/>
  <c r="B530" i="5"/>
  <c r="C531" i="5"/>
  <c r="AC529" i="5"/>
  <c r="AE529" i="5" s="1"/>
  <c r="AJ529" i="5"/>
  <c r="I529" i="5"/>
  <c r="J528" i="5"/>
  <c r="AD528" i="5"/>
  <c r="D529" i="25"/>
  <c r="E528" i="25"/>
  <c r="B528" i="25"/>
  <c r="C529" i="25"/>
  <c r="H529" i="25" s="1"/>
  <c r="AD527" i="2"/>
  <c r="AF527" i="2" s="1"/>
  <c r="P527" i="2"/>
  <c r="R527" i="2" s="1"/>
  <c r="W527" i="2"/>
  <c r="J527" i="2"/>
  <c r="AU527" i="2" s="1"/>
  <c r="Y526" i="2"/>
  <c r="Q526" i="2"/>
  <c r="Q527" i="2" s="1"/>
  <c r="E528" i="2"/>
  <c r="D529" i="2"/>
  <c r="B528" i="2"/>
  <c r="C529" i="2"/>
  <c r="AV526" i="2"/>
  <c r="AE526" i="2"/>
  <c r="AE527" i="2" s="1"/>
  <c r="K526" i="2"/>
  <c r="K527" i="2" l="1"/>
  <c r="J529" i="5"/>
  <c r="C530" i="24"/>
  <c r="H530" i="24" s="1"/>
  <c r="D530" i="24"/>
  <c r="E529" i="24"/>
  <c r="B529" i="24"/>
  <c r="AK529" i="5"/>
  <c r="AL529" i="5"/>
  <c r="CA529" i="5" s="1"/>
  <c r="BZ529" i="5"/>
  <c r="AC530" i="5"/>
  <c r="AE530" i="5" s="1"/>
  <c r="AJ530" i="5"/>
  <c r="I530" i="5"/>
  <c r="BZ530" i="5" s="1"/>
  <c r="D532" i="5"/>
  <c r="B531" i="5"/>
  <c r="E531" i="5"/>
  <c r="C532" i="5"/>
  <c r="AD529" i="5"/>
  <c r="B529" i="25"/>
  <c r="C530" i="25"/>
  <c r="H530" i="25" s="1"/>
  <c r="D530" i="25"/>
  <c r="E529" i="25"/>
  <c r="E529" i="2"/>
  <c r="C530" i="2"/>
  <c r="B529" i="2"/>
  <c r="D530" i="2"/>
  <c r="AD528" i="2"/>
  <c r="AF528" i="2" s="1"/>
  <c r="P528" i="2"/>
  <c r="R528" i="2" s="1"/>
  <c r="W528" i="2"/>
  <c r="J528" i="2"/>
  <c r="Y527" i="2"/>
  <c r="AV527" i="2" s="1"/>
  <c r="B530" i="24" l="1"/>
  <c r="D531" i="24"/>
  <c r="E530" i="24"/>
  <c r="C531" i="24"/>
  <c r="H531" i="24" s="1"/>
  <c r="E532" i="5"/>
  <c r="B532" i="5"/>
  <c r="C533" i="5"/>
  <c r="D533" i="5"/>
  <c r="AC531" i="5"/>
  <c r="AE531" i="5" s="1"/>
  <c r="AJ531" i="5"/>
  <c r="I531" i="5"/>
  <c r="BZ531" i="5" s="1"/>
  <c r="AK530" i="5"/>
  <c r="AL530" i="5"/>
  <c r="CA530" i="5" s="1"/>
  <c r="J530" i="5"/>
  <c r="AD530" i="5"/>
  <c r="C531" i="25"/>
  <c r="H531" i="25" s="1"/>
  <c r="D531" i="25"/>
  <c r="B530" i="25"/>
  <c r="E530" i="25"/>
  <c r="Q528" i="2"/>
  <c r="AU528" i="2"/>
  <c r="Y528" i="2"/>
  <c r="AV528" i="2" s="1"/>
  <c r="D531" i="2"/>
  <c r="C531" i="2"/>
  <c r="E530" i="2"/>
  <c r="B530" i="2"/>
  <c r="AD529" i="2"/>
  <c r="AF529" i="2" s="1"/>
  <c r="P529" i="2"/>
  <c r="W529" i="2"/>
  <c r="J529" i="2"/>
  <c r="AE528" i="2"/>
  <c r="AE529" i="2" s="1"/>
  <c r="K528" i="2"/>
  <c r="K529" i="2" l="1"/>
  <c r="J531" i="5"/>
  <c r="B531" i="24"/>
  <c r="E531" i="24"/>
  <c r="C532" i="24"/>
  <c r="H532" i="24" s="1"/>
  <c r="D532" i="24"/>
  <c r="AK531" i="5"/>
  <c r="AL531" i="5"/>
  <c r="CA531" i="5" s="1"/>
  <c r="D534" i="5"/>
  <c r="B533" i="5"/>
  <c r="E533" i="5"/>
  <c r="C534" i="5"/>
  <c r="AD531" i="5"/>
  <c r="AC532" i="5"/>
  <c r="AE532" i="5" s="1"/>
  <c r="AJ532" i="5"/>
  <c r="I532" i="5"/>
  <c r="J532" i="5" s="1"/>
  <c r="B531" i="25"/>
  <c r="C532" i="25"/>
  <c r="H532" i="25" s="1"/>
  <c r="E531" i="25"/>
  <c r="D532" i="25"/>
  <c r="Y529" i="2"/>
  <c r="R529" i="2"/>
  <c r="AV529" i="2" s="1"/>
  <c r="AU529" i="2"/>
  <c r="AD530" i="2"/>
  <c r="AF530" i="2" s="1"/>
  <c r="P530" i="2"/>
  <c r="W530" i="2"/>
  <c r="J530" i="2"/>
  <c r="K530" i="2" s="1"/>
  <c r="D532" i="2"/>
  <c r="E531" i="2"/>
  <c r="B531" i="2"/>
  <c r="C532" i="2"/>
  <c r="Q529" i="2"/>
  <c r="Q530" i="2" s="1"/>
  <c r="C533" i="24" l="1"/>
  <c r="H533" i="24" s="1"/>
  <c r="D533" i="24"/>
  <c r="B532" i="24"/>
  <c r="E532" i="24"/>
  <c r="AK532" i="5"/>
  <c r="AL532" i="5"/>
  <c r="CA532" i="5"/>
  <c r="AC533" i="5"/>
  <c r="AE533" i="5" s="1"/>
  <c r="AJ533" i="5"/>
  <c r="I533" i="5"/>
  <c r="BZ533" i="5" s="1"/>
  <c r="B534" i="5"/>
  <c r="E534" i="5"/>
  <c r="D535" i="5"/>
  <c r="C535" i="5"/>
  <c r="AD532" i="5"/>
  <c r="AD533" i="5" s="1"/>
  <c r="BZ532" i="5"/>
  <c r="E532" i="25"/>
  <c r="D533" i="25"/>
  <c r="B532" i="25"/>
  <c r="C533" i="25"/>
  <c r="H533" i="25" s="1"/>
  <c r="AD531" i="2"/>
  <c r="AF531" i="2" s="1"/>
  <c r="P531" i="2"/>
  <c r="W531" i="2"/>
  <c r="J531" i="2"/>
  <c r="K531" i="2" s="1"/>
  <c r="E532" i="2"/>
  <c r="C533" i="2"/>
  <c r="D533" i="2"/>
  <c r="B532" i="2"/>
  <c r="Y530" i="2"/>
  <c r="AU530" i="2"/>
  <c r="R530" i="2"/>
  <c r="AE530" i="2"/>
  <c r="AE531" i="2" s="1"/>
  <c r="J533" i="5" l="1"/>
  <c r="D534" i="24"/>
  <c r="B533" i="24"/>
  <c r="E533" i="24"/>
  <c r="C534" i="24"/>
  <c r="H534" i="24" s="1"/>
  <c r="E535" i="5"/>
  <c r="B535" i="5"/>
  <c r="C536" i="5"/>
  <c r="D536" i="5"/>
  <c r="AC534" i="5"/>
  <c r="AE534" i="5" s="1"/>
  <c r="AJ534" i="5"/>
  <c r="I534" i="5"/>
  <c r="AK533" i="5"/>
  <c r="AL533" i="5"/>
  <c r="CA533" i="5" s="1"/>
  <c r="C534" i="25"/>
  <c r="H534" i="25" s="1"/>
  <c r="D534" i="25"/>
  <c r="E533" i="25"/>
  <c r="B533" i="25"/>
  <c r="AV530" i="2"/>
  <c r="E533" i="2"/>
  <c r="B533" i="2"/>
  <c r="C534" i="2"/>
  <c r="D534" i="2"/>
  <c r="AD532" i="2"/>
  <c r="AF532" i="2" s="1"/>
  <c r="P532" i="2"/>
  <c r="W532" i="2"/>
  <c r="J532" i="2"/>
  <c r="K532" i="2" s="1"/>
  <c r="Y531" i="2"/>
  <c r="R531" i="2"/>
  <c r="AV531" i="2" s="1"/>
  <c r="AU531" i="2"/>
  <c r="Q531" i="2"/>
  <c r="E534" i="24" l="1"/>
  <c r="C535" i="24"/>
  <c r="H535" i="24" s="1"/>
  <c r="D535" i="24"/>
  <c r="B534" i="24"/>
  <c r="AK534" i="5"/>
  <c r="AL534" i="5"/>
  <c r="CA534" i="5"/>
  <c r="J534" i="5"/>
  <c r="BZ534" i="5"/>
  <c r="C537" i="5"/>
  <c r="D537" i="5"/>
  <c r="B536" i="5"/>
  <c r="E536" i="5"/>
  <c r="AC535" i="5"/>
  <c r="AE535" i="5" s="1"/>
  <c r="AJ535" i="5"/>
  <c r="I535" i="5"/>
  <c r="AD534" i="5"/>
  <c r="B534" i="25"/>
  <c r="E534" i="25"/>
  <c r="C535" i="25"/>
  <c r="H535" i="25" s="1"/>
  <c r="D535" i="25"/>
  <c r="Y532" i="2"/>
  <c r="R532" i="2"/>
  <c r="AV532" i="2" s="1"/>
  <c r="AU532" i="2"/>
  <c r="E534" i="2"/>
  <c r="C535" i="2"/>
  <c r="B534" i="2"/>
  <c r="D535" i="2"/>
  <c r="AD533" i="2"/>
  <c r="AF533" i="2" s="1"/>
  <c r="P533" i="2"/>
  <c r="W533" i="2"/>
  <c r="J533" i="2"/>
  <c r="K533" i="2" s="1"/>
  <c r="Q532" i="2"/>
  <c r="Q533" i="2" s="1"/>
  <c r="AE532" i="2"/>
  <c r="AE533" i="2" s="1"/>
  <c r="D536" i="24" l="1"/>
  <c r="B535" i="24"/>
  <c r="C536" i="24"/>
  <c r="H536" i="24" s="1"/>
  <c r="E535" i="24"/>
  <c r="J535" i="5"/>
  <c r="B537" i="5"/>
  <c r="C538" i="5"/>
  <c r="D538" i="5"/>
  <c r="E537" i="5"/>
  <c r="AC536" i="5"/>
  <c r="AE536" i="5" s="1"/>
  <c r="AJ536" i="5"/>
  <c r="I536" i="5"/>
  <c r="BZ536" i="5" s="1"/>
  <c r="AD535" i="5"/>
  <c r="AD536" i="5" s="1"/>
  <c r="BZ535" i="5"/>
  <c r="AK535" i="5"/>
  <c r="AL535" i="5"/>
  <c r="CA535" i="5" s="1"/>
  <c r="B535" i="25"/>
  <c r="C536" i="25"/>
  <c r="H536" i="25" s="1"/>
  <c r="D536" i="25"/>
  <c r="E535" i="25"/>
  <c r="D536" i="2"/>
  <c r="B535" i="2"/>
  <c r="C536" i="2"/>
  <c r="E535" i="2"/>
  <c r="Y533" i="2"/>
  <c r="AU533" i="2"/>
  <c r="R533" i="2"/>
  <c r="AV533" i="2" s="1"/>
  <c r="AD534" i="2"/>
  <c r="AF534" i="2" s="1"/>
  <c r="P534" i="2"/>
  <c r="W534" i="2"/>
  <c r="J534" i="2"/>
  <c r="K534" i="2" s="1"/>
  <c r="E536" i="24" l="1"/>
  <c r="C537" i="24"/>
  <c r="H537" i="24" s="1"/>
  <c r="B536" i="24"/>
  <c r="D537" i="24"/>
  <c r="J536" i="5"/>
  <c r="AL536" i="5"/>
  <c r="CA536" i="5" s="1"/>
  <c r="AK536" i="5"/>
  <c r="AC537" i="5"/>
  <c r="AE537" i="5" s="1"/>
  <c r="AJ537" i="5"/>
  <c r="I537" i="5"/>
  <c r="B538" i="5"/>
  <c r="D539" i="5"/>
  <c r="E538" i="5"/>
  <c r="C539" i="5"/>
  <c r="D537" i="25"/>
  <c r="C537" i="25"/>
  <c r="H537" i="25" s="1"/>
  <c r="B536" i="25"/>
  <c r="E536" i="25"/>
  <c r="R534" i="2"/>
  <c r="AU534" i="2"/>
  <c r="Y534" i="2"/>
  <c r="AV534" i="2" s="1"/>
  <c r="Q534" i="2"/>
  <c r="P535" i="2"/>
  <c r="R535" i="2" s="1"/>
  <c r="AD535" i="2"/>
  <c r="AF535" i="2" s="1"/>
  <c r="W535" i="2"/>
  <c r="J535" i="2"/>
  <c r="AU535" i="2" s="1"/>
  <c r="C537" i="2"/>
  <c r="B536" i="2"/>
  <c r="D537" i="2"/>
  <c r="E536" i="2"/>
  <c r="AE534" i="2"/>
  <c r="B537" i="24" l="1"/>
  <c r="D538" i="24"/>
  <c r="E537" i="24"/>
  <c r="C538" i="24"/>
  <c r="H538" i="24" s="1"/>
  <c r="AC538" i="5"/>
  <c r="AE538" i="5" s="1"/>
  <c r="AJ538" i="5"/>
  <c r="I538" i="5"/>
  <c r="BZ538" i="5" s="1"/>
  <c r="C540" i="5"/>
  <c r="D540" i="5"/>
  <c r="E539" i="5"/>
  <c r="B539" i="5"/>
  <c r="AL537" i="5"/>
  <c r="CA537" i="5" s="1"/>
  <c r="AK537" i="5"/>
  <c r="BZ537" i="5"/>
  <c r="J537" i="5"/>
  <c r="AD537" i="5"/>
  <c r="AD538" i="5" s="1"/>
  <c r="C538" i="25"/>
  <c r="H538" i="25" s="1"/>
  <c r="B537" i="25"/>
  <c r="E537" i="25"/>
  <c r="D538" i="25"/>
  <c r="AD536" i="2"/>
  <c r="AF536" i="2" s="1"/>
  <c r="P536" i="2"/>
  <c r="W536" i="2"/>
  <c r="J536" i="2"/>
  <c r="C538" i="2"/>
  <c r="E537" i="2"/>
  <c r="D538" i="2"/>
  <c r="B537" i="2"/>
  <c r="Y535" i="2"/>
  <c r="AV535" i="2" s="1"/>
  <c r="Q535" i="2"/>
  <c r="Q536" i="2" s="1"/>
  <c r="K535" i="2"/>
  <c r="AE535" i="2"/>
  <c r="AE536" i="2" s="1"/>
  <c r="K536" i="2" l="1"/>
  <c r="D539" i="24"/>
  <c r="B538" i="24"/>
  <c r="E538" i="24"/>
  <c r="C539" i="24"/>
  <c r="H539" i="24" s="1"/>
  <c r="AC539" i="5"/>
  <c r="AE539" i="5" s="1"/>
  <c r="AJ539" i="5"/>
  <c r="I539" i="5"/>
  <c r="BZ539" i="5" s="1"/>
  <c r="B540" i="5"/>
  <c r="E540" i="5"/>
  <c r="C541" i="5"/>
  <c r="D541" i="5"/>
  <c r="AL538" i="5"/>
  <c r="CA538" i="5" s="1"/>
  <c r="AK538" i="5"/>
  <c r="J538" i="5"/>
  <c r="B538" i="25"/>
  <c r="E538" i="25"/>
  <c r="C539" i="25"/>
  <c r="H539" i="25" s="1"/>
  <c r="D539" i="25"/>
  <c r="D539" i="2"/>
  <c r="B538" i="2"/>
  <c r="C539" i="2"/>
  <c r="E538" i="2"/>
  <c r="AD537" i="2"/>
  <c r="AF537" i="2" s="1"/>
  <c r="P537" i="2"/>
  <c r="W537" i="2"/>
  <c r="J537" i="2"/>
  <c r="K537" i="2" s="1"/>
  <c r="Y536" i="2"/>
  <c r="AU536" i="2"/>
  <c r="R536" i="2"/>
  <c r="AV536" i="2" s="1"/>
  <c r="B539" i="24" l="1"/>
  <c r="E539" i="24"/>
  <c r="C540" i="24"/>
  <c r="H540" i="24" s="1"/>
  <c r="D540" i="24"/>
  <c r="D542" i="5"/>
  <c r="B541" i="5"/>
  <c r="E541" i="5"/>
  <c r="C542" i="5"/>
  <c r="AC540" i="5"/>
  <c r="AE540" i="5" s="1"/>
  <c r="AJ540" i="5"/>
  <c r="I540" i="5"/>
  <c r="BZ540" i="5" s="1"/>
  <c r="AK539" i="5"/>
  <c r="AL539" i="5"/>
  <c r="CA539" i="5" s="1"/>
  <c r="AD539" i="5"/>
  <c r="AD540" i="5" s="1"/>
  <c r="J539" i="5"/>
  <c r="E539" i="25"/>
  <c r="C540" i="25"/>
  <c r="H540" i="25" s="1"/>
  <c r="D540" i="25"/>
  <c r="B539" i="25"/>
  <c r="Y537" i="2"/>
  <c r="R537" i="2"/>
  <c r="AU537" i="2"/>
  <c r="AD538" i="2"/>
  <c r="AF538" i="2" s="1"/>
  <c r="P538" i="2"/>
  <c r="W538" i="2"/>
  <c r="J538" i="2"/>
  <c r="K538" i="2" s="1"/>
  <c r="B539" i="2"/>
  <c r="E539" i="2"/>
  <c r="C540" i="2"/>
  <c r="D540" i="2"/>
  <c r="Q537" i="2"/>
  <c r="Q538" i="2" s="1"/>
  <c r="AE537" i="2"/>
  <c r="AE538" i="2" s="1"/>
  <c r="J540" i="5" l="1"/>
  <c r="B540" i="24"/>
  <c r="C541" i="24"/>
  <c r="H541" i="24" s="1"/>
  <c r="D541" i="24"/>
  <c r="E540" i="24"/>
  <c r="AC541" i="5"/>
  <c r="AE541" i="5" s="1"/>
  <c r="AJ541" i="5"/>
  <c r="I541" i="5"/>
  <c r="BZ541" i="5" s="1"/>
  <c r="AK540" i="5"/>
  <c r="AL540" i="5"/>
  <c r="CA540" i="5" s="1"/>
  <c r="E542" i="5"/>
  <c r="D543" i="5"/>
  <c r="B542" i="5"/>
  <c r="C543" i="5"/>
  <c r="E540" i="25"/>
  <c r="D541" i="25"/>
  <c r="C541" i="25"/>
  <c r="H541" i="25" s="1"/>
  <c r="B540" i="25"/>
  <c r="C541" i="2"/>
  <c r="B540" i="2"/>
  <c r="E540" i="2"/>
  <c r="D541" i="2"/>
  <c r="P539" i="2"/>
  <c r="R539" i="2" s="1"/>
  <c r="AD539" i="2"/>
  <c r="AF539" i="2" s="1"/>
  <c r="W539" i="2"/>
  <c r="J539" i="2"/>
  <c r="AU539" i="2" s="1"/>
  <c r="AE539" i="2"/>
  <c r="Y538" i="2"/>
  <c r="AU538" i="2"/>
  <c r="R538" i="2"/>
  <c r="AV537" i="2"/>
  <c r="C542" i="24" l="1"/>
  <c r="H542" i="24" s="1"/>
  <c r="D542" i="24"/>
  <c r="B541" i="24"/>
  <c r="E541" i="24"/>
  <c r="J541" i="5"/>
  <c r="AC542" i="5"/>
  <c r="AE542" i="5" s="1"/>
  <c r="AJ542" i="5"/>
  <c r="I542" i="5"/>
  <c r="AK541" i="5"/>
  <c r="AL541" i="5"/>
  <c r="CA541" i="5"/>
  <c r="E543" i="5"/>
  <c r="C544" i="5"/>
  <c r="D544" i="5"/>
  <c r="B543" i="5"/>
  <c r="AD541" i="5"/>
  <c r="D542" i="25"/>
  <c r="B541" i="25"/>
  <c r="E541" i="25"/>
  <c r="C542" i="25"/>
  <c r="H542" i="25" s="1"/>
  <c r="P540" i="2"/>
  <c r="R540" i="2" s="1"/>
  <c r="AD540" i="2"/>
  <c r="AF540" i="2" s="1"/>
  <c r="W540" i="2"/>
  <c r="J540" i="2"/>
  <c r="AU540" i="2" s="1"/>
  <c r="K539" i="2"/>
  <c r="AE540" i="2"/>
  <c r="Y539" i="2"/>
  <c r="AV539" i="2"/>
  <c r="C542" i="2"/>
  <c r="D542" i="2"/>
  <c r="B541" i="2"/>
  <c r="E541" i="2"/>
  <c r="AV538" i="2"/>
  <c r="Q539" i="2"/>
  <c r="Q540" i="2" s="1"/>
  <c r="J542" i="5" l="1"/>
  <c r="K540" i="2"/>
  <c r="C543" i="24"/>
  <c r="H543" i="24" s="1"/>
  <c r="B542" i="24"/>
  <c r="E542" i="24"/>
  <c r="D543" i="24"/>
  <c r="AD542" i="5"/>
  <c r="AC543" i="5"/>
  <c r="AE543" i="5" s="1"/>
  <c r="AJ543" i="5"/>
  <c r="I543" i="5"/>
  <c r="BZ543" i="5" s="1"/>
  <c r="AK542" i="5"/>
  <c r="AL542" i="5"/>
  <c r="CA542" i="5" s="1"/>
  <c r="D545" i="5"/>
  <c r="B544" i="5"/>
  <c r="E544" i="5"/>
  <c r="C545" i="5"/>
  <c r="BZ542" i="5"/>
  <c r="D543" i="25"/>
  <c r="B542" i="25"/>
  <c r="E542" i="25"/>
  <c r="C543" i="25"/>
  <c r="H543" i="25" s="1"/>
  <c r="P541" i="2"/>
  <c r="R541" i="2" s="1"/>
  <c r="AD541" i="2"/>
  <c r="AF541" i="2" s="1"/>
  <c r="W541" i="2"/>
  <c r="J541" i="2"/>
  <c r="AU541" i="2" s="1"/>
  <c r="E542" i="2"/>
  <c r="D543" i="2"/>
  <c r="B542" i="2"/>
  <c r="C543" i="2"/>
  <c r="AE541" i="2"/>
  <c r="Y540" i="2"/>
  <c r="Q541" i="2"/>
  <c r="AV540" i="2"/>
  <c r="K541" i="2" l="1"/>
  <c r="D544" i="24"/>
  <c r="E543" i="24"/>
  <c r="C544" i="24"/>
  <c r="H544" i="24" s="1"/>
  <c r="B543" i="24"/>
  <c r="J543" i="5"/>
  <c r="J544" i="5" s="1"/>
  <c r="E545" i="5"/>
  <c r="C546" i="5"/>
  <c r="D546" i="5"/>
  <c r="B545" i="5"/>
  <c r="AC544" i="5"/>
  <c r="AE544" i="5" s="1"/>
  <c r="AJ544" i="5"/>
  <c r="I544" i="5"/>
  <c r="AL543" i="5"/>
  <c r="CA543" i="5" s="1"/>
  <c r="AK543" i="5"/>
  <c r="AD543" i="5"/>
  <c r="B543" i="25"/>
  <c r="E543" i="25"/>
  <c r="D544" i="25"/>
  <c r="C544" i="25"/>
  <c r="H544" i="25" s="1"/>
  <c r="D544" i="2"/>
  <c r="E543" i="2"/>
  <c r="B543" i="2"/>
  <c r="C544" i="2"/>
  <c r="P542" i="2"/>
  <c r="R542" i="2" s="1"/>
  <c r="AD542" i="2"/>
  <c r="AF542" i="2" s="1"/>
  <c r="W542" i="2"/>
  <c r="J542" i="2"/>
  <c r="Y541" i="2"/>
  <c r="AV541" i="2" s="1"/>
  <c r="E544" i="24" l="1"/>
  <c r="D545" i="24"/>
  <c r="B544" i="24"/>
  <c r="C545" i="24"/>
  <c r="H545" i="24" s="1"/>
  <c r="BZ544" i="5"/>
  <c r="AK544" i="5"/>
  <c r="AL544" i="5"/>
  <c r="CA544" i="5" s="1"/>
  <c r="E546" i="5"/>
  <c r="D547" i="5"/>
  <c r="C547" i="5"/>
  <c r="B546" i="5"/>
  <c r="AD544" i="5"/>
  <c r="AC545" i="5"/>
  <c r="AE545" i="5" s="1"/>
  <c r="AJ545" i="5"/>
  <c r="I545" i="5"/>
  <c r="C545" i="25"/>
  <c r="H545" i="25" s="1"/>
  <c r="B544" i="25"/>
  <c r="E544" i="25"/>
  <c r="D545" i="25"/>
  <c r="AU542" i="2"/>
  <c r="Y542" i="2"/>
  <c r="AV542" i="2" s="1"/>
  <c r="AD543" i="2"/>
  <c r="AF543" i="2" s="1"/>
  <c r="P543" i="2"/>
  <c r="R543" i="2" s="1"/>
  <c r="W543" i="2"/>
  <c r="J543" i="2"/>
  <c r="E544" i="2"/>
  <c r="B544" i="2"/>
  <c r="D545" i="2"/>
  <c r="C545" i="2"/>
  <c r="AE542" i="2"/>
  <c r="AE543" i="2" s="1"/>
  <c r="K542" i="2"/>
  <c r="Q542" i="2"/>
  <c r="K543" i="2" l="1"/>
  <c r="B545" i="24"/>
  <c r="E545" i="24"/>
  <c r="D546" i="24"/>
  <c r="C546" i="24"/>
  <c r="H546" i="24" s="1"/>
  <c r="AK545" i="5"/>
  <c r="AL545" i="5"/>
  <c r="AD545" i="5"/>
  <c r="CA545" i="5"/>
  <c r="B547" i="5"/>
  <c r="E547" i="5"/>
  <c r="C548" i="5"/>
  <c r="D548" i="5"/>
  <c r="AC546" i="5"/>
  <c r="AE546" i="5" s="1"/>
  <c r="AJ546" i="5"/>
  <c r="I546" i="5"/>
  <c r="BZ545" i="5"/>
  <c r="J545" i="5"/>
  <c r="C546" i="25"/>
  <c r="H546" i="25" s="1"/>
  <c r="B545" i="25"/>
  <c r="D546" i="25"/>
  <c r="E545" i="25"/>
  <c r="AU543" i="2"/>
  <c r="C546" i="2"/>
  <c r="E545" i="2"/>
  <c r="D546" i="2"/>
  <c r="B545" i="2"/>
  <c r="P544" i="2"/>
  <c r="R544" i="2" s="1"/>
  <c r="AD544" i="2"/>
  <c r="AF544" i="2" s="1"/>
  <c r="W544" i="2"/>
  <c r="J544" i="2"/>
  <c r="Y543" i="2"/>
  <c r="AV543" i="2"/>
  <c r="Q543" i="2"/>
  <c r="Q544" i="2" s="1"/>
  <c r="J546" i="5" l="1"/>
  <c r="B546" i="24"/>
  <c r="E546" i="24"/>
  <c r="D547" i="24"/>
  <c r="C547" i="24"/>
  <c r="H547" i="24" s="1"/>
  <c r="AK546" i="5"/>
  <c r="AL546" i="5"/>
  <c r="CA546" i="5"/>
  <c r="B548" i="5"/>
  <c r="E548" i="5"/>
  <c r="C549" i="5"/>
  <c r="D549" i="5"/>
  <c r="AC547" i="5"/>
  <c r="AE547" i="5" s="1"/>
  <c r="AJ547" i="5"/>
  <c r="I547" i="5"/>
  <c r="AD546" i="5"/>
  <c r="BZ546" i="5"/>
  <c r="E546" i="25"/>
  <c r="C547" i="25"/>
  <c r="H547" i="25" s="1"/>
  <c r="D547" i="25"/>
  <c r="B546" i="25"/>
  <c r="AU544" i="2"/>
  <c r="Y544" i="2"/>
  <c r="AV544" i="2" s="1"/>
  <c r="E546" i="2"/>
  <c r="D547" i="2"/>
  <c r="C547" i="2"/>
  <c r="B546" i="2"/>
  <c r="AD545" i="2"/>
  <c r="AF545" i="2" s="1"/>
  <c r="P545" i="2"/>
  <c r="R545" i="2" s="1"/>
  <c r="W545" i="2"/>
  <c r="J545" i="2"/>
  <c r="AU545" i="2" s="1"/>
  <c r="AE544" i="2"/>
  <c r="AE545" i="2" s="1"/>
  <c r="K544" i="2"/>
  <c r="K545" i="2" l="1"/>
  <c r="D548" i="24"/>
  <c r="E547" i="24"/>
  <c r="C548" i="24"/>
  <c r="H548" i="24" s="1"/>
  <c r="B547" i="24"/>
  <c r="BZ547" i="5"/>
  <c r="AC548" i="5"/>
  <c r="AE548" i="5" s="1"/>
  <c r="AJ548" i="5"/>
  <c r="I548" i="5"/>
  <c r="AL547" i="5"/>
  <c r="CA547" i="5" s="1"/>
  <c r="AK547" i="5"/>
  <c r="D550" i="5"/>
  <c r="E549" i="5"/>
  <c r="C550" i="5"/>
  <c r="B549" i="5"/>
  <c r="AD547" i="5"/>
  <c r="J547" i="5"/>
  <c r="B547" i="25"/>
  <c r="D548" i="25"/>
  <c r="E547" i="25"/>
  <c r="C548" i="25"/>
  <c r="H548" i="25" s="1"/>
  <c r="Y545" i="2"/>
  <c r="AV545" i="2"/>
  <c r="C548" i="2"/>
  <c r="D548" i="2"/>
  <c r="E547" i="2"/>
  <c r="B547" i="2"/>
  <c r="AD546" i="2"/>
  <c r="AF546" i="2" s="1"/>
  <c r="P546" i="2"/>
  <c r="W546" i="2"/>
  <c r="J546" i="2"/>
  <c r="K546" i="2" s="1"/>
  <c r="Q545" i="2"/>
  <c r="BZ548" i="5" l="1"/>
  <c r="E548" i="24"/>
  <c r="C549" i="24"/>
  <c r="H549" i="24" s="1"/>
  <c r="B548" i="24"/>
  <c r="D549" i="24"/>
  <c r="AD548" i="5"/>
  <c r="AC549" i="5"/>
  <c r="AE549" i="5" s="1"/>
  <c r="AJ549" i="5"/>
  <c r="I549" i="5"/>
  <c r="C551" i="5"/>
  <c r="E550" i="5"/>
  <c r="D551" i="5"/>
  <c r="B550" i="5"/>
  <c r="AK548" i="5"/>
  <c r="AL548" i="5"/>
  <c r="CA548" i="5" s="1"/>
  <c r="J548" i="5"/>
  <c r="B548" i="25"/>
  <c r="E548" i="25"/>
  <c r="C549" i="25"/>
  <c r="H549" i="25" s="1"/>
  <c r="D549" i="25"/>
  <c r="Q546" i="2"/>
  <c r="R546" i="2"/>
  <c r="AU546" i="2"/>
  <c r="Y546" i="2"/>
  <c r="AD547" i="2"/>
  <c r="AF547" i="2" s="1"/>
  <c r="P547" i="2"/>
  <c r="W547" i="2"/>
  <c r="J547" i="2"/>
  <c r="K547" i="2" s="1"/>
  <c r="D549" i="2"/>
  <c r="E548" i="2"/>
  <c r="B548" i="2"/>
  <c r="C549" i="2"/>
  <c r="AE546" i="2"/>
  <c r="AE547" i="2" s="1"/>
  <c r="E549" i="24" l="1"/>
  <c r="C550" i="24"/>
  <c r="H550" i="24" s="1"/>
  <c r="D550" i="24"/>
  <c r="B549" i="24"/>
  <c r="B551" i="5"/>
  <c r="C552" i="5"/>
  <c r="E551" i="5"/>
  <c r="D552" i="5"/>
  <c r="AC550" i="5"/>
  <c r="AE550" i="5" s="1"/>
  <c r="AJ550" i="5"/>
  <c r="I550" i="5"/>
  <c r="BZ549" i="5"/>
  <c r="AL549" i="5"/>
  <c r="AK549" i="5"/>
  <c r="CA549" i="5"/>
  <c r="AD549" i="5"/>
  <c r="J549" i="5"/>
  <c r="B549" i="25"/>
  <c r="C550" i="25"/>
  <c r="H550" i="25" s="1"/>
  <c r="E549" i="25"/>
  <c r="D550" i="25"/>
  <c r="AD548" i="2"/>
  <c r="AF548" i="2" s="1"/>
  <c r="P548" i="2"/>
  <c r="W548" i="2"/>
  <c r="J548" i="2"/>
  <c r="K548" i="2" s="1"/>
  <c r="E549" i="2"/>
  <c r="B549" i="2"/>
  <c r="C550" i="2"/>
  <c r="D550" i="2"/>
  <c r="Y547" i="2"/>
  <c r="R547" i="2"/>
  <c r="AV547" i="2" s="1"/>
  <c r="AU547" i="2"/>
  <c r="AV546" i="2"/>
  <c r="Q547" i="2"/>
  <c r="E550" i="24" l="1"/>
  <c r="B550" i="24"/>
  <c r="C551" i="24"/>
  <c r="H551" i="24" s="1"/>
  <c r="D551" i="24"/>
  <c r="BZ550" i="5"/>
  <c r="AK550" i="5"/>
  <c r="AL550" i="5"/>
  <c r="AC551" i="5"/>
  <c r="AE551" i="5" s="1"/>
  <c r="AJ551" i="5"/>
  <c r="I551" i="5"/>
  <c r="J550" i="5"/>
  <c r="CA550" i="5"/>
  <c r="E552" i="5"/>
  <c r="C553" i="5"/>
  <c r="B552" i="5"/>
  <c r="D553" i="5"/>
  <c r="AD550" i="5"/>
  <c r="D551" i="25"/>
  <c r="B550" i="25"/>
  <c r="E550" i="25"/>
  <c r="C551" i="25"/>
  <c r="H551" i="25" s="1"/>
  <c r="E550" i="2"/>
  <c r="C551" i="2"/>
  <c r="B550" i="2"/>
  <c r="D551" i="2"/>
  <c r="AD549" i="2"/>
  <c r="AF549" i="2" s="1"/>
  <c r="P549" i="2"/>
  <c r="W549" i="2"/>
  <c r="J549" i="2"/>
  <c r="K549" i="2" s="1"/>
  <c r="Y548" i="2"/>
  <c r="AU548" i="2"/>
  <c r="R548" i="2"/>
  <c r="Q548" i="2"/>
  <c r="AE548" i="2"/>
  <c r="AE549" i="2" s="1"/>
  <c r="B551" i="24" l="1"/>
  <c r="C552" i="24"/>
  <c r="H552" i="24" s="1"/>
  <c r="D552" i="24"/>
  <c r="E551" i="24"/>
  <c r="J551" i="5"/>
  <c r="AC552" i="5"/>
  <c r="AE552" i="5" s="1"/>
  <c r="AJ552" i="5"/>
  <c r="I552" i="5"/>
  <c r="J552" i="5" s="1"/>
  <c r="D554" i="5"/>
  <c r="E553" i="5"/>
  <c r="B553" i="5"/>
  <c r="C554" i="5"/>
  <c r="BZ551" i="5"/>
  <c r="AK551" i="5"/>
  <c r="AL551" i="5"/>
  <c r="CA551" i="5" s="1"/>
  <c r="AD551" i="5"/>
  <c r="E551" i="25"/>
  <c r="C552" i="25"/>
  <c r="H552" i="25" s="1"/>
  <c r="D552" i="25"/>
  <c r="B551" i="25"/>
  <c r="Q549" i="2"/>
  <c r="R549" i="2"/>
  <c r="AU549" i="2"/>
  <c r="AV548" i="2"/>
  <c r="Y549" i="2"/>
  <c r="C552" i="2"/>
  <c r="B551" i="2"/>
  <c r="E551" i="2"/>
  <c r="D552" i="2"/>
  <c r="AD550" i="2"/>
  <c r="AF550" i="2" s="1"/>
  <c r="P550" i="2"/>
  <c r="W550" i="2"/>
  <c r="J550" i="2"/>
  <c r="K550" i="2" s="1"/>
  <c r="BZ552" i="5" l="1"/>
  <c r="D553" i="24"/>
  <c r="E552" i="24"/>
  <c r="B552" i="24"/>
  <c r="C553" i="24"/>
  <c r="H553" i="24" s="1"/>
  <c r="AD552" i="5"/>
  <c r="E554" i="5"/>
  <c r="D555" i="5"/>
  <c r="B554" i="5"/>
  <c r="C555" i="5"/>
  <c r="AC553" i="5"/>
  <c r="AE553" i="5" s="1"/>
  <c r="AJ553" i="5"/>
  <c r="I553" i="5"/>
  <c r="AL552" i="5"/>
  <c r="CA552" i="5" s="1"/>
  <c r="AK552" i="5"/>
  <c r="B552" i="25"/>
  <c r="E552" i="25"/>
  <c r="C553" i="25"/>
  <c r="H553" i="25" s="1"/>
  <c r="D553" i="25"/>
  <c r="Q550" i="2"/>
  <c r="R550" i="2"/>
  <c r="AU550" i="2"/>
  <c r="AD551" i="2"/>
  <c r="AF551" i="2" s="1"/>
  <c r="P551" i="2"/>
  <c r="W551" i="2"/>
  <c r="J551" i="2"/>
  <c r="K551" i="2" s="1"/>
  <c r="Y550" i="2"/>
  <c r="E552" i="2"/>
  <c r="C553" i="2"/>
  <c r="B552" i="2"/>
  <c r="D553" i="2"/>
  <c r="AE550" i="2"/>
  <c r="AE551" i="2" s="1"/>
  <c r="AV549" i="2"/>
  <c r="BZ553" i="5" l="1"/>
  <c r="D554" i="24"/>
  <c r="B553" i="24"/>
  <c r="E553" i="24"/>
  <c r="C554" i="24"/>
  <c r="H554" i="24" s="1"/>
  <c r="AK553" i="5"/>
  <c r="AL553" i="5"/>
  <c r="CA553" i="5" s="1"/>
  <c r="AD553" i="5"/>
  <c r="C556" i="5"/>
  <c r="D556" i="5"/>
  <c r="B555" i="5"/>
  <c r="E555" i="5"/>
  <c r="AC554" i="5"/>
  <c r="AE554" i="5" s="1"/>
  <c r="AJ554" i="5"/>
  <c r="I554" i="5"/>
  <c r="J553" i="5"/>
  <c r="E553" i="25"/>
  <c r="C554" i="25"/>
  <c r="H554" i="25" s="1"/>
  <c r="B553" i="25"/>
  <c r="D554" i="25"/>
  <c r="B553" i="2"/>
  <c r="E553" i="2"/>
  <c r="D554" i="2"/>
  <c r="C554" i="2"/>
  <c r="AD552" i="2"/>
  <c r="AF552" i="2" s="1"/>
  <c r="P552" i="2"/>
  <c r="W552" i="2"/>
  <c r="J552" i="2"/>
  <c r="K552" i="2" s="1"/>
  <c r="Y551" i="2"/>
  <c r="R551" i="2"/>
  <c r="AV551" i="2" s="1"/>
  <c r="AU551" i="2"/>
  <c r="AV550" i="2"/>
  <c r="Q551" i="2"/>
  <c r="BZ554" i="5" l="1"/>
  <c r="B554" i="24"/>
  <c r="E554" i="24"/>
  <c r="C555" i="24"/>
  <c r="H555" i="24" s="1"/>
  <c r="D555" i="24"/>
  <c r="AK554" i="5"/>
  <c r="AL554" i="5"/>
  <c r="CA554" i="5" s="1"/>
  <c r="AC555" i="5"/>
  <c r="AE555" i="5" s="1"/>
  <c r="AJ555" i="5"/>
  <c r="I555" i="5"/>
  <c r="C557" i="5"/>
  <c r="D557" i="5"/>
  <c r="B556" i="5"/>
  <c r="E556" i="5"/>
  <c r="AD554" i="5"/>
  <c r="AD555" i="5" s="1"/>
  <c r="J554" i="5"/>
  <c r="E554" i="25"/>
  <c r="C555" i="25"/>
  <c r="H555" i="25" s="1"/>
  <c r="B554" i="25"/>
  <c r="D555" i="25"/>
  <c r="R552" i="2"/>
  <c r="AU552" i="2"/>
  <c r="Y552" i="2"/>
  <c r="AV552" i="2" s="1"/>
  <c r="E554" i="2"/>
  <c r="B554" i="2"/>
  <c r="D555" i="2"/>
  <c r="C555" i="2"/>
  <c r="AD553" i="2"/>
  <c r="AF553" i="2" s="1"/>
  <c r="P553" i="2"/>
  <c r="R553" i="2" s="1"/>
  <c r="W553" i="2"/>
  <c r="J553" i="2"/>
  <c r="K553" i="2" s="1"/>
  <c r="Q552" i="2"/>
  <c r="Q553" i="2" s="1"/>
  <c r="AE552" i="2"/>
  <c r="AE553" i="2" s="1"/>
  <c r="J555" i="5" l="1"/>
  <c r="C556" i="24"/>
  <c r="H556" i="24" s="1"/>
  <c r="D556" i="24"/>
  <c r="B555" i="24"/>
  <c r="E555" i="24"/>
  <c r="AC556" i="5"/>
  <c r="AE556" i="5" s="1"/>
  <c r="AJ556" i="5"/>
  <c r="I556" i="5"/>
  <c r="AD556" i="5"/>
  <c r="B557" i="5"/>
  <c r="E557" i="5"/>
  <c r="D558" i="5"/>
  <c r="C558" i="5"/>
  <c r="BZ555" i="5"/>
  <c r="AK555" i="5"/>
  <c r="AL555" i="5"/>
  <c r="CA555" i="5" s="1"/>
  <c r="D556" i="25"/>
  <c r="C556" i="25"/>
  <c r="H556" i="25" s="1"/>
  <c r="B555" i="25"/>
  <c r="E555" i="25"/>
  <c r="AU553" i="2"/>
  <c r="Y553" i="2"/>
  <c r="AV553" i="2" s="1"/>
  <c r="B555" i="2"/>
  <c r="E555" i="2"/>
  <c r="D556" i="2"/>
  <c r="C556" i="2"/>
  <c r="AD554" i="2"/>
  <c r="AF554" i="2" s="1"/>
  <c r="P554" i="2"/>
  <c r="W554" i="2"/>
  <c r="J554" i="2"/>
  <c r="K554" i="2" l="1"/>
  <c r="BZ556" i="5"/>
  <c r="B556" i="24"/>
  <c r="C557" i="24"/>
  <c r="H557" i="24" s="1"/>
  <c r="D557" i="24"/>
  <c r="E556" i="24"/>
  <c r="AC557" i="5"/>
  <c r="AE557" i="5" s="1"/>
  <c r="AJ557" i="5"/>
  <c r="I557" i="5"/>
  <c r="B558" i="5"/>
  <c r="C559" i="5"/>
  <c r="D559" i="5"/>
  <c r="E558" i="5"/>
  <c r="AD557" i="5"/>
  <c r="AL556" i="5"/>
  <c r="CA556" i="5" s="1"/>
  <c r="AK556" i="5"/>
  <c r="J556" i="5"/>
  <c r="D557" i="25"/>
  <c r="C557" i="25"/>
  <c r="H557" i="25" s="1"/>
  <c r="E556" i="25"/>
  <c r="B556" i="25"/>
  <c r="AD555" i="2"/>
  <c r="AF555" i="2" s="1"/>
  <c r="P555" i="2"/>
  <c r="W555" i="2"/>
  <c r="J555" i="2"/>
  <c r="K555" i="2" s="1"/>
  <c r="Y554" i="2"/>
  <c r="R554" i="2"/>
  <c r="AU554" i="2"/>
  <c r="AE554" i="2"/>
  <c r="AE555" i="2" s="1"/>
  <c r="B556" i="2"/>
  <c r="C557" i="2"/>
  <c r="D557" i="2"/>
  <c r="E556" i="2"/>
  <c r="Q554" i="2"/>
  <c r="Q555" i="2" s="1"/>
  <c r="E557" i="24" l="1"/>
  <c r="B557" i="24"/>
  <c r="C558" i="24"/>
  <c r="H558" i="24" s="1"/>
  <c r="D558" i="24"/>
  <c r="BZ557" i="5"/>
  <c r="AC558" i="5"/>
  <c r="AE558" i="5" s="1"/>
  <c r="AJ558" i="5"/>
  <c r="I558" i="5"/>
  <c r="C560" i="5"/>
  <c r="D560" i="5"/>
  <c r="E559" i="5"/>
  <c r="B559" i="5"/>
  <c r="AL557" i="5"/>
  <c r="CA557" i="5" s="1"/>
  <c r="AK557" i="5"/>
  <c r="J557" i="5"/>
  <c r="B557" i="25"/>
  <c r="D558" i="25"/>
  <c r="C558" i="25"/>
  <c r="H558" i="25" s="1"/>
  <c r="E557" i="25"/>
  <c r="D558" i="2"/>
  <c r="C558" i="2"/>
  <c r="E557" i="2"/>
  <c r="B557" i="2"/>
  <c r="AD556" i="2"/>
  <c r="AF556" i="2" s="1"/>
  <c r="P556" i="2"/>
  <c r="W556" i="2"/>
  <c r="J556" i="2"/>
  <c r="AE556" i="2"/>
  <c r="AV554" i="2"/>
  <c r="Y555" i="2"/>
  <c r="R555" i="2"/>
  <c r="AV555" i="2" s="1"/>
  <c r="AU555" i="2"/>
  <c r="K556" i="2" l="1"/>
  <c r="D559" i="24"/>
  <c r="E558" i="24"/>
  <c r="B558" i="24"/>
  <c r="C559" i="24"/>
  <c r="H559" i="24" s="1"/>
  <c r="AL558" i="5"/>
  <c r="AK558" i="5"/>
  <c r="AC559" i="5"/>
  <c r="AE559" i="5" s="1"/>
  <c r="AJ559" i="5"/>
  <c r="I559" i="5"/>
  <c r="BZ559" i="5" s="1"/>
  <c r="D561" i="5"/>
  <c r="C561" i="5"/>
  <c r="B560" i="5"/>
  <c r="E560" i="5"/>
  <c r="J558" i="5"/>
  <c r="BZ558" i="5"/>
  <c r="CA558" i="5"/>
  <c r="AD558" i="5"/>
  <c r="C559" i="25"/>
  <c r="H559" i="25" s="1"/>
  <c r="E558" i="25"/>
  <c r="B558" i="25"/>
  <c r="D559" i="25"/>
  <c r="R556" i="2"/>
  <c r="AU556" i="2"/>
  <c r="Y556" i="2"/>
  <c r="AV556" i="2" s="1"/>
  <c r="AD557" i="2"/>
  <c r="AF557" i="2" s="1"/>
  <c r="P557" i="2"/>
  <c r="W557" i="2"/>
  <c r="J557" i="2"/>
  <c r="K557" i="2" s="1"/>
  <c r="C559" i="2"/>
  <c r="D559" i="2"/>
  <c r="B558" i="2"/>
  <c r="E558" i="2"/>
  <c r="Q556" i="2"/>
  <c r="Q557" i="2" s="1"/>
  <c r="J559" i="5" l="1"/>
  <c r="B559" i="24"/>
  <c r="E559" i="24"/>
  <c r="C560" i="24"/>
  <c r="H560" i="24" s="1"/>
  <c r="D560" i="24"/>
  <c r="AC560" i="5"/>
  <c r="AE560" i="5" s="1"/>
  <c r="AJ560" i="5"/>
  <c r="I560" i="5"/>
  <c r="BZ560" i="5" s="1"/>
  <c r="B561" i="5"/>
  <c r="E561" i="5"/>
  <c r="D562" i="5"/>
  <c r="C562" i="5"/>
  <c r="AK559" i="5"/>
  <c r="AL559" i="5"/>
  <c r="CA559" i="5" s="1"/>
  <c r="AD559" i="5"/>
  <c r="AD560" i="5" s="1"/>
  <c r="C560" i="25"/>
  <c r="H560" i="25" s="1"/>
  <c r="E559" i="25"/>
  <c r="D560" i="25"/>
  <c r="B559" i="25"/>
  <c r="AD558" i="2"/>
  <c r="AF558" i="2" s="1"/>
  <c r="P558" i="2"/>
  <c r="W558" i="2"/>
  <c r="J558" i="2"/>
  <c r="Q558" i="2"/>
  <c r="D560" i="2"/>
  <c r="E559" i="2"/>
  <c r="C560" i="2"/>
  <c r="B559" i="2"/>
  <c r="Y557" i="2"/>
  <c r="AV557" i="2" s="1"/>
  <c r="R557" i="2"/>
  <c r="AU557" i="2"/>
  <c r="AE557" i="2"/>
  <c r="AE558" i="2" s="1"/>
  <c r="K558" i="2" l="1"/>
  <c r="D561" i="24"/>
  <c r="B560" i="24"/>
  <c r="C561" i="24"/>
  <c r="H561" i="24" s="1"/>
  <c r="E560" i="24"/>
  <c r="B562" i="5"/>
  <c r="E562" i="5"/>
  <c r="C563" i="5"/>
  <c r="D563" i="5"/>
  <c r="AC561" i="5"/>
  <c r="AE561" i="5" s="1"/>
  <c r="AJ561" i="5"/>
  <c r="I561" i="5"/>
  <c r="BZ561" i="5" s="1"/>
  <c r="AL560" i="5"/>
  <c r="CA560" i="5" s="1"/>
  <c r="AK560" i="5"/>
  <c r="J560" i="5"/>
  <c r="C561" i="25"/>
  <c r="H561" i="25" s="1"/>
  <c r="B560" i="25"/>
  <c r="E560" i="25"/>
  <c r="D561" i="25"/>
  <c r="AD559" i="2"/>
  <c r="AF559" i="2" s="1"/>
  <c r="P559" i="2"/>
  <c r="W559" i="2"/>
  <c r="J559" i="2"/>
  <c r="K559" i="2" s="1"/>
  <c r="E560" i="2"/>
  <c r="C561" i="2"/>
  <c r="D561" i="2"/>
  <c r="B560" i="2"/>
  <c r="Q559" i="2"/>
  <c r="Y558" i="2"/>
  <c r="R558" i="2"/>
  <c r="AU558" i="2"/>
  <c r="D562" i="24" l="1"/>
  <c r="E561" i="24"/>
  <c r="C562" i="24"/>
  <c r="H562" i="24" s="1"/>
  <c r="B561" i="24"/>
  <c r="AL561" i="5"/>
  <c r="AK561" i="5"/>
  <c r="AC562" i="5"/>
  <c r="AE562" i="5" s="1"/>
  <c r="AJ562" i="5"/>
  <c r="I562" i="5"/>
  <c r="BZ562" i="5" s="1"/>
  <c r="CA561" i="5"/>
  <c r="B563" i="5"/>
  <c r="C564" i="5"/>
  <c r="D564" i="5"/>
  <c r="E563" i="5"/>
  <c r="AD561" i="5"/>
  <c r="AD562" i="5" s="1"/>
  <c r="J561" i="5"/>
  <c r="C562" i="25"/>
  <c r="H562" i="25" s="1"/>
  <c r="B561" i="25"/>
  <c r="E561" i="25"/>
  <c r="D562" i="25"/>
  <c r="AV558" i="2"/>
  <c r="D562" i="2"/>
  <c r="E561" i="2"/>
  <c r="B561" i="2"/>
  <c r="C562" i="2"/>
  <c r="AD560" i="2"/>
  <c r="AF560" i="2" s="1"/>
  <c r="P560" i="2"/>
  <c r="W560" i="2"/>
  <c r="J560" i="2"/>
  <c r="Y559" i="2"/>
  <c r="R559" i="2"/>
  <c r="AV559" i="2" s="1"/>
  <c r="AU559" i="2"/>
  <c r="AE559" i="2"/>
  <c r="K560" i="2" l="1"/>
  <c r="C563" i="24"/>
  <c r="H563" i="24" s="1"/>
  <c r="D563" i="24"/>
  <c r="B562" i="24"/>
  <c r="E562" i="24"/>
  <c r="AC563" i="5"/>
  <c r="AE563" i="5" s="1"/>
  <c r="AJ563" i="5"/>
  <c r="I563" i="5"/>
  <c r="AD563" i="5"/>
  <c r="D565" i="5"/>
  <c r="C565" i="5"/>
  <c r="B564" i="5"/>
  <c r="E564" i="5"/>
  <c r="AL562" i="5"/>
  <c r="CA562" i="5" s="1"/>
  <c r="AK562" i="5"/>
  <c r="J562" i="5"/>
  <c r="B562" i="25"/>
  <c r="E562" i="25"/>
  <c r="C563" i="25"/>
  <c r="H563" i="25" s="1"/>
  <c r="D563" i="25"/>
  <c r="Y560" i="2"/>
  <c r="R560" i="2"/>
  <c r="AV560" i="2" s="1"/>
  <c r="AU560" i="2"/>
  <c r="P561" i="2"/>
  <c r="AD561" i="2"/>
  <c r="AF561" i="2" s="1"/>
  <c r="W561" i="2"/>
  <c r="J561" i="2"/>
  <c r="K561" i="2" s="1"/>
  <c r="C563" i="2"/>
  <c r="B562" i="2"/>
  <c r="E562" i="2"/>
  <c r="D563" i="2"/>
  <c r="AE560" i="2"/>
  <c r="AE561" i="2" s="1"/>
  <c r="Q560" i="2"/>
  <c r="Q561" i="2" s="1"/>
  <c r="J563" i="5" l="1"/>
  <c r="E563" i="24"/>
  <c r="D564" i="24"/>
  <c r="B563" i="24"/>
  <c r="C564" i="24"/>
  <c r="H564" i="24" s="1"/>
  <c r="BZ563" i="5"/>
  <c r="AC564" i="5"/>
  <c r="AE564" i="5" s="1"/>
  <c r="AJ564" i="5"/>
  <c r="I564" i="5"/>
  <c r="C566" i="5"/>
  <c r="B565" i="5"/>
  <c r="E565" i="5"/>
  <c r="D566" i="5"/>
  <c r="AD564" i="5"/>
  <c r="AK563" i="5"/>
  <c r="AL563" i="5"/>
  <c r="CA563" i="5" s="1"/>
  <c r="B563" i="25"/>
  <c r="C564" i="25"/>
  <c r="H564" i="25" s="1"/>
  <c r="E563" i="25"/>
  <c r="D564" i="25"/>
  <c r="AD562" i="2"/>
  <c r="AF562" i="2" s="1"/>
  <c r="P562" i="2"/>
  <c r="W562" i="2"/>
  <c r="J562" i="2"/>
  <c r="K562" i="2" s="1"/>
  <c r="Q562" i="2"/>
  <c r="B563" i="2"/>
  <c r="E563" i="2"/>
  <c r="D564" i="2"/>
  <c r="C564" i="2"/>
  <c r="Y561" i="2"/>
  <c r="R561" i="2"/>
  <c r="AV561" i="2" s="1"/>
  <c r="AU561" i="2"/>
  <c r="E564" i="24" l="1"/>
  <c r="C565" i="24"/>
  <c r="H565" i="24" s="1"/>
  <c r="B564" i="24"/>
  <c r="D565" i="24"/>
  <c r="BZ564" i="5"/>
  <c r="AC565" i="5"/>
  <c r="AE565" i="5" s="1"/>
  <c r="AJ565" i="5"/>
  <c r="I565" i="5"/>
  <c r="AD565" i="5"/>
  <c r="B566" i="5"/>
  <c r="C567" i="5"/>
  <c r="E566" i="5"/>
  <c r="D567" i="5"/>
  <c r="AL564" i="5"/>
  <c r="CA564" i="5" s="1"/>
  <c r="AK564" i="5"/>
  <c r="J564" i="5"/>
  <c r="D565" i="25"/>
  <c r="B564" i="25"/>
  <c r="C565" i="25"/>
  <c r="H565" i="25" s="1"/>
  <c r="E564" i="25"/>
  <c r="AD563" i="2"/>
  <c r="AF563" i="2" s="1"/>
  <c r="P563" i="2"/>
  <c r="W563" i="2"/>
  <c r="J563" i="2"/>
  <c r="K563" i="2" s="1"/>
  <c r="B564" i="2"/>
  <c r="C565" i="2"/>
  <c r="D565" i="2"/>
  <c r="E564" i="2"/>
  <c r="Q563" i="2"/>
  <c r="Y562" i="2"/>
  <c r="AU562" i="2"/>
  <c r="R562" i="2"/>
  <c r="AE562" i="2"/>
  <c r="AE563" i="2" s="1"/>
  <c r="C566" i="24" l="1"/>
  <c r="H566" i="24" s="1"/>
  <c r="D566" i="24"/>
  <c r="B565" i="24"/>
  <c r="E565" i="24"/>
  <c r="BZ565" i="5"/>
  <c r="C568" i="5"/>
  <c r="B567" i="5"/>
  <c r="E567" i="5"/>
  <c r="D568" i="5"/>
  <c r="AC566" i="5"/>
  <c r="AE566" i="5" s="1"/>
  <c r="AJ566" i="5"/>
  <c r="I566" i="5"/>
  <c r="AD566" i="5"/>
  <c r="AL565" i="5"/>
  <c r="CA565" i="5" s="1"/>
  <c r="AK565" i="5"/>
  <c r="J565" i="5"/>
  <c r="D566" i="25"/>
  <c r="E565" i="25"/>
  <c r="B565" i="25"/>
  <c r="C566" i="25"/>
  <c r="H566" i="25" s="1"/>
  <c r="AV562" i="2"/>
  <c r="AD564" i="2"/>
  <c r="AF564" i="2" s="1"/>
  <c r="P564" i="2"/>
  <c r="W564" i="2"/>
  <c r="J564" i="2"/>
  <c r="K564" i="2" s="1"/>
  <c r="D566" i="2"/>
  <c r="B565" i="2"/>
  <c r="E565" i="2"/>
  <c r="C566" i="2"/>
  <c r="Y563" i="2"/>
  <c r="AU563" i="2"/>
  <c r="R563" i="2"/>
  <c r="BZ566" i="5" l="1"/>
  <c r="D567" i="24"/>
  <c r="B566" i="24"/>
  <c r="C567" i="24"/>
  <c r="H567" i="24" s="1"/>
  <c r="E566" i="24"/>
  <c r="AK566" i="5"/>
  <c r="AL566" i="5"/>
  <c r="CA566" i="5" s="1"/>
  <c r="D569" i="5"/>
  <c r="E568" i="5"/>
  <c r="B568" i="5"/>
  <c r="C569" i="5"/>
  <c r="AC567" i="5"/>
  <c r="AE567" i="5" s="1"/>
  <c r="AJ567" i="5"/>
  <c r="I567" i="5"/>
  <c r="J566" i="5"/>
  <c r="B566" i="25"/>
  <c r="C567" i="25"/>
  <c r="H567" i="25" s="1"/>
  <c r="E566" i="25"/>
  <c r="D567" i="25"/>
  <c r="AD565" i="2"/>
  <c r="AF565" i="2" s="1"/>
  <c r="P565" i="2"/>
  <c r="R565" i="2" s="1"/>
  <c r="W565" i="2"/>
  <c r="J565" i="2"/>
  <c r="AU565" i="2" s="1"/>
  <c r="C567" i="2"/>
  <c r="D567" i="2"/>
  <c r="E566" i="2"/>
  <c r="B566" i="2"/>
  <c r="Y564" i="2"/>
  <c r="R564" i="2"/>
  <c r="AV564" i="2" s="1"/>
  <c r="AU564" i="2"/>
  <c r="Q564" i="2"/>
  <c r="Q565" i="2" s="1"/>
  <c r="AV563" i="2"/>
  <c r="AE564" i="2"/>
  <c r="AE565" i="2" s="1"/>
  <c r="K565" i="2" l="1"/>
  <c r="E567" i="24"/>
  <c r="C568" i="24"/>
  <c r="H568" i="24" s="1"/>
  <c r="B567" i="24"/>
  <c r="D568" i="24"/>
  <c r="BZ567" i="5"/>
  <c r="AK567" i="5"/>
  <c r="AL567" i="5"/>
  <c r="CA567" i="5" s="1"/>
  <c r="AC568" i="5"/>
  <c r="AE568" i="5" s="1"/>
  <c r="AJ568" i="5"/>
  <c r="I568" i="5"/>
  <c r="B569" i="5"/>
  <c r="E569" i="5"/>
  <c r="C570" i="5"/>
  <c r="D570" i="5"/>
  <c r="AD567" i="5"/>
  <c r="J567" i="5"/>
  <c r="E567" i="25"/>
  <c r="D568" i="25"/>
  <c r="B567" i="25"/>
  <c r="C568" i="25"/>
  <c r="H568" i="25" s="1"/>
  <c r="AD566" i="2"/>
  <c r="AF566" i="2" s="1"/>
  <c r="P566" i="2"/>
  <c r="W566" i="2"/>
  <c r="J566" i="2"/>
  <c r="K566" i="2" s="1"/>
  <c r="B567" i="2"/>
  <c r="D568" i="2"/>
  <c r="C568" i="2"/>
  <c r="E567" i="2"/>
  <c r="Y565" i="2"/>
  <c r="AE566" i="2"/>
  <c r="AV565" i="2"/>
  <c r="B568" i="24" l="1"/>
  <c r="C569" i="24"/>
  <c r="H569" i="24" s="1"/>
  <c r="D569" i="24"/>
  <c r="E568" i="24"/>
  <c r="AC569" i="5"/>
  <c r="AE569" i="5" s="1"/>
  <c r="AJ569" i="5"/>
  <c r="I569" i="5"/>
  <c r="BZ569" i="5" s="1"/>
  <c r="C571" i="5"/>
  <c r="B570" i="5"/>
  <c r="E570" i="5"/>
  <c r="D571" i="5"/>
  <c r="BZ568" i="5"/>
  <c r="AK568" i="5"/>
  <c r="AL568" i="5"/>
  <c r="CA568" i="5" s="1"/>
  <c r="J568" i="5"/>
  <c r="AD568" i="5"/>
  <c r="AD569" i="5" s="1"/>
  <c r="E568" i="25"/>
  <c r="B568" i="25"/>
  <c r="D569" i="25"/>
  <c r="C569" i="25"/>
  <c r="H569" i="25" s="1"/>
  <c r="AD567" i="2"/>
  <c r="AF567" i="2" s="1"/>
  <c r="P567" i="2"/>
  <c r="W567" i="2"/>
  <c r="J567" i="2"/>
  <c r="K567" i="2" s="1"/>
  <c r="E568" i="2"/>
  <c r="D569" i="2"/>
  <c r="C569" i="2"/>
  <c r="B568" i="2"/>
  <c r="Y566" i="2"/>
  <c r="R566" i="2"/>
  <c r="AU566" i="2"/>
  <c r="Q566" i="2"/>
  <c r="Q567" i="2" s="1"/>
  <c r="J569" i="5" l="1"/>
  <c r="C570" i="24"/>
  <c r="H570" i="24" s="1"/>
  <c r="B569" i="24"/>
  <c r="D570" i="24"/>
  <c r="E569" i="24"/>
  <c r="D572" i="5"/>
  <c r="B571" i="5"/>
  <c r="E571" i="5"/>
  <c r="C572" i="5"/>
  <c r="AC570" i="5"/>
  <c r="AE570" i="5" s="1"/>
  <c r="AJ570" i="5"/>
  <c r="I570" i="5"/>
  <c r="J570" i="5" s="1"/>
  <c r="AK569" i="5"/>
  <c r="AL569" i="5"/>
  <c r="CA569" i="5" s="1"/>
  <c r="AD570" i="5"/>
  <c r="D570" i="25"/>
  <c r="E569" i="25"/>
  <c r="C570" i="25"/>
  <c r="H570" i="25" s="1"/>
  <c r="B569" i="25"/>
  <c r="AV566" i="2"/>
  <c r="C570" i="2"/>
  <c r="D570" i="2"/>
  <c r="E569" i="2"/>
  <c r="B569" i="2"/>
  <c r="P568" i="2"/>
  <c r="R568" i="2" s="1"/>
  <c r="AD568" i="2"/>
  <c r="AF568" i="2" s="1"/>
  <c r="W568" i="2"/>
  <c r="J568" i="2"/>
  <c r="K568" i="2" s="1"/>
  <c r="Y567" i="2"/>
  <c r="R567" i="2"/>
  <c r="AV567" i="2" s="1"/>
  <c r="AU567" i="2"/>
  <c r="AE567" i="2"/>
  <c r="E570" i="24" l="1"/>
  <c r="D571" i="24"/>
  <c r="B570" i="24"/>
  <c r="C571" i="24"/>
  <c r="H571" i="24" s="1"/>
  <c r="BZ570" i="5"/>
  <c r="AL570" i="5"/>
  <c r="CA570" i="5" s="1"/>
  <c r="AK570" i="5"/>
  <c r="AC571" i="5"/>
  <c r="AE571" i="5" s="1"/>
  <c r="AJ571" i="5"/>
  <c r="I571" i="5"/>
  <c r="E572" i="5"/>
  <c r="D573" i="5"/>
  <c r="C573" i="5"/>
  <c r="B572" i="5"/>
  <c r="D571" i="25"/>
  <c r="C571" i="25"/>
  <c r="H571" i="25" s="1"/>
  <c r="E570" i="25"/>
  <c r="B570" i="25"/>
  <c r="AU568" i="2"/>
  <c r="Y568" i="2"/>
  <c r="AV568" i="2" s="1"/>
  <c r="AD569" i="2"/>
  <c r="AF569" i="2" s="1"/>
  <c r="P569" i="2"/>
  <c r="R569" i="2" s="1"/>
  <c r="W569" i="2"/>
  <c r="J569" i="2"/>
  <c r="AU569" i="2" s="1"/>
  <c r="C571" i="2"/>
  <c r="E570" i="2"/>
  <c r="D571" i="2"/>
  <c r="B570" i="2"/>
  <c r="AE568" i="2"/>
  <c r="AE569" i="2" s="1"/>
  <c r="Q568" i="2"/>
  <c r="D572" i="24" l="1"/>
  <c r="C572" i="24"/>
  <c r="H572" i="24" s="1"/>
  <c r="B571" i="24"/>
  <c r="E571" i="24"/>
  <c r="D574" i="5"/>
  <c r="E573" i="5"/>
  <c r="B573" i="5"/>
  <c r="C574" i="5"/>
  <c r="AK571" i="5"/>
  <c r="AL571" i="5"/>
  <c r="CA571" i="5" s="1"/>
  <c r="AC572" i="5"/>
  <c r="AE572" i="5" s="1"/>
  <c r="AJ572" i="5"/>
  <c r="I572" i="5"/>
  <c r="BZ571" i="5"/>
  <c r="AD571" i="5"/>
  <c r="AD572" i="5" s="1"/>
  <c r="J571" i="5"/>
  <c r="B571" i="25"/>
  <c r="D572" i="25"/>
  <c r="C572" i="25"/>
  <c r="H572" i="25" s="1"/>
  <c r="E571" i="25"/>
  <c r="C572" i="2"/>
  <c r="E571" i="2"/>
  <c r="B571" i="2"/>
  <c r="D572" i="2"/>
  <c r="P570" i="2"/>
  <c r="R570" i="2" s="1"/>
  <c r="AD570" i="2"/>
  <c r="AF570" i="2" s="1"/>
  <c r="W570" i="2"/>
  <c r="J570" i="2"/>
  <c r="Y569" i="2"/>
  <c r="AV569" i="2" s="1"/>
  <c r="K569" i="2"/>
  <c r="Q569" i="2"/>
  <c r="Q570" i="2" s="1"/>
  <c r="K570" i="2" l="1"/>
  <c r="B572" i="24"/>
  <c r="E572" i="24"/>
  <c r="C573" i="24"/>
  <c r="H573" i="24" s="1"/>
  <c r="D573" i="24"/>
  <c r="BZ572" i="5"/>
  <c r="AK572" i="5"/>
  <c r="AL572" i="5"/>
  <c r="CA572" i="5" s="1"/>
  <c r="J572" i="5"/>
  <c r="AC573" i="5"/>
  <c r="AE573" i="5" s="1"/>
  <c r="AJ573" i="5"/>
  <c r="I573" i="5"/>
  <c r="E574" i="5"/>
  <c r="C575" i="5"/>
  <c r="D575" i="5"/>
  <c r="B574" i="5"/>
  <c r="C573" i="25"/>
  <c r="H573" i="25" s="1"/>
  <c r="B572" i="25"/>
  <c r="D573" i="25"/>
  <c r="E572" i="25"/>
  <c r="AU570" i="2"/>
  <c r="Y570" i="2"/>
  <c r="AV570" i="2"/>
  <c r="B572" i="2"/>
  <c r="C573" i="2"/>
  <c r="E572" i="2"/>
  <c r="D573" i="2"/>
  <c r="AD571" i="2"/>
  <c r="AF571" i="2" s="1"/>
  <c r="P571" i="2"/>
  <c r="R571" i="2" s="1"/>
  <c r="W571" i="2"/>
  <c r="J571" i="2"/>
  <c r="AU571" i="2" s="1"/>
  <c r="AE570" i="2"/>
  <c r="B573" i="24" l="1"/>
  <c r="E573" i="24"/>
  <c r="C574" i="24"/>
  <c r="H574" i="24" s="1"/>
  <c r="D574" i="24"/>
  <c r="BZ573" i="5"/>
  <c r="J573" i="5"/>
  <c r="AC574" i="5"/>
  <c r="AE574" i="5" s="1"/>
  <c r="AJ574" i="5"/>
  <c r="I574" i="5"/>
  <c r="AD573" i="5"/>
  <c r="AD574" i="5" s="1"/>
  <c r="AK573" i="5"/>
  <c r="AL573" i="5"/>
  <c r="CA573" i="5"/>
  <c r="D576" i="5"/>
  <c r="B575" i="5"/>
  <c r="C576" i="5"/>
  <c r="E575" i="5"/>
  <c r="C574" i="25"/>
  <c r="H574" i="25" s="1"/>
  <c r="B573" i="25"/>
  <c r="D574" i="25"/>
  <c r="E573" i="25"/>
  <c r="Y571" i="2"/>
  <c r="AV571" i="2" s="1"/>
  <c r="C574" i="2"/>
  <c r="D574" i="2"/>
  <c r="B573" i="2"/>
  <c r="E573" i="2"/>
  <c r="AD572" i="2"/>
  <c r="AF572" i="2" s="1"/>
  <c r="P572" i="2"/>
  <c r="R572" i="2" s="1"/>
  <c r="W572" i="2"/>
  <c r="J572" i="2"/>
  <c r="K571" i="2"/>
  <c r="K572" i="2" s="1"/>
  <c r="AE571" i="2"/>
  <c r="AE572" i="2" s="1"/>
  <c r="Q571" i="2"/>
  <c r="Q572" i="2" s="1"/>
  <c r="B574" i="24" l="1"/>
  <c r="E574" i="24"/>
  <c r="C575" i="24"/>
  <c r="H575" i="24" s="1"/>
  <c r="D575" i="24"/>
  <c r="BZ574" i="5"/>
  <c r="C577" i="5"/>
  <c r="B576" i="5"/>
  <c r="D577" i="5"/>
  <c r="E576" i="5"/>
  <c r="AK574" i="5"/>
  <c r="AL574" i="5"/>
  <c r="CA574" i="5"/>
  <c r="AC575" i="5"/>
  <c r="AE575" i="5" s="1"/>
  <c r="AJ575" i="5"/>
  <c r="I575" i="5"/>
  <c r="J574" i="5"/>
  <c r="D575" i="25"/>
  <c r="B574" i="25"/>
  <c r="C575" i="25"/>
  <c r="H575" i="25" s="1"/>
  <c r="E574" i="25"/>
  <c r="AU572" i="2"/>
  <c r="Y572" i="2"/>
  <c r="AV572" i="2" s="1"/>
  <c r="AD573" i="2"/>
  <c r="AF573" i="2" s="1"/>
  <c r="P573" i="2"/>
  <c r="R573" i="2" s="1"/>
  <c r="W573" i="2"/>
  <c r="J573" i="2"/>
  <c r="AU573" i="2" s="1"/>
  <c r="D575" i="2"/>
  <c r="E574" i="2"/>
  <c r="C575" i="2"/>
  <c r="B574" i="2"/>
  <c r="D576" i="24" l="1"/>
  <c r="E575" i="24"/>
  <c r="B575" i="24"/>
  <c r="C576" i="24"/>
  <c r="H576" i="24" s="1"/>
  <c r="J575" i="5"/>
  <c r="AK575" i="5"/>
  <c r="AL575" i="5"/>
  <c r="CA575" i="5" s="1"/>
  <c r="AD575" i="5"/>
  <c r="AC576" i="5"/>
  <c r="AE576" i="5" s="1"/>
  <c r="AJ576" i="5"/>
  <c r="I576" i="5"/>
  <c r="C578" i="5"/>
  <c r="E577" i="5"/>
  <c r="D578" i="5"/>
  <c r="B577" i="5"/>
  <c r="BZ575" i="5"/>
  <c r="D576" i="25"/>
  <c r="E575" i="25"/>
  <c r="B575" i="25"/>
  <c r="C576" i="25"/>
  <c r="H576" i="25" s="1"/>
  <c r="AD574" i="2"/>
  <c r="AF574" i="2" s="1"/>
  <c r="P574" i="2"/>
  <c r="W574" i="2"/>
  <c r="J574" i="2"/>
  <c r="E575" i="2"/>
  <c r="C576" i="2"/>
  <c r="D576" i="2"/>
  <c r="B575" i="2"/>
  <c r="Y573" i="2"/>
  <c r="AV573" i="2" s="1"/>
  <c r="K573" i="2"/>
  <c r="AE573" i="2"/>
  <c r="AE574" i="2" s="1"/>
  <c r="Q573" i="2"/>
  <c r="Q574" i="2" s="1"/>
  <c r="BZ576" i="5" l="1"/>
  <c r="C577" i="24"/>
  <c r="H577" i="24" s="1"/>
  <c r="E576" i="24"/>
  <c r="B576" i="24"/>
  <c r="D577" i="24"/>
  <c r="AC577" i="5"/>
  <c r="AE577" i="5" s="1"/>
  <c r="AJ577" i="5"/>
  <c r="I577" i="5"/>
  <c r="BZ577" i="5" s="1"/>
  <c r="B578" i="5"/>
  <c r="E578" i="5"/>
  <c r="C579" i="5"/>
  <c r="D579" i="5"/>
  <c r="AK576" i="5"/>
  <c r="AL576" i="5"/>
  <c r="CA576" i="5" s="1"/>
  <c r="AD576" i="5"/>
  <c r="AD577" i="5" s="1"/>
  <c r="J576" i="5"/>
  <c r="B576" i="25"/>
  <c r="C577" i="25"/>
  <c r="H577" i="25" s="1"/>
  <c r="D577" i="25"/>
  <c r="E576" i="25"/>
  <c r="E576" i="2"/>
  <c r="C577" i="2"/>
  <c r="B576" i="2"/>
  <c r="D577" i="2"/>
  <c r="P575" i="2"/>
  <c r="AD575" i="2"/>
  <c r="AF575" i="2" s="1"/>
  <c r="W575" i="2"/>
  <c r="J575" i="2"/>
  <c r="K574" i="2"/>
  <c r="Y574" i="2"/>
  <c r="AU574" i="2"/>
  <c r="R574" i="2"/>
  <c r="B577" i="24" l="1"/>
  <c r="E577" i="24"/>
  <c r="C578" i="24"/>
  <c r="H578" i="24" s="1"/>
  <c r="D578" i="24"/>
  <c r="B579" i="5"/>
  <c r="D580" i="5"/>
  <c r="C580" i="5"/>
  <c r="E579" i="5"/>
  <c r="AC578" i="5"/>
  <c r="AE578" i="5" s="1"/>
  <c r="AJ578" i="5"/>
  <c r="I578" i="5"/>
  <c r="AD578" i="5"/>
  <c r="AK577" i="5"/>
  <c r="AL577" i="5"/>
  <c r="CA577" i="5" s="1"/>
  <c r="J577" i="5"/>
  <c r="B577" i="25"/>
  <c r="C578" i="25"/>
  <c r="H578" i="25" s="1"/>
  <c r="E577" i="25"/>
  <c r="D578" i="25"/>
  <c r="R575" i="2"/>
  <c r="AU575" i="2"/>
  <c r="K575" i="2"/>
  <c r="Y575" i="2"/>
  <c r="AV575" i="2" s="1"/>
  <c r="E577" i="2"/>
  <c r="C578" i="2"/>
  <c r="B577" i="2"/>
  <c r="D578" i="2"/>
  <c r="AD576" i="2"/>
  <c r="AF576" i="2" s="1"/>
  <c r="P576" i="2"/>
  <c r="W576" i="2"/>
  <c r="J576" i="2"/>
  <c r="Q575" i="2"/>
  <c r="Q576" i="2" s="1"/>
  <c r="AV574" i="2"/>
  <c r="AE575" i="2"/>
  <c r="K576" i="2" l="1"/>
  <c r="E578" i="24"/>
  <c r="C579" i="24"/>
  <c r="H579" i="24" s="1"/>
  <c r="D579" i="24"/>
  <c r="B578" i="24"/>
  <c r="BZ578" i="5"/>
  <c r="AL578" i="5"/>
  <c r="CA578" i="5" s="1"/>
  <c r="AK578" i="5"/>
  <c r="AC579" i="5"/>
  <c r="AE579" i="5" s="1"/>
  <c r="AJ579" i="5"/>
  <c r="I579" i="5"/>
  <c r="D581" i="5"/>
  <c r="E580" i="5"/>
  <c r="B580" i="5"/>
  <c r="C581" i="5"/>
  <c r="J578" i="5"/>
  <c r="D579" i="25"/>
  <c r="E578" i="25"/>
  <c r="C579" i="25"/>
  <c r="H579" i="25" s="1"/>
  <c r="B578" i="25"/>
  <c r="R576" i="2"/>
  <c r="AU576" i="2"/>
  <c r="B578" i="2"/>
  <c r="E578" i="2"/>
  <c r="C579" i="2"/>
  <c r="D579" i="2"/>
  <c r="Y576" i="2"/>
  <c r="AV576" i="2" s="1"/>
  <c r="P577" i="2"/>
  <c r="R577" i="2" s="1"/>
  <c r="AD577" i="2"/>
  <c r="AF577" i="2" s="1"/>
  <c r="W577" i="2"/>
  <c r="J577" i="2"/>
  <c r="AU577" i="2" s="1"/>
  <c r="AE576" i="2"/>
  <c r="J579" i="5" l="1"/>
  <c r="B579" i="24"/>
  <c r="D580" i="24"/>
  <c r="E579" i="24"/>
  <c r="C580" i="24"/>
  <c r="H580" i="24" s="1"/>
  <c r="BZ579" i="5"/>
  <c r="C582" i="5"/>
  <c r="B581" i="5"/>
  <c r="E581" i="5"/>
  <c r="D582" i="5"/>
  <c r="AC580" i="5"/>
  <c r="AE580" i="5" s="1"/>
  <c r="AJ580" i="5"/>
  <c r="I580" i="5"/>
  <c r="BZ580" i="5" s="1"/>
  <c r="AK579" i="5"/>
  <c r="AL579" i="5"/>
  <c r="CA579" i="5"/>
  <c r="AD579" i="5"/>
  <c r="B579" i="25"/>
  <c r="E579" i="25"/>
  <c r="D580" i="25"/>
  <c r="C580" i="25"/>
  <c r="H580" i="25" s="1"/>
  <c r="P578" i="2"/>
  <c r="R578" i="2" s="1"/>
  <c r="AD578" i="2"/>
  <c r="AF578" i="2" s="1"/>
  <c r="W578" i="2"/>
  <c r="J578" i="2"/>
  <c r="AU578" i="2" s="1"/>
  <c r="Y577" i="2"/>
  <c r="AV577" i="2"/>
  <c r="K577" i="2"/>
  <c r="K578" i="2" s="1"/>
  <c r="C580" i="2"/>
  <c r="E579" i="2"/>
  <c r="D580" i="2"/>
  <c r="B579" i="2"/>
  <c r="AE577" i="2"/>
  <c r="AE578" i="2" s="1"/>
  <c r="Q577" i="2"/>
  <c r="Q578" i="2" s="1"/>
  <c r="D581" i="24" l="1"/>
  <c r="E580" i="24"/>
  <c r="C581" i="24"/>
  <c r="H581" i="24" s="1"/>
  <c r="B580" i="24"/>
  <c r="AL580" i="5"/>
  <c r="CA580" i="5" s="1"/>
  <c r="AK580" i="5"/>
  <c r="J580" i="5"/>
  <c r="C583" i="5"/>
  <c r="D583" i="5"/>
  <c r="B582" i="5"/>
  <c r="E582" i="5"/>
  <c r="AC581" i="5"/>
  <c r="AE581" i="5" s="1"/>
  <c r="AJ581" i="5"/>
  <c r="I581" i="5"/>
  <c r="AD580" i="5"/>
  <c r="AD581" i="5" s="1"/>
  <c r="E580" i="25"/>
  <c r="C581" i="25"/>
  <c r="H581" i="25" s="1"/>
  <c r="D581" i="25"/>
  <c r="B580" i="25"/>
  <c r="D581" i="2"/>
  <c r="E580" i="2"/>
  <c r="B580" i="2"/>
  <c r="C581" i="2"/>
  <c r="AD579" i="2"/>
  <c r="AF579" i="2" s="1"/>
  <c r="P579" i="2"/>
  <c r="W579" i="2"/>
  <c r="J579" i="2"/>
  <c r="K579" i="2"/>
  <c r="Y578" i="2"/>
  <c r="AV578" i="2" s="1"/>
  <c r="D582" i="24" l="1"/>
  <c r="B581" i="24"/>
  <c r="E581" i="24"/>
  <c r="C582" i="24"/>
  <c r="H582" i="24" s="1"/>
  <c r="BZ581" i="5"/>
  <c r="AC582" i="5"/>
  <c r="AE582" i="5" s="1"/>
  <c r="AJ582" i="5"/>
  <c r="I582" i="5"/>
  <c r="AD582" i="5"/>
  <c r="AK581" i="5"/>
  <c r="AL581" i="5"/>
  <c r="CA581" i="5" s="1"/>
  <c r="E583" i="5"/>
  <c r="C584" i="5"/>
  <c r="D584" i="5"/>
  <c r="B583" i="5"/>
  <c r="J581" i="5"/>
  <c r="E581" i="25"/>
  <c r="D582" i="25"/>
  <c r="B581" i="25"/>
  <c r="C582" i="25"/>
  <c r="H582" i="25" s="1"/>
  <c r="Y579" i="2"/>
  <c r="R579" i="2"/>
  <c r="AU579" i="2"/>
  <c r="P580" i="2"/>
  <c r="R580" i="2" s="1"/>
  <c r="AD580" i="2"/>
  <c r="AF580" i="2" s="1"/>
  <c r="W580" i="2"/>
  <c r="J580" i="2"/>
  <c r="AU580" i="2" s="1"/>
  <c r="B581" i="2"/>
  <c r="E581" i="2"/>
  <c r="C582" i="2"/>
  <c r="D582" i="2"/>
  <c r="AE579" i="2"/>
  <c r="AE580" i="2" s="1"/>
  <c r="Q579" i="2"/>
  <c r="J582" i="5" l="1"/>
  <c r="B582" i="24"/>
  <c r="D583" i="24"/>
  <c r="E582" i="24"/>
  <c r="C583" i="24"/>
  <c r="H583" i="24" s="1"/>
  <c r="C585" i="5"/>
  <c r="E584" i="5"/>
  <c r="B584" i="5"/>
  <c r="D585" i="5"/>
  <c r="AC583" i="5"/>
  <c r="AE583" i="5" s="1"/>
  <c r="AJ583" i="5"/>
  <c r="I583" i="5"/>
  <c r="AD583" i="5"/>
  <c r="BZ582" i="5"/>
  <c r="AL582" i="5"/>
  <c r="CA582" i="5" s="1"/>
  <c r="AK582" i="5"/>
  <c r="E582" i="25"/>
  <c r="C583" i="25"/>
  <c r="H583" i="25" s="1"/>
  <c r="B582" i="25"/>
  <c r="D583" i="25"/>
  <c r="B582" i="2"/>
  <c r="D583" i="2"/>
  <c r="E582" i="2"/>
  <c r="C583" i="2"/>
  <c r="AD581" i="2"/>
  <c r="AF581" i="2" s="1"/>
  <c r="P581" i="2"/>
  <c r="R581" i="2" s="1"/>
  <c r="W581" i="2"/>
  <c r="J581" i="2"/>
  <c r="AU581" i="2" s="1"/>
  <c r="AE581" i="2"/>
  <c r="Y580" i="2"/>
  <c r="AV580" i="2" s="1"/>
  <c r="K580" i="2"/>
  <c r="AV579" i="2"/>
  <c r="Q580" i="2"/>
  <c r="K581" i="2" l="1"/>
  <c r="C584" i="24"/>
  <c r="H584" i="24" s="1"/>
  <c r="E583" i="24"/>
  <c r="D584" i="24"/>
  <c r="B583" i="24"/>
  <c r="C586" i="5"/>
  <c r="B585" i="5"/>
  <c r="D586" i="5"/>
  <c r="E585" i="5"/>
  <c r="BZ583" i="5"/>
  <c r="AL583" i="5"/>
  <c r="CA583" i="5" s="1"/>
  <c r="AK583" i="5"/>
  <c r="AC584" i="5"/>
  <c r="AE584" i="5" s="1"/>
  <c r="AJ584" i="5"/>
  <c r="I584" i="5"/>
  <c r="J583" i="5"/>
  <c r="D584" i="25"/>
  <c r="C584" i="25"/>
  <c r="H584" i="25" s="1"/>
  <c r="B583" i="25"/>
  <c r="E583" i="25"/>
  <c r="E583" i="2"/>
  <c r="D584" i="2"/>
  <c r="B583" i="2"/>
  <c r="C584" i="2"/>
  <c r="Y581" i="2"/>
  <c r="AV581" i="2" s="1"/>
  <c r="P582" i="2"/>
  <c r="R582" i="2" s="1"/>
  <c r="AD582" i="2"/>
  <c r="AF582" i="2" s="1"/>
  <c r="W582" i="2"/>
  <c r="J582" i="2"/>
  <c r="AU582" i="2" s="1"/>
  <c r="Q581" i="2"/>
  <c r="Q582" i="2" s="1"/>
  <c r="BZ584" i="5" l="1"/>
  <c r="D585" i="24"/>
  <c r="B584" i="24"/>
  <c r="E584" i="24"/>
  <c r="C585" i="24"/>
  <c r="H585" i="24" s="1"/>
  <c r="AL584" i="5"/>
  <c r="CA584" i="5" s="1"/>
  <c r="AK584" i="5"/>
  <c r="AD584" i="5"/>
  <c r="AC585" i="5"/>
  <c r="AE585" i="5" s="1"/>
  <c r="AJ585" i="5"/>
  <c r="I585" i="5"/>
  <c r="B586" i="5"/>
  <c r="E586" i="5"/>
  <c r="D587" i="5"/>
  <c r="C587" i="5"/>
  <c r="J584" i="5"/>
  <c r="D585" i="25"/>
  <c r="C585" i="25"/>
  <c r="H585" i="25" s="1"/>
  <c r="E584" i="25"/>
  <c r="B584" i="25"/>
  <c r="Y582" i="2"/>
  <c r="AV582" i="2" s="1"/>
  <c r="AE582" i="2"/>
  <c r="K582" i="2"/>
  <c r="C585" i="2"/>
  <c r="B584" i="2"/>
  <c r="E584" i="2"/>
  <c r="D585" i="2"/>
  <c r="AD583" i="2"/>
  <c r="AF583" i="2" s="1"/>
  <c r="P583" i="2"/>
  <c r="W583" i="2"/>
  <c r="J583" i="2"/>
  <c r="BZ585" i="5" l="1"/>
  <c r="E585" i="24"/>
  <c r="D586" i="24"/>
  <c r="B585" i="24"/>
  <c r="C586" i="24"/>
  <c r="H586" i="24" s="1"/>
  <c r="D588" i="5"/>
  <c r="E587" i="5"/>
  <c r="B587" i="5"/>
  <c r="C588" i="5"/>
  <c r="AC586" i="5"/>
  <c r="AE586" i="5" s="1"/>
  <c r="AJ586" i="5"/>
  <c r="I586" i="5"/>
  <c r="AK585" i="5"/>
  <c r="AL585" i="5"/>
  <c r="CA585" i="5" s="1"/>
  <c r="AD585" i="5"/>
  <c r="AD586" i="5" s="1"/>
  <c r="J585" i="5"/>
  <c r="B585" i="25"/>
  <c r="D586" i="25"/>
  <c r="C586" i="25"/>
  <c r="H586" i="25" s="1"/>
  <c r="E585" i="25"/>
  <c r="Y583" i="2"/>
  <c r="AU583" i="2"/>
  <c r="R583" i="2"/>
  <c r="AV583" i="2" s="1"/>
  <c r="D586" i="2"/>
  <c r="B585" i="2"/>
  <c r="C586" i="2"/>
  <c r="E585" i="2"/>
  <c r="P584" i="2"/>
  <c r="R584" i="2" s="1"/>
  <c r="AD584" i="2"/>
  <c r="AF584" i="2" s="1"/>
  <c r="W584" i="2"/>
  <c r="J584" i="2"/>
  <c r="AU584" i="2" s="1"/>
  <c r="K583" i="2"/>
  <c r="AE583" i="2"/>
  <c r="AE584" i="2" s="1"/>
  <c r="Q583" i="2"/>
  <c r="K584" i="2" l="1"/>
  <c r="J586" i="5"/>
  <c r="D587" i="24"/>
  <c r="B586" i="24"/>
  <c r="E586" i="24"/>
  <c r="C587" i="24"/>
  <c r="H587" i="24" s="1"/>
  <c r="BZ586" i="5"/>
  <c r="AK586" i="5"/>
  <c r="AL586" i="5"/>
  <c r="CA586" i="5"/>
  <c r="AC587" i="5"/>
  <c r="AE587" i="5" s="1"/>
  <c r="AJ587" i="5"/>
  <c r="I587" i="5"/>
  <c r="E588" i="5"/>
  <c r="B588" i="5"/>
  <c r="D589" i="5"/>
  <c r="C589" i="5"/>
  <c r="C587" i="25"/>
  <c r="H587" i="25" s="1"/>
  <c r="E586" i="25"/>
  <c r="D587" i="25"/>
  <c r="B586" i="25"/>
  <c r="Y584" i="2"/>
  <c r="AV584" i="2"/>
  <c r="AD585" i="2"/>
  <c r="AF585" i="2" s="1"/>
  <c r="P585" i="2"/>
  <c r="R585" i="2" s="1"/>
  <c r="W585" i="2"/>
  <c r="J585" i="2"/>
  <c r="D587" i="2"/>
  <c r="B586" i="2"/>
  <c r="E586" i="2"/>
  <c r="C587" i="2"/>
  <c r="Q584" i="2"/>
  <c r="Q585" i="2" s="1"/>
  <c r="AU585" i="2" l="1"/>
  <c r="B587" i="24"/>
  <c r="E587" i="24"/>
  <c r="C588" i="24"/>
  <c r="H588" i="24" s="1"/>
  <c r="D588" i="24"/>
  <c r="B589" i="5"/>
  <c r="E589" i="5"/>
  <c r="D590" i="5"/>
  <c r="C590" i="5"/>
  <c r="AC588" i="5"/>
  <c r="AE588" i="5" s="1"/>
  <c r="AJ588" i="5"/>
  <c r="I588" i="5"/>
  <c r="BZ587" i="5"/>
  <c r="AK587" i="5"/>
  <c r="AL587" i="5"/>
  <c r="CA587" i="5" s="1"/>
  <c r="AD587" i="5"/>
  <c r="J587" i="5"/>
  <c r="C588" i="25"/>
  <c r="H588" i="25" s="1"/>
  <c r="E587" i="25"/>
  <c r="B587" i="25"/>
  <c r="D588" i="25"/>
  <c r="P586" i="2"/>
  <c r="R586" i="2" s="1"/>
  <c r="AD586" i="2"/>
  <c r="AF586" i="2" s="1"/>
  <c r="W586" i="2"/>
  <c r="J586" i="2"/>
  <c r="AU586" i="2" s="1"/>
  <c r="Q586" i="2"/>
  <c r="E587" i="2"/>
  <c r="B587" i="2"/>
  <c r="C588" i="2"/>
  <c r="D588" i="2"/>
  <c r="Y585" i="2"/>
  <c r="AV585" i="2" s="1"/>
  <c r="AE585" i="2"/>
  <c r="AE586" i="2" s="1"/>
  <c r="K585" i="2"/>
  <c r="K586" i="2" l="1"/>
  <c r="B588" i="24"/>
  <c r="E588" i="24"/>
  <c r="C589" i="24"/>
  <c r="H589" i="24" s="1"/>
  <c r="D589" i="24"/>
  <c r="BZ588" i="5"/>
  <c r="AK588" i="5"/>
  <c r="AL588" i="5"/>
  <c r="CA588" i="5" s="1"/>
  <c r="J588" i="5"/>
  <c r="E590" i="5"/>
  <c r="D591" i="5"/>
  <c r="B590" i="5"/>
  <c r="C591" i="5"/>
  <c r="AD588" i="5"/>
  <c r="AJ589" i="5"/>
  <c r="I589" i="5"/>
  <c r="B588" i="25"/>
  <c r="C589" i="25"/>
  <c r="H589" i="25" s="1"/>
  <c r="D589" i="25"/>
  <c r="E588" i="25"/>
  <c r="D589" i="2"/>
  <c r="C589" i="2"/>
  <c r="E588" i="2"/>
  <c r="B588" i="2"/>
  <c r="AD587" i="2"/>
  <c r="AF587" i="2" s="1"/>
  <c r="P587" i="2"/>
  <c r="R587" i="2" s="1"/>
  <c r="W587" i="2"/>
  <c r="J587" i="2"/>
  <c r="Q587" i="2"/>
  <c r="Y586" i="2"/>
  <c r="AV586" i="2"/>
  <c r="BZ589" i="5" l="1"/>
  <c r="D590" i="24"/>
  <c r="C590" i="24"/>
  <c r="H590" i="24" s="1"/>
  <c r="E589" i="24"/>
  <c r="B589" i="24"/>
  <c r="AK589" i="5"/>
  <c r="AL589" i="5"/>
  <c r="CA589" i="5"/>
  <c r="E591" i="5"/>
  <c r="C592" i="5"/>
  <c r="B591" i="5"/>
  <c r="D592" i="5"/>
  <c r="AJ590" i="5"/>
  <c r="I590" i="5"/>
  <c r="J589" i="5"/>
  <c r="E589" i="25"/>
  <c r="C590" i="25"/>
  <c r="H590" i="25" s="1"/>
  <c r="B589" i="25"/>
  <c r="D590" i="25"/>
  <c r="Y587" i="2"/>
  <c r="AV587" i="2" s="1"/>
  <c r="AU587" i="2"/>
  <c r="K587" i="2"/>
  <c r="AD588" i="2"/>
  <c r="AF588" i="2" s="1"/>
  <c r="P588" i="2"/>
  <c r="W588" i="2"/>
  <c r="J588" i="2"/>
  <c r="E589" i="2"/>
  <c r="B589" i="2"/>
  <c r="C590" i="2"/>
  <c r="D590" i="2"/>
  <c r="AE587" i="2"/>
  <c r="AE588" i="2" s="1"/>
  <c r="BZ590" i="5" l="1"/>
  <c r="E590" i="24"/>
  <c r="B590" i="24"/>
  <c r="C591" i="24"/>
  <c r="H591" i="24" s="1"/>
  <c r="D591" i="24"/>
  <c r="J590" i="5"/>
  <c r="AL590" i="5"/>
  <c r="AK590" i="5"/>
  <c r="CA590" i="5"/>
  <c r="B592" i="5"/>
  <c r="C593" i="5"/>
  <c r="D593" i="5"/>
  <c r="E592" i="5"/>
  <c r="AJ591" i="5"/>
  <c r="I591" i="5"/>
  <c r="B590" i="25"/>
  <c r="D591" i="25"/>
  <c r="E590" i="25"/>
  <c r="C591" i="25"/>
  <c r="H591" i="25" s="1"/>
  <c r="C591" i="2"/>
  <c r="D591" i="2"/>
  <c r="E590" i="2"/>
  <c r="B590" i="2"/>
  <c r="AD589" i="2"/>
  <c r="AF589" i="2" s="1"/>
  <c r="P589" i="2"/>
  <c r="W589" i="2"/>
  <c r="J589" i="2"/>
  <c r="Y588" i="2"/>
  <c r="R588" i="2"/>
  <c r="AU588" i="2"/>
  <c r="K588" i="2"/>
  <c r="Q588" i="2"/>
  <c r="D592" i="24" l="1"/>
  <c r="B591" i="24"/>
  <c r="E591" i="24"/>
  <c r="C592" i="24"/>
  <c r="H592" i="24" s="1"/>
  <c r="BZ591" i="5"/>
  <c r="AK591" i="5"/>
  <c r="AL591" i="5"/>
  <c r="CA591" i="5" s="1"/>
  <c r="AJ592" i="5"/>
  <c r="I592" i="5"/>
  <c r="E593" i="5"/>
  <c r="B593" i="5"/>
  <c r="C594" i="5"/>
  <c r="D594" i="5"/>
  <c r="J591" i="5"/>
  <c r="B591" i="25"/>
  <c r="C592" i="25"/>
  <c r="H592" i="25" s="1"/>
  <c r="E591" i="25"/>
  <c r="D592" i="25"/>
  <c r="R589" i="2"/>
  <c r="AU589" i="2"/>
  <c r="AV588" i="2"/>
  <c r="K589" i="2"/>
  <c r="Y589" i="2"/>
  <c r="AD590" i="2"/>
  <c r="AF590" i="2" s="1"/>
  <c r="P590" i="2"/>
  <c r="W590" i="2"/>
  <c r="J590" i="2"/>
  <c r="E591" i="2"/>
  <c r="B591" i="2"/>
  <c r="D592" i="2"/>
  <c r="C592" i="2"/>
  <c r="Q589" i="2"/>
  <c r="AE589" i="2"/>
  <c r="K590" i="2" l="1"/>
  <c r="E592" i="24"/>
  <c r="C593" i="24"/>
  <c r="H593" i="24" s="1"/>
  <c r="B592" i="24"/>
  <c r="D593" i="24"/>
  <c r="BZ592" i="5"/>
  <c r="B594" i="5"/>
  <c r="E594" i="5"/>
  <c r="D595" i="5"/>
  <c r="C595" i="5"/>
  <c r="AJ593" i="5"/>
  <c r="I593" i="5"/>
  <c r="AL592" i="5"/>
  <c r="CA592" i="5" s="1"/>
  <c r="AK592" i="5"/>
  <c r="J592" i="5"/>
  <c r="D593" i="25"/>
  <c r="E592" i="25"/>
  <c r="C593" i="25"/>
  <c r="H593" i="25" s="1"/>
  <c r="B592" i="25"/>
  <c r="E592" i="2"/>
  <c r="B592" i="2"/>
  <c r="D593" i="2"/>
  <c r="C593" i="2"/>
  <c r="AD591" i="2"/>
  <c r="AF591" i="2" s="1"/>
  <c r="P591" i="2"/>
  <c r="W591" i="2"/>
  <c r="J591" i="2"/>
  <c r="K591" i="2" s="1"/>
  <c r="Y590" i="2"/>
  <c r="R590" i="2"/>
  <c r="AU590" i="2"/>
  <c r="AE590" i="2"/>
  <c r="AE591" i="2" s="1"/>
  <c r="Q590" i="2"/>
  <c r="Q591" i="2" s="1"/>
  <c r="AV589" i="2"/>
  <c r="E593" i="24" l="1"/>
  <c r="C594" i="24"/>
  <c r="H594" i="24" s="1"/>
  <c r="D594" i="24"/>
  <c r="B593" i="24"/>
  <c r="BZ593" i="5"/>
  <c r="D596" i="5"/>
  <c r="B595" i="5"/>
  <c r="E595" i="5"/>
  <c r="C596" i="5"/>
  <c r="AJ594" i="5"/>
  <c r="I594" i="5"/>
  <c r="BZ594" i="5" s="1"/>
  <c r="AK593" i="5"/>
  <c r="AL593" i="5"/>
  <c r="CA593" i="5" s="1"/>
  <c r="J593" i="5"/>
  <c r="D594" i="25"/>
  <c r="E593" i="25"/>
  <c r="C594" i="25"/>
  <c r="H594" i="25" s="1"/>
  <c r="B593" i="25"/>
  <c r="R591" i="2"/>
  <c r="AU591" i="2"/>
  <c r="AV590" i="2"/>
  <c r="Y591" i="2"/>
  <c r="D594" i="2"/>
  <c r="E593" i="2"/>
  <c r="B593" i="2"/>
  <c r="C594" i="2"/>
  <c r="AD592" i="2"/>
  <c r="AF592" i="2" s="1"/>
  <c r="P592" i="2"/>
  <c r="W592" i="2"/>
  <c r="J592" i="2"/>
  <c r="K592" i="2" s="1"/>
  <c r="J594" i="5" l="1"/>
  <c r="D595" i="24"/>
  <c r="C595" i="24"/>
  <c r="H595" i="24" s="1"/>
  <c r="E594" i="24"/>
  <c r="B594" i="24"/>
  <c r="AJ595" i="5"/>
  <c r="I595" i="5"/>
  <c r="AL594" i="5"/>
  <c r="CA594" i="5" s="1"/>
  <c r="AK594" i="5"/>
  <c r="E596" i="5"/>
  <c r="D597" i="5"/>
  <c r="C597" i="5"/>
  <c r="B596" i="5"/>
  <c r="E594" i="25"/>
  <c r="B594" i="25"/>
  <c r="C595" i="25"/>
  <c r="H595" i="25" s="1"/>
  <c r="D595" i="25"/>
  <c r="Y592" i="2"/>
  <c r="R592" i="2"/>
  <c r="AU592" i="2"/>
  <c r="P593" i="2"/>
  <c r="AD593" i="2"/>
  <c r="AF593" i="2" s="1"/>
  <c r="W593" i="2"/>
  <c r="J593" i="2"/>
  <c r="K593" i="2" s="1"/>
  <c r="B594" i="2"/>
  <c r="C595" i="2"/>
  <c r="E594" i="2"/>
  <c r="D595" i="2"/>
  <c r="Q592" i="2"/>
  <c r="Q593" i="2" s="1"/>
  <c r="AV591" i="2"/>
  <c r="AE592" i="2"/>
  <c r="J595" i="5" l="1"/>
  <c r="E595" i="24"/>
  <c r="C596" i="24"/>
  <c r="H596" i="24" s="1"/>
  <c r="D596" i="24"/>
  <c r="B595" i="24"/>
  <c r="BZ595" i="5"/>
  <c r="D598" i="5"/>
  <c r="B597" i="5"/>
  <c r="C598" i="5"/>
  <c r="E597" i="5"/>
  <c r="AJ596" i="5"/>
  <c r="I596" i="5"/>
  <c r="AL595" i="5"/>
  <c r="CA595" i="5" s="1"/>
  <c r="AK595" i="5"/>
  <c r="E595" i="25"/>
  <c r="B595" i="25"/>
  <c r="D596" i="25"/>
  <c r="C596" i="25"/>
  <c r="H596" i="25" s="1"/>
  <c r="AD594" i="2"/>
  <c r="AF594" i="2" s="1"/>
  <c r="P594" i="2"/>
  <c r="W594" i="2"/>
  <c r="J594" i="2"/>
  <c r="K594" i="2" s="1"/>
  <c r="B595" i="2"/>
  <c r="E595" i="2"/>
  <c r="C596" i="2"/>
  <c r="D596" i="2"/>
  <c r="Y593" i="2"/>
  <c r="R593" i="2"/>
  <c r="AV593" i="2" s="1"/>
  <c r="AU593" i="2"/>
  <c r="AV592" i="2"/>
  <c r="AE593" i="2"/>
  <c r="BZ596" i="5" l="1"/>
  <c r="B596" i="24"/>
  <c r="C597" i="24"/>
  <c r="H597" i="24" s="1"/>
  <c r="D597" i="24"/>
  <c r="E596" i="24"/>
  <c r="J596" i="5"/>
  <c r="AJ597" i="5"/>
  <c r="I597" i="5"/>
  <c r="AL596" i="5"/>
  <c r="CA596" i="5" s="1"/>
  <c r="AK596" i="5"/>
  <c r="D599" i="5"/>
  <c r="C599" i="5"/>
  <c r="E598" i="5"/>
  <c r="B598" i="5"/>
  <c r="E596" i="25"/>
  <c r="C597" i="25"/>
  <c r="H597" i="25" s="1"/>
  <c r="D597" i="25"/>
  <c r="B596" i="25"/>
  <c r="AD595" i="2"/>
  <c r="AF595" i="2" s="1"/>
  <c r="P595" i="2"/>
  <c r="W595" i="2"/>
  <c r="J595" i="2"/>
  <c r="K595" i="2" s="1"/>
  <c r="B596" i="2"/>
  <c r="C597" i="2"/>
  <c r="E596" i="2"/>
  <c r="D597" i="2"/>
  <c r="Y594" i="2"/>
  <c r="R594" i="2"/>
  <c r="AV594" i="2" s="1"/>
  <c r="AU594" i="2"/>
  <c r="AE594" i="2"/>
  <c r="AE595" i="2" s="1"/>
  <c r="Q594" i="2"/>
  <c r="Q595" i="2" s="1"/>
  <c r="BZ597" i="5" l="1"/>
  <c r="C598" i="24"/>
  <c r="H598" i="24" s="1"/>
  <c r="B597" i="24"/>
  <c r="E597" i="24"/>
  <c r="D598" i="24"/>
  <c r="AJ598" i="5"/>
  <c r="I598" i="5"/>
  <c r="BZ598" i="5" s="1"/>
  <c r="B599" i="5"/>
  <c r="C600" i="5"/>
  <c r="E599" i="5"/>
  <c r="D600" i="5"/>
  <c r="AL597" i="5"/>
  <c r="CA597" i="5" s="1"/>
  <c r="AK597" i="5"/>
  <c r="J597" i="5"/>
  <c r="D598" i="25"/>
  <c r="C598" i="25"/>
  <c r="H598" i="25" s="1"/>
  <c r="E597" i="25"/>
  <c r="B597" i="25"/>
  <c r="D598" i="2"/>
  <c r="B597" i="2"/>
  <c r="C598" i="2"/>
  <c r="E597" i="2"/>
  <c r="P596" i="2"/>
  <c r="R596" i="2" s="1"/>
  <c r="AD596" i="2"/>
  <c r="AF596" i="2" s="1"/>
  <c r="W596" i="2"/>
  <c r="J596" i="2"/>
  <c r="K596" i="2"/>
  <c r="Y595" i="2"/>
  <c r="R595" i="2"/>
  <c r="AU595" i="2"/>
  <c r="E598" i="24" l="1"/>
  <c r="C599" i="24"/>
  <c r="H599" i="24" s="1"/>
  <c r="B598" i="24"/>
  <c r="D599" i="24"/>
  <c r="E600" i="5"/>
  <c r="B600" i="5"/>
  <c r="C601" i="5"/>
  <c r="D601" i="5"/>
  <c r="AJ599" i="5"/>
  <c r="I599" i="5"/>
  <c r="BZ599" i="5" s="1"/>
  <c r="AL598" i="5"/>
  <c r="CA598" i="5" s="1"/>
  <c r="AK598" i="5"/>
  <c r="J598" i="5"/>
  <c r="D599" i="25"/>
  <c r="B598" i="25"/>
  <c r="E598" i="25"/>
  <c r="C599" i="25"/>
  <c r="H599" i="25" s="1"/>
  <c r="AV595" i="2"/>
  <c r="AU596" i="2"/>
  <c r="Y596" i="2"/>
  <c r="AV596" i="2" s="1"/>
  <c r="AD597" i="2"/>
  <c r="AF597" i="2" s="1"/>
  <c r="P597" i="2"/>
  <c r="R597" i="2" s="1"/>
  <c r="W597" i="2"/>
  <c r="J597" i="2"/>
  <c r="C599" i="2"/>
  <c r="E598" i="2"/>
  <c r="D599" i="2"/>
  <c r="B598" i="2"/>
  <c r="AE596" i="2"/>
  <c r="Q596" i="2"/>
  <c r="J599" i="5" l="1"/>
  <c r="E599" i="24"/>
  <c r="B599" i="24"/>
  <c r="C600" i="24"/>
  <c r="H600" i="24" s="1"/>
  <c r="D600" i="24"/>
  <c r="B601" i="5"/>
  <c r="D602" i="5"/>
  <c r="E601" i="5"/>
  <c r="C602" i="5"/>
  <c r="AL599" i="5"/>
  <c r="CA599" i="5" s="1"/>
  <c r="AK599" i="5"/>
  <c r="AJ600" i="5"/>
  <c r="I600" i="5"/>
  <c r="B599" i="25"/>
  <c r="C600" i="25"/>
  <c r="H600" i="25" s="1"/>
  <c r="D600" i="25"/>
  <c r="E599" i="25"/>
  <c r="D600" i="2"/>
  <c r="C600" i="2"/>
  <c r="B599" i="2"/>
  <c r="E599" i="2"/>
  <c r="AD598" i="2"/>
  <c r="AF598" i="2" s="1"/>
  <c r="P598" i="2"/>
  <c r="R598" i="2" s="1"/>
  <c r="W598" i="2"/>
  <c r="J598" i="2"/>
  <c r="AU597" i="2"/>
  <c r="Y597" i="2"/>
  <c r="AV597" i="2" s="1"/>
  <c r="K597" i="2"/>
  <c r="Q597" i="2"/>
  <c r="Q598" i="2" s="1"/>
  <c r="AE597" i="2"/>
  <c r="K598" i="2" l="1"/>
  <c r="BZ600" i="5"/>
  <c r="B600" i="24"/>
  <c r="C601" i="24"/>
  <c r="H601" i="24" s="1"/>
  <c r="D601" i="24"/>
  <c r="E600" i="24"/>
  <c r="D603" i="5"/>
  <c r="E602" i="5"/>
  <c r="C603" i="5"/>
  <c r="B602" i="5"/>
  <c r="AK600" i="5"/>
  <c r="AL600" i="5"/>
  <c r="CA600" i="5" s="1"/>
  <c r="AJ601" i="5"/>
  <c r="I601" i="5"/>
  <c r="J600" i="5"/>
  <c r="C601" i="25"/>
  <c r="H601" i="25" s="1"/>
  <c r="B600" i="25"/>
  <c r="D601" i="25"/>
  <c r="E600" i="25"/>
  <c r="Y598" i="2"/>
  <c r="AV598" i="2" s="1"/>
  <c r="AU598" i="2"/>
  <c r="AD599" i="2"/>
  <c r="AF599" i="2" s="1"/>
  <c r="P599" i="2"/>
  <c r="R599" i="2" s="1"/>
  <c r="W599" i="2"/>
  <c r="J599" i="2"/>
  <c r="AU599" i="2" s="1"/>
  <c r="D601" i="2"/>
  <c r="E600" i="2"/>
  <c r="B600" i="2"/>
  <c r="C601" i="2"/>
  <c r="AE598" i="2"/>
  <c r="AE599" i="2" s="1"/>
  <c r="BZ601" i="5" l="1"/>
  <c r="B601" i="24"/>
  <c r="E601" i="24"/>
  <c r="C602" i="24"/>
  <c r="H602" i="24" s="1"/>
  <c r="D602" i="24"/>
  <c r="AK601" i="5"/>
  <c r="AL601" i="5"/>
  <c r="CA601" i="5" s="1"/>
  <c r="J601" i="5"/>
  <c r="AJ602" i="5"/>
  <c r="I602" i="5"/>
  <c r="E603" i="5"/>
  <c r="C604" i="5"/>
  <c r="B603" i="5"/>
  <c r="D604" i="5"/>
  <c r="C602" i="25"/>
  <c r="H602" i="25" s="1"/>
  <c r="B601" i="25"/>
  <c r="D602" i="25"/>
  <c r="E601" i="25"/>
  <c r="P600" i="2"/>
  <c r="AD600" i="2"/>
  <c r="AF600" i="2" s="1"/>
  <c r="W600" i="2"/>
  <c r="J600" i="2"/>
  <c r="C602" i="2"/>
  <c r="D602" i="2"/>
  <c r="B601" i="2"/>
  <c r="E601" i="2"/>
  <c r="Y599" i="2"/>
  <c r="AV599" i="2"/>
  <c r="K599" i="2"/>
  <c r="Q599" i="2"/>
  <c r="Q600" i="2" s="1"/>
  <c r="BZ602" i="5" l="1"/>
  <c r="B602" i="24"/>
  <c r="C603" i="24"/>
  <c r="H603" i="24" s="1"/>
  <c r="D603" i="24"/>
  <c r="E602" i="24"/>
  <c r="AJ603" i="5"/>
  <c r="I603" i="5"/>
  <c r="AK602" i="5"/>
  <c r="AL602" i="5"/>
  <c r="CA602" i="5" s="1"/>
  <c r="J602" i="5"/>
  <c r="D605" i="5"/>
  <c r="E604" i="5"/>
  <c r="C605" i="5"/>
  <c r="B604" i="5"/>
  <c r="B602" i="25"/>
  <c r="E602" i="25"/>
  <c r="D603" i="25"/>
  <c r="C603" i="25"/>
  <c r="H603" i="25" s="1"/>
  <c r="P601" i="2"/>
  <c r="R601" i="2" s="1"/>
  <c r="AD601" i="2"/>
  <c r="AF601" i="2" s="1"/>
  <c r="W601" i="2"/>
  <c r="J601" i="2"/>
  <c r="AU601" i="2" s="1"/>
  <c r="Q601" i="2"/>
  <c r="C603" i="2"/>
  <c r="D603" i="2"/>
  <c r="E602" i="2"/>
  <c r="B602" i="2"/>
  <c r="K600" i="2"/>
  <c r="Y600" i="2"/>
  <c r="R600" i="2"/>
  <c r="AV600" i="2" s="1"/>
  <c r="AU600" i="2"/>
  <c r="AE600" i="2"/>
  <c r="J603" i="5" l="1"/>
  <c r="K601" i="2"/>
  <c r="D604" i="24"/>
  <c r="B603" i="24"/>
  <c r="E603" i="24"/>
  <c r="C604" i="24"/>
  <c r="H604" i="24" s="1"/>
  <c r="BZ603" i="5"/>
  <c r="AJ604" i="5"/>
  <c r="I604" i="5"/>
  <c r="J604" i="5" s="1"/>
  <c r="B605" i="5"/>
  <c r="C606" i="5"/>
  <c r="E605" i="5"/>
  <c r="D606" i="5"/>
  <c r="AK603" i="5"/>
  <c r="AL603" i="5"/>
  <c r="CA603" i="5" s="1"/>
  <c r="B603" i="25"/>
  <c r="D604" i="25"/>
  <c r="C604" i="25"/>
  <c r="H604" i="25" s="1"/>
  <c r="E603" i="25"/>
  <c r="AD602" i="2"/>
  <c r="AF602" i="2" s="1"/>
  <c r="P602" i="2"/>
  <c r="W602" i="2"/>
  <c r="J602" i="2"/>
  <c r="K602" i="2" s="1"/>
  <c r="B603" i="2"/>
  <c r="C604" i="2"/>
  <c r="D604" i="2"/>
  <c r="E603" i="2"/>
  <c r="Q602" i="2"/>
  <c r="Y601" i="2"/>
  <c r="AE601" i="2"/>
  <c r="AE602" i="2" s="1"/>
  <c r="AV601" i="2"/>
  <c r="C605" i="24" l="1"/>
  <c r="H605" i="24" s="1"/>
  <c r="B604" i="24"/>
  <c r="E604" i="24"/>
  <c r="D605" i="24"/>
  <c r="BZ604" i="5"/>
  <c r="E606" i="5"/>
  <c r="C607" i="5"/>
  <c r="D607" i="5"/>
  <c r="B606" i="5"/>
  <c r="AJ605" i="5"/>
  <c r="I605" i="5"/>
  <c r="AL604" i="5"/>
  <c r="CA604" i="5" s="1"/>
  <c r="AK604" i="5"/>
  <c r="B604" i="25"/>
  <c r="E604" i="25"/>
  <c r="C605" i="25"/>
  <c r="H605" i="25" s="1"/>
  <c r="D605" i="25"/>
  <c r="D605" i="2"/>
  <c r="B604" i="2"/>
  <c r="C605" i="2"/>
  <c r="E604" i="2"/>
  <c r="P603" i="2"/>
  <c r="R603" i="2" s="1"/>
  <c r="AD603" i="2"/>
  <c r="AF603" i="2" s="1"/>
  <c r="W603" i="2"/>
  <c r="J603" i="2"/>
  <c r="Y602" i="2"/>
  <c r="R602" i="2"/>
  <c r="AV602" i="2" s="1"/>
  <c r="AU602" i="2"/>
  <c r="D606" i="24" l="1"/>
  <c r="E605" i="24"/>
  <c r="C606" i="24"/>
  <c r="H606" i="24" s="1"/>
  <c r="B605" i="24"/>
  <c r="AL605" i="5"/>
  <c r="AK605" i="5"/>
  <c r="CA605" i="5"/>
  <c r="BZ605" i="5"/>
  <c r="E607" i="5"/>
  <c r="D608" i="5"/>
  <c r="C608" i="5"/>
  <c r="B607" i="5"/>
  <c r="AJ606" i="5"/>
  <c r="I606" i="5"/>
  <c r="J605" i="5"/>
  <c r="B605" i="25"/>
  <c r="E605" i="25"/>
  <c r="C606" i="25"/>
  <c r="H606" i="25" s="1"/>
  <c r="D606" i="25"/>
  <c r="AU603" i="2"/>
  <c r="Y603" i="2"/>
  <c r="AV603" i="2" s="1"/>
  <c r="Q603" i="2"/>
  <c r="AE603" i="2"/>
  <c r="AD604" i="2"/>
  <c r="AF604" i="2" s="1"/>
  <c r="P604" i="2"/>
  <c r="W604" i="2"/>
  <c r="J604" i="2"/>
  <c r="C606" i="2"/>
  <c r="D606" i="2"/>
  <c r="B605" i="2"/>
  <c r="E605" i="2"/>
  <c r="K603" i="2"/>
  <c r="K604" i="2" l="1"/>
  <c r="E606" i="24"/>
  <c r="C607" i="24"/>
  <c r="H607" i="24" s="1"/>
  <c r="D607" i="24"/>
  <c r="B606" i="24"/>
  <c r="J606" i="5"/>
  <c r="BZ606" i="5"/>
  <c r="AL606" i="5"/>
  <c r="CA606" i="5" s="1"/>
  <c r="AK606" i="5"/>
  <c r="D609" i="5"/>
  <c r="B608" i="5"/>
  <c r="E608" i="5"/>
  <c r="C609" i="5"/>
  <c r="AJ607" i="5"/>
  <c r="I607" i="5"/>
  <c r="D607" i="25"/>
  <c r="E606" i="25"/>
  <c r="C607" i="25"/>
  <c r="H607" i="25" s="1"/>
  <c r="B606" i="25"/>
  <c r="AD605" i="2"/>
  <c r="AF605" i="2" s="1"/>
  <c r="P605" i="2"/>
  <c r="R605" i="2" s="1"/>
  <c r="W605" i="2"/>
  <c r="J605" i="2"/>
  <c r="AU605" i="2" s="1"/>
  <c r="B606" i="2"/>
  <c r="E606" i="2"/>
  <c r="D607" i="2"/>
  <c r="C607" i="2"/>
  <c r="Y604" i="2"/>
  <c r="AU604" i="2"/>
  <c r="R604" i="2"/>
  <c r="AE604" i="2"/>
  <c r="AE605" i="2" s="1"/>
  <c r="Q604" i="2"/>
  <c r="K605" i="2" l="1"/>
  <c r="D608" i="24"/>
  <c r="B607" i="24"/>
  <c r="C608" i="24"/>
  <c r="H608" i="24" s="1"/>
  <c r="E607" i="24"/>
  <c r="AJ608" i="5"/>
  <c r="I608" i="5"/>
  <c r="BZ607" i="5"/>
  <c r="AL607" i="5"/>
  <c r="CA607" i="5" s="1"/>
  <c r="AK607" i="5"/>
  <c r="D610" i="5"/>
  <c r="C610" i="5"/>
  <c r="B609" i="5"/>
  <c r="E609" i="5"/>
  <c r="J607" i="5"/>
  <c r="E607" i="25"/>
  <c r="B607" i="25"/>
  <c r="C608" i="25"/>
  <c r="H608" i="25" s="1"/>
  <c r="D608" i="25"/>
  <c r="AD606" i="2"/>
  <c r="AF606" i="2" s="1"/>
  <c r="P606" i="2"/>
  <c r="R606" i="2" s="1"/>
  <c r="W606" i="2"/>
  <c r="J606" i="2"/>
  <c r="AU606" i="2" s="1"/>
  <c r="AE606" i="2"/>
  <c r="AV604" i="2"/>
  <c r="E607" i="2"/>
  <c r="D608" i="2"/>
  <c r="B607" i="2"/>
  <c r="C608" i="2"/>
  <c r="Y605" i="2"/>
  <c r="AV605" i="2" s="1"/>
  <c r="Q605" i="2"/>
  <c r="Q606" i="2" s="1"/>
  <c r="K606" i="2" l="1"/>
  <c r="BZ608" i="5"/>
  <c r="B608" i="24"/>
  <c r="E608" i="24"/>
  <c r="D609" i="24"/>
  <c r="C609" i="24"/>
  <c r="H609" i="24" s="1"/>
  <c r="AJ609" i="5"/>
  <c r="I609" i="5"/>
  <c r="D611" i="5"/>
  <c r="C611" i="5"/>
  <c r="B610" i="5"/>
  <c r="E610" i="5"/>
  <c r="AK608" i="5"/>
  <c r="AL608" i="5"/>
  <c r="CA608" i="5" s="1"/>
  <c r="J608" i="5"/>
  <c r="E608" i="25"/>
  <c r="C609" i="25"/>
  <c r="H609" i="25" s="1"/>
  <c r="B608" i="25"/>
  <c r="D609" i="25"/>
  <c r="B608" i="2"/>
  <c r="E608" i="2"/>
  <c r="C609" i="2"/>
  <c r="D609" i="2"/>
  <c r="AD607" i="2"/>
  <c r="AF607" i="2" s="1"/>
  <c r="P607" i="2"/>
  <c r="W607" i="2"/>
  <c r="J607" i="2"/>
  <c r="K607" i="2" s="1"/>
  <c r="Y606" i="2"/>
  <c r="AV606" i="2"/>
  <c r="D610" i="24" l="1"/>
  <c r="B609" i="24"/>
  <c r="E609" i="24"/>
  <c r="C610" i="24"/>
  <c r="H610" i="24" s="1"/>
  <c r="BZ609" i="5"/>
  <c r="AJ610" i="5"/>
  <c r="I610" i="5"/>
  <c r="C612" i="5"/>
  <c r="E611" i="5"/>
  <c r="D612" i="5"/>
  <c r="B611" i="5"/>
  <c r="AL609" i="5"/>
  <c r="AK609" i="5"/>
  <c r="CA609" i="5"/>
  <c r="J609" i="5"/>
  <c r="E609" i="25"/>
  <c r="C610" i="25"/>
  <c r="H610" i="25" s="1"/>
  <c r="B609" i="25"/>
  <c r="D610" i="25"/>
  <c r="AE607" i="2"/>
  <c r="Y607" i="2"/>
  <c r="R607" i="2"/>
  <c r="AV607" i="2" s="1"/>
  <c r="AU607" i="2"/>
  <c r="D610" i="2"/>
  <c r="C610" i="2"/>
  <c r="B609" i="2"/>
  <c r="E609" i="2"/>
  <c r="P608" i="2"/>
  <c r="R608" i="2" s="1"/>
  <c r="AD608" i="2"/>
  <c r="AF608" i="2" s="1"/>
  <c r="W608" i="2"/>
  <c r="J608" i="2"/>
  <c r="Q607" i="2"/>
  <c r="BZ610" i="5" l="1"/>
  <c r="B610" i="24"/>
  <c r="E610" i="24"/>
  <c r="C611" i="24"/>
  <c r="H611" i="24" s="1"/>
  <c r="D611" i="24"/>
  <c r="E612" i="5"/>
  <c r="D613" i="5"/>
  <c r="C613" i="5"/>
  <c r="B612" i="5"/>
  <c r="AJ611" i="5"/>
  <c r="I611" i="5"/>
  <c r="AL610" i="5"/>
  <c r="CA610" i="5" s="1"/>
  <c r="AK610" i="5"/>
  <c r="J610" i="5"/>
  <c r="E610" i="25"/>
  <c r="C611" i="25"/>
  <c r="H611" i="25" s="1"/>
  <c r="D611" i="25"/>
  <c r="B610" i="25"/>
  <c r="Y608" i="2"/>
  <c r="P609" i="2"/>
  <c r="AD609" i="2"/>
  <c r="AF609" i="2" s="1"/>
  <c r="W609" i="2"/>
  <c r="J609" i="2"/>
  <c r="AU608" i="2"/>
  <c r="AV608" i="2"/>
  <c r="C611" i="2"/>
  <c r="D611" i="2"/>
  <c r="B610" i="2"/>
  <c r="E610" i="2"/>
  <c r="AE608" i="2"/>
  <c r="AE609" i="2" s="1"/>
  <c r="Q608" i="2"/>
  <c r="Q609" i="2" s="1"/>
  <c r="K608" i="2"/>
  <c r="K609" i="2" l="1"/>
  <c r="C612" i="24"/>
  <c r="H612" i="24" s="1"/>
  <c r="E611" i="24"/>
  <c r="B611" i="24"/>
  <c r="D612" i="24"/>
  <c r="BZ611" i="5"/>
  <c r="AK611" i="5"/>
  <c r="AL611" i="5"/>
  <c r="CA611" i="5" s="1"/>
  <c r="C614" i="5"/>
  <c r="B613" i="5"/>
  <c r="E613" i="5"/>
  <c r="D614" i="5"/>
  <c r="AJ612" i="5"/>
  <c r="I612" i="5"/>
  <c r="J611" i="5"/>
  <c r="J612" i="5" s="1"/>
  <c r="D612" i="25"/>
  <c r="B611" i="25"/>
  <c r="C612" i="25"/>
  <c r="H612" i="25" s="1"/>
  <c r="E611" i="25"/>
  <c r="AD610" i="2"/>
  <c r="AF610" i="2" s="1"/>
  <c r="P610" i="2"/>
  <c r="R610" i="2" s="1"/>
  <c r="W610" i="2"/>
  <c r="J610" i="2"/>
  <c r="AU610" i="2" s="1"/>
  <c r="AE610" i="2"/>
  <c r="C612" i="2"/>
  <c r="B611" i="2"/>
  <c r="D612" i="2"/>
  <c r="E611" i="2"/>
  <c r="Y609" i="2"/>
  <c r="R609" i="2"/>
  <c r="AV609" i="2" s="1"/>
  <c r="AU609" i="2"/>
  <c r="K610" i="2" l="1"/>
  <c r="C613" i="24"/>
  <c r="H613" i="24" s="1"/>
  <c r="D613" i="24"/>
  <c r="B612" i="24"/>
  <c r="E612" i="24"/>
  <c r="E614" i="5"/>
  <c r="C615" i="5"/>
  <c r="D615" i="5"/>
  <c r="B614" i="5"/>
  <c r="AJ613" i="5"/>
  <c r="I613" i="5"/>
  <c r="AK612" i="5"/>
  <c r="AL612" i="5"/>
  <c r="CA612" i="5" s="1"/>
  <c r="BZ612" i="5"/>
  <c r="D613" i="25"/>
  <c r="B612" i="25"/>
  <c r="E612" i="25"/>
  <c r="C613" i="25"/>
  <c r="H613" i="25" s="1"/>
  <c r="E612" i="2"/>
  <c r="C613" i="2"/>
  <c r="D613" i="2"/>
  <c r="B612" i="2"/>
  <c r="AD611" i="2"/>
  <c r="AF611" i="2" s="1"/>
  <c r="P611" i="2"/>
  <c r="R611" i="2" s="1"/>
  <c r="W611" i="2"/>
  <c r="J611" i="2"/>
  <c r="AU611" i="2" s="1"/>
  <c r="AE611" i="2"/>
  <c r="Y610" i="2"/>
  <c r="AV610" i="2" s="1"/>
  <c r="Q610" i="2"/>
  <c r="Q611" i="2" s="1"/>
  <c r="D614" i="24" l="1"/>
  <c r="B613" i="24"/>
  <c r="E613" i="24"/>
  <c r="C614" i="24"/>
  <c r="H614" i="24" s="1"/>
  <c r="J613" i="5"/>
  <c r="BZ613" i="5"/>
  <c r="AL613" i="5"/>
  <c r="CA613" i="5" s="1"/>
  <c r="AK613" i="5"/>
  <c r="E615" i="5"/>
  <c r="D616" i="5"/>
  <c r="B615" i="5"/>
  <c r="C616" i="5"/>
  <c r="AJ614" i="5"/>
  <c r="I614" i="5"/>
  <c r="B613" i="25"/>
  <c r="E613" i="25"/>
  <c r="C614" i="25"/>
  <c r="H614" i="25" s="1"/>
  <c r="D614" i="25"/>
  <c r="Y611" i="2"/>
  <c r="AV611" i="2"/>
  <c r="K611" i="2"/>
  <c r="C614" i="2"/>
  <c r="B613" i="2"/>
  <c r="E613" i="2"/>
  <c r="D614" i="2"/>
  <c r="AD612" i="2"/>
  <c r="AF612" i="2" s="1"/>
  <c r="P612" i="2"/>
  <c r="W612" i="2"/>
  <c r="J612" i="2"/>
  <c r="K612" i="2" l="1"/>
  <c r="E614" i="24"/>
  <c r="C615" i="24"/>
  <c r="H615" i="24" s="1"/>
  <c r="D615" i="24"/>
  <c r="B614" i="24"/>
  <c r="J614" i="5"/>
  <c r="AL614" i="5"/>
  <c r="CA614" i="5" s="1"/>
  <c r="AK614" i="5"/>
  <c r="C617" i="5"/>
  <c r="D617" i="5"/>
  <c r="E616" i="5"/>
  <c r="B616" i="5"/>
  <c r="AJ615" i="5"/>
  <c r="I615" i="5"/>
  <c r="BZ614" i="5"/>
  <c r="C615" i="25"/>
  <c r="H615" i="25" s="1"/>
  <c r="E614" i="25"/>
  <c r="B614" i="25"/>
  <c r="D615" i="25"/>
  <c r="D615" i="2"/>
  <c r="B614" i="2"/>
  <c r="E614" i="2"/>
  <c r="C615" i="2"/>
  <c r="Y612" i="2"/>
  <c r="AU612" i="2"/>
  <c r="R612" i="2"/>
  <c r="AV612" i="2" s="1"/>
  <c r="P613" i="2"/>
  <c r="R613" i="2" s="1"/>
  <c r="AD613" i="2"/>
  <c r="AF613" i="2" s="1"/>
  <c r="W613" i="2"/>
  <c r="J613" i="2"/>
  <c r="AU613" i="2" s="1"/>
  <c r="AE612" i="2"/>
  <c r="AE613" i="2" s="1"/>
  <c r="Q612" i="2"/>
  <c r="J615" i="5" l="1"/>
  <c r="B615" i="24"/>
  <c r="E615" i="24"/>
  <c r="D616" i="24"/>
  <c r="C616" i="24"/>
  <c r="H616" i="24" s="1"/>
  <c r="AJ616" i="5"/>
  <c r="I616" i="5"/>
  <c r="BZ615" i="5"/>
  <c r="AL615" i="5"/>
  <c r="CA615" i="5" s="1"/>
  <c r="AK615" i="5"/>
  <c r="C618" i="5"/>
  <c r="B617" i="5"/>
  <c r="E617" i="5"/>
  <c r="D618" i="5"/>
  <c r="C616" i="25"/>
  <c r="H616" i="25" s="1"/>
  <c r="E615" i="25"/>
  <c r="D616" i="25"/>
  <c r="B615" i="25"/>
  <c r="Y613" i="2"/>
  <c r="AV613" i="2"/>
  <c r="K613" i="2"/>
  <c r="AD614" i="2"/>
  <c r="AF614" i="2" s="1"/>
  <c r="P614" i="2"/>
  <c r="W614" i="2"/>
  <c r="J614" i="2"/>
  <c r="Q613" i="2"/>
  <c r="Q614" i="2" s="1"/>
  <c r="D616" i="2"/>
  <c r="E615" i="2"/>
  <c r="B615" i="2"/>
  <c r="C616" i="2"/>
  <c r="BZ616" i="5" l="1"/>
  <c r="E616" i="24"/>
  <c r="B616" i="24"/>
  <c r="C617" i="24"/>
  <c r="H617" i="24" s="1"/>
  <c r="D617" i="24"/>
  <c r="J616" i="5"/>
  <c r="AJ617" i="5"/>
  <c r="I617" i="5"/>
  <c r="AL616" i="5"/>
  <c r="CA616" i="5" s="1"/>
  <c r="AK616" i="5"/>
  <c r="D619" i="5"/>
  <c r="E618" i="5"/>
  <c r="C619" i="5"/>
  <c r="B618" i="5"/>
  <c r="E616" i="25"/>
  <c r="B616" i="25"/>
  <c r="D617" i="25"/>
  <c r="C617" i="25"/>
  <c r="H617" i="25" s="1"/>
  <c r="AD615" i="2"/>
  <c r="AF615" i="2" s="1"/>
  <c r="P615" i="2"/>
  <c r="W615" i="2"/>
  <c r="J615" i="2"/>
  <c r="B616" i="2"/>
  <c r="E616" i="2"/>
  <c r="C617" i="2"/>
  <c r="D617" i="2"/>
  <c r="Q615" i="2"/>
  <c r="Y614" i="2"/>
  <c r="R614" i="2"/>
  <c r="AU614" i="2"/>
  <c r="K614" i="2"/>
  <c r="AE614" i="2"/>
  <c r="AE615" i="2" s="1"/>
  <c r="K615" i="2" l="1"/>
  <c r="D618" i="24"/>
  <c r="C618" i="24"/>
  <c r="H618" i="24" s="1"/>
  <c r="B617" i="24"/>
  <c r="E617" i="24"/>
  <c r="BZ617" i="5"/>
  <c r="J617" i="5"/>
  <c r="J618" i="5" s="1"/>
  <c r="AJ618" i="5"/>
  <c r="I618" i="5"/>
  <c r="AL617" i="5"/>
  <c r="CA617" i="5" s="1"/>
  <c r="AK617" i="5"/>
  <c r="B619" i="5"/>
  <c r="C620" i="5"/>
  <c r="D620" i="5"/>
  <c r="E619" i="5"/>
  <c r="C618" i="25"/>
  <c r="H618" i="25" s="1"/>
  <c r="B617" i="25"/>
  <c r="E617" i="25"/>
  <c r="D618" i="25"/>
  <c r="AV614" i="2"/>
  <c r="B617" i="2"/>
  <c r="D618" i="2"/>
  <c r="C618" i="2"/>
  <c r="E617" i="2"/>
  <c r="AD616" i="2"/>
  <c r="AF616" i="2" s="1"/>
  <c r="P616" i="2"/>
  <c r="R616" i="2" s="1"/>
  <c r="W616" i="2"/>
  <c r="J616" i="2"/>
  <c r="Y615" i="2"/>
  <c r="AV615" i="2" s="1"/>
  <c r="AU615" i="2"/>
  <c r="R615" i="2"/>
  <c r="AU616" i="2" l="1"/>
  <c r="C619" i="24"/>
  <c r="H619" i="24" s="1"/>
  <c r="D619" i="24"/>
  <c r="E618" i="24"/>
  <c r="B618" i="24"/>
  <c r="BZ618" i="5"/>
  <c r="D621" i="5"/>
  <c r="B620" i="5"/>
  <c r="E620" i="5"/>
  <c r="C621" i="5"/>
  <c r="AJ619" i="5"/>
  <c r="I619" i="5"/>
  <c r="AL618" i="5"/>
  <c r="CA618" i="5" s="1"/>
  <c r="AK618" i="5"/>
  <c r="B618" i="25"/>
  <c r="E618" i="25"/>
  <c r="D619" i="25"/>
  <c r="C619" i="25"/>
  <c r="H619" i="25" s="1"/>
  <c r="AD617" i="2"/>
  <c r="AF617" i="2" s="1"/>
  <c r="P617" i="2"/>
  <c r="R617" i="2" s="1"/>
  <c r="W617" i="2"/>
  <c r="J617" i="2"/>
  <c r="AU617" i="2" s="1"/>
  <c r="Y616" i="2"/>
  <c r="AV616" i="2"/>
  <c r="B618" i="2"/>
  <c r="E618" i="2"/>
  <c r="D619" i="2"/>
  <c r="C619" i="2"/>
  <c r="Q616" i="2"/>
  <c r="Q617" i="2" s="1"/>
  <c r="AE616" i="2"/>
  <c r="AE617" i="2" s="1"/>
  <c r="K616" i="2"/>
  <c r="K617" i="2" l="1"/>
  <c r="BZ619" i="5"/>
  <c r="E619" i="24"/>
  <c r="B619" i="24"/>
  <c r="C620" i="24"/>
  <c r="H620" i="24" s="1"/>
  <c r="D620" i="24"/>
  <c r="AK619" i="5"/>
  <c r="AL619" i="5"/>
  <c r="CA619" i="5" s="1"/>
  <c r="J619" i="5"/>
  <c r="AJ620" i="5"/>
  <c r="I620" i="5"/>
  <c r="B621" i="5"/>
  <c r="E621" i="5"/>
  <c r="C622" i="5"/>
  <c r="D622" i="5"/>
  <c r="B619" i="25"/>
  <c r="C620" i="25"/>
  <c r="H620" i="25" s="1"/>
  <c r="D620" i="25"/>
  <c r="E619" i="25"/>
  <c r="B619" i="2"/>
  <c r="C620" i="2"/>
  <c r="D620" i="2"/>
  <c r="E619" i="2"/>
  <c r="P618" i="2"/>
  <c r="R618" i="2" s="1"/>
  <c r="AD618" i="2"/>
  <c r="AF618" i="2" s="1"/>
  <c r="W618" i="2"/>
  <c r="J618" i="2"/>
  <c r="Y617" i="2"/>
  <c r="AV617" i="2" s="1"/>
  <c r="AU618" i="2" l="1"/>
  <c r="E620" i="24"/>
  <c r="C621" i="24"/>
  <c r="H621" i="24" s="1"/>
  <c r="D621" i="24"/>
  <c r="B620" i="24"/>
  <c r="BZ620" i="5"/>
  <c r="E622" i="5"/>
  <c r="C623" i="5"/>
  <c r="D623" i="5"/>
  <c r="B622" i="5"/>
  <c r="AJ621" i="5"/>
  <c r="I621" i="5"/>
  <c r="AK620" i="5"/>
  <c r="AL620" i="5"/>
  <c r="CA620" i="5" s="1"/>
  <c r="J620" i="5"/>
  <c r="C621" i="25"/>
  <c r="H621" i="25" s="1"/>
  <c r="D621" i="25"/>
  <c r="B620" i="25"/>
  <c r="E620" i="25"/>
  <c r="Y618" i="2"/>
  <c r="AV618" i="2" s="1"/>
  <c r="P619" i="2"/>
  <c r="R619" i="2" s="1"/>
  <c r="AD619" i="2"/>
  <c r="AF619" i="2" s="1"/>
  <c r="W619" i="2"/>
  <c r="J619" i="2"/>
  <c r="AU619" i="2" s="1"/>
  <c r="B620" i="2"/>
  <c r="E620" i="2"/>
  <c r="C621" i="2"/>
  <c r="D621" i="2"/>
  <c r="Q618" i="2"/>
  <c r="Q619" i="2" s="1"/>
  <c r="AE618" i="2"/>
  <c r="AE619" i="2" s="1"/>
  <c r="K618" i="2"/>
  <c r="K619" i="2" l="1"/>
  <c r="J621" i="5"/>
  <c r="E621" i="24"/>
  <c r="D622" i="24"/>
  <c r="B621" i="24"/>
  <c r="C622" i="24"/>
  <c r="H622" i="24" s="1"/>
  <c r="BZ621" i="5"/>
  <c r="AL621" i="5"/>
  <c r="CA621" i="5" s="1"/>
  <c r="AK621" i="5"/>
  <c r="D624" i="5"/>
  <c r="B623" i="5"/>
  <c r="C624" i="5"/>
  <c r="E623" i="5"/>
  <c r="AJ622" i="5"/>
  <c r="I622" i="5"/>
  <c r="C622" i="25"/>
  <c r="H622" i="25" s="1"/>
  <c r="B621" i="25"/>
  <c r="E621" i="25"/>
  <c r="D622" i="25"/>
  <c r="AD620" i="2"/>
  <c r="AF620" i="2" s="1"/>
  <c r="P620" i="2"/>
  <c r="W620" i="2"/>
  <c r="J620" i="2"/>
  <c r="AE620" i="2"/>
  <c r="Q620" i="2"/>
  <c r="E621" i="2"/>
  <c r="C622" i="2"/>
  <c r="D622" i="2"/>
  <c r="B621" i="2"/>
  <c r="Y619" i="2"/>
  <c r="AV619" i="2"/>
  <c r="K620" i="2" l="1"/>
  <c r="D623" i="24"/>
  <c r="B622" i="24"/>
  <c r="C623" i="24"/>
  <c r="H623" i="24" s="1"/>
  <c r="E622" i="24"/>
  <c r="BZ622" i="5"/>
  <c r="AK622" i="5"/>
  <c r="AL622" i="5"/>
  <c r="CA622" i="5" s="1"/>
  <c r="AJ623" i="5"/>
  <c r="I623" i="5"/>
  <c r="D625" i="5"/>
  <c r="E624" i="5"/>
  <c r="C625" i="5"/>
  <c r="B624" i="5"/>
  <c r="J622" i="5"/>
  <c r="B622" i="25"/>
  <c r="D623" i="25"/>
  <c r="C623" i="25"/>
  <c r="H623" i="25" s="1"/>
  <c r="E622" i="25"/>
  <c r="E622" i="2"/>
  <c r="C623" i="2"/>
  <c r="B622" i="2"/>
  <c r="D623" i="2"/>
  <c r="AD621" i="2"/>
  <c r="AF621" i="2" s="1"/>
  <c r="P621" i="2"/>
  <c r="W621" i="2"/>
  <c r="J621" i="2"/>
  <c r="K621" i="2" s="1"/>
  <c r="Q621" i="2"/>
  <c r="AE621" i="2"/>
  <c r="Y620" i="2"/>
  <c r="AU620" i="2"/>
  <c r="R620" i="2"/>
  <c r="AV620" i="2" s="1"/>
  <c r="J623" i="5" l="1"/>
  <c r="E623" i="24"/>
  <c r="C624" i="24"/>
  <c r="H624" i="24" s="1"/>
  <c r="D624" i="24"/>
  <c r="B623" i="24"/>
  <c r="BZ623" i="5"/>
  <c r="AJ624" i="5"/>
  <c r="I624" i="5"/>
  <c r="E625" i="5"/>
  <c r="C626" i="5"/>
  <c r="D626" i="5"/>
  <c r="B625" i="5"/>
  <c r="AK623" i="5"/>
  <c r="AL623" i="5"/>
  <c r="CA623" i="5" s="1"/>
  <c r="E623" i="25"/>
  <c r="D624" i="25"/>
  <c r="C624" i="25"/>
  <c r="H624" i="25" s="1"/>
  <c r="B623" i="25"/>
  <c r="Y621" i="2"/>
  <c r="R621" i="2"/>
  <c r="AV621" i="2" s="1"/>
  <c r="AU621" i="2"/>
  <c r="E623" i="2"/>
  <c r="B623" i="2"/>
  <c r="D624" i="2"/>
  <c r="C624" i="2"/>
  <c r="P622" i="2"/>
  <c r="R622" i="2" s="1"/>
  <c r="AD622" i="2"/>
  <c r="AF622" i="2" s="1"/>
  <c r="W622" i="2"/>
  <c r="J622" i="2"/>
  <c r="K622" i="2" s="1"/>
  <c r="B624" i="24" l="1"/>
  <c r="E624" i="24"/>
  <c r="D625" i="24"/>
  <c r="C625" i="24"/>
  <c r="H625" i="24" s="1"/>
  <c r="BZ624" i="5"/>
  <c r="AJ625" i="5"/>
  <c r="I625" i="5"/>
  <c r="BZ625" i="5" s="1"/>
  <c r="D627" i="5"/>
  <c r="E626" i="5"/>
  <c r="C627" i="5"/>
  <c r="B626" i="5"/>
  <c r="AL624" i="5"/>
  <c r="CA624" i="5" s="1"/>
  <c r="AK624" i="5"/>
  <c r="J624" i="5"/>
  <c r="B624" i="25"/>
  <c r="C625" i="25"/>
  <c r="H625" i="25" s="1"/>
  <c r="E624" i="25"/>
  <c r="D625" i="25"/>
  <c r="Y622" i="2"/>
  <c r="B624" i="2"/>
  <c r="E624" i="2"/>
  <c r="D625" i="2"/>
  <c r="C625" i="2"/>
  <c r="AV622" i="2"/>
  <c r="AD623" i="2"/>
  <c r="AF623" i="2" s="1"/>
  <c r="P623" i="2"/>
  <c r="W623" i="2"/>
  <c r="J623" i="2"/>
  <c r="K623" i="2" s="1"/>
  <c r="AE622" i="2"/>
  <c r="AU622" i="2"/>
  <c r="Q622" i="2"/>
  <c r="J625" i="5" l="1"/>
  <c r="C626" i="24"/>
  <c r="H626" i="24" s="1"/>
  <c r="D626" i="24"/>
  <c r="E625" i="24"/>
  <c r="B625" i="24"/>
  <c r="D628" i="5"/>
  <c r="B627" i="5"/>
  <c r="E627" i="5"/>
  <c r="C628" i="5"/>
  <c r="AJ626" i="5"/>
  <c r="I626" i="5"/>
  <c r="BZ626" i="5" s="1"/>
  <c r="AL625" i="5"/>
  <c r="AK625" i="5"/>
  <c r="CA625" i="5"/>
  <c r="B625" i="25"/>
  <c r="D626" i="25"/>
  <c r="E625" i="25"/>
  <c r="C626" i="25"/>
  <c r="H626" i="25" s="1"/>
  <c r="AE623" i="2"/>
  <c r="Y623" i="2"/>
  <c r="AU623" i="2"/>
  <c r="R623" i="2"/>
  <c r="D626" i="2"/>
  <c r="B625" i="2"/>
  <c r="E625" i="2"/>
  <c r="C626" i="2"/>
  <c r="AD624" i="2"/>
  <c r="AF624" i="2" s="1"/>
  <c r="P624" i="2"/>
  <c r="W624" i="2"/>
  <c r="J624" i="2"/>
  <c r="K624" i="2" s="1"/>
  <c r="Q623" i="2"/>
  <c r="B626" i="24" l="1"/>
  <c r="C627" i="24"/>
  <c r="H627" i="24" s="1"/>
  <c r="D627" i="24"/>
  <c r="E626" i="24"/>
  <c r="AJ627" i="5"/>
  <c r="I627" i="5"/>
  <c r="BZ627" i="5" s="1"/>
  <c r="AL626" i="5"/>
  <c r="CA626" i="5" s="1"/>
  <c r="AK626" i="5"/>
  <c r="B628" i="5"/>
  <c r="D629" i="5"/>
  <c r="C629" i="5"/>
  <c r="E628" i="5"/>
  <c r="J626" i="5"/>
  <c r="D627" i="25"/>
  <c r="C627" i="25"/>
  <c r="H627" i="25" s="1"/>
  <c r="B626" i="25"/>
  <c r="E626" i="25"/>
  <c r="AU624" i="2"/>
  <c r="R624" i="2"/>
  <c r="P625" i="2"/>
  <c r="R625" i="2" s="1"/>
  <c r="AD625" i="2"/>
  <c r="AF625" i="2" s="1"/>
  <c r="W625" i="2"/>
  <c r="J625" i="2"/>
  <c r="AU625" i="2" s="1"/>
  <c r="Y624" i="2"/>
  <c r="AV624" i="2" s="1"/>
  <c r="D627" i="2"/>
  <c r="B626" i="2"/>
  <c r="C627" i="2"/>
  <c r="E626" i="2"/>
  <c r="AV623" i="2"/>
  <c r="Q624" i="2"/>
  <c r="AE624" i="2"/>
  <c r="D628" i="24" l="1"/>
  <c r="C628" i="24"/>
  <c r="H628" i="24" s="1"/>
  <c r="B627" i="24"/>
  <c r="E627" i="24"/>
  <c r="AJ628" i="5"/>
  <c r="I628" i="5"/>
  <c r="D630" i="5"/>
  <c r="E629" i="5"/>
  <c r="B629" i="5"/>
  <c r="C630" i="5"/>
  <c r="AL627" i="5"/>
  <c r="CA627" i="5" s="1"/>
  <c r="AK627" i="5"/>
  <c r="J627" i="5"/>
  <c r="B627" i="25"/>
  <c r="D628" i="25"/>
  <c r="C628" i="25"/>
  <c r="H628" i="25" s="1"/>
  <c r="E627" i="25"/>
  <c r="AD626" i="2"/>
  <c r="AF626" i="2" s="1"/>
  <c r="P626" i="2"/>
  <c r="W626" i="2"/>
  <c r="J626" i="2"/>
  <c r="B627" i="2"/>
  <c r="D628" i="2"/>
  <c r="C628" i="2"/>
  <c r="E627" i="2"/>
  <c r="Y625" i="2"/>
  <c r="AV625" i="2"/>
  <c r="AE625" i="2"/>
  <c r="AE626" i="2" s="1"/>
  <c r="Q625" i="2"/>
  <c r="Q626" i="2" s="1"/>
  <c r="K625" i="2"/>
  <c r="K626" i="2" l="1"/>
  <c r="BZ628" i="5"/>
  <c r="B628" i="24"/>
  <c r="D629" i="24"/>
  <c r="E628" i="24"/>
  <c r="C629" i="24"/>
  <c r="H629" i="24" s="1"/>
  <c r="E630" i="5"/>
  <c r="C631" i="5"/>
  <c r="D631" i="5"/>
  <c r="B630" i="5"/>
  <c r="AJ629" i="5"/>
  <c r="I629" i="5"/>
  <c r="AL628" i="5"/>
  <c r="AK628" i="5"/>
  <c r="CA628" i="5"/>
  <c r="J628" i="5"/>
  <c r="E628" i="25"/>
  <c r="D629" i="25"/>
  <c r="B628" i="25"/>
  <c r="C629" i="25"/>
  <c r="H629" i="25" s="1"/>
  <c r="P627" i="2"/>
  <c r="R627" i="2" s="1"/>
  <c r="AD627" i="2"/>
  <c r="AF627" i="2" s="1"/>
  <c r="W627" i="2"/>
  <c r="J627" i="2"/>
  <c r="AU627" i="2" s="1"/>
  <c r="E628" i="2"/>
  <c r="B628" i="2"/>
  <c r="C629" i="2"/>
  <c r="D629" i="2"/>
  <c r="Y626" i="2"/>
  <c r="AU626" i="2"/>
  <c r="R626" i="2"/>
  <c r="B629" i="24" l="1"/>
  <c r="E629" i="24"/>
  <c r="C630" i="24"/>
  <c r="H630" i="24" s="1"/>
  <c r="D630" i="24"/>
  <c r="BZ629" i="5"/>
  <c r="AK629" i="5"/>
  <c r="AL629" i="5"/>
  <c r="CA629" i="5" s="1"/>
  <c r="C632" i="5"/>
  <c r="D632" i="5"/>
  <c r="B631" i="5"/>
  <c r="E631" i="5"/>
  <c r="AJ630" i="5"/>
  <c r="I630" i="5"/>
  <c r="J629" i="5"/>
  <c r="J630" i="5" s="1"/>
  <c r="E629" i="25"/>
  <c r="B629" i="25"/>
  <c r="D630" i="25"/>
  <c r="C630" i="25"/>
  <c r="H630" i="25" s="1"/>
  <c r="B629" i="2"/>
  <c r="C630" i="2"/>
  <c r="E629" i="2"/>
  <c r="D630" i="2"/>
  <c r="AD628" i="2"/>
  <c r="AF628" i="2" s="1"/>
  <c r="P628" i="2"/>
  <c r="W628" i="2"/>
  <c r="J628" i="2"/>
  <c r="Y627" i="2"/>
  <c r="AV627" i="2"/>
  <c r="AE627" i="2"/>
  <c r="AE628" i="2" s="1"/>
  <c r="Q627" i="2"/>
  <c r="Q628" i="2" s="1"/>
  <c r="AV626" i="2"/>
  <c r="K627" i="2"/>
  <c r="K628" i="2" l="1"/>
  <c r="C631" i="24"/>
  <c r="H631" i="24" s="1"/>
  <c r="B630" i="24"/>
  <c r="E630" i="24"/>
  <c r="D631" i="24"/>
  <c r="AL630" i="5"/>
  <c r="CA630" i="5" s="1"/>
  <c r="AK630" i="5"/>
  <c r="AJ631" i="5"/>
  <c r="I631" i="5"/>
  <c r="BZ631" i="5" s="1"/>
  <c r="B632" i="5"/>
  <c r="C633" i="5"/>
  <c r="E632" i="5"/>
  <c r="D633" i="5"/>
  <c r="BZ630" i="5"/>
  <c r="C631" i="25"/>
  <c r="H631" i="25" s="1"/>
  <c r="D631" i="25"/>
  <c r="B630" i="25"/>
  <c r="E630" i="25"/>
  <c r="Y628" i="2"/>
  <c r="R628" i="2"/>
  <c r="AU628" i="2"/>
  <c r="B630" i="2"/>
  <c r="E630" i="2"/>
  <c r="C631" i="2"/>
  <c r="D631" i="2"/>
  <c r="AD629" i="2"/>
  <c r="AF629" i="2" s="1"/>
  <c r="P629" i="2"/>
  <c r="W629" i="2"/>
  <c r="J629" i="2"/>
  <c r="K629" i="2" s="1"/>
  <c r="J631" i="5" l="1"/>
  <c r="D632" i="24"/>
  <c r="C632" i="24"/>
  <c r="H632" i="24" s="1"/>
  <c r="B631" i="24"/>
  <c r="E631" i="24"/>
  <c r="E633" i="5"/>
  <c r="D634" i="5"/>
  <c r="C634" i="5"/>
  <c r="B633" i="5"/>
  <c r="AJ632" i="5"/>
  <c r="I632" i="5"/>
  <c r="AK631" i="5"/>
  <c r="AL631" i="5"/>
  <c r="CA631" i="5" s="1"/>
  <c r="D632" i="25"/>
  <c r="C632" i="25"/>
  <c r="H632" i="25" s="1"/>
  <c r="B631" i="25"/>
  <c r="E631" i="25"/>
  <c r="P630" i="2"/>
  <c r="AD630" i="2"/>
  <c r="AF630" i="2" s="1"/>
  <c r="W630" i="2"/>
  <c r="J630" i="2"/>
  <c r="K630" i="2" s="1"/>
  <c r="Y629" i="2"/>
  <c r="R629" i="2"/>
  <c r="AU629" i="2"/>
  <c r="C632" i="2"/>
  <c r="D632" i="2"/>
  <c r="E631" i="2"/>
  <c r="B631" i="2"/>
  <c r="AV628" i="2"/>
  <c r="AE629" i="2"/>
  <c r="AE630" i="2" s="1"/>
  <c r="Q629" i="2"/>
  <c r="Q630" i="2" s="1"/>
  <c r="E632" i="24" l="1"/>
  <c r="C633" i="24"/>
  <c r="H633" i="24" s="1"/>
  <c r="D633" i="24"/>
  <c r="B632" i="24"/>
  <c r="BZ632" i="5"/>
  <c r="AK632" i="5"/>
  <c r="AL632" i="5"/>
  <c r="CA632" i="5" s="1"/>
  <c r="C635" i="5"/>
  <c r="B634" i="5"/>
  <c r="D635" i="5"/>
  <c r="E634" i="5"/>
  <c r="AJ633" i="5"/>
  <c r="I633" i="5"/>
  <c r="J632" i="5"/>
  <c r="E632" i="25"/>
  <c r="C633" i="25"/>
  <c r="H633" i="25" s="1"/>
  <c r="D633" i="25"/>
  <c r="B632" i="25"/>
  <c r="P631" i="2"/>
  <c r="AD631" i="2"/>
  <c r="AF631" i="2" s="1"/>
  <c r="W631" i="2"/>
  <c r="J631" i="2"/>
  <c r="K631" i="2" s="1"/>
  <c r="D633" i="2"/>
  <c r="E632" i="2"/>
  <c r="C633" i="2"/>
  <c r="B632" i="2"/>
  <c r="AV629" i="2"/>
  <c r="Y630" i="2"/>
  <c r="Q631" i="2"/>
  <c r="R630" i="2"/>
  <c r="AV630" i="2" s="1"/>
  <c r="AU630" i="2"/>
  <c r="D634" i="24" l="1"/>
  <c r="C634" i="24"/>
  <c r="H634" i="24" s="1"/>
  <c r="B633" i="24"/>
  <c r="E633" i="24"/>
  <c r="BZ633" i="5"/>
  <c r="AJ634" i="5"/>
  <c r="I634" i="5"/>
  <c r="B635" i="5"/>
  <c r="E635" i="5"/>
  <c r="C636" i="5"/>
  <c r="D636" i="5"/>
  <c r="AK633" i="5"/>
  <c r="AL633" i="5"/>
  <c r="CA633" i="5" s="1"/>
  <c r="J633" i="5"/>
  <c r="B633" i="25"/>
  <c r="E633" i="25"/>
  <c r="D634" i="25"/>
  <c r="C634" i="25"/>
  <c r="H634" i="25" s="1"/>
  <c r="AD632" i="2"/>
  <c r="AF632" i="2" s="1"/>
  <c r="P632" i="2"/>
  <c r="W632" i="2"/>
  <c r="J632" i="2"/>
  <c r="K632" i="2" s="1"/>
  <c r="B633" i="2"/>
  <c r="C634" i="2"/>
  <c r="E633" i="2"/>
  <c r="D634" i="2"/>
  <c r="Y631" i="2"/>
  <c r="R631" i="2"/>
  <c r="AU631" i="2"/>
  <c r="AE631" i="2"/>
  <c r="AE632" i="2" s="1"/>
  <c r="E634" i="24" l="1"/>
  <c r="C635" i="24"/>
  <c r="H635" i="24" s="1"/>
  <c r="D635" i="24"/>
  <c r="B634" i="24"/>
  <c r="C637" i="5"/>
  <c r="D637" i="5"/>
  <c r="E636" i="5"/>
  <c r="B636" i="5"/>
  <c r="AJ635" i="5"/>
  <c r="I635" i="5"/>
  <c r="J634" i="5"/>
  <c r="BZ634" i="5"/>
  <c r="AL634" i="5"/>
  <c r="CA634" i="5" s="1"/>
  <c r="AK634" i="5"/>
  <c r="D635" i="25"/>
  <c r="E634" i="25"/>
  <c r="C635" i="25"/>
  <c r="H635" i="25" s="1"/>
  <c r="B634" i="25"/>
  <c r="AV631" i="2"/>
  <c r="B634" i="2"/>
  <c r="E634" i="2"/>
  <c r="C635" i="2"/>
  <c r="D635" i="2"/>
  <c r="P633" i="2"/>
  <c r="R633" i="2" s="1"/>
  <c r="AD633" i="2"/>
  <c r="AF633" i="2" s="1"/>
  <c r="W633" i="2"/>
  <c r="J633" i="2"/>
  <c r="K633" i="2"/>
  <c r="Y632" i="2"/>
  <c r="R632" i="2"/>
  <c r="AU632" i="2"/>
  <c r="Q632" i="2"/>
  <c r="BZ635" i="5" l="1"/>
  <c r="C636" i="24"/>
  <c r="H636" i="24" s="1"/>
  <c r="B635" i="24"/>
  <c r="E635" i="24"/>
  <c r="D636" i="24"/>
  <c r="J635" i="5"/>
  <c r="AK635" i="5"/>
  <c r="AL635" i="5"/>
  <c r="CA635" i="5" s="1"/>
  <c r="AJ636" i="5"/>
  <c r="I636" i="5"/>
  <c r="C638" i="5"/>
  <c r="B637" i="5"/>
  <c r="E637" i="5"/>
  <c r="D638" i="5"/>
  <c r="E635" i="25"/>
  <c r="D636" i="25"/>
  <c r="B635" i="25"/>
  <c r="C636" i="25"/>
  <c r="H636" i="25" s="1"/>
  <c r="AV632" i="2"/>
  <c r="AU633" i="2"/>
  <c r="Y633" i="2"/>
  <c r="AV633" i="2" s="1"/>
  <c r="C636" i="2"/>
  <c r="D636" i="2"/>
  <c r="E635" i="2"/>
  <c r="B635" i="2"/>
  <c r="P634" i="2"/>
  <c r="R634" i="2" s="1"/>
  <c r="AD634" i="2"/>
  <c r="AF634" i="2" s="1"/>
  <c r="W634" i="2"/>
  <c r="J634" i="2"/>
  <c r="AU634" i="2" s="1"/>
  <c r="Q633" i="2"/>
  <c r="AE633" i="2"/>
  <c r="D637" i="24" l="1"/>
  <c r="B636" i="24"/>
  <c r="C637" i="24"/>
  <c r="H637" i="24" s="1"/>
  <c r="E636" i="24"/>
  <c r="E638" i="5"/>
  <c r="D639" i="5"/>
  <c r="B638" i="5"/>
  <c r="C639" i="5"/>
  <c r="AJ637" i="5"/>
  <c r="I637" i="5"/>
  <c r="BZ636" i="5"/>
  <c r="AK636" i="5"/>
  <c r="AL636" i="5"/>
  <c r="CA636" i="5" s="1"/>
  <c r="J636" i="5"/>
  <c r="E636" i="25"/>
  <c r="D637" i="25"/>
  <c r="C637" i="25"/>
  <c r="H637" i="25" s="1"/>
  <c r="B636" i="25"/>
  <c r="Y634" i="2"/>
  <c r="AV634" i="2" s="1"/>
  <c r="AD635" i="2"/>
  <c r="AF635" i="2" s="1"/>
  <c r="P635" i="2"/>
  <c r="W635" i="2"/>
  <c r="J635" i="2"/>
  <c r="B636" i="2"/>
  <c r="E636" i="2"/>
  <c r="C637" i="2"/>
  <c r="D637" i="2"/>
  <c r="K634" i="2"/>
  <c r="AE634" i="2"/>
  <c r="AE635" i="2" s="1"/>
  <c r="Q634" i="2"/>
  <c r="Q635" i="2" s="1"/>
  <c r="K635" i="2" l="1"/>
  <c r="J637" i="5"/>
  <c r="E637" i="24"/>
  <c r="B637" i="24"/>
  <c r="C638" i="24"/>
  <c r="H638" i="24" s="1"/>
  <c r="D638" i="24"/>
  <c r="AL637" i="5"/>
  <c r="CA637" i="5" s="1"/>
  <c r="AK637" i="5"/>
  <c r="BZ637" i="5"/>
  <c r="C640" i="5"/>
  <c r="B639" i="5"/>
  <c r="D640" i="5"/>
  <c r="E639" i="5"/>
  <c r="AJ638" i="5"/>
  <c r="I638" i="5"/>
  <c r="C638" i="25"/>
  <c r="H638" i="25" s="1"/>
  <c r="D638" i="25"/>
  <c r="B637" i="25"/>
  <c r="E637" i="25"/>
  <c r="D638" i="2"/>
  <c r="B637" i="2"/>
  <c r="C638" i="2"/>
  <c r="E637" i="2"/>
  <c r="AD636" i="2"/>
  <c r="AF636" i="2" s="1"/>
  <c r="P636" i="2"/>
  <c r="R636" i="2" s="1"/>
  <c r="W636" i="2"/>
  <c r="J636" i="2"/>
  <c r="Y635" i="2"/>
  <c r="AU635" i="2"/>
  <c r="R635" i="2"/>
  <c r="B638" i="24" l="1"/>
  <c r="D639" i="24"/>
  <c r="E638" i="24"/>
  <c r="C639" i="24"/>
  <c r="H639" i="24" s="1"/>
  <c r="B640" i="5"/>
  <c r="D641" i="5"/>
  <c r="E640" i="5"/>
  <c r="C641" i="5"/>
  <c r="AL638" i="5"/>
  <c r="CA638" i="5" s="1"/>
  <c r="AK638" i="5"/>
  <c r="AJ639" i="5"/>
  <c r="I639" i="5"/>
  <c r="BZ638" i="5"/>
  <c r="J638" i="5"/>
  <c r="B638" i="25"/>
  <c r="C639" i="25"/>
  <c r="H639" i="25" s="1"/>
  <c r="E638" i="25"/>
  <c r="D639" i="25"/>
  <c r="Y636" i="2"/>
  <c r="AU636" i="2"/>
  <c r="AV636" i="2"/>
  <c r="AD637" i="2"/>
  <c r="AF637" i="2" s="1"/>
  <c r="P637" i="2"/>
  <c r="R637" i="2" s="1"/>
  <c r="W637" i="2"/>
  <c r="J637" i="2"/>
  <c r="AU637" i="2" s="1"/>
  <c r="D639" i="2"/>
  <c r="C639" i="2"/>
  <c r="E638" i="2"/>
  <c r="B638" i="2"/>
  <c r="K636" i="2"/>
  <c r="AE636" i="2"/>
  <c r="AE637" i="2" s="1"/>
  <c r="AV635" i="2"/>
  <c r="Q636" i="2"/>
  <c r="K637" i="2" l="1"/>
  <c r="C640" i="24"/>
  <c r="H640" i="24" s="1"/>
  <c r="D640" i="24"/>
  <c r="B639" i="24"/>
  <c r="E639" i="24"/>
  <c r="BZ639" i="5"/>
  <c r="AK639" i="5"/>
  <c r="AL639" i="5"/>
  <c r="C642" i="5"/>
  <c r="B641" i="5"/>
  <c r="E641" i="5"/>
  <c r="D642" i="5"/>
  <c r="CA639" i="5"/>
  <c r="AJ640" i="5"/>
  <c r="I640" i="5"/>
  <c r="J639" i="5"/>
  <c r="C640" i="25"/>
  <c r="H640" i="25" s="1"/>
  <c r="D640" i="25"/>
  <c r="E639" i="25"/>
  <c r="B639" i="25"/>
  <c r="AD638" i="2"/>
  <c r="AF638" i="2" s="1"/>
  <c r="P638" i="2"/>
  <c r="W638" i="2"/>
  <c r="J638" i="2"/>
  <c r="K638" i="2" s="1"/>
  <c r="E639" i="2"/>
  <c r="D640" i="2"/>
  <c r="B639" i="2"/>
  <c r="C640" i="2"/>
  <c r="Y637" i="2"/>
  <c r="AV637" i="2" s="1"/>
  <c r="Q637" i="2"/>
  <c r="Q638" i="2" s="1"/>
  <c r="J640" i="5" l="1"/>
  <c r="C641" i="24"/>
  <c r="H641" i="24" s="1"/>
  <c r="E640" i="24"/>
  <c r="D641" i="24"/>
  <c r="B640" i="24"/>
  <c r="AK640" i="5"/>
  <c r="AL640" i="5"/>
  <c r="CA640" i="5" s="1"/>
  <c r="B642" i="5"/>
  <c r="E642" i="5"/>
  <c r="D643" i="5"/>
  <c r="C643" i="5"/>
  <c r="AJ641" i="5"/>
  <c r="I641" i="5"/>
  <c r="BZ640" i="5"/>
  <c r="B640" i="25"/>
  <c r="D641" i="25"/>
  <c r="E640" i="25"/>
  <c r="C641" i="25"/>
  <c r="H641" i="25" s="1"/>
  <c r="D641" i="2"/>
  <c r="C641" i="2"/>
  <c r="B640" i="2"/>
  <c r="E640" i="2"/>
  <c r="P639" i="2"/>
  <c r="R639" i="2" s="1"/>
  <c r="AD639" i="2"/>
  <c r="AF639" i="2" s="1"/>
  <c r="W639" i="2"/>
  <c r="J639" i="2"/>
  <c r="Y638" i="2"/>
  <c r="R638" i="2"/>
  <c r="AV638" i="2" s="1"/>
  <c r="AU638" i="2"/>
  <c r="AE638" i="2"/>
  <c r="D642" i="24" l="1"/>
  <c r="E641" i="24"/>
  <c r="C642" i="24"/>
  <c r="H642" i="24" s="1"/>
  <c r="B641" i="24"/>
  <c r="AL641" i="5"/>
  <c r="CA641" i="5" s="1"/>
  <c r="AK641" i="5"/>
  <c r="BZ641" i="5"/>
  <c r="B643" i="5"/>
  <c r="E643" i="5"/>
  <c r="D644" i="5"/>
  <c r="C644" i="5"/>
  <c r="AJ642" i="5"/>
  <c r="I642" i="5"/>
  <c r="J641" i="5"/>
  <c r="B641" i="25"/>
  <c r="E641" i="25"/>
  <c r="D642" i="25"/>
  <c r="C642" i="25"/>
  <c r="H642" i="25" s="1"/>
  <c r="AU639" i="2"/>
  <c r="Y639" i="2"/>
  <c r="AV639" i="2"/>
  <c r="AD640" i="2"/>
  <c r="AF640" i="2" s="1"/>
  <c r="P640" i="2"/>
  <c r="W640" i="2"/>
  <c r="J640" i="2"/>
  <c r="E641" i="2"/>
  <c r="D642" i="2"/>
  <c r="C642" i="2"/>
  <c r="B641" i="2"/>
  <c r="Q639" i="2"/>
  <c r="Q640" i="2" s="1"/>
  <c r="AE639" i="2"/>
  <c r="AE640" i="2" s="1"/>
  <c r="K639" i="2"/>
  <c r="K640" i="2" l="1"/>
  <c r="D643" i="24"/>
  <c r="C643" i="24"/>
  <c r="H643" i="24" s="1"/>
  <c r="B642" i="24"/>
  <c r="E642" i="24"/>
  <c r="BZ642" i="5"/>
  <c r="AJ643" i="5"/>
  <c r="I643" i="5"/>
  <c r="AL642" i="5"/>
  <c r="AK642" i="5"/>
  <c r="E644" i="5"/>
  <c r="D645" i="5"/>
  <c r="B644" i="5"/>
  <c r="C645" i="5"/>
  <c r="CA642" i="5"/>
  <c r="J642" i="5"/>
  <c r="B642" i="25"/>
  <c r="E642" i="25"/>
  <c r="D643" i="25"/>
  <c r="C643" i="25"/>
  <c r="H643" i="25" s="1"/>
  <c r="C643" i="2"/>
  <c r="B642" i="2"/>
  <c r="E642" i="2"/>
  <c r="D643" i="2"/>
  <c r="P641" i="2"/>
  <c r="R641" i="2" s="1"/>
  <c r="AD641" i="2"/>
  <c r="AF641" i="2" s="1"/>
  <c r="W641" i="2"/>
  <c r="J641" i="2"/>
  <c r="AU641" i="2" s="1"/>
  <c r="K641" i="2"/>
  <c r="Y640" i="2"/>
  <c r="AU640" i="2"/>
  <c r="R640" i="2"/>
  <c r="B643" i="24" l="1"/>
  <c r="E643" i="24"/>
  <c r="C644" i="24"/>
  <c r="H644" i="24" s="1"/>
  <c r="D644" i="24"/>
  <c r="AJ644" i="5"/>
  <c r="I644" i="5"/>
  <c r="BZ644" i="5" s="1"/>
  <c r="AK643" i="5"/>
  <c r="AL643" i="5"/>
  <c r="CA643" i="5" s="1"/>
  <c r="C646" i="5"/>
  <c r="E645" i="5"/>
  <c r="B645" i="5"/>
  <c r="D646" i="5"/>
  <c r="BZ643" i="5"/>
  <c r="J643" i="5"/>
  <c r="E643" i="25"/>
  <c r="C644" i="25"/>
  <c r="H644" i="25" s="1"/>
  <c r="D644" i="25"/>
  <c r="B643" i="25"/>
  <c r="C644" i="2"/>
  <c r="E643" i="2"/>
  <c r="B643" i="2"/>
  <c r="D644" i="2"/>
  <c r="Y641" i="2"/>
  <c r="AV641" i="2"/>
  <c r="P642" i="2"/>
  <c r="R642" i="2" s="1"/>
  <c r="AD642" i="2"/>
  <c r="AF642" i="2" s="1"/>
  <c r="W642" i="2"/>
  <c r="J642" i="2"/>
  <c r="AU642" i="2" s="1"/>
  <c r="AE641" i="2"/>
  <c r="AE642" i="2" s="1"/>
  <c r="AV640" i="2"/>
  <c r="Q641" i="2"/>
  <c r="B644" i="24" l="1"/>
  <c r="C645" i="24"/>
  <c r="H645" i="24" s="1"/>
  <c r="D645" i="24"/>
  <c r="E644" i="24"/>
  <c r="D647" i="5"/>
  <c r="B646" i="5"/>
  <c r="C647" i="5"/>
  <c r="E646" i="5"/>
  <c r="AJ645" i="5"/>
  <c r="I645" i="5"/>
  <c r="BZ645" i="5" s="1"/>
  <c r="AL644" i="5"/>
  <c r="CA644" i="5" s="1"/>
  <c r="AK644" i="5"/>
  <c r="J644" i="5"/>
  <c r="B644" i="25"/>
  <c r="C645" i="25"/>
  <c r="H645" i="25" s="1"/>
  <c r="E644" i="25"/>
  <c r="D645" i="25"/>
  <c r="Y642" i="2"/>
  <c r="AV642" i="2" s="1"/>
  <c r="K642" i="2"/>
  <c r="E644" i="2"/>
  <c r="C645" i="2"/>
  <c r="D645" i="2"/>
  <c r="B644" i="2"/>
  <c r="P643" i="2"/>
  <c r="R643" i="2" s="1"/>
  <c r="AD643" i="2"/>
  <c r="AF643" i="2" s="1"/>
  <c r="W643" i="2"/>
  <c r="J643" i="2"/>
  <c r="Q642" i="2"/>
  <c r="Q643" i="2" s="1"/>
  <c r="J645" i="5" l="1"/>
  <c r="E645" i="24"/>
  <c r="C646" i="24"/>
  <c r="H646" i="24" s="1"/>
  <c r="D646" i="24"/>
  <c r="B645" i="24"/>
  <c r="AJ646" i="5"/>
  <c r="I646" i="5"/>
  <c r="AL645" i="5"/>
  <c r="AK645" i="5"/>
  <c r="CA645" i="5"/>
  <c r="B647" i="5"/>
  <c r="C648" i="5"/>
  <c r="E647" i="5"/>
  <c r="D648" i="5"/>
  <c r="B645" i="25"/>
  <c r="E645" i="25"/>
  <c r="D646" i="25"/>
  <c r="C646" i="25"/>
  <c r="H646" i="25" s="1"/>
  <c r="AU643" i="2"/>
  <c r="Y643" i="2"/>
  <c r="AV643" i="2" s="1"/>
  <c r="D646" i="2"/>
  <c r="C646" i="2"/>
  <c r="B645" i="2"/>
  <c r="E645" i="2"/>
  <c r="P644" i="2"/>
  <c r="R644" i="2" s="1"/>
  <c r="AD644" i="2"/>
  <c r="AF644" i="2" s="1"/>
  <c r="W644" i="2"/>
  <c r="J644" i="2"/>
  <c r="K643" i="2"/>
  <c r="AE643" i="2"/>
  <c r="AE644" i="2" s="1"/>
  <c r="K644" i="2" l="1"/>
  <c r="E646" i="24"/>
  <c r="C647" i="24"/>
  <c r="H647" i="24" s="1"/>
  <c r="B646" i="24"/>
  <c r="D647" i="24"/>
  <c r="BZ646" i="5"/>
  <c r="C649" i="5"/>
  <c r="E648" i="5"/>
  <c r="B648" i="5"/>
  <c r="D649" i="5"/>
  <c r="AJ647" i="5"/>
  <c r="I647" i="5"/>
  <c r="AL646" i="5"/>
  <c r="CA646" i="5" s="1"/>
  <c r="AK646" i="5"/>
  <c r="J646" i="5"/>
  <c r="D647" i="25"/>
  <c r="C647" i="25"/>
  <c r="H647" i="25" s="1"/>
  <c r="E646" i="25"/>
  <c r="B646" i="25"/>
  <c r="AU644" i="2"/>
  <c r="Y644" i="2"/>
  <c r="AV644" i="2"/>
  <c r="AD645" i="2"/>
  <c r="AF645" i="2" s="1"/>
  <c r="P645" i="2"/>
  <c r="W645" i="2"/>
  <c r="J645" i="2"/>
  <c r="K645" i="2" s="1"/>
  <c r="E646" i="2"/>
  <c r="C647" i="2"/>
  <c r="B646" i="2"/>
  <c r="D647" i="2"/>
  <c r="Q644" i="2"/>
  <c r="C648" i="24" l="1"/>
  <c r="H648" i="24" s="1"/>
  <c r="B647" i="24"/>
  <c r="D648" i="24"/>
  <c r="E647" i="24"/>
  <c r="C650" i="5"/>
  <c r="B649" i="5"/>
  <c r="D650" i="5"/>
  <c r="E649" i="5"/>
  <c r="BZ647" i="5"/>
  <c r="AL647" i="5"/>
  <c r="CA647" i="5" s="1"/>
  <c r="AK647" i="5"/>
  <c r="AJ648" i="5"/>
  <c r="I648" i="5"/>
  <c r="J647" i="5"/>
  <c r="J648" i="5" s="1"/>
  <c r="B647" i="25"/>
  <c r="C648" i="25"/>
  <c r="H648" i="25" s="1"/>
  <c r="D648" i="25"/>
  <c r="E647" i="25"/>
  <c r="C648" i="2"/>
  <c r="E647" i="2"/>
  <c r="D648" i="2"/>
  <c r="B647" i="2"/>
  <c r="AD646" i="2"/>
  <c r="AF646" i="2" s="1"/>
  <c r="P646" i="2"/>
  <c r="R646" i="2" s="1"/>
  <c r="W646" i="2"/>
  <c r="J646" i="2"/>
  <c r="Y645" i="2"/>
  <c r="AU645" i="2"/>
  <c r="R645" i="2"/>
  <c r="AV645" i="2" s="1"/>
  <c r="Q645" i="2"/>
  <c r="Q646" i="2" s="1"/>
  <c r="AE645" i="2"/>
  <c r="B648" i="24" l="1"/>
  <c r="C649" i="24"/>
  <c r="H649" i="24" s="1"/>
  <c r="D649" i="24"/>
  <c r="E648" i="24"/>
  <c r="BZ648" i="5"/>
  <c r="C651" i="5"/>
  <c r="E650" i="5"/>
  <c r="D651" i="5"/>
  <c r="B650" i="5"/>
  <c r="AK648" i="5"/>
  <c r="AL648" i="5"/>
  <c r="CA648" i="5" s="1"/>
  <c r="AJ649" i="5"/>
  <c r="I649" i="5"/>
  <c r="C649" i="25"/>
  <c r="H649" i="25" s="1"/>
  <c r="D649" i="25"/>
  <c r="B648" i="25"/>
  <c r="E648" i="25"/>
  <c r="AU646" i="2"/>
  <c r="Y646" i="2"/>
  <c r="AV646" i="2" s="1"/>
  <c r="C649" i="2"/>
  <c r="E648" i="2"/>
  <c r="B648" i="2"/>
  <c r="D649" i="2"/>
  <c r="AD647" i="2"/>
  <c r="AF647" i="2" s="1"/>
  <c r="P647" i="2"/>
  <c r="W647" i="2"/>
  <c r="J647" i="2"/>
  <c r="AE646" i="2"/>
  <c r="K646" i="2"/>
  <c r="K647" i="2" l="1"/>
  <c r="BZ649" i="5"/>
  <c r="E649" i="24"/>
  <c r="B649" i="24"/>
  <c r="C650" i="24"/>
  <c r="H650" i="24" s="1"/>
  <c r="D650" i="24"/>
  <c r="AK649" i="5"/>
  <c r="AL649" i="5"/>
  <c r="CA649" i="5" s="1"/>
  <c r="B651" i="5"/>
  <c r="E651" i="5"/>
  <c r="C652" i="5"/>
  <c r="D652" i="5"/>
  <c r="AJ650" i="5"/>
  <c r="I650" i="5"/>
  <c r="J649" i="5"/>
  <c r="E649" i="25"/>
  <c r="B649" i="25"/>
  <c r="D650" i="25"/>
  <c r="C650" i="25"/>
  <c r="H650" i="25" s="1"/>
  <c r="AE647" i="2"/>
  <c r="Y647" i="2"/>
  <c r="R647" i="2"/>
  <c r="AU647" i="2"/>
  <c r="E649" i="2"/>
  <c r="C650" i="2"/>
  <c r="D650" i="2"/>
  <c r="B649" i="2"/>
  <c r="AD648" i="2"/>
  <c r="AF648" i="2" s="1"/>
  <c r="P648" i="2"/>
  <c r="W648" i="2"/>
  <c r="J648" i="2"/>
  <c r="Q647" i="2"/>
  <c r="Q648" i="2" s="1"/>
  <c r="K648" i="2" l="1"/>
  <c r="BZ650" i="5"/>
  <c r="D651" i="24"/>
  <c r="B650" i="24"/>
  <c r="E650" i="24"/>
  <c r="C651" i="24"/>
  <c r="H651" i="24" s="1"/>
  <c r="AK650" i="5"/>
  <c r="AL650" i="5"/>
  <c r="CA650" i="5" s="1"/>
  <c r="B652" i="5"/>
  <c r="D653" i="5"/>
  <c r="C653" i="5"/>
  <c r="E652" i="5"/>
  <c r="AJ651" i="5"/>
  <c r="I651" i="5"/>
  <c r="J650" i="5"/>
  <c r="B650" i="25"/>
  <c r="E650" i="25"/>
  <c r="D651" i="25"/>
  <c r="C651" i="25"/>
  <c r="H651" i="25" s="1"/>
  <c r="Y648" i="2"/>
  <c r="AU648" i="2"/>
  <c r="R648" i="2"/>
  <c r="B650" i="2"/>
  <c r="D651" i="2"/>
  <c r="E650" i="2"/>
  <c r="C651" i="2"/>
  <c r="AD649" i="2"/>
  <c r="AF649" i="2" s="1"/>
  <c r="P649" i="2"/>
  <c r="W649" i="2"/>
  <c r="J649" i="2"/>
  <c r="K649" i="2" s="1"/>
  <c r="AV647" i="2"/>
  <c r="AE648" i="2"/>
  <c r="J651" i="5" l="1"/>
  <c r="BZ651" i="5"/>
  <c r="D652" i="24"/>
  <c r="B651" i="24"/>
  <c r="E651" i="24"/>
  <c r="C652" i="24"/>
  <c r="H652" i="24" s="1"/>
  <c r="AK651" i="5"/>
  <c r="AL651" i="5"/>
  <c r="CA651" i="5"/>
  <c r="AJ652" i="5"/>
  <c r="I652" i="5"/>
  <c r="E653" i="5"/>
  <c r="D654" i="5"/>
  <c r="C654" i="5"/>
  <c r="B653" i="5"/>
  <c r="C652" i="25"/>
  <c r="H652" i="25" s="1"/>
  <c r="D652" i="25"/>
  <c r="E651" i="25"/>
  <c r="B651" i="25"/>
  <c r="AV648" i="2"/>
  <c r="E651" i="2"/>
  <c r="C652" i="2"/>
  <c r="D652" i="2"/>
  <c r="B651" i="2"/>
  <c r="Y649" i="2"/>
  <c r="AU649" i="2"/>
  <c r="R649" i="2"/>
  <c r="AV649" i="2" s="1"/>
  <c r="AD650" i="2"/>
  <c r="AF650" i="2" s="1"/>
  <c r="P650" i="2"/>
  <c r="W650" i="2"/>
  <c r="J650" i="2"/>
  <c r="AE649" i="2"/>
  <c r="AE650" i="2" s="1"/>
  <c r="Q649" i="2"/>
  <c r="K650" i="2" l="1"/>
  <c r="C653" i="24"/>
  <c r="H653" i="24" s="1"/>
  <c r="D653" i="24"/>
  <c r="E652" i="24"/>
  <c r="B652" i="24"/>
  <c r="AK652" i="5"/>
  <c r="AL652" i="5"/>
  <c r="CA652" i="5" s="1"/>
  <c r="B654" i="5"/>
  <c r="C655" i="5"/>
  <c r="D655" i="5"/>
  <c r="E654" i="5"/>
  <c r="AJ653" i="5"/>
  <c r="I653" i="5"/>
  <c r="BZ652" i="5"/>
  <c r="J652" i="5"/>
  <c r="B652" i="25"/>
  <c r="E652" i="25"/>
  <c r="C653" i="25"/>
  <c r="H653" i="25" s="1"/>
  <c r="D653" i="25"/>
  <c r="R650" i="2"/>
  <c r="AU650" i="2"/>
  <c r="Q650" i="2"/>
  <c r="Y650" i="2"/>
  <c r="B652" i="2"/>
  <c r="D653" i="2"/>
  <c r="C653" i="2"/>
  <c r="E652" i="2"/>
  <c r="AD651" i="2"/>
  <c r="AF651" i="2" s="1"/>
  <c r="P651" i="2"/>
  <c r="W651" i="2"/>
  <c r="J651" i="2"/>
  <c r="K651" i="2" s="1"/>
  <c r="BZ653" i="5" l="1"/>
  <c r="E653" i="24"/>
  <c r="D654" i="24"/>
  <c r="B653" i="24"/>
  <c r="C654" i="24"/>
  <c r="H654" i="24" s="1"/>
  <c r="AJ654" i="5"/>
  <c r="I654" i="5"/>
  <c r="AK653" i="5"/>
  <c r="AL653" i="5"/>
  <c r="CA653" i="5" s="1"/>
  <c r="D656" i="5"/>
  <c r="B655" i="5"/>
  <c r="E655" i="5"/>
  <c r="C656" i="5"/>
  <c r="J653" i="5"/>
  <c r="D654" i="25"/>
  <c r="E653" i="25"/>
  <c r="C654" i="25"/>
  <c r="H654" i="25" s="1"/>
  <c r="B653" i="25"/>
  <c r="D654" i="2"/>
  <c r="B653" i="2"/>
  <c r="E653" i="2"/>
  <c r="C654" i="2"/>
  <c r="Y651" i="2"/>
  <c r="R651" i="2"/>
  <c r="AU651" i="2"/>
  <c r="AD652" i="2"/>
  <c r="AF652" i="2" s="1"/>
  <c r="P652" i="2"/>
  <c r="W652" i="2"/>
  <c r="J652" i="2"/>
  <c r="K652" i="2" s="1"/>
  <c r="AE651" i="2"/>
  <c r="AE652" i="2" s="1"/>
  <c r="Q651" i="2"/>
  <c r="Q652" i="2" s="1"/>
  <c r="AV650" i="2"/>
  <c r="C655" i="24" l="1"/>
  <c r="H655" i="24" s="1"/>
  <c r="E654" i="24"/>
  <c r="D655" i="24"/>
  <c r="B654" i="24"/>
  <c r="BZ654" i="5"/>
  <c r="AJ655" i="5"/>
  <c r="I655" i="5"/>
  <c r="E656" i="5"/>
  <c r="C657" i="5"/>
  <c r="B656" i="5"/>
  <c r="D657" i="5"/>
  <c r="AL654" i="5"/>
  <c r="CA654" i="5" s="1"/>
  <c r="AK654" i="5"/>
  <c r="J654" i="5"/>
  <c r="C655" i="25"/>
  <c r="H655" i="25" s="1"/>
  <c r="D655" i="25"/>
  <c r="B654" i="25"/>
  <c r="E654" i="25"/>
  <c r="Y652" i="2"/>
  <c r="R652" i="2"/>
  <c r="AV652" i="2" s="1"/>
  <c r="AU652" i="2"/>
  <c r="AV651" i="2"/>
  <c r="P653" i="2"/>
  <c r="AD653" i="2"/>
  <c r="AF653" i="2" s="1"/>
  <c r="W653" i="2"/>
  <c r="J653" i="2"/>
  <c r="K653" i="2" s="1"/>
  <c r="C655" i="2"/>
  <c r="D655" i="2"/>
  <c r="E654" i="2"/>
  <c r="B654" i="2"/>
  <c r="D656" i="24" l="1"/>
  <c r="E655" i="24"/>
  <c r="C656" i="24"/>
  <c r="H656" i="24" s="1"/>
  <c r="B655" i="24"/>
  <c r="C658" i="5"/>
  <c r="D658" i="5"/>
  <c r="B657" i="5"/>
  <c r="E657" i="5"/>
  <c r="AJ656" i="5"/>
  <c r="I656" i="5"/>
  <c r="BZ656" i="5" s="1"/>
  <c r="BZ655" i="5"/>
  <c r="AK655" i="5"/>
  <c r="AL655" i="5"/>
  <c r="CA655" i="5" s="1"/>
  <c r="J655" i="5"/>
  <c r="B655" i="25"/>
  <c r="C656" i="25"/>
  <c r="H656" i="25" s="1"/>
  <c r="D656" i="25"/>
  <c r="E655" i="25"/>
  <c r="AD654" i="2"/>
  <c r="AF654" i="2" s="1"/>
  <c r="P654" i="2"/>
  <c r="W654" i="2"/>
  <c r="J654" i="2"/>
  <c r="K654" i="2" s="1"/>
  <c r="E655" i="2"/>
  <c r="C656" i="2"/>
  <c r="B655" i="2"/>
  <c r="D656" i="2"/>
  <c r="Y653" i="2"/>
  <c r="R653" i="2"/>
  <c r="AV653" i="2" s="1"/>
  <c r="AU653" i="2"/>
  <c r="AE653" i="2"/>
  <c r="AE654" i="2" s="1"/>
  <c r="Q653" i="2"/>
  <c r="Q654" i="2" s="1"/>
  <c r="E656" i="24" l="1"/>
  <c r="C657" i="24"/>
  <c r="H657" i="24" s="1"/>
  <c r="D657" i="24"/>
  <c r="B656" i="24"/>
  <c r="AJ657" i="5"/>
  <c r="I657" i="5"/>
  <c r="BZ657" i="5" s="1"/>
  <c r="AL656" i="5"/>
  <c r="CA656" i="5" s="1"/>
  <c r="AK656" i="5"/>
  <c r="E658" i="5"/>
  <c r="C659" i="5"/>
  <c r="D659" i="5"/>
  <c r="B658" i="5"/>
  <c r="J656" i="5"/>
  <c r="B656" i="25"/>
  <c r="E656" i="25"/>
  <c r="C657" i="25"/>
  <c r="H657" i="25" s="1"/>
  <c r="D657" i="25"/>
  <c r="E656" i="2"/>
  <c r="D657" i="2"/>
  <c r="C657" i="2"/>
  <c r="B656" i="2"/>
  <c r="AD655" i="2"/>
  <c r="AF655" i="2" s="1"/>
  <c r="P655" i="2"/>
  <c r="W655" i="2"/>
  <c r="J655" i="2"/>
  <c r="K655" i="2" s="1"/>
  <c r="Y654" i="2"/>
  <c r="R654" i="2"/>
  <c r="AV654" i="2" s="1"/>
  <c r="AU654" i="2"/>
  <c r="J657" i="5" l="1"/>
  <c r="D658" i="24"/>
  <c r="B657" i="24"/>
  <c r="E657" i="24"/>
  <c r="C658" i="24"/>
  <c r="H658" i="24" s="1"/>
  <c r="C660" i="5"/>
  <c r="D660" i="5"/>
  <c r="B659" i="5"/>
  <c r="E659" i="5"/>
  <c r="AJ658" i="5"/>
  <c r="I658" i="5"/>
  <c r="BZ658" i="5" s="1"/>
  <c r="AL657" i="5"/>
  <c r="CA657" i="5" s="1"/>
  <c r="AK657" i="5"/>
  <c r="E657" i="25"/>
  <c r="C658" i="25"/>
  <c r="H658" i="25" s="1"/>
  <c r="B657" i="25"/>
  <c r="D658" i="25"/>
  <c r="Y655" i="2"/>
  <c r="R655" i="2"/>
  <c r="AU655" i="2"/>
  <c r="AE655" i="2"/>
  <c r="B657" i="2"/>
  <c r="C658" i="2"/>
  <c r="E657" i="2"/>
  <c r="D658" i="2"/>
  <c r="P656" i="2"/>
  <c r="AD656" i="2"/>
  <c r="AF656" i="2" s="1"/>
  <c r="W656" i="2"/>
  <c r="J656" i="2"/>
  <c r="K656" i="2" s="1"/>
  <c r="Q655" i="2"/>
  <c r="Q656" i="2" s="1"/>
  <c r="B658" i="24" l="1"/>
  <c r="C659" i="24"/>
  <c r="H659" i="24" s="1"/>
  <c r="E658" i="24"/>
  <c r="D659" i="24"/>
  <c r="AK658" i="5"/>
  <c r="AL658" i="5"/>
  <c r="CA658" i="5" s="1"/>
  <c r="AJ659" i="5"/>
  <c r="I659" i="5"/>
  <c r="D661" i="5"/>
  <c r="B660" i="5"/>
  <c r="C661" i="5"/>
  <c r="E660" i="5"/>
  <c r="J658" i="5"/>
  <c r="B658" i="25"/>
  <c r="C659" i="25"/>
  <c r="H659" i="25" s="1"/>
  <c r="E658" i="25"/>
  <c r="D659" i="25"/>
  <c r="Y656" i="2"/>
  <c r="R656" i="2"/>
  <c r="AV656" i="2" s="1"/>
  <c r="AU656" i="2"/>
  <c r="E658" i="2"/>
  <c r="C659" i="2"/>
  <c r="D659" i="2"/>
  <c r="B658" i="2"/>
  <c r="P657" i="2"/>
  <c r="R657" i="2" s="1"/>
  <c r="AD657" i="2"/>
  <c r="AF657" i="2" s="1"/>
  <c r="W657" i="2"/>
  <c r="J657" i="2"/>
  <c r="AU657" i="2" s="1"/>
  <c r="AE656" i="2"/>
  <c r="AV655" i="2"/>
  <c r="D660" i="24" l="1"/>
  <c r="E659" i="24"/>
  <c r="B659" i="24"/>
  <c r="C660" i="24"/>
  <c r="H660" i="24" s="1"/>
  <c r="AJ660" i="5"/>
  <c r="I660" i="5"/>
  <c r="BZ660" i="5" s="1"/>
  <c r="B661" i="5"/>
  <c r="C662" i="5"/>
  <c r="D662" i="5"/>
  <c r="E661" i="5"/>
  <c r="J659" i="5"/>
  <c r="BZ659" i="5"/>
  <c r="AL659" i="5"/>
  <c r="CA659" i="5" s="1"/>
  <c r="AK659" i="5"/>
  <c r="D660" i="25"/>
  <c r="E659" i="25"/>
  <c r="C660" i="25"/>
  <c r="H660" i="25" s="1"/>
  <c r="B659" i="25"/>
  <c r="Y657" i="2"/>
  <c r="AV657" i="2" s="1"/>
  <c r="D660" i="2"/>
  <c r="C660" i="2"/>
  <c r="E659" i="2"/>
  <c r="B659" i="2"/>
  <c r="P658" i="2"/>
  <c r="R658" i="2" s="1"/>
  <c r="AD658" i="2"/>
  <c r="AF658" i="2" s="1"/>
  <c r="W658" i="2"/>
  <c r="J658" i="2"/>
  <c r="K657" i="2"/>
  <c r="K658" i="2" s="1"/>
  <c r="Q657" i="2"/>
  <c r="Q658" i="2" s="1"/>
  <c r="AE657" i="2"/>
  <c r="AE658" i="2" s="1"/>
  <c r="J660" i="5" l="1"/>
  <c r="C661" i="24"/>
  <c r="H661" i="24" s="1"/>
  <c r="E660" i="24"/>
  <c r="D661" i="24"/>
  <c r="B660" i="24"/>
  <c r="AJ661" i="5"/>
  <c r="I661" i="5"/>
  <c r="E662" i="5"/>
  <c r="D663" i="5"/>
  <c r="C663" i="5"/>
  <c r="B662" i="5"/>
  <c r="AK660" i="5"/>
  <c r="AL660" i="5"/>
  <c r="CA660" i="5"/>
  <c r="E660" i="25"/>
  <c r="B660" i="25"/>
  <c r="D661" i="25"/>
  <c r="C661" i="25"/>
  <c r="H661" i="25" s="1"/>
  <c r="AU658" i="2"/>
  <c r="Y658" i="2"/>
  <c r="AV658" i="2"/>
  <c r="AD659" i="2"/>
  <c r="AF659" i="2" s="1"/>
  <c r="P659" i="2"/>
  <c r="W659" i="2"/>
  <c r="J659" i="2"/>
  <c r="K659" i="2" s="1"/>
  <c r="D661" i="2"/>
  <c r="E660" i="2"/>
  <c r="C661" i="2"/>
  <c r="B660" i="2"/>
  <c r="C662" i="24" l="1"/>
  <c r="H662" i="24" s="1"/>
  <c r="D662" i="24"/>
  <c r="B661" i="24"/>
  <c r="E661" i="24"/>
  <c r="BZ661" i="5"/>
  <c r="AJ662" i="5"/>
  <c r="I662" i="5"/>
  <c r="BZ662" i="5" s="1"/>
  <c r="C664" i="5"/>
  <c r="D664" i="5"/>
  <c r="E663" i="5"/>
  <c r="B663" i="5"/>
  <c r="AK661" i="5"/>
  <c r="AL661" i="5"/>
  <c r="CA661" i="5" s="1"/>
  <c r="J661" i="5"/>
  <c r="D662" i="25"/>
  <c r="B661" i="25"/>
  <c r="C662" i="25"/>
  <c r="H662" i="25" s="1"/>
  <c r="E661" i="25"/>
  <c r="P660" i="2"/>
  <c r="AD660" i="2"/>
  <c r="AF660" i="2" s="1"/>
  <c r="W660" i="2"/>
  <c r="J660" i="2"/>
  <c r="K660" i="2" s="1"/>
  <c r="C662" i="2"/>
  <c r="B661" i="2"/>
  <c r="E661" i="2"/>
  <c r="D662" i="2"/>
  <c r="Y659" i="2"/>
  <c r="AU659" i="2"/>
  <c r="R659" i="2"/>
  <c r="AV659" i="2" s="1"/>
  <c r="Q659" i="2"/>
  <c r="Q660" i="2" s="1"/>
  <c r="AE659" i="2"/>
  <c r="AE660" i="2" s="1"/>
  <c r="B662" i="24" l="1"/>
  <c r="E662" i="24"/>
  <c r="C663" i="24"/>
  <c r="H663" i="24" s="1"/>
  <c r="D663" i="24"/>
  <c r="AJ663" i="5"/>
  <c r="I663" i="5"/>
  <c r="E664" i="5"/>
  <c r="C665" i="5"/>
  <c r="B664" i="5"/>
  <c r="D665" i="5"/>
  <c r="AK662" i="5"/>
  <c r="AL662" i="5"/>
  <c r="CA662" i="5" s="1"/>
  <c r="J662" i="5"/>
  <c r="C663" i="25"/>
  <c r="H663" i="25" s="1"/>
  <c r="D663" i="25"/>
  <c r="B662" i="25"/>
  <c r="E662" i="25"/>
  <c r="P661" i="2"/>
  <c r="R661" i="2" s="1"/>
  <c r="AD661" i="2"/>
  <c r="AF661" i="2" s="1"/>
  <c r="W661" i="2"/>
  <c r="J661" i="2"/>
  <c r="AU661" i="2" s="1"/>
  <c r="Q661" i="2"/>
  <c r="B662" i="2"/>
  <c r="E662" i="2"/>
  <c r="C663" i="2"/>
  <c r="D663" i="2"/>
  <c r="Y660" i="2"/>
  <c r="R660" i="2"/>
  <c r="AV660" i="2" s="1"/>
  <c r="AU660" i="2"/>
  <c r="K661" i="2" l="1"/>
  <c r="J663" i="5"/>
  <c r="E663" i="24"/>
  <c r="D664" i="24"/>
  <c r="B663" i="24"/>
  <c r="C664" i="24"/>
  <c r="H664" i="24" s="1"/>
  <c r="B665" i="5"/>
  <c r="C666" i="5"/>
  <c r="D666" i="5"/>
  <c r="E665" i="5"/>
  <c r="AK663" i="5"/>
  <c r="AL663" i="5"/>
  <c r="CA663" i="5" s="1"/>
  <c r="AJ664" i="5"/>
  <c r="I664" i="5"/>
  <c r="BZ663" i="5"/>
  <c r="E663" i="25"/>
  <c r="C664" i="25"/>
  <c r="H664" i="25" s="1"/>
  <c r="D664" i="25"/>
  <c r="B663" i="25"/>
  <c r="B663" i="2"/>
  <c r="D664" i="2"/>
  <c r="E663" i="2"/>
  <c r="C664" i="2"/>
  <c r="AD662" i="2"/>
  <c r="AF662" i="2" s="1"/>
  <c r="P662" i="2"/>
  <c r="W662" i="2"/>
  <c r="J662" i="2"/>
  <c r="K662" i="2" s="1"/>
  <c r="Q662" i="2"/>
  <c r="Y661" i="2"/>
  <c r="AV661" i="2"/>
  <c r="AE661" i="2"/>
  <c r="AE662" i="2" s="1"/>
  <c r="BZ664" i="5" l="1"/>
  <c r="E664" i="24"/>
  <c r="C665" i="24"/>
  <c r="H665" i="24" s="1"/>
  <c r="B664" i="24"/>
  <c r="D665" i="24"/>
  <c r="AK664" i="5"/>
  <c r="AL664" i="5"/>
  <c r="CA664" i="5" s="1"/>
  <c r="J664" i="5"/>
  <c r="AJ665" i="5"/>
  <c r="I665" i="5"/>
  <c r="E666" i="5"/>
  <c r="C667" i="5"/>
  <c r="B666" i="5"/>
  <c r="D667" i="5"/>
  <c r="B664" i="25"/>
  <c r="C665" i="25"/>
  <c r="H665" i="25" s="1"/>
  <c r="E664" i="25"/>
  <c r="D665" i="25"/>
  <c r="Y662" i="2"/>
  <c r="AU662" i="2"/>
  <c r="R662" i="2"/>
  <c r="AV662" i="2" s="1"/>
  <c r="AD663" i="2"/>
  <c r="AF663" i="2" s="1"/>
  <c r="P663" i="2"/>
  <c r="W663" i="2"/>
  <c r="J663" i="2"/>
  <c r="K663" i="2" s="1"/>
  <c r="C665" i="2"/>
  <c r="D665" i="2"/>
  <c r="B664" i="2"/>
  <c r="E664" i="2"/>
  <c r="D666" i="24" l="1"/>
  <c r="C666" i="24"/>
  <c r="H666" i="24" s="1"/>
  <c r="B665" i="24"/>
  <c r="E665" i="24"/>
  <c r="B667" i="5"/>
  <c r="C668" i="5"/>
  <c r="D668" i="5"/>
  <c r="E667" i="5"/>
  <c r="AJ666" i="5"/>
  <c r="I666" i="5"/>
  <c r="BZ665" i="5"/>
  <c r="AK665" i="5"/>
  <c r="AL665" i="5"/>
  <c r="CA665" i="5" s="1"/>
  <c r="J665" i="5"/>
  <c r="C666" i="25"/>
  <c r="H666" i="25" s="1"/>
  <c r="D666" i="25"/>
  <c r="B665" i="25"/>
  <c r="E665" i="25"/>
  <c r="C666" i="2"/>
  <c r="D666" i="2"/>
  <c r="B665" i="2"/>
  <c r="E665" i="2"/>
  <c r="Y663" i="2"/>
  <c r="R663" i="2"/>
  <c r="AV663" i="2" s="1"/>
  <c r="AU663" i="2"/>
  <c r="Q663" i="2"/>
  <c r="AE663" i="2"/>
  <c r="AE664" i="2" s="1"/>
  <c r="AD664" i="2"/>
  <c r="AF664" i="2" s="1"/>
  <c r="P664" i="2"/>
  <c r="R664" i="2" s="1"/>
  <c r="W664" i="2"/>
  <c r="J664" i="2"/>
  <c r="J666" i="5" l="1"/>
  <c r="B666" i="24"/>
  <c r="E666" i="24"/>
  <c r="D667" i="24"/>
  <c r="C667" i="24"/>
  <c r="H667" i="24" s="1"/>
  <c r="BZ666" i="5"/>
  <c r="AK666" i="5"/>
  <c r="AL666" i="5"/>
  <c r="CA666" i="5" s="1"/>
  <c r="AJ667" i="5"/>
  <c r="I667" i="5"/>
  <c r="BZ667" i="5" s="1"/>
  <c r="D669" i="5"/>
  <c r="C669" i="5"/>
  <c r="B668" i="5"/>
  <c r="E668" i="5"/>
  <c r="B666" i="25"/>
  <c r="C667" i="25"/>
  <c r="H667" i="25" s="1"/>
  <c r="D667" i="25"/>
  <c r="E666" i="25"/>
  <c r="Y664" i="2"/>
  <c r="AV664" i="2"/>
  <c r="Q664" i="2"/>
  <c r="AD665" i="2"/>
  <c r="AF665" i="2" s="1"/>
  <c r="P665" i="2"/>
  <c r="W665" i="2"/>
  <c r="J665" i="2"/>
  <c r="B666" i="2"/>
  <c r="D667" i="2"/>
  <c r="E666" i="2"/>
  <c r="C667" i="2"/>
  <c r="AU664" i="2"/>
  <c r="K664" i="2"/>
  <c r="E667" i="24" l="1"/>
  <c r="C668" i="24"/>
  <c r="H668" i="24" s="1"/>
  <c r="D668" i="24"/>
  <c r="B667" i="24"/>
  <c r="B669" i="5"/>
  <c r="E669" i="5"/>
  <c r="C670" i="5"/>
  <c r="D670" i="5"/>
  <c r="AK667" i="5"/>
  <c r="AL667" i="5"/>
  <c r="CA667" i="5"/>
  <c r="J667" i="5"/>
  <c r="AJ668" i="5"/>
  <c r="I668" i="5"/>
  <c r="E667" i="25"/>
  <c r="C668" i="25"/>
  <c r="H668" i="25" s="1"/>
  <c r="D668" i="25"/>
  <c r="B667" i="25"/>
  <c r="B667" i="2"/>
  <c r="C668" i="2"/>
  <c r="E667" i="2"/>
  <c r="D668" i="2"/>
  <c r="P666" i="2"/>
  <c r="R666" i="2" s="1"/>
  <c r="AD666" i="2"/>
  <c r="AF666" i="2" s="1"/>
  <c r="W666" i="2"/>
  <c r="J666" i="2"/>
  <c r="Y665" i="2"/>
  <c r="R665" i="2"/>
  <c r="AU665" i="2"/>
  <c r="Q665" i="2"/>
  <c r="Q666" i="2" s="1"/>
  <c r="K665" i="2"/>
  <c r="AE665" i="2"/>
  <c r="K666" i="2" l="1"/>
  <c r="J668" i="5"/>
  <c r="C669" i="24"/>
  <c r="H669" i="24" s="1"/>
  <c r="E668" i="24"/>
  <c r="D669" i="24"/>
  <c r="B668" i="24"/>
  <c r="AK668" i="5"/>
  <c r="AL668" i="5"/>
  <c r="CA668" i="5" s="1"/>
  <c r="AJ669" i="5"/>
  <c r="I669" i="5"/>
  <c r="BZ669" i="5" s="1"/>
  <c r="C671" i="5"/>
  <c r="D671" i="5"/>
  <c r="B670" i="5"/>
  <c r="E670" i="5"/>
  <c r="BZ668" i="5"/>
  <c r="C669" i="25"/>
  <c r="H669" i="25" s="1"/>
  <c r="B668" i="25"/>
  <c r="D669" i="25"/>
  <c r="E668" i="25"/>
  <c r="AV665" i="2"/>
  <c r="AU666" i="2"/>
  <c r="Y666" i="2"/>
  <c r="AV666" i="2"/>
  <c r="E668" i="2"/>
  <c r="B668" i="2"/>
  <c r="C669" i="2"/>
  <c r="D669" i="2"/>
  <c r="AD667" i="2"/>
  <c r="AF667" i="2" s="1"/>
  <c r="P667" i="2"/>
  <c r="W667" i="2"/>
  <c r="J667" i="2"/>
  <c r="K667" i="2" s="1"/>
  <c r="AE666" i="2"/>
  <c r="D670" i="24" l="1"/>
  <c r="E669" i="24"/>
  <c r="B669" i="24"/>
  <c r="C670" i="24"/>
  <c r="H670" i="24" s="1"/>
  <c r="J669" i="5"/>
  <c r="C672" i="5"/>
  <c r="D672" i="5"/>
  <c r="B671" i="5"/>
  <c r="E671" i="5"/>
  <c r="AK669" i="5"/>
  <c r="AL669" i="5"/>
  <c r="CA669" i="5" s="1"/>
  <c r="AJ670" i="5"/>
  <c r="I670" i="5"/>
  <c r="B669" i="25"/>
  <c r="E669" i="25"/>
  <c r="C670" i="25"/>
  <c r="H670" i="25" s="1"/>
  <c r="D670" i="25"/>
  <c r="R667" i="2"/>
  <c r="AU667" i="2"/>
  <c r="C670" i="2"/>
  <c r="B669" i="2"/>
  <c r="D670" i="2"/>
  <c r="E669" i="2"/>
  <c r="Y667" i="2"/>
  <c r="AV667" i="2" s="1"/>
  <c r="AD668" i="2"/>
  <c r="AF668" i="2" s="1"/>
  <c r="P668" i="2"/>
  <c r="R668" i="2" s="1"/>
  <c r="W668" i="2"/>
  <c r="J668" i="2"/>
  <c r="AU668" i="2" s="1"/>
  <c r="AE667" i="2"/>
  <c r="AE668" i="2" s="1"/>
  <c r="Q667" i="2"/>
  <c r="BZ670" i="5" l="1"/>
  <c r="B670" i="24"/>
  <c r="E670" i="24"/>
  <c r="C671" i="24"/>
  <c r="H671" i="24" s="1"/>
  <c r="D671" i="24"/>
  <c r="AK670" i="5"/>
  <c r="AL670" i="5"/>
  <c r="CA670" i="5" s="1"/>
  <c r="AJ671" i="5"/>
  <c r="I671" i="5"/>
  <c r="E672" i="5"/>
  <c r="B672" i="5"/>
  <c r="D673" i="5"/>
  <c r="C673" i="5"/>
  <c r="J670" i="5"/>
  <c r="E670" i="25"/>
  <c r="C671" i="25"/>
  <c r="H671" i="25" s="1"/>
  <c r="B670" i="25"/>
  <c r="D671" i="25"/>
  <c r="AD669" i="2"/>
  <c r="AF669" i="2" s="1"/>
  <c r="P669" i="2"/>
  <c r="W669" i="2"/>
  <c r="J669" i="2"/>
  <c r="AE669" i="2"/>
  <c r="Y668" i="2"/>
  <c r="AV668" i="2"/>
  <c r="B670" i="2"/>
  <c r="E670" i="2"/>
  <c r="C671" i="2"/>
  <c r="D671" i="2"/>
  <c r="Q668" i="2"/>
  <c r="Q669" i="2" s="1"/>
  <c r="K668" i="2"/>
  <c r="K669" i="2" l="1"/>
  <c r="B671" i="24"/>
  <c r="C672" i="24"/>
  <c r="H672" i="24" s="1"/>
  <c r="D672" i="24"/>
  <c r="E671" i="24"/>
  <c r="AK671" i="5"/>
  <c r="AL671" i="5"/>
  <c r="CA671" i="5" s="1"/>
  <c r="C674" i="5"/>
  <c r="E673" i="5"/>
  <c r="D674" i="5"/>
  <c r="B673" i="5"/>
  <c r="AJ672" i="5"/>
  <c r="I672" i="5"/>
  <c r="BZ671" i="5"/>
  <c r="J671" i="5"/>
  <c r="E671" i="25"/>
  <c r="B671" i="25"/>
  <c r="C672" i="25"/>
  <c r="H672" i="25" s="1"/>
  <c r="D672" i="25"/>
  <c r="AD670" i="2"/>
  <c r="AF670" i="2" s="1"/>
  <c r="P670" i="2"/>
  <c r="W670" i="2"/>
  <c r="J670" i="2"/>
  <c r="K670" i="2" s="1"/>
  <c r="Q670" i="2"/>
  <c r="B671" i="2"/>
  <c r="D672" i="2"/>
  <c r="E671" i="2"/>
  <c r="C672" i="2"/>
  <c r="AE670" i="2"/>
  <c r="Y669" i="2"/>
  <c r="R669" i="2"/>
  <c r="AV669" i="2" s="1"/>
  <c r="AU669" i="2"/>
  <c r="BZ672" i="5" l="1"/>
  <c r="B672" i="24"/>
  <c r="C673" i="24"/>
  <c r="H673" i="24" s="1"/>
  <c r="E672" i="24"/>
  <c r="D673" i="24"/>
  <c r="AL672" i="5"/>
  <c r="AK672" i="5"/>
  <c r="CA672" i="5"/>
  <c r="B674" i="5"/>
  <c r="C675" i="5"/>
  <c r="E674" i="5"/>
  <c r="D675" i="5"/>
  <c r="AJ673" i="5"/>
  <c r="I673" i="5"/>
  <c r="J672" i="5"/>
  <c r="B672" i="25"/>
  <c r="C673" i="25"/>
  <c r="H673" i="25" s="1"/>
  <c r="D673" i="25"/>
  <c r="E672" i="25"/>
  <c r="D673" i="2"/>
  <c r="E672" i="2"/>
  <c r="C673" i="2"/>
  <c r="B672" i="2"/>
  <c r="AD671" i="2"/>
  <c r="AF671" i="2" s="1"/>
  <c r="P671" i="2"/>
  <c r="W671" i="2"/>
  <c r="J671" i="2"/>
  <c r="K671" i="2" s="1"/>
  <c r="Q671" i="2"/>
  <c r="Y670" i="2"/>
  <c r="R670" i="2"/>
  <c r="AU670" i="2"/>
  <c r="J673" i="5" l="1"/>
  <c r="C674" i="24"/>
  <c r="H674" i="24" s="1"/>
  <c r="E673" i="24"/>
  <c r="B673" i="24"/>
  <c r="D674" i="24"/>
  <c r="BZ673" i="5"/>
  <c r="AJ674" i="5"/>
  <c r="I674" i="5"/>
  <c r="BZ674" i="5" s="1"/>
  <c r="AK673" i="5"/>
  <c r="AL673" i="5"/>
  <c r="CA673" i="5" s="1"/>
  <c r="E675" i="5"/>
  <c r="C676" i="5"/>
  <c r="D676" i="5"/>
  <c r="B675" i="5"/>
  <c r="D674" i="25"/>
  <c r="C674" i="25"/>
  <c r="H674" i="25" s="1"/>
  <c r="E673" i="25"/>
  <c r="B673" i="25"/>
  <c r="AV670" i="2"/>
  <c r="Y671" i="2"/>
  <c r="R671" i="2"/>
  <c r="AU671" i="2"/>
  <c r="AE671" i="2"/>
  <c r="AD672" i="2"/>
  <c r="AF672" i="2" s="1"/>
  <c r="P672" i="2"/>
  <c r="W672" i="2"/>
  <c r="J672" i="2"/>
  <c r="K672" i="2" s="1"/>
  <c r="C674" i="2"/>
  <c r="D674" i="2"/>
  <c r="E673" i="2"/>
  <c r="B673" i="2"/>
  <c r="C675" i="24" l="1"/>
  <c r="H675" i="24" s="1"/>
  <c r="D675" i="24"/>
  <c r="E674" i="24"/>
  <c r="B674" i="24"/>
  <c r="C677" i="5"/>
  <c r="E676" i="5"/>
  <c r="B676" i="5"/>
  <c r="D677" i="5"/>
  <c r="AJ675" i="5"/>
  <c r="I675" i="5"/>
  <c r="AK674" i="5"/>
  <c r="AL674" i="5"/>
  <c r="CA674" i="5" s="1"/>
  <c r="J674" i="5"/>
  <c r="E674" i="25"/>
  <c r="B674" i="25"/>
  <c r="C675" i="25"/>
  <c r="H675" i="25" s="1"/>
  <c r="D675" i="25"/>
  <c r="AV671" i="2"/>
  <c r="AD673" i="2"/>
  <c r="AF673" i="2" s="1"/>
  <c r="P673" i="2"/>
  <c r="W673" i="2"/>
  <c r="J673" i="2"/>
  <c r="K673" i="2" s="1"/>
  <c r="D675" i="2"/>
  <c r="C675" i="2"/>
  <c r="E674" i="2"/>
  <c r="B674" i="2"/>
  <c r="Y672" i="2"/>
  <c r="R672" i="2"/>
  <c r="AV672" i="2" s="1"/>
  <c r="AU672" i="2"/>
  <c r="AE672" i="2"/>
  <c r="AE673" i="2" s="1"/>
  <c r="Q672" i="2"/>
  <c r="Q673" i="2" s="1"/>
  <c r="J675" i="5" l="1"/>
  <c r="C676" i="24"/>
  <c r="H676" i="24" s="1"/>
  <c r="E675" i="24"/>
  <c r="D676" i="24"/>
  <c r="B675" i="24"/>
  <c r="E677" i="5"/>
  <c r="D678" i="5"/>
  <c r="B677" i="5"/>
  <c r="C678" i="5"/>
  <c r="BZ675" i="5"/>
  <c r="AK675" i="5"/>
  <c r="AL675" i="5"/>
  <c r="CA675" i="5"/>
  <c r="AJ676" i="5"/>
  <c r="I676" i="5"/>
  <c r="B675" i="25"/>
  <c r="E675" i="25"/>
  <c r="C676" i="25"/>
  <c r="H676" i="25" s="1"/>
  <c r="D676" i="25"/>
  <c r="AD674" i="2"/>
  <c r="AF674" i="2" s="1"/>
  <c r="P674" i="2"/>
  <c r="W674" i="2"/>
  <c r="J674" i="2"/>
  <c r="K674" i="2" s="1"/>
  <c r="D676" i="2"/>
  <c r="B675" i="2"/>
  <c r="C676" i="2"/>
  <c r="E675" i="2"/>
  <c r="Y673" i="2"/>
  <c r="R673" i="2"/>
  <c r="AU673" i="2"/>
  <c r="B676" i="24" l="1"/>
  <c r="D677" i="24"/>
  <c r="C677" i="24"/>
  <c r="H677" i="24" s="1"/>
  <c r="E676" i="24"/>
  <c r="BZ676" i="5"/>
  <c r="AK676" i="5"/>
  <c r="AL676" i="5"/>
  <c r="CA676" i="5" s="1"/>
  <c r="B678" i="5"/>
  <c r="C679" i="5"/>
  <c r="D679" i="5"/>
  <c r="E678" i="5"/>
  <c r="AJ677" i="5"/>
  <c r="I677" i="5"/>
  <c r="J676" i="5"/>
  <c r="C677" i="25"/>
  <c r="H677" i="25" s="1"/>
  <c r="D677" i="25"/>
  <c r="B676" i="25"/>
  <c r="E676" i="25"/>
  <c r="AV673" i="2"/>
  <c r="AD675" i="2"/>
  <c r="AF675" i="2" s="1"/>
  <c r="P675" i="2"/>
  <c r="W675" i="2"/>
  <c r="J675" i="2"/>
  <c r="K675" i="2" s="1"/>
  <c r="C677" i="2"/>
  <c r="D677" i="2"/>
  <c r="E676" i="2"/>
  <c r="B676" i="2"/>
  <c r="Y674" i="2"/>
  <c r="AV674" i="2" s="1"/>
  <c r="R674" i="2"/>
  <c r="AU674" i="2"/>
  <c r="AE674" i="2"/>
  <c r="AE675" i="2" s="1"/>
  <c r="Q674" i="2"/>
  <c r="E677" i="24" l="1"/>
  <c r="B677" i="24"/>
  <c r="C678" i="24"/>
  <c r="H678" i="24" s="1"/>
  <c r="D678" i="24"/>
  <c r="E679" i="5"/>
  <c r="D680" i="5"/>
  <c r="C680" i="5"/>
  <c r="B679" i="5"/>
  <c r="BZ677" i="5"/>
  <c r="AK677" i="5"/>
  <c r="AL677" i="5"/>
  <c r="CA677" i="5" s="1"/>
  <c r="AJ678" i="5"/>
  <c r="I678" i="5"/>
  <c r="J677" i="5"/>
  <c r="E677" i="25"/>
  <c r="C678" i="25"/>
  <c r="H678" i="25" s="1"/>
  <c r="D678" i="25"/>
  <c r="B677" i="25"/>
  <c r="AD676" i="2"/>
  <c r="AF676" i="2" s="1"/>
  <c r="P676" i="2"/>
  <c r="W676" i="2"/>
  <c r="J676" i="2"/>
  <c r="K676" i="2" s="1"/>
  <c r="B677" i="2"/>
  <c r="D678" i="2"/>
  <c r="E677" i="2"/>
  <c r="C678" i="2"/>
  <c r="Y675" i="2"/>
  <c r="R675" i="2"/>
  <c r="AU675" i="2"/>
  <c r="Q675" i="2"/>
  <c r="Q676" i="2" s="1"/>
  <c r="C679" i="24" l="1"/>
  <c r="H679" i="24" s="1"/>
  <c r="D679" i="24"/>
  <c r="B678" i="24"/>
  <c r="E678" i="24"/>
  <c r="BZ678" i="5"/>
  <c r="AK678" i="5"/>
  <c r="AL678" i="5"/>
  <c r="CA678" i="5" s="1"/>
  <c r="J678" i="5"/>
  <c r="D681" i="5"/>
  <c r="C681" i="5"/>
  <c r="B680" i="5"/>
  <c r="E680" i="5"/>
  <c r="AJ679" i="5"/>
  <c r="I679" i="5"/>
  <c r="B678" i="25"/>
  <c r="E678" i="25"/>
  <c r="C679" i="25"/>
  <c r="H679" i="25" s="1"/>
  <c r="D679" i="25"/>
  <c r="C679" i="2"/>
  <c r="B678" i="2"/>
  <c r="D679" i="2"/>
  <c r="E678" i="2"/>
  <c r="AV675" i="2"/>
  <c r="P677" i="2"/>
  <c r="R677" i="2" s="1"/>
  <c r="AD677" i="2"/>
  <c r="AF677" i="2" s="1"/>
  <c r="W677" i="2"/>
  <c r="J677" i="2"/>
  <c r="K677" i="2"/>
  <c r="Y676" i="2"/>
  <c r="R676" i="2"/>
  <c r="AU676" i="2"/>
  <c r="AE676" i="2"/>
  <c r="J679" i="5" l="1"/>
  <c r="C680" i="24"/>
  <c r="H680" i="24" s="1"/>
  <c r="B679" i="24"/>
  <c r="E679" i="24"/>
  <c r="D680" i="24"/>
  <c r="AJ680" i="5"/>
  <c r="I680" i="5"/>
  <c r="J680" i="5" s="1"/>
  <c r="AK679" i="5"/>
  <c r="AL679" i="5"/>
  <c r="CA679" i="5" s="1"/>
  <c r="D682" i="5"/>
  <c r="E681" i="5"/>
  <c r="B681" i="5"/>
  <c r="C682" i="5"/>
  <c r="BZ679" i="5"/>
  <c r="C680" i="25"/>
  <c r="H680" i="25" s="1"/>
  <c r="D680" i="25"/>
  <c r="B679" i="25"/>
  <c r="E679" i="25"/>
  <c r="Y677" i="2"/>
  <c r="E679" i="2"/>
  <c r="B679" i="2"/>
  <c r="D680" i="2"/>
  <c r="C680" i="2"/>
  <c r="AV676" i="2"/>
  <c r="AU677" i="2"/>
  <c r="AV677" i="2"/>
  <c r="AD678" i="2"/>
  <c r="AF678" i="2" s="1"/>
  <c r="P678" i="2"/>
  <c r="W678" i="2"/>
  <c r="J678" i="2"/>
  <c r="K678" i="2" s="1"/>
  <c r="AE677" i="2"/>
  <c r="Q677" i="2"/>
  <c r="E680" i="24" l="1"/>
  <c r="D681" i="24"/>
  <c r="B680" i="24"/>
  <c r="C681" i="24"/>
  <c r="H681" i="24" s="1"/>
  <c r="BZ680" i="5"/>
  <c r="I681" i="5"/>
  <c r="E682" i="5"/>
  <c r="C683" i="5"/>
  <c r="D683" i="5"/>
  <c r="B682" i="5"/>
  <c r="AL680" i="5"/>
  <c r="CA680" i="5" s="1"/>
  <c r="AK680" i="5"/>
  <c r="B680" i="25"/>
  <c r="D681" i="25"/>
  <c r="C681" i="25"/>
  <c r="H681" i="25" s="1"/>
  <c r="E680" i="25"/>
  <c r="B680" i="2"/>
  <c r="C681" i="2"/>
  <c r="E680" i="2"/>
  <c r="D681" i="2"/>
  <c r="Y678" i="2"/>
  <c r="R678" i="2"/>
  <c r="AU678" i="2"/>
  <c r="P679" i="2"/>
  <c r="R679" i="2" s="1"/>
  <c r="AD679" i="2"/>
  <c r="AF679" i="2" s="1"/>
  <c r="W679" i="2"/>
  <c r="J679" i="2"/>
  <c r="Q678" i="2"/>
  <c r="Q679" i="2" s="1"/>
  <c r="AE678" i="2"/>
  <c r="AU679" i="2" l="1"/>
  <c r="BZ681" i="5"/>
  <c r="D682" i="24"/>
  <c r="E681" i="24"/>
  <c r="C682" i="24"/>
  <c r="H682" i="24" s="1"/>
  <c r="B681" i="24"/>
  <c r="I682" i="5"/>
  <c r="BZ682" i="5" s="1"/>
  <c r="E683" i="5"/>
  <c r="B683" i="5"/>
  <c r="D684" i="5"/>
  <c r="C684" i="5"/>
  <c r="CA681" i="5"/>
  <c r="J681" i="5"/>
  <c r="E681" i="25"/>
  <c r="C682" i="25"/>
  <c r="H682" i="25" s="1"/>
  <c r="D682" i="25"/>
  <c r="B681" i="25"/>
  <c r="AV678" i="2"/>
  <c r="Y679" i="2"/>
  <c r="AV679" i="2" s="1"/>
  <c r="C682" i="2"/>
  <c r="D682" i="2"/>
  <c r="B681" i="2"/>
  <c r="E681" i="2"/>
  <c r="AD680" i="2"/>
  <c r="AF680" i="2" s="1"/>
  <c r="P680" i="2"/>
  <c r="W680" i="2"/>
  <c r="J680" i="2"/>
  <c r="AE679" i="2"/>
  <c r="AE680" i="2" s="1"/>
  <c r="K679" i="2"/>
  <c r="K680" i="2" l="1"/>
  <c r="E682" i="24"/>
  <c r="C683" i="24"/>
  <c r="H683" i="24" s="1"/>
  <c r="B682" i="24"/>
  <c r="D683" i="24"/>
  <c r="D685" i="5"/>
  <c r="B684" i="5"/>
  <c r="E684" i="5"/>
  <c r="C685" i="5"/>
  <c r="I683" i="5"/>
  <c r="CA682" i="5"/>
  <c r="J682" i="5"/>
  <c r="C683" i="25"/>
  <c r="H683" i="25" s="1"/>
  <c r="B682" i="25"/>
  <c r="E682" i="25"/>
  <c r="D683" i="25"/>
  <c r="AU680" i="2"/>
  <c r="R680" i="2"/>
  <c r="Y680" i="2"/>
  <c r="AD681" i="2"/>
  <c r="AF681" i="2" s="1"/>
  <c r="P681" i="2"/>
  <c r="R681" i="2" s="1"/>
  <c r="W681" i="2"/>
  <c r="J681" i="2"/>
  <c r="C683" i="2"/>
  <c r="D683" i="2"/>
  <c r="E682" i="2"/>
  <c r="B682" i="2"/>
  <c r="Q680" i="2"/>
  <c r="AU681" i="2" l="1"/>
  <c r="J683" i="5"/>
  <c r="B683" i="24"/>
  <c r="C684" i="24"/>
  <c r="H684" i="24" s="1"/>
  <c r="E683" i="24"/>
  <c r="D684" i="24"/>
  <c r="I684" i="5"/>
  <c r="BZ684" i="5" s="1"/>
  <c r="BZ683" i="5"/>
  <c r="CA683" i="5"/>
  <c r="B685" i="5"/>
  <c r="D686" i="5"/>
  <c r="E685" i="5"/>
  <c r="C686" i="5"/>
  <c r="B683" i="25"/>
  <c r="C684" i="25"/>
  <c r="H684" i="25" s="1"/>
  <c r="E683" i="25"/>
  <c r="D684" i="25"/>
  <c r="P682" i="2"/>
  <c r="R682" i="2" s="1"/>
  <c r="AD682" i="2"/>
  <c r="AF682" i="2" s="1"/>
  <c r="W682" i="2"/>
  <c r="J682" i="2"/>
  <c r="AU682" i="2" s="1"/>
  <c r="E683" i="2"/>
  <c r="C684" i="2"/>
  <c r="D684" i="2"/>
  <c r="B683" i="2"/>
  <c r="Y681" i="2"/>
  <c r="AV681" i="2" s="1"/>
  <c r="AE681" i="2"/>
  <c r="AE682" i="2" s="1"/>
  <c r="K681" i="2"/>
  <c r="AV680" i="2"/>
  <c r="Q681" i="2"/>
  <c r="Q682" i="2" s="1"/>
  <c r="K682" i="2" l="1"/>
  <c r="E684" i="24"/>
  <c r="B684" i="24"/>
  <c r="D685" i="24"/>
  <c r="C685" i="24"/>
  <c r="H685" i="24" s="1"/>
  <c r="I685" i="5"/>
  <c r="E686" i="5"/>
  <c r="D687" i="5"/>
  <c r="C687" i="5"/>
  <c r="B686" i="5"/>
  <c r="CA684" i="5"/>
  <c r="J684" i="5"/>
  <c r="C685" i="25"/>
  <c r="H685" i="25" s="1"/>
  <c r="D685" i="25"/>
  <c r="B684" i="25"/>
  <c r="E684" i="25"/>
  <c r="E684" i="2"/>
  <c r="D685" i="2"/>
  <c r="B684" i="2"/>
  <c r="C685" i="2"/>
  <c r="AF683" i="2"/>
  <c r="P683" i="2"/>
  <c r="W683" i="2"/>
  <c r="J683" i="2"/>
  <c r="K683" i="2" s="1"/>
  <c r="Y682" i="2"/>
  <c r="Q683" i="2"/>
  <c r="AV682" i="2"/>
  <c r="E685" i="24" l="1"/>
  <c r="C686" i="24"/>
  <c r="H686" i="24" s="1"/>
  <c r="D686" i="24"/>
  <c r="B685" i="24"/>
  <c r="BZ685" i="5"/>
  <c r="E687" i="5"/>
  <c r="D688" i="5"/>
  <c r="C688" i="5"/>
  <c r="B687" i="5"/>
  <c r="I686" i="5"/>
  <c r="CA685" i="5"/>
  <c r="J685" i="5"/>
  <c r="E685" i="25"/>
  <c r="B685" i="25"/>
  <c r="D686" i="25"/>
  <c r="C686" i="25"/>
  <c r="H686" i="25" s="1"/>
  <c r="Y683" i="2"/>
  <c r="R683" i="2"/>
  <c r="AU683" i="2"/>
  <c r="E685" i="2"/>
  <c r="C686" i="2"/>
  <c r="B685" i="2"/>
  <c r="D686" i="2"/>
  <c r="AF684" i="2"/>
  <c r="P684" i="2"/>
  <c r="W684" i="2"/>
  <c r="J684" i="2"/>
  <c r="K684" i="2" s="1"/>
  <c r="AE683" i="2"/>
  <c r="D687" i="24" l="1"/>
  <c r="C687" i="24"/>
  <c r="H687" i="24" s="1"/>
  <c r="B686" i="24"/>
  <c r="E686" i="24"/>
  <c r="BZ686" i="5"/>
  <c r="CA686" i="5"/>
  <c r="E688" i="5"/>
  <c r="B688" i="5"/>
  <c r="D689" i="5"/>
  <c r="C689" i="5"/>
  <c r="I687" i="5"/>
  <c r="J686" i="5"/>
  <c r="B686" i="25"/>
  <c r="E686" i="25"/>
  <c r="C687" i="25"/>
  <c r="H687" i="25" s="1"/>
  <c r="D687" i="25"/>
  <c r="AV683" i="2"/>
  <c r="AE684" i="2"/>
  <c r="C687" i="2"/>
  <c r="E686" i="2"/>
  <c r="D687" i="2"/>
  <c r="B686" i="2"/>
  <c r="Y684" i="2"/>
  <c r="R684" i="2"/>
  <c r="AU684" i="2"/>
  <c r="P685" i="2"/>
  <c r="R685" i="2" s="1"/>
  <c r="AF685" i="2"/>
  <c r="W685" i="2"/>
  <c r="J685" i="2"/>
  <c r="AU685" i="2" s="1"/>
  <c r="Q684" i="2"/>
  <c r="B687" i="24" l="1"/>
  <c r="E687" i="24"/>
  <c r="C688" i="24"/>
  <c r="H688" i="24" s="1"/>
  <c r="D688" i="24"/>
  <c r="CA687" i="5"/>
  <c r="C690" i="5"/>
  <c r="E689" i="5"/>
  <c r="D690" i="5"/>
  <c r="B689" i="5"/>
  <c r="BZ687" i="5"/>
  <c r="I688" i="5"/>
  <c r="J687" i="5"/>
  <c r="D688" i="25"/>
  <c r="E687" i="25"/>
  <c r="C688" i="25"/>
  <c r="H688" i="25" s="1"/>
  <c r="B687" i="25"/>
  <c r="K685" i="2"/>
  <c r="Y685" i="2"/>
  <c r="AV685" i="2" s="1"/>
  <c r="AV684" i="2"/>
  <c r="AE685" i="2"/>
  <c r="D688" i="2"/>
  <c r="E687" i="2"/>
  <c r="B687" i="2"/>
  <c r="C688" i="2"/>
  <c r="AF686" i="2"/>
  <c r="P686" i="2"/>
  <c r="R686" i="2" s="1"/>
  <c r="W686" i="2"/>
  <c r="J686" i="2"/>
  <c r="Q685" i="2"/>
  <c r="Q686" i="2" s="1"/>
  <c r="E688" i="24" l="1"/>
  <c r="C689" i="24"/>
  <c r="H689" i="24" s="1"/>
  <c r="D689" i="24"/>
  <c r="B688" i="24"/>
  <c r="BZ688" i="5"/>
  <c r="CA688" i="5"/>
  <c r="B690" i="5"/>
  <c r="E690" i="5"/>
  <c r="D691" i="5"/>
  <c r="C691" i="5"/>
  <c r="I689" i="5"/>
  <c r="J688" i="5"/>
  <c r="E688" i="25"/>
  <c r="C689" i="25"/>
  <c r="H689" i="25" s="1"/>
  <c r="D689" i="25"/>
  <c r="B688" i="25"/>
  <c r="Y686" i="2"/>
  <c r="AV686" i="2" s="1"/>
  <c r="AU686" i="2"/>
  <c r="AF687" i="2"/>
  <c r="P687" i="2"/>
  <c r="W687" i="2"/>
  <c r="J687" i="2"/>
  <c r="C689" i="2"/>
  <c r="E688" i="2"/>
  <c r="D689" i="2"/>
  <c r="B688" i="2"/>
  <c r="AE686" i="2"/>
  <c r="AE687" i="2" s="1"/>
  <c r="K686" i="2"/>
  <c r="K687" i="2" l="1"/>
  <c r="J689" i="5"/>
  <c r="C690" i="24"/>
  <c r="H690" i="24" s="1"/>
  <c r="D690" i="24"/>
  <c r="B689" i="24"/>
  <c r="E689" i="24"/>
  <c r="I690" i="5"/>
  <c r="BZ690" i="5" s="1"/>
  <c r="B691" i="5"/>
  <c r="E691" i="5"/>
  <c r="C692" i="5"/>
  <c r="D692" i="5"/>
  <c r="BZ689" i="5"/>
  <c r="CA689" i="5"/>
  <c r="B689" i="25"/>
  <c r="E689" i="25"/>
  <c r="D690" i="25"/>
  <c r="C690" i="25"/>
  <c r="H690" i="25" s="1"/>
  <c r="C690" i="2"/>
  <c r="E689" i="2"/>
  <c r="B689" i="2"/>
  <c r="D690" i="2"/>
  <c r="P688" i="2"/>
  <c r="R688" i="2" s="1"/>
  <c r="AF688" i="2"/>
  <c r="W688" i="2"/>
  <c r="J688" i="2"/>
  <c r="Y687" i="2"/>
  <c r="R687" i="2"/>
  <c r="AU687" i="2"/>
  <c r="Q687" i="2"/>
  <c r="J690" i="5" l="1"/>
  <c r="D691" i="24"/>
  <c r="E690" i="24"/>
  <c r="C691" i="24"/>
  <c r="H691" i="24" s="1"/>
  <c r="B690" i="24"/>
  <c r="I691" i="5"/>
  <c r="BZ691" i="5" s="1"/>
  <c r="E692" i="5"/>
  <c r="B692" i="5"/>
  <c r="D693" i="5"/>
  <c r="C693" i="5"/>
  <c r="CA690" i="5"/>
  <c r="C691" i="25"/>
  <c r="H691" i="25" s="1"/>
  <c r="D691" i="25"/>
  <c r="B690" i="25"/>
  <c r="E690" i="25"/>
  <c r="AV687" i="2"/>
  <c r="AU688" i="2"/>
  <c r="Y688" i="2"/>
  <c r="AV688" i="2" s="1"/>
  <c r="D691" i="2"/>
  <c r="B690" i="2"/>
  <c r="E690" i="2"/>
  <c r="C691" i="2"/>
  <c r="AF689" i="2"/>
  <c r="P689" i="2"/>
  <c r="W689" i="2"/>
  <c r="J689" i="2"/>
  <c r="K688" i="2"/>
  <c r="K689" i="2" s="1"/>
  <c r="Q688" i="2"/>
  <c r="Q689" i="2" s="1"/>
  <c r="AE688" i="2"/>
  <c r="C692" i="24" l="1"/>
  <c r="H692" i="24" s="1"/>
  <c r="D692" i="24"/>
  <c r="B691" i="24"/>
  <c r="E691" i="24"/>
  <c r="B693" i="5"/>
  <c r="E693" i="5"/>
  <c r="C694" i="5"/>
  <c r="D694" i="5"/>
  <c r="I692" i="5"/>
  <c r="BZ692" i="5" s="1"/>
  <c r="CA691" i="5"/>
  <c r="J691" i="5"/>
  <c r="B691" i="25"/>
  <c r="C692" i="25"/>
  <c r="H692" i="25" s="1"/>
  <c r="D692" i="25"/>
  <c r="E691" i="25"/>
  <c r="P690" i="2"/>
  <c r="R690" i="2" s="1"/>
  <c r="AF690" i="2"/>
  <c r="W690" i="2"/>
  <c r="J690" i="2"/>
  <c r="AU690" i="2" s="1"/>
  <c r="Q690" i="2"/>
  <c r="K690" i="2"/>
  <c r="Y689" i="2"/>
  <c r="R689" i="2"/>
  <c r="AV689" i="2" s="1"/>
  <c r="AU689" i="2"/>
  <c r="E691" i="2"/>
  <c r="B691" i="2"/>
  <c r="C692" i="2"/>
  <c r="D692" i="2"/>
  <c r="AE689" i="2"/>
  <c r="E692" i="24" l="1"/>
  <c r="C693" i="24"/>
  <c r="H693" i="24" s="1"/>
  <c r="D693" i="24"/>
  <c r="B692" i="24"/>
  <c r="I693" i="5"/>
  <c r="CA692" i="5"/>
  <c r="E694" i="5"/>
  <c r="B694" i="5"/>
  <c r="C695" i="5"/>
  <c r="D695" i="5"/>
  <c r="J692" i="5"/>
  <c r="B692" i="25"/>
  <c r="D693" i="25"/>
  <c r="E692" i="25"/>
  <c r="C693" i="25"/>
  <c r="H693" i="25" s="1"/>
  <c r="B692" i="2"/>
  <c r="E692" i="2"/>
  <c r="C693" i="2"/>
  <c r="D693" i="2"/>
  <c r="AF691" i="2"/>
  <c r="P691" i="2"/>
  <c r="R691" i="2" s="1"/>
  <c r="W691" i="2"/>
  <c r="J691" i="2"/>
  <c r="K691" i="2"/>
  <c r="Q691" i="2"/>
  <c r="Y690" i="2"/>
  <c r="AE690" i="2"/>
  <c r="AE691" i="2" s="1"/>
  <c r="AV690" i="2"/>
  <c r="C694" i="24" l="1"/>
  <c r="H694" i="24" s="1"/>
  <c r="B693" i="24"/>
  <c r="E693" i="24"/>
  <c r="D694" i="24"/>
  <c r="C696" i="5"/>
  <c r="D696" i="5"/>
  <c r="B695" i="5"/>
  <c r="E695" i="5"/>
  <c r="I694" i="5"/>
  <c r="J693" i="5"/>
  <c r="J694" i="5" s="1"/>
  <c r="BZ693" i="5"/>
  <c r="CA693" i="5"/>
  <c r="C694" i="25"/>
  <c r="H694" i="25" s="1"/>
  <c r="E693" i="25"/>
  <c r="B693" i="25"/>
  <c r="D694" i="25"/>
  <c r="Y691" i="2"/>
  <c r="AU691" i="2"/>
  <c r="AV691" i="2"/>
  <c r="C694" i="2"/>
  <c r="B693" i="2"/>
  <c r="D694" i="2"/>
  <c r="E693" i="2"/>
  <c r="AF692" i="2"/>
  <c r="P692" i="2"/>
  <c r="R692" i="2" s="1"/>
  <c r="W692" i="2"/>
  <c r="J692" i="2"/>
  <c r="K692" i="2" s="1"/>
  <c r="D695" i="24" l="1"/>
  <c r="B694" i="24"/>
  <c r="E694" i="24"/>
  <c r="C695" i="24"/>
  <c r="H695" i="24" s="1"/>
  <c r="BZ694" i="5"/>
  <c r="CA694" i="5"/>
  <c r="I695" i="5"/>
  <c r="E696" i="5"/>
  <c r="B696" i="5"/>
  <c r="D697" i="5"/>
  <c r="C697" i="5"/>
  <c r="B694" i="25"/>
  <c r="E694" i="25"/>
  <c r="C695" i="25"/>
  <c r="H695" i="25" s="1"/>
  <c r="D695" i="25"/>
  <c r="Y692" i="2"/>
  <c r="AV692" i="2" s="1"/>
  <c r="C695" i="2"/>
  <c r="B694" i="2"/>
  <c r="D695" i="2"/>
  <c r="E694" i="2"/>
  <c r="AF693" i="2"/>
  <c r="P693" i="2"/>
  <c r="W693" i="2"/>
  <c r="J693" i="2"/>
  <c r="K693" i="2" s="1"/>
  <c r="Q692" i="2"/>
  <c r="Q693" i="2" s="1"/>
  <c r="AE692" i="2"/>
  <c r="AE693" i="2" s="1"/>
  <c r="AU692" i="2"/>
  <c r="E695" i="24" l="1"/>
  <c r="C696" i="24"/>
  <c r="H696" i="24" s="1"/>
  <c r="D696" i="24"/>
  <c r="B695" i="24"/>
  <c r="BZ695" i="5"/>
  <c r="I696" i="5"/>
  <c r="CA695" i="5"/>
  <c r="J695" i="5"/>
  <c r="J696" i="5" s="1"/>
  <c r="D698" i="5"/>
  <c r="E697" i="5"/>
  <c r="C698" i="5"/>
  <c r="B697" i="5"/>
  <c r="C696" i="25"/>
  <c r="H696" i="25" s="1"/>
  <c r="E695" i="25"/>
  <c r="D696" i="25"/>
  <c r="B695" i="25"/>
  <c r="Y693" i="2"/>
  <c r="R693" i="2"/>
  <c r="AV693" i="2" s="1"/>
  <c r="AU693" i="2"/>
  <c r="AF694" i="2"/>
  <c r="P694" i="2"/>
  <c r="W694" i="2"/>
  <c r="J694" i="2"/>
  <c r="K694" i="2" s="1"/>
  <c r="D696" i="2"/>
  <c r="C696" i="2"/>
  <c r="B695" i="2"/>
  <c r="E695" i="2"/>
  <c r="B696" i="24" l="1"/>
  <c r="D697" i="24"/>
  <c r="C697" i="24"/>
  <c r="H697" i="24" s="1"/>
  <c r="E696" i="24"/>
  <c r="BZ696" i="5"/>
  <c r="I697" i="5"/>
  <c r="J697" i="5" s="1"/>
  <c r="E698" i="5"/>
  <c r="C699" i="5"/>
  <c r="B698" i="5"/>
  <c r="D699" i="5"/>
  <c r="CA696" i="5"/>
  <c r="E696" i="25"/>
  <c r="C697" i="25"/>
  <c r="H697" i="25" s="1"/>
  <c r="D697" i="25"/>
  <c r="B696" i="25"/>
  <c r="B696" i="2"/>
  <c r="C697" i="2"/>
  <c r="E696" i="2"/>
  <c r="D697" i="2"/>
  <c r="Y694" i="2"/>
  <c r="AU694" i="2"/>
  <c r="R694" i="2"/>
  <c r="AV694" i="2" s="1"/>
  <c r="Q694" i="2"/>
  <c r="AE694" i="2"/>
  <c r="AF695" i="2"/>
  <c r="P695" i="2"/>
  <c r="R695" i="2" s="1"/>
  <c r="W695" i="2"/>
  <c r="J695" i="2"/>
  <c r="B697" i="24" l="1"/>
  <c r="C698" i="24"/>
  <c r="H698" i="24" s="1"/>
  <c r="D698" i="24"/>
  <c r="E697" i="24"/>
  <c r="BZ697" i="5"/>
  <c r="B699" i="5"/>
  <c r="E699" i="5"/>
  <c r="C700" i="5"/>
  <c r="D700" i="5"/>
  <c r="I698" i="5"/>
  <c r="CA697" i="5"/>
  <c r="B697" i="25"/>
  <c r="D698" i="25"/>
  <c r="C698" i="25"/>
  <c r="H698" i="25" s="1"/>
  <c r="E697" i="25"/>
  <c r="Y695" i="2"/>
  <c r="AV695" i="2" s="1"/>
  <c r="AE695" i="2"/>
  <c r="Q695" i="2"/>
  <c r="B697" i="2"/>
  <c r="D698" i="2"/>
  <c r="C698" i="2"/>
  <c r="E697" i="2"/>
  <c r="AF696" i="2"/>
  <c r="P696" i="2"/>
  <c r="R696" i="2" s="1"/>
  <c r="W696" i="2"/>
  <c r="J696" i="2"/>
  <c r="AU696" i="2" s="1"/>
  <c r="AU695" i="2"/>
  <c r="K695" i="2"/>
  <c r="BZ698" i="5" l="1"/>
  <c r="E698" i="24"/>
  <c r="C699" i="24"/>
  <c r="H699" i="24" s="1"/>
  <c r="D699" i="24"/>
  <c r="B698" i="24"/>
  <c r="CA698" i="5"/>
  <c r="D701" i="5"/>
  <c r="B700" i="5"/>
  <c r="C701" i="5"/>
  <c r="E700" i="5"/>
  <c r="I699" i="5"/>
  <c r="J698" i="5"/>
  <c r="D699" i="25"/>
  <c r="E698" i="25"/>
  <c r="C699" i="25"/>
  <c r="H699" i="25" s="1"/>
  <c r="B698" i="25"/>
  <c r="E698" i="2"/>
  <c r="D699" i="2"/>
  <c r="C699" i="2"/>
  <c r="B698" i="2"/>
  <c r="Y696" i="2"/>
  <c r="AV696" i="2" s="1"/>
  <c r="AF697" i="2"/>
  <c r="P697" i="2"/>
  <c r="R697" i="2" s="1"/>
  <c r="W697" i="2"/>
  <c r="J697" i="2"/>
  <c r="Q696" i="2"/>
  <c r="AE696" i="2"/>
  <c r="AE697" i="2" s="1"/>
  <c r="K696" i="2"/>
  <c r="K697" i="2" s="1"/>
  <c r="C700" i="24" l="1"/>
  <c r="H700" i="24" s="1"/>
  <c r="D700" i="24"/>
  <c r="B699" i="24"/>
  <c r="E699" i="24"/>
  <c r="BZ699" i="5"/>
  <c r="CA699" i="5"/>
  <c r="I700" i="5"/>
  <c r="D702" i="5"/>
  <c r="C702" i="5"/>
  <c r="B701" i="5"/>
  <c r="E701" i="5"/>
  <c r="J699" i="5"/>
  <c r="E699" i="25"/>
  <c r="B699" i="25"/>
  <c r="D700" i="25"/>
  <c r="C700" i="25"/>
  <c r="H700" i="25" s="1"/>
  <c r="Q697" i="2"/>
  <c r="AU697" i="2"/>
  <c r="Y697" i="2"/>
  <c r="AV697" i="2" s="1"/>
  <c r="E699" i="2"/>
  <c r="B699" i="2"/>
  <c r="C700" i="2"/>
  <c r="D700" i="2"/>
  <c r="AF698" i="2"/>
  <c r="P698" i="2"/>
  <c r="W698" i="2"/>
  <c r="J698" i="2"/>
  <c r="K698" i="2" s="1"/>
  <c r="BZ700" i="5" l="1"/>
  <c r="J700" i="5"/>
  <c r="D701" i="24"/>
  <c r="B700" i="24"/>
  <c r="E700" i="24"/>
  <c r="C701" i="24"/>
  <c r="H701" i="24" s="1"/>
  <c r="I701" i="5"/>
  <c r="J701" i="5" s="1"/>
  <c r="B702" i="5"/>
  <c r="C703" i="5"/>
  <c r="D703" i="5"/>
  <c r="E702" i="5"/>
  <c r="CA700" i="5"/>
  <c r="E700" i="25"/>
  <c r="B700" i="25"/>
  <c r="C701" i="25"/>
  <c r="H701" i="25" s="1"/>
  <c r="D701" i="25"/>
  <c r="R698" i="2"/>
  <c r="AU698" i="2"/>
  <c r="Y698" i="2"/>
  <c r="B700" i="2"/>
  <c r="C701" i="2"/>
  <c r="D701" i="2"/>
  <c r="E700" i="2"/>
  <c r="P699" i="2"/>
  <c r="R699" i="2" s="1"/>
  <c r="AF699" i="2"/>
  <c r="W699" i="2"/>
  <c r="J699" i="2"/>
  <c r="AU699" i="2" s="1"/>
  <c r="Q698" i="2"/>
  <c r="Q699" i="2" s="1"/>
  <c r="AE698" i="2"/>
  <c r="C702" i="24" l="1"/>
  <c r="H702" i="24" s="1"/>
  <c r="D702" i="24"/>
  <c r="B701" i="24"/>
  <c r="E701" i="24"/>
  <c r="I702" i="5"/>
  <c r="D704" i="5"/>
  <c r="C704" i="5"/>
  <c r="B703" i="5"/>
  <c r="E703" i="5"/>
  <c r="BZ701" i="5"/>
  <c r="CA701" i="5"/>
  <c r="C702" i="25"/>
  <c r="H702" i="25" s="1"/>
  <c r="B701" i="25"/>
  <c r="E701" i="25"/>
  <c r="D702" i="25"/>
  <c r="Y699" i="2"/>
  <c r="AV699" i="2"/>
  <c r="AF700" i="2"/>
  <c r="P700" i="2"/>
  <c r="W700" i="2"/>
  <c r="J700" i="2"/>
  <c r="C702" i="2"/>
  <c r="D702" i="2"/>
  <c r="E701" i="2"/>
  <c r="B701" i="2"/>
  <c r="AV698" i="2"/>
  <c r="AE699" i="2"/>
  <c r="AE700" i="2" s="1"/>
  <c r="K699" i="2"/>
  <c r="BZ702" i="5" l="1"/>
  <c r="E702" i="24"/>
  <c r="D703" i="24"/>
  <c r="B702" i="24"/>
  <c r="C703" i="24"/>
  <c r="H703" i="24" s="1"/>
  <c r="I703" i="5"/>
  <c r="BZ703" i="5" s="1"/>
  <c r="E704" i="5"/>
  <c r="C705" i="5"/>
  <c r="D705" i="5"/>
  <c r="B704" i="5"/>
  <c r="CA702" i="5"/>
  <c r="J702" i="5"/>
  <c r="E702" i="25"/>
  <c r="B702" i="25"/>
  <c r="D703" i="25"/>
  <c r="C703" i="25"/>
  <c r="H703" i="25" s="1"/>
  <c r="AF701" i="2"/>
  <c r="P701" i="2"/>
  <c r="W701" i="2"/>
  <c r="J701" i="2"/>
  <c r="D703" i="2"/>
  <c r="B702" i="2"/>
  <c r="C703" i="2"/>
  <c r="E702" i="2"/>
  <c r="Y700" i="2"/>
  <c r="AU700" i="2"/>
  <c r="R700" i="2"/>
  <c r="AV700" i="2" s="1"/>
  <c r="K700" i="2"/>
  <c r="Q700" i="2"/>
  <c r="C704" i="24" l="1"/>
  <c r="H704" i="24" s="1"/>
  <c r="E703" i="24"/>
  <c r="D704" i="24"/>
  <c r="B703" i="24"/>
  <c r="D706" i="5"/>
  <c r="E705" i="5"/>
  <c r="B705" i="5"/>
  <c r="C706" i="5"/>
  <c r="I704" i="5"/>
  <c r="CA703" i="5"/>
  <c r="J703" i="5"/>
  <c r="C704" i="25"/>
  <c r="H704" i="25" s="1"/>
  <c r="B703" i="25"/>
  <c r="E703" i="25"/>
  <c r="D704" i="25"/>
  <c r="AF702" i="2"/>
  <c r="P702" i="2"/>
  <c r="W702" i="2"/>
  <c r="J702" i="2"/>
  <c r="B703" i="2"/>
  <c r="C704" i="2"/>
  <c r="D704" i="2"/>
  <c r="E703" i="2"/>
  <c r="K701" i="2"/>
  <c r="Y701" i="2"/>
  <c r="R701" i="2"/>
  <c r="AV701" i="2" s="1"/>
  <c r="AU701" i="2"/>
  <c r="Q701" i="2"/>
  <c r="Q702" i="2" s="1"/>
  <c r="AE701" i="2"/>
  <c r="AE702" i="2" s="1"/>
  <c r="D705" i="24" l="1"/>
  <c r="C705" i="24"/>
  <c r="H705" i="24" s="1"/>
  <c r="E704" i="24"/>
  <c r="B704" i="24"/>
  <c r="BZ704" i="5"/>
  <c r="CA704" i="5"/>
  <c r="I705" i="5"/>
  <c r="D707" i="5"/>
  <c r="E706" i="5"/>
  <c r="B706" i="5"/>
  <c r="C707" i="5"/>
  <c r="J704" i="5"/>
  <c r="D705" i="25"/>
  <c r="C705" i="25"/>
  <c r="H705" i="25" s="1"/>
  <c r="B704" i="25"/>
  <c r="E704" i="25"/>
  <c r="P703" i="2"/>
  <c r="AF703" i="2"/>
  <c r="W703" i="2"/>
  <c r="J703" i="2"/>
  <c r="C705" i="2"/>
  <c r="D705" i="2"/>
  <c r="B704" i="2"/>
  <c r="E704" i="2"/>
  <c r="K702" i="2"/>
  <c r="Y702" i="2"/>
  <c r="AU702" i="2"/>
  <c r="R702" i="2"/>
  <c r="AV702" i="2" s="1"/>
  <c r="E705" i="24" l="1"/>
  <c r="B705" i="24"/>
  <c r="C706" i="24"/>
  <c r="H706" i="24" s="1"/>
  <c r="D706" i="24"/>
  <c r="BZ705" i="5"/>
  <c r="I706" i="5"/>
  <c r="B707" i="5"/>
  <c r="E707" i="5"/>
  <c r="D708" i="5"/>
  <c r="C708" i="5"/>
  <c r="CA705" i="5"/>
  <c r="J705" i="5"/>
  <c r="B705" i="25"/>
  <c r="C706" i="25"/>
  <c r="H706" i="25" s="1"/>
  <c r="D706" i="25"/>
  <c r="E705" i="25"/>
  <c r="P704" i="2"/>
  <c r="AF704" i="2"/>
  <c r="W704" i="2"/>
  <c r="J704" i="2"/>
  <c r="C706" i="2"/>
  <c r="E705" i="2"/>
  <c r="D706" i="2"/>
  <c r="B705" i="2"/>
  <c r="K703" i="2"/>
  <c r="Y703" i="2"/>
  <c r="R703" i="2"/>
  <c r="AU703" i="2"/>
  <c r="AE703" i="2"/>
  <c r="AE704" i="2" s="1"/>
  <c r="Q703" i="2"/>
  <c r="Q704" i="2" s="1"/>
  <c r="J706" i="5" l="1"/>
  <c r="E706" i="24"/>
  <c r="B706" i="24"/>
  <c r="C707" i="24"/>
  <c r="H707" i="24" s="1"/>
  <c r="D707" i="24"/>
  <c r="D709" i="5"/>
  <c r="B708" i="5"/>
  <c r="E708" i="5"/>
  <c r="C709" i="5"/>
  <c r="I707" i="5"/>
  <c r="BZ706" i="5"/>
  <c r="CA706" i="5"/>
  <c r="E706" i="25"/>
  <c r="C707" i="25"/>
  <c r="H707" i="25" s="1"/>
  <c r="B706" i="25"/>
  <c r="D707" i="25"/>
  <c r="AV703" i="2"/>
  <c r="C707" i="2"/>
  <c r="D707" i="2"/>
  <c r="E706" i="2"/>
  <c r="B706" i="2"/>
  <c r="AF705" i="2"/>
  <c r="P705" i="2"/>
  <c r="W705" i="2"/>
  <c r="J705" i="2"/>
  <c r="K704" i="2"/>
  <c r="Y704" i="2"/>
  <c r="AV704" i="2" s="1"/>
  <c r="Q705" i="2"/>
  <c r="R704" i="2"/>
  <c r="AU704" i="2"/>
  <c r="C708" i="24" l="1"/>
  <c r="H708" i="24" s="1"/>
  <c r="B707" i="24"/>
  <c r="E707" i="24"/>
  <c r="D708" i="24"/>
  <c r="BZ707" i="5"/>
  <c r="CA707" i="5"/>
  <c r="I708" i="5"/>
  <c r="B709" i="5"/>
  <c r="E709" i="5"/>
  <c r="D710" i="5"/>
  <c r="C710" i="5"/>
  <c r="J707" i="5"/>
  <c r="C708" i="25"/>
  <c r="H708" i="25" s="1"/>
  <c r="B707" i="25"/>
  <c r="D708" i="25"/>
  <c r="E707" i="25"/>
  <c r="K705" i="2"/>
  <c r="Y705" i="2"/>
  <c r="R705" i="2"/>
  <c r="AV705" i="2" s="1"/>
  <c r="AU705" i="2"/>
  <c r="P706" i="2"/>
  <c r="AF706" i="2"/>
  <c r="W706" i="2"/>
  <c r="J706" i="2"/>
  <c r="K706" i="2" s="1"/>
  <c r="C708" i="2"/>
  <c r="B707" i="2"/>
  <c r="E707" i="2"/>
  <c r="D708" i="2"/>
  <c r="AE705" i="2"/>
  <c r="BZ708" i="5" l="1"/>
  <c r="E708" i="24"/>
  <c r="C709" i="24"/>
  <c r="H709" i="24" s="1"/>
  <c r="B708" i="24"/>
  <c r="D709" i="24"/>
  <c r="CA708" i="5"/>
  <c r="C711" i="5"/>
  <c r="D711" i="5"/>
  <c r="E710" i="5"/>
  <c r="B710" i="5"/>
  <c r="I709" i="5"/>
  <c r="J708" i="5"/>
  <c r="B708" i="25"/>
  <c r="C709" i="25"/>
  <c r="H709" i="25" s="1"/>
  <c r="D709" i="25"/>
  <c r="E708" i="25"/>
  <c r="D709" i="2"/>
  <c r="E708" i="2"/>
  <c r="C709" i="2"/>
  <c r="B708" i="2"/>
  <c r="AF707" i="2"/>
  <c r="P707" i="2"/>
  <c r="W707" i="2"/>
  <c r="J707" i="2"/>
  <c r="Y706" i="2"/>
  <c r="R706" i="2"/>
  <c r="AV706" i="2" s="1"/>
  <c r="AU706" i="2"/>
  <c r="AE706" i="2"/>
  <c r="AE707" i="2" s="1"/>
  <c r="Q706" i="2"/>
  <c r="Q707" i="2" s="1"/>
  <c r="K707" i="2" l="1"/>
  <c r="BZ709" i="5"/>
  <c r="C710" i="24"/>
  <c r="H710" i="24" s="1"/>
  <c r="B709" i="24"/>
  <c r="D710" i="24"/>
  <c r="E709" i="24"/>
  <c r="J709" i="5"/>
  <c r="CA709" i="5"/>
  <c r="I710" i="5"/>
  <c r="E711" i="5"/>
  <c r="C712" i="5"/>
  <c r="D712" i="5"/>
  <c r="B711" i="5"/>
  <c r="E709" i="25"/>
  <c r="B709" i="25"/>
  <c r="D710" i="25"/>
  <c r="C710" i="25"/>
  <c r="H710" i="25" s="1"/>
  <c r="Y707" i="2"/>
  <c r="AU707" i="2"/>
  <c r="R707" i="2"/>
  <c r="AV707" i="2" s="1"/>
  <c r="AF708" i="2"/>
  <c r="P708" i="2"/>
  <c r="W708" i="2"/>
  <c r="J708" i="2"/>
  <c r="K708" i="2" s="1"/>
  <c r="C710" i="2"/>
  <c r="B709" i="2"/>
  <c r="E709" i="2"/>
  <c r="D710" i="2"/>
  <c r="B710" i="24" l="1"/>
  <c r="E710" i="24"/>
  <c r="C711" i="24"/>
  <c r="H711" i="24" s="1"/>
  <c r="D711" i="24"/>
  <c r="BZ710" i="5"/>
  <c r="C713" i="5"/>
  <c r="B712" i="5"/>
  <c r="D713" i="5"/>
  <c r="E712" i="5"/>
  <c r="I711" i="5"/>
  <c r="CA710" i="5"/>
  <c r="J710" i="5"/>
  <c r="E710" i="25"/>
  <c r="B710" i="25"/>
  <c r="C711" i="25"/>
  <c r="H711" i="25" s="1"/>
  <c r="D711" i="25"/>
  <c r="P709" i="2"/>
  <c r="R709" i="2" s="1"/>
  <c r="AF709" i="2"/>
  <c r="W709" i="2"/>
  <c r="J709" i="2"/>
  <c r="K709" i="2" s="1"/>
  <c r="C711" i="2"/>
  <c r="D711" i="2"/>
  <c r="E710" i="2"/>
  <c r="B710" i="2"/>
  <c r="Y708" i="2"/>
  <c r="AU708" i="2"/>
  <c r="R708" i="2"/>
  <c r="AE708" i="2"/>
  <c r="AE709" i="2" s="1"/>
  <c r="Q708" i="2"/>
  <c r="Q709" i="2" s="1"/>
  <c r="J711" i="5" l="1"/>
  <c r="B711" i="24"/>
  <c r="C712" i="24"/>
  <c r="H712" i="24" s="1"/>
  <c r="D712" i="24"/>
  <c r="E711" i="24"/>
  <c r="D714" i="5"/>
  <c r="B713" i="5"/>
  <c r="C714" i="5"/>
  <c r="E713" i="5"/>
  <c r="BZ711" i="5"/>
  <c r="CA711" i="5"/>
  <c r="I712" i="5"/>
  <c r="B711" i="25"/>
  <c r="C712" i="25"/>
  <c r="H712" i="25" s="1"/>
  <c r="E711" i="25"/>
  <c r="D712" i="25"/>
  <c r="AU709" i="2"/>
  <c r="AV708" i="2"/>
  <c r="P710" i="2"/>
  <c r="R710" i="2" s="1"/>
  <c r="AF710" i="2"/>
  <c r="W710" i="2"/>
  <c r="J710" i="2"/>
  <c r="AU710" i="2" s="1"/>
  <c r="C712" i="2"/>
  <c r="D712" i="2"/>
  <c r="B711" i="2"/>
  <c r="E711" i="2"/>
  <c r="Y709" i="2"/>
  <c r="AV709" i="2" s="1"/>
  <c r="Q710" i="2"/>
  <c r="E712" i="24" l="1"/>
  <c r="C713" i="24"/>
  <c r="H713" i="24" s="1"/>
  <c r="D713" i="24"/>
  <c r="B712" i="24"/>
  <c r="BZ712" i="5"/>
  <c r="CA712" i="5"/>
  <c r="J712" i="5"/>
  <c r="I713" i="5"/>
  <c r="B714" i="5"/>
  <c r="C715" i="5"/>
  <c r="E714" i="5"/>
  <c r="D715" i="5"/>
  <c r="D713" i="25"/>
  <c r="B712" i="25"/>
  <c r="E712" i="25"/>
  <c r="C713" i="25"/>
  <c r="H713" i="25" s="1"/>
  <c r="AF711" i="2"/>
  <c r="P711" i="2"/>
  <c r="W711" i="2"/>
  <c r="J711" i="2"/>
  <c r="Q711" i="2"/>
  <c r="E712" i="2"/>
  <c r="C713" i="2"/>
  <c r="D713" i="2"/>
  <c r="B712" i="2"/>
  <c r="Y710" i="2"/>
  <c r="AV710" i="2" s="1"/>
  <c r="AE710" i="2"/>
  <c r="AE711" i="2" s="1"/>
  <c r="K710" i="2"/>
  <c r="E713" i="24" l="1"/>
  <c r="B713" i="24"/>
  <c r="C714" i="24"/>
  <c r="H714" i="24" s="1"/>
  <c r="D714" i="24"/>
  <c r="BZ713" i="5"/>
  <c r="C716" i="5"/>
  <c r="D716" i="5"/>
  <c r="E715" i="5"/>
  <c r="B715" i="5"/>
  <c r="I714" i="5"/>
  <c r="CA713" i="5"/>
  <c r="J713" i="5"/>
  <c r="E713" i="25"/>
  <c r="B713" i="25"/>
  <c r="C714" i="25"/>
  <c r="H714" i="25" s="1"/>
  <c r="D714" i="25"/>
  <c r="D714" i="2"/>
  <c r="E713" i="2"/>
  <c r="C714" i="2"/>
  <c r="B713" i="2"/>
  <c r="AF712" i="2"/>
  <c r="P712" i="2"/>
  <c r="W712" i="2"/>
  <c r="J712" i="2"/>
  <c r="K711" i="2"/>
  <c r="Y711" i="2"/>
  <c r="AU711" i="2"/>
  <c r="R711" i="2"/>
  <c r="D715" i="24" l="1"/>
  <c r="C715" i="24"/>
  <c r="H715" i="24" s="1"/>
  <c r="B714" i="24"/>
  <c r="E714" i="24"/>
  <c r="J714" i="5"/>
  <c r="CA714" i="5"/>
  <c r="BZ714" i="5"/>
  <c r="I715" i="5"/>
  <c r="C717" i="5"/>
  <c r="E716" i="5"/>
  <c r="D717" i="5"/>
  <c r="B716" i="5"/>
  <c r="E714" i="25"/>
  <c r="B714" i="25"/>
  <c r="C715" i="25"/>
  <c r="H715" i="25" s="1"/>
  <c r="D715" i="25"/>
  <c r="R712" i="2"/>
  <c r="AU712" i="2"/>
  <c r="Q712" i="2"/>
  <c r="K712" i="2"/>
  <c r="Y712" i="2"/>
  <c r="AV712" i="2" s="1"/>
  <c r="P713" i="2"/>
  <c r="AF713" i="2"/>
  <c r="W713" i="2"/>
  <c r="J713" i="2"/>
  <c r="E714" i="2"/>
  <c r="C715" i="2"/>
  <c r="B714" i="2"/>
  <c r="D715" i="2"/>
  <c r="AV711" i="2"/>
  <c r="AE712" i="2"/>
  <c r="K713" i="2" l="1"/>
  <c r="D716" i="24"/>
  <c r="B715" i="24"/>
  <c r="E715" i="24"/>
  <c r="C716" i="24"/>
  <c r="H716" i="24" s="1"/>
  <c r="BZ715" i="5"/>
  <c r="E717" i="5"/>
  <c r="C718" i="5"/>
  <c r="B717" i="5"/>
  <c r="D718" i="5"/>
  <c r="I716" i="5"/>
  <c r="CA715" i="5"/>
  <c r="J715" i="5"/>
  <c r="C716" i="25"/>
  <c r="H716" i="25" s="1"/>
  <c r="D716" i="25"/>
  <c r="B715" i="25"/>
  <c r="E715" i="25"/>
  <c r="B715" i="2"/>
  <c r="D716" i="2"/>
  <c r="C716" i="2"/>
  <c r="E715" i="2"/>
  <c r="AF714" i="2"/>
  <c r="P714" i="2"/>
  <c r="W714" i="2"/>
  <c r="J714" i="2"/>
  <c r="K714" i="2" s="1"/>
  <c r="Y713" i="2"/>
  <c r="R713" i="2"/>
  <c r="AU713" i="2"/>
  <c r="Q713" i="2"/>
  <c r="Q714" i="2" s="1"/>
  <c r="AE713" i="2"/>
  <c r="AE714" i="2" s="1"/>
  <c r="BZ716" i="5" l="1"/>
  <c r="E716" i="24"/>
  <c r="B716" i="24"/>
  <c r="C717" i="24"/>
  <c r="H717" i="24" s="1"/>
  <c r="D717" i="24"/>
  <c r="D719" i="5"/>
  <c r="E718" i="5"/>
  <c r="B718" i="5"/>
  <c r="C719" i="5"/>
  <c r="CA716" i="5"/>
  <c r="J716" i="5"/>
  <c r="I717" i="5"/>
  <c r="E716" i="25"/>
  <c r="B716" i="25"/>
  <c r="D717" i="25"/>
  <c r="C717" i="25"/>
  <c r="H717" i="25" s="1"/>
  <c r="AV713" i="2"/>
  <c r="Y714" i="2"/>
  <c r="R714" i="2"/>
  <c r="AU714" i="2"/>
  <c r="AF715" i="2"/>
  <c r="P715" i="2"/>
  <c r="W715" i="2"/>
  <c r="J715" i="2"/>
  <c r="K715" i="2" s="1"/>
  <c r="D717" i="2"/>
  <c r="E716" i="2"/>
  <c r="C717" i="2"/>
  <c r="B716" i="2"/>
  <c r="C718" i="24" l="1"/>
  <c r="H718" i="24" s="1"/>
  <c r="D718" i="24"/>
  <c r="B717" i="24"/>
  <c r="E717" i="24"/>
  <c r="J717" i="5"/>
  <c r="CA717" i="5"/>
  <c r="I718" i="5"/>
  <c r="B719" i="5"/>
  <c r="E719" i="5"/>
  <c r="D720" i="5"/>
  <c r="C720" i="5"/>
  <c r="BZ717" i="5"/>
  <c r="D718" i="25"/>
  <c r="E717" i="25"/>
  <c r="C718" i="25"/>
  <c r="H718" i="25" s="1"/>
  <c r="B717" i="25"/>
  <c r="Y715" i="2"/>
  <c r="AF716" i="2"/>
  <c r="P716" i="2"/>
  <c r="W716" i="2"/>
  <c r="J716" i="2"/>
  <c r="K716" i="2" s="1"/>
  <c r="D718" i="2"/>
  <c r="C718" i="2"/>
  <c r="E717" i="2"/>
  <c r="B717" i="2"/>
  <c r="AU715" i="2"/>
  <c r="R715" i="2"/>
  <c r="AV715" i="2" s="1"/>
  <c r="AV714" i="2"/>
  <c r="Q715" i="2"/>
  <c r="Q716" i="2" s="1"/>
  <c r="AE715" i="2"/>
  <c r="D719" i="24" l="1"/>
  <c r="E718" i="24"/>
  <c r="C719" i="24"/>
  <c r="H719" i="24" s="1"/>
  <c r="B718" i="24"/>
  <c r="E720" i="5"/>
  <c r="B720" i="5"/>
  <c r="C721" i="5"/>
  <c r="D721" i="5"/>
  <c r="I719" i="5"/>
  <c r="BZ719" i="5" s="1"/>
  <c r="BZ718" i="5"/>
  <c r="CA718" i="5"/>
  <c r="J718" i="5"/>
  <c r="D719" i="25"/>
  <c r="C719" i="25"/>
  <c r="H719" i="25" s="1"/>
  <c r="B718" i="25"/>
  <c r="E718" i="25"/>
  <c r="AF717" i="2"/>
  <c r="P717" i="2"/>
  <c r="W717" i="2"/>
  <c r="J717" i="2"/>
  <c r="K717" i="2" s="1"/>
  <c r="D719" i="2"/>
  <c r="E718" i="2"/>
  <c r="C719" i="2"/>
  <c r="B718" i="2"/>
  <c r="Y716" i="2"/>
  <c r="R716" i="2"/>
  <c r="AV716" i="2" s="1"/>
  <c r="AU716" i="2"/>
  <c r="AE716" i="2"/>
  <c r="AE717" i="2" s="1"/>
  <c r="B719" i="24" l="1"/>
  <c r="E719" i="24"/>
  <c r="C720" i="24"/>
  <c r="H720" i="24" s="1"/>
  <c r="D720" i="24"/>
  <c r="CA719" i="5"/>
  <c r="E721" i="5"/>
  <c r="D722" i="5"/>
  <c r="B721" i="5"/>
  <c r="C722" i="5"/>
  <c r="J719" i="5"/>
  <c r="I720" i="5"/>
  <c r="B719" i="25"/>
  <c r="E719" i="25"/>
  <c r="C720" i="25"/>
  <c r="H720" i="25" s="1"/>
  <c r="D720" i="25"/>
  <c r="AF718" i="2"/>
  <c r="P718" i="2"/>
  <c r="W718" i="2"/>
  <c r="J718" i="2"/>
  <c r="K718" i="2" s="1"/>
  <c r="B719" i="2"/>
  <c r="E719" i="2"/>
  <c r="D720" i="2"/>
  <c r="C720" i="2"/>
  <c r="Y717" i="2"/>
  <c r="R717" i="2"/>
  <c r="AU717" i="2"/>
  <c r="Q717" i="2"/>
  <c r="Q718" i="2" s="1"/>
  <c r="B720" i="24" l="1"/>
  <c r="D721" i="24"/>
  <c r="C721" i="24"/>
  <c r="H721" i="24" s="1"/>
  <c r="E720" i="24"/>
  <c r="J720" i="5"/>
  <c r="B722" i="5"/>
  <c r="E722" i="5"/>
  <c r="C723" i="5"/>
  <c r="D723" i="5"/>
  <c r="CA720" i="5"/>
  <c r="I721" i="5"/>
  <c r="BZ720" i="5"/>
  <c r="B720" i="25"/>
  <c r="C721" i="25"/>
  <c r="H721" i="25" s="1"/>
  <c r="E720" i="25"/>
  <c r="D721" i="25"/>
  <c r="AF719" i="2"/>
  <c r="P719" i="2"/>
  <c r="W719" i="2"/>
  <c r="J719" i="2"/>
  <c r="K719" i="2" s="1"/>
  <c r="Q719" i="2"/>
  <c r="AV717" i="2"/>
  <c r="B720" i="2"/>
  <c r="D721" i="2"/>
  <c r="C721" i="2"/>
  <c r="E720" i="2"/>
  <c r="Y718" i="2"/>
  <c r="R718" i="2"/>
  <c r="AV718" i="2" s="1"/>
  <c r="AU718" i="2"/>
  <c r="AE718" i="2"/>
  <c r="AE719" i="2" s="1"/>
  <c r="C722" i="24" l="1"/>
  <c r="H722" i="24" s="1"/>
  <c r="E721" i="24"/>
  <c r="B721" i="24"/>
  <c r="D722" i="24"/>
  <c r="BZ721" i="5"/>
  <c r="CA721" i="5"/>
  <c r="C724" i="5"/>
  <c r="E723" i="5"/>
  <c r="D724" i="5"/>
  <c r="B723" i="5"/>
  <c r="I722" i="5"/>
  <c r="J721" i="5"/>
  <c r="C722" i="25"/>
  <c r="H722" i="25" s="1"/>
  <c r="B721" i="25"/>
  <c r="D722" i="25"/>
  <c r="E721" i="25"/>
  <c r="D722" i="2"/>
  <c r="E721" i="2"/>
  <c r="B721" i="2"/>
  <c r="C722" i="2"/>
  <c r="AF720" i="2"/>
  <c r="P720" i="2"/>
  <c r="W720" i="2"/>
  <c r="J720" i="2"/>
  <c r="K720" i="2" s="1"/>
  <c r="Y719" i="2"/>
  <c r="R719" i="2"/>
  <c r="AU719" i="2"/>
  <c r="AE720" i="2"/>
  <c r="BZ722" i="5" l="1"/>
  <c r="B722" i="24"/>
  <c r="E722" i="24"/>
  <c r="C723" i="24"/>
  <c r="H723" i="24" s="1"/>
  <c r="D723" i="24"/>
  <c r="I723" i="5"/>
  <c r="CA722" i="5"/>
  <c r="E724" i="5"/>
  <c r="D725" i="5"/>
  <c r="B724" i="5"/>
  <c r="C725" i="5"/>
  <c r="J722" i="5"/>
  <c r="D723" i="25"/>
  <c r="B722" i="25"/>
  <c r="C723" i="25"/>
  <c r="H723" i="25" s="1"/>
  <c r="E722" i="25"/>
  <c r="R720" i="2"/>
  <c r="AU720" i="2"/>
  <c r="AV719" i="2"/>
  <c r="Q720" i="2"/>
  <c r="Y720" i="2"/>
  <c r="AF721" i="2"/>
  <c r="P721" i="2"/>
  <c r="W721" i="2"/>
  <c r="J721" i="2"/>
  <c r="K721" i="2" s="1"/>
  <c r="E722" i="2"/>
  <c r="C723" i="2"/>
  <c r="D723" i="2"/>
  <c r="B722" i="2"/>
  <c r="BZ723" i="5" l="1"/>
  <c r="D724" i="24"/>
  <c r="B723" i="24"/>
  <c r="E723" i="24"/>
  <c r="C724" i="24"/>
  <c r="H724" i="24" s="1"/>
  <c r="J723" i="5"/>
  <c r="B725" i="5"/>
  <c r="E725" i="5"/>
  <c r="C726" i="5"/>
  <c r="D726" i="5"/>
  <c r="I724" i="5"/>
  <c r="CA723" i="5"/>
  <c r="D724" i="25"/>
  <c r="B723" i="25"/>
  <c r="E723" i="25"/>
  <c r="C724" i="25"/>
  <c r="H724" i="25" s="1"/>
  <c r="P722" i="2"/>
  <c r="AF722" i="2"/>
  <c r="W722" i="2"/>
  <c r="J722" i="2"/>
  <c r="K722" i="2" s="1"/>
  <c r="C724" i="2"/>
  <c r="E723" i="2"/>
  <c r="D724" i="2"/>
  <c r="B723" i="2"/>
  <c r="Y721" i="2"/>
  <c r="AV721" i="2" s="1"/>
  <c r="AU721" i="2"/>
  <c r="R721" i="2"/>
  <c r="Q721" i="2"/>
  <c r="Q722" i="2" s="1"/>
  <c r="AE721" i="2"/>
  <c r="AE722" i="2" s="1"/>
  <c r="AV720" i="2"/>
  <c r="E724" i="24" l="1"/>
  <c r="C725" i="24"/>
  <c r="H725" i="24" s="1"/>
  <c r="B724" i="24"/>
  <c r="D725" i="24"/>
  <c r="BZ724" i="5"/>
  <c r="CA724" i="5"/>
  <c r="D727" i="5"/>
  <c r="C727" i="5"/>
  <c r="E726" i="5"/>
  <c r="B726" i="5"/>
  <c r="I725" i="5"/>
  <c r="J724" i="5"/>
  <c r="E724" i="25"/>
  <c r="B724" i="25"/>
  <c r="C725" i="25"/>
  <c r="H725" i="25" s="1"/>
  <c r="D725" i="25"/>
  <c r="B724" i="2"/>
  <c r="D725" i="2"/>
  <c r="E724" i="2"/>
  <c r="C725" i="2"/>
  <c r="AF723" i="2"/>
  <c r="P723" i="2"/>
  <c r="W723" i="2"/>
  <c r="J723" i="2"/>
  <c r="K723" i="2" s="1"/>
  <c r="Y722" i="2"/>
  <c r="R722" i="2"/>
  <c r="AV722" i="2" s="1"/>
  <c r="AU722" i="2"/>
  <c r="B725" i="24" l="1"/>
  <c r="C726" i="24"/>
  <c r="H726" i="24" s="1"/>
  <c r="D726" i="24"/>
  <c r="E725" i="24"/>
  <c r="BZ725" i="5"/>
  <c r="I726" i="5"/>
  <c r="C728" i="5"/>
  <c r="D728" i="5"/>
  <c r="E727" i="5"/>
  <c r="B727" i="5"/>
  <c r="CA725" i="5"/>
  <c r="J725" i="5"/>
  <c r="B725" i="25"/>
  <c r="E725" i="25"/>
  <c r="C726" i="25"/>
  <c r="H726" i="25" s="1"/>
  <c r="D726" i="25"/>
  <c r="Y723" i="2"/>
  <c r="R723" i="2"/>
  <c r="AV723" i="2" s="1"/>
  <c r="AU723" i="2"/>
  <c r="P724" i="2"/>
  <c r="R724" i="2" s="1"/>
  <c r="AF724" i="2"/>
  <c r="W724" i="2"/>
  <c r="J724" i="2"/>
  <c r="AU724" i="2" s="1"/>
  <c r="E725" i="2"/>
  <c r="B725" i="2"/>
  <c r="C726" i="2"/>
  <c r="D726" i="2"/>
  <c r="Q723" i="2"/>
  <c r="Q724" i="2" s="1"/>
  <c r="AE723" i="2"/>
  <c r="D727" i="24" l="1"/>
  <c r="E726" i="24"/>
  <c r="C727" i="24"/>
  <c r="H727" i="24" s="1"/>
  <c r="B726" i="24"/>
  <c r="D729" i="5"/>
  <c r="E728" i="5"/>
  <c r="B728" i="5"/>
  <c r="C729" i="5"/>
  <c r="CA726" i="5"/>
  <c r="I727" i="5"/>
  <c r="BZ726" i="5"/>
  <c r="J726" i="5"/>
  <c r="D727" i="25"/>
  <c r="B726" i="25"/>
  <c r="E726" i="25"/>
  <c r="C727" i="25"/>
  <c r="H727" i="25" s="1"/>
  <c r="D727" i="2"/>
  <c r="B726" i="2"/>
  <c r="C727" i="2"/>
  <c r="E726" i="2"/>
  <c r="AF725" i="2"/>
  <c r="P725" i="2"/>
  <c r="R725" i="2" s="1"/>
  <c r="W725" i="2"/>
  <c r="J725" i="2"/>
  <c r="Y724" i="2"/>
  <c r="AV724" i="2"/>
  <c r="AE724" i="2"/>
  <c r="AE725" i="2" s="1"/>
  <c r="K724" i="2"/>
  <c r="K725" i="2" l="1"/>
  <c r="E727" i="24"/>
  <c r="C728" i="24"/>
  <c r="H728" i="24" s="1"/>
  <c r="B727" i="24"/>
  <c r="D728" i="24"/>
  <c r="J727" i="5"/>
  <c r="BZ727" i="5"/>
  <c r="CA727" i="5"/>
  <c r="I728" i="5"/>
  <c r="E729" i="5"/>
  <c r="D730" i="5"/>
  <c r="B729" i="5"/>
  <c r="C730" i="5"/>
  <c r="E727" i="25"/>
  <c r="B727" i="25"/>
  <c r="C728" i="25"/>
  <c r="H728" i="25" s="1"/>
  <c r="D728" i="25"/>
  <c r="AU725" i="2"/>
  <c r="Y725" i="2"/>
  <c r="AV725" i="2" s="1"/>
  <c r="AF726" i="2"/>
  <c r="P726" i="2"/>
  <c r="W726" i="2"/>
  <c r="J726" i="2"/>
  <c r="K726" i="2" s="1"/>
  <c r="B727" i="2"/>
  <c r="E727" i="2"/>
  <c r="C728" i="2"/>
  <c r="D728" i="2"/>
  <c r="Q725" i="2"/>
  <c r="Q726" i="2" s="1"/>
  <c r="B728" i="24" l="1"/>
  <c r="C729" i="24"/>
  <c r="H729" i="24" s="1"/>
  <c r="E728" i="24"/>
  <c r="D729" i="24"/>
  <c r="BZ728" i="5"/>
  <c r="I729" i="5"/>
  <c r="CA728" i="5"/>
  <c r="J728" i="5"/>
  <c r="E730" i="5"/>
  <c r="D731" i="5"/>
  <c r="C731" i="5"/>
  <c r="B730" i="5"/>
  <c r="E728" i="25"/>
  <c r="D729" i="25"/>
  <c r="B728" i="25"/>
  <c r="C729" i="25"/>
  <c r="H729" i="25" s="1"/>
  <c r="AF727" i="2"/>
  <c r="P727" i="2"/>
  <c r="W727" i="2"/>
  <c r="J727" i="2"/>
  <c r="K727" i="2" s="1"/>
  <c r="D729" i="2"/>
  <c r="B728" i="2"/>
  <c r="E728" i="2"/>
  <c r="C729" i="2"/>
  <c r="Y726" i="2"/>
  <c r="R726" i="2"/>
  <c r="AV726" i="2" s="1"/>
  <c r="AU726" i="2"/>
  <c r="AE726" i="2"/>
  <c r="J729" i="5" l="1"/>
  <c r="D730" i="24"/>
  <c r="C730" i="24"/>
  <c r="H730" i="24" s="1"/>
  <c r="B729" i="24"/>
  <c r="E729" i="24"/>
  <c r="D732" i="5"/>
  <c r="E731" i="5"/>
  <c r="C732" i="5"/>
  <c r="B731" i="5"/>
  <c r="I730" i="5"/>
  <c r="J730" i="5" s="1"/>
  <c r="BZ729" i="5"/>
  <c r="CA729" i="5"/>
  <c r="C730" i="25"/>
  <c r="H730" i="25" s="1"/>
  <c r="E729" i="25"/>
  <c r="D730" i="25"/>
  <c r="B729" i="25"/>
  <c r="P728" i="2"/>
  <c r="R728" i="2" s="1"/>
  <c r="AF728" i="2"/>
  <c r="W728" i="2"/>
  <c r="J728" i="2"/>
  <c r="E729" i="2"/>
  <c r="B729" i="2"/>
  <c r="D730" i="2"/>
  <c r="C730" i="2"/>
  <c r="Y727" i="2"/>
  <c r="R727" i="2"/>
  <c r="AU727" i="2"/>
  <c r="Q727" i="2"/>
  <c r="Q728" i="2" s="1"/>
  <c r="AE727" i="2"/>
  <c r="E730" i="24" l="1"/>
  <c r="C731" i="24"/>
  <c r="H731" i="24" s="1"/>
  <c r="D731" i="24"/>
  <c r="B730" i="24"/>
  <c r="CA730" i="5"/>
  <c r="BZ730" i="5"/>
  <c r="I731" i="5"/>
  <c r="D733" i="5"/>
  <c r="E732" i="5"/>
  <c r="C733" i="5"/>
  <c r="B732" i="5"/>
  <c r="E730" i="25"/>
  <c r="C731" i="25"/>
  <c r="H731" i="25" s="1"/>
  <c r="D731" i="25"/>
  <c r="B730" i="25"/>
  <c r="AU728" i="2"/>
  <c r="AV727" i="2"/>
  <c r="E730" i="2"/>
  <c r="C731" i="2"/>
  <c r="B730" i="2"/>
  <c r="D731" i="2"/>
  <c r="AF729" i="2"/>
  <c r="P729" i="2"/>
  <c r="W729" i="2"/>
  <c r="J729" i="2"/>
  <c r="Y728" i="2"/>
  <c r="AV728" i="2"/>
  <c r="AE728" i="2"/>
  <c r="AE729" i="2" s="1"/>
  <c r="K728" i="2"/>
  <c r="K729" i="2" l="1"/>
  <c r="B731" i="24"/>
  <c r="E731" i="24"/>
  <c r="C732" i="24"/>
  <c r="H732" i="24" s="1"/>
  <c r="D732" i="24"/>
  <c r="I732" i="5"/>
  <c r="B733" i="5"/>
  <c r="E733" i="5"/>
  <c r="C734" i="5"/>
  <c r="D734" i="5"/>
  <c r="BZ731" i="5"/>
  <c r="CA731" i="5"/>
  <c r="J731" i="5"/>
  <c r="C732" i="25"/>
  <c r="H732" i="25" s="1"/>
  <c r="E731" i="25"/>
  <c r="D732" i="25"/>
  <c r="B731" i="25"/>
  <c r="Y729" i="2"/>
  <c r="R729" i="2"/>
  <c r="AV729" i="2" s="1"/>
  <c r="AU729" i="2"/>
  <c r="Q729" i="2"/>
  <c r="C732" i="2"/>
  <c r="B731" i="2"/>
  <c r="D732" i="2"/>
  <c r="E731" i="2"/>
  <c r="AF730" i="2"/>
  <c r="P730" i="2"/>
  <c r="R730" i="2" s="1"/>
  <c r="W730" i="2"/>
  <c r="J730" i="2"/>
  <c r="J732" i="5" l="1"/>
  <c r="D733" i="24"/>
  <c r="B732" i="24"/>
  <c r="C733" i="24"/>
  <c r="H733" i="24" s="1"/>
  <c r="E732" i="24"/>
  <c r="I733" i="5"/>
  <c r="BZ733" i="5" s="1"/>
  <c r="C735" i="5"/>
  <c r="D735" i="5"/>
  <c r="E734" i="5"/>
  <c r="B734" i="5"/>
  <c r="BZ732" i="5"/>
  <c r="CA732" i="5"/>
  <c r="D733" i="25"/>
  <c r="B732" i="25"/>
  <c r="E732" i="25"/>
  <c r="C733" i="25"/>
  <c r="H733" i="25" s="1"/>
  <c r="B732" i="2"/>
  <c r="C733" i="2"/>
  <c r="E732" i="2"/>
  <c r="D733" i="2"/>
  <c r="Y730" i="2"/>
  <c r="AV730" i="2" s="1"/>
  <c r="P731" i="2"/>
  <c r="R731" i="2" s="1"/>
  <c r="AF731" i="2"/>
  <c r="W731" i="2"/>
  <c r="J731" i="2"/>
  <c r="Q730" i="2"/>
  <c r="Q731" i="2" s="1"/>
  <c r="AE730" i="2"/>
  <c r="AE731" i="2" s="1"/>
  <c r="AU730" i="2"/>
  <c r="K730" i="2"/>
  <c r="J733" i="5" l="1"/>
  <c r="E733" i="24"/>
  <c r="C734" i="24"/>
  <c r="H734" i="24" s="1"/>
  <c r="B733" i="24"/>
  <c r="D734" i="24"/>
  <c r="I734" i="5"/>
  <c r="BZ734" i="5" s="1"/>
  <c r="E735" i="5"/>
  <c r="B735" i="5"/>
  <c r="C736" i="5"/>
  <c r="D736" i="5"/>
  <c r="CA733" i="5"/>
  <c r="B733" i="25"/>
  <c r="E733" i="25"/>
  <c r="C734" i="25"/>
  <c r="H734" i="25" s="1"/>
  <c r="D734" i="25"/>
  <c r="AU731" i="2"/>
  <c r="Y731" i="2"/>
  <c r="AV731" i="2" s="1"/>
  <c r="B733" i="2"/>
  <c r="C734" i="2"/>
  <c r="D734" i="2"/>
  <c r="E733" i="2"/>
  <c r="P732" i="2"/>
  <c r="R732" i="2" s="1"/>
  <c r="AF732" i="2"/>
  <c r="W732" i="2"/>
  <c r="J732" i="2"/>
  <c r="K731" i="2"/>
  <c r="K732" i="2" s="1"/>
  <c r="B734" i="24" l="1"/>
  <c r="D735" i="24"/>
  <c r="E734" i="24"/>
  <c r="C735" i="24"/>
  <c r="H735" i="24" s="1"/>
  <c r="E736" i="5"/>
  <c r="C737" i="5"/>
  <c r="D737" i="5"/>
  <c r="B736" i="5"/>
  <c r="I735" i="5"/>
  <c r="CA734" i="5"/>
  <c r="J734" i="5"/>
  <c r="E734" i="25"/>
  <c r="B734" i="25"/>
  <c r="D735" i="25"/>
  <c r="C735" i="25"/>
  <c r="H735" i="25" s="1"/>
  <c r="AU732" i="2"/>
  <c r="Y732" i="2"/>
  <c r="AV732" i="2" s="1"/>
  <c r="P733" i="2"/>
  <c r="R733" i="2" s="1"/>
  <c r="AF733" i="2"/>
  <c r="W733" i="2"/>
  <c r="J733" i="2"/>
  <c r="D735" i="2"/>
  <c r="B734" i="2"/>
  <c r="C735" i="2"/>
  <c r="E734" i="2"/>
  <c r="AE732" i="2"/>
  <c r="AE733" i="2" s="1"/>
  <c r="Q732" i="2"/>
  <c r="J735" i="5" l="1"/>
  <c r="C736" i="24"/>
  <c r="H736" i="24" s="1"/>
  <c r="E735" i="24"/>
  <c r="D736" i="24"/>
  <c r="B735" i="24"/>
  <c r="BZ735" i="5"/>
  <c r="CA735" i="5"/>
  <c r="E737" i="5"/>
  <c r="B737" i="5"/>
  <c r="D741" i="5"/>
  <c r="C741" i="5"/>
  <c r="I736" i="5"/>
  <c r="J736" i="5" s="1"/>
  <c r="C736" i="25"/>
  <c r="H736" i="25" s="1"/>
  <c r="B735" i="25"/>
  <c r="E735" i="25"/>
  <c r="D736" i="25"/>
  <c r="AU733" i="2"/>
  <c r="AF734" i="2"/>
  <c r="P734" i="2"/>
  <c r="R734" i="2" s="1"/>
  <c r="W734" i="2"/>
  <c r="J734" i="2"/>
  <c r="AE734" i="2"/>
  <c r="C736" i="2"/>
  <c r="B735" i="2"/>
  <c r="D736" i="2"/>
  <c r="E735" i="2"/>
  <c r="Y733" i="2"/>
  <c r="AV733" i="2" s="1"/>
  <c r="Q733" i="2"/>
  <c r="Q734" i="2" s="1"/>
  <c r="K733" i="2"/>
  <c r="K734" i="2" l="1"/>
  <c r="E736" i="24"/>
  <c r="C737" i="24"/>
  <c r="H737" i="24" s="1"/>
  <c r="B736" i="24"/>
  <c r="D737" i="24"/>
  <c r="CA736" i="5"/>
  <c r="D742" i="5"/>
  <c r="C742" i="5"/>
  <c r="B741" i="5"/>
  <c r="E741" i="5"/>
  <c r="I737" i="5"/>
  <c r="BZ736" i="5"/>
  <c r="B736" i="25"/>
  <c r="C737" i="25"/>
  <c r="H737" i="25" s="1"/>
  <c r="D737" i="25"/>
  <c r="E736" i="25"/>
  <c r="AU734" i="2"/>
  <c r="D737" i="2"/>
  <c r="E736" i="2"/>
  <c r="C737" i="2"/>
  <c r="B736" i="2"/>
  <c r="AF735" i="2"/>
  <c r="P735" i="2"/>
  <c r="W735" i="2"/>
  <c r="J735" i="2"/>
  <c r="K735" i="2" s="1"/>
  <c r="AE735" i="2"/>
  <c r="Y734" i="2"/>
  <c r="AV734" i="2" s="1"/>
  <c r="BZ737" i="5" l="1"/>
  <c r="BZ738" i="5" s="1"/>
  <c r="B737" i="24"/>
  <c r="C739" i="24"/>
  <c r="H739" i="24" s="1"/>
  <c r="E737" i="24"/>
  <c r="D739" i="24"/>
  <c r="J737" i="5"/>
  <c r="CA737" i="5"/>
  <c r="CA738" i="5" s="1"/>
  <c r="O741" i="5"/>
  <c r="Q741" i="5" s="1"/>
  <c r="AC741" i="5"/>
  <c r="AE741" i="5" s="1"/>
  <c r="V741" i="5"/>
  <c r="X741" i="5" s="1"/>
  <c r="AJ741" i="5"/>
  <c r="I741" i="5"/>
  <c r="B742" i="5"/>
  <c r="C743" i="5"/>
  <c r="E742" i="5"/>
  <c r="D743" i="5"/>
  <c r="E737" i="25"/>
  <c r="B737" i="25"/>
  <c r="R735" i="2"/>
  <c r="AU735" i="2"/>
  <c r="Y735" i="2"/>
  <c r="P736" i="2"/>
  <c r="R736" i="2" s="1"/>
  <c r="AF736" i="2"/>
  <c r="W736" i="2"/>
  <c r="J736" i="2"/>
  <c r="AU736" i="2" s="1"/>
  <c r="B737" i="2"/>
  <c r="E737" i="2"/>
  <c r="Q735" i="2"/>
  <c r="Q736" i="2" s="1"/>
  <c r="AD741" i="5" l="1"/>
  <c r="P741" i="5"/>
  <c r="D740" i="24"/>
  <c r="B739" i="24"/>
  <c r="E739" i="24"/>
  <c r="C740" i="24"/>
  <c r="H740" i="24" s="1"/>
  <c r="B743" i="5"/>
  <c r="E743" i="5"/>
  <c r="D744" i="5"/>
  <c r="C744" i="5"/>
  <c r="O742" i="5"/>
  <c r="Q742" i="5" s="1"/>
  <c r="AC742" i="5"/>
  <c r="AE742" i="5" s="1"/>
  <c r="AJ742" i="5"/>
  <c r="V742" i="5"/>
  <c r="X742" i="5" s="1"/>
  <c r="I742" i="5"/>
  <c r="J741" i="5"/>
  <c r="BZ741" i="5"/>
  <c r="AK741" i="5"/>
  <c r="AL741" i="5"/>
  <c r="CA741" i="5" s="1"/>
  <c r="W741" i="5"/>
  <c r="AF737" i="2"/>
  <c r="AF738" i="2" s="1"/>
  <c r="P737" i="2"/>
  <c r="W737" i="2"/>
  <c r="J737" i="2"/>
  <c r="Q737" i="2"/>
  <c r="Y736" i="2"/>
  <c r="AV736" i="2"/>
  <c r="K736" i="2"/>
  <c r="AE736" i="2"/>
  <c r="AE737" i="2" s="1"/>
  <c r="AV735" i="2"/>
  <c r="K737" i="2" l="1"/>
  <c r="K738" i="2" s="1"/>
  <c r="K14" i="19"/>
  <c r="K110" i="19" s="1"/>
  <c r="G8" i="32" s="1"/>
  <c r="K15" i="19"/>
  <c r="K111" i="19" s="1"/>
  <c r="G9" i="32" s="1"/>
  <c r="K16" i="19"/>
  <c r="K112" i="19" s="1"/>
  <c r="G10" i="32" s="1"/>
  <c r="K17" i="19"/>
  <c r="K113" i="19" s="1"/>
  <c r="G11" i="32" s="1"/>
  <c r="K18" i="19"/>
  <c r="K114" i="19" s="1"/>
  <c r="G12" i="32" s="1"/>
  <c r="K19" i="19"/>
  <c r="K115" i="19" s="1"/>
  <c r="G13" i="32" s="1"/>
  <c r="K20" i="19"/>
  <c r="K116" i="19" s="1"/>
  <c r="G14" i="32" s="1"/>
  <c r="K21" i="19"/>
  <c r="K117" i="19" s="1"/>
  <c r="G15" i="32" s="1"/>
  <c r="K22" i="19"/>
  <c r="K118" i="19" s="1"/>
  <c r="G16" i="32" s="1"/>
  <c r="BZ742" i="5"/>
  <c r="J742" i="5"/>
  <c r="P742" i="5"/>
  <c r="B740" i="24"/>
  <c r="E740" i="24"/>
  <c r="C741" i="24"/>
  <c r="H741" i="24" s="1"/>
  <c r="D741" i="24"/>
  <c r="AK742" i="5"/>
  <c r="AL742" i="5"/>
  <c r="CA742" i="5" s="1"/>
  <c r="O743" i="5"/>
  <c r="Q743" i="5" s="1"/>
  <c r="AC743" i="5"/>
  <c r="AE743" i="5" s="1"/>
  <c r="V743" i="5"/>
  <c r="X743" i="5" s="1"/>
  <c r="AJ743" i="5"/>
  <c r="I743" i="5"/>
  <c r="AD742" i="5"/>
  <c r="D745" i="5"/>
  <c r="E744" i="5"/>
  <c r="B744" i="5"/>
  <c r="C745" i="5"/>
  <c r="W742" i="5"/>
  <c r="Y737" i="2"/>
  <c r="Y738" i="2" s="1"/>
  <c r="R737" i="2"/>
  <c r="AU737" i="2"/>
  <c r="AD743" i="5" l="1"/>
  <c r="B741" i="24"/>
  <c r="E741" i="24"/>
  <c r="C742" i="24"/>
  <c r="H742" i="24" s="1"/>
  <c r="D742" i="24"/>
  <c r="E745" i="5"/>
  <c r="B745" i="5"/>
  <c r="C746" i="5"/>
  <c r="D746" i="5"/>
  <c r="O744" i="5"/>
  <c r="Q744" i="5" s="1"/>
  <c r="AC744" i="5"/>
  <c r="AE744" i="5" s="1"/>
  <c r="AJ744" i="5"/>
  <c r="V744" i="5"/>
  <c r="X744" i="5" s="1"/>
  <c r="I744" i="5"/>
  <c r="J743" i="5"/>
  <c r="BZ743" i="5"/>
  <c r="AK743" i="5"/>
  <c r="AL743" i="5"/>
  <c r="CA743" i="5" s="1"/>
  <c r="W743" i="5"/>
  <c r="P743" i="5"/>
  <c r="AV737" i="2"/>
  <c r="M119" i="19"/>
  <c r="I20" i="30" l="1"/>
  <c r="I17" i="32"/>
  <c r="I23" i="30"/>
  <c r="I25" i="30"/>
  <c r="I26" i="30" s="1"/>
  <c r="AD744" i="5"/>
  <c r="BZ744" i="5"/>
  <c r="J744" i="5"/>
  <c r="B742" i="24"/>
  <c r="C743" i="24"/>
  <c r="H743" i="24" s="1"/>
  <c r="D743" i="24"/>
  <c r="E742" i="24"/>
  <c r="AK744" i="5"/>
  <c r="AL744" i="5"/>
  <c r="CA744" i="5" s="1"/>
  <c r="W744" i="5"/>
  <c r="B746" i="5"/>
  <c r="E746" i="5"/>
  <c r="D747" i="5"/>
  <c r="C747" i="5"/>
  <c r="P744" i="5"/>
  <c r="O745" i="5"/>
  <c r="Q745" i="5" s="1"/>
  <c r="AC745" i="5"/>
  <c r="AE745" i="5" s="1"/>
  <c r="V745" i="5"/>
  <c r="X745" i="5" s="1"/>
  <c r="AJ745" i="5"/>
  <c r="I745" i="5"/>
  <c r="J745" i="5" s="1"/>
  <c r="E743" i="24" l="1"/>
  <c r="C744" i="24"/>
  <c r="H744" i="24" s="1"/>
  <c r="D744" i="24"/>
  <c r="B743" i="24"/>
  <c r="E747" i="5"/>
  <c r="C748" i="5"/>
  <c r="D748" i="5"/>
  <c r="B747" i="5"/>
  <c r="O746" i="5"/>
  <c r="Q746" i="5" s="1"/>
  <c r="AC746" i="5"/>
  <c r="AE746" i="5" s="1"/>
  <c r="AJ746" i="5"/>
  <c r="V746" i="5"/>
  <c r="X746" i="5" s="1"/>
  <c r="I746" i="5"/>
  <c r="AK745" i="5"/>
  <c r="AL745" i="5"/>
  <c r="CA745" i="5" s="1"/>
  <c r="P745" i="5"/>
  <c r="W745" i="5"/>
  <c r="BZ745" i="5"/>
  <c r="AD745" i="5"/>
  <c r="W746" i="5" l="1"/>
  <c r="P746" i="5"/>
  <c r="C745" i="24"/>
  <c r="H745" i="24" s="1"/>
  <c r="B744" i="24"/>
  <c r="E744" i="24"/>
  <c r="D745" i="24"/>
  <c r="BZ746" i="5"/>
  <c r="AL746" i="5"/>
  <c r="CA746" i="5" s="1"/>
  <c r="AK746" i="5"/>
  <c r="AD746" i="5"/>
  <c r="E748" i="5"/>
  <c r="B748" i="5"/>
  <c r="D749" i="5"/>
  <c r="C749" i="5"/>
  <c r="J746" i="5"/>
  <c r="O747" i="5"/>
  <c r="Q747" i="5" s="1"/>
  <c r="AC747" i="5"/>
  <c r="AE747" i="5" s="1"/>
  <c r="V747" i="5"/>
  <c r="X747" i="5" s="1"/>
  <c r="AJ747" i="5"/>
  <c r="I747" i="5"/>
  <c r="E745" i="24" l="1"/>
  <c r="C746" i="24"/>
  <c r="H746" i="24" s="1"/>
  <c r="D746" i="24"/>
  <c r="B745" i="24"/>
  <c r="J747" i="5"/>
  <c r="E749" i="5"/>
  <c r="D750" i="5"/>
  <c r="B749" i="5"/>
  <c r="C750" i="5"/>
  <c r="O748" i="5"/>
  <c r="Q748" i="5" s="1"/>
  <c r="AC748" i="5"/>
  <c r="AE748" i="5" s="1"/>
  <c r="AJ748" i="5"/>
  <c r="V748" i="5"/>
  <c r="X748" i="5" s="1"/>
  <c r="I748" i="5"/>
  <c r="AD747" i="5"/>
  <c r="BZ747" i="5"/>
  <c r="W747" i="5"/>
  <c r="AK747" i="5"/>
  <c r="AL747" i="5"/>
  <c r="CA747" i="5" s="1"/>
  <c r="P747" i="5"/>
  <c r="AD748" i="5" l="1"/>
  <c r="W748" i="5"/>
  <c r="E746" i="24"/>
  <c r="C747" i="24"/>
  <c r="H747" i="24" s="1"/>
  <c r="I80" i="20" s="1"/>
  <c r="B746" i="24"/>
  <c r="D747" i="24"/>
  <c r="J748" i="5"/>
  <c r="BZ748" i="5"/>
  <c r="AK748" i="5"/>
  <c r="AL748" i="5"/>
  <c r="CA748" i="5" s="1"/>
  <c r="E750" i="5"/>
  <c r="C751" i="5"/>
  <c r="D751" i="5"/>
  <c r="B750" i="5"/>
  <c r="P748" i="5"/>
  <c r="O749" i="5"/>
  <c r="Q749" i="5" s="1"/>
  <c r="AC749" i="5"/>
  <c r="AE749" i="5" s="1"/>
  <c r="V749" i="5"/>
  <c r="X749" i="5" s="1"/>
  <c r="AJ749" i="5"/>
  <c r="I749" i="5"/>
  <c r="E747" i="24" l="1"/>
  <c r="B747" i="24"/>
  <c r="J749" i="5"/>
  <c r="P749" i="5"/>
  <c r="D752" i="5"/>
  <c r="B751" i="5"/>
  <c r="E751" i="5"/>
  <c r="C752" i="5"/>
  <c r="O750" i="5"/>
  <c r="AC750" i="5"/>
  <c r="AE750" i="5" s="1"/>
  <c r="AJ750" i="5"/>
  <c r="V750" i="5"/>
  <c r="X750" i="5" s="1"/>
  <c r="I750" i="5"/>
  <c r="BZ749" i="5"/>
  <c r="AD749" i="5"/>
  <c r="AK749" i="5"/>
  <c r="AL749" i="5"/>
  <c r="CA749" i="5" s="1"/>
  <c r="W749" i="5"/>
  <c r="K12" i="20" l="1"/>
  <c r="K13" i="20"/>
  <c r="K95" i="20" s="1"/>
  <c r="G24" i="32" s="1"/>
  <c r="K14" i="20"/>
  <c r="K96" i="20" s="1"/>
  <c r="G25" i="32" s="1"/>
  <c r="K15" i="20"/>
  <c r="K97" i="20" s="1"/>
  <c r="G26" i="32" s="1"/>
  <c r="K16" i="20"/>
  <c r="K98" i="20" s="1"/>
  <c r="G27" i="32" s="1"/>
  <c r="K17" i="20"/>
  <c r="K99" i="20" s="1"/>
  <c r="G28" i="32" s="1"/>
  <c r="K18" i="20"/>
  <c r="K100" i="20" s="1"/>
  <c r="G29" i="32" s="1"/>
  <c r="K19" i="20"/>
  <c r="K101" i="20" s="1"/>
  <c r="G30" i="32" s="1"/>
  <c r="K20" i="20"/>
  <c r="K102" i="20" s="1"/>
  <c r="G31" i="32" s="1"/>
  <c r="K21" i="20"/>
  <c r="K103" i="20" s="1"/>
  <c r="G32" i="32" s="1"/>
  <c r="K22" i="20"/>
  <c r="AD750" i="5"/>
  <c r="J750" i="5"/>
  <c r="Q750" i="5"/>
  <c r="M42" i="20" s="1"/>
  <c r="M94" i="20" s="1"/>
  <c r="K42" i="20"/>
  <c r="O751" i="5"/>
  <c r="Q751" i="5" s="1"/>
  <c r="AC751" i="5"/>
  <c r="AE751" i="5" s="1"/>
  <c r="V751" i="5"/>
  <c r="X751" i="5" s="1"/>
  <c r="AJ751" i="5"/>
  <c r="I751" i="5"/>
  <c r="BZ751" i="5" s="1"/>
  <c r="AD751" i="5"/>
  <c r="BZ750" i="5"/>
  <c r="AK750" i="5"/>
  <c r="AL750" i="5"/>
  <c r="CA750" i="5" s="1"/>
  <c r="W750" i="5"/>
  <c r="W751" i="5" s="1"/>
  <c r="D753" i="5"/>
  <c r="B752" i="5"/>
  <c r="E752" i="5"/>
  <c r="C753" i="5"/>
  <c r="P750" i="5"/>
  <c r="P751" i="5" s="1"/>
  <c r="K94" i="20" l="1"/>
  <c r="G23" i="32" s="1"/>
  <c r="K104" i="20"/>
  <c r="G33" i="32" s="1"/>
  <c r="O752" i="5"/>
  <c r="Q752" i="5" s="1"/>
  <c r="AC752" i="5"/>
  <c r="AE752" i="5" s="1"/>
  <c r="AJ752" i="5"/>
  <c r="V752" i="5"/>
  <c r="X752" i="5" s="1"/>
  <c r="I752" i="5"/>
  <c r="B753" i="5"/>
  <c r="E753" i="5"/>
  <c r="W752" i="5"/>
  <c r="AD752" i="5"/>
  <c r="AK751" i="5"/>
  <c r="AL751" i="5"/>
  <c r="CA751" i="5" s="1"/>
  <c r="J751" i="5"/>
  <c r="J752" i="5" l="1"/>
  <c r="BZ752" i="5"/>
  <c r="P752" i="5"/>
  <c r="O753" i="5"/>
  <c r="Q753" i="5" s="1"/>
  <c r="AC753" i="5"/>
  <c r="AE753" i="5" s="1"/>
  <c r="V753" i="5"/>
  <c r="X753" i="5" s="1"/>
  <c r="AJ753" i="5"/>
  <c r="I753" i="5"/>
  <c r="AK752" i="5"/>
  <c r="AL752" i="5"/>
  <c r="CA752" i="5"/>
  <c r="AD753" i="5" l="1"/>
  <c r="W753" i="5"/>
  <c r="BZ753" i="5"/>
  <c r="P753" i="5"/>
  <c r="AK753" i="5"/>
  <c r="AL753" i="5"/>
  <c r="CA753" i="5"/>
  <c r="J75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AT76" authorId="0" shapeId="0" xr:uid="{25AE2167-C875-4FDF-86F5-9CCE9F175E09}">
      <text>
        <r>
          <rPr>
            <b/>
            <sz val="9"/>
            <color indexed="81"/>
            <rFont val="Tahoma"/>
            <family val="2"/>
          </rPr>
          <t>dimanche, pas d'interets sur CAT 3 mois BCP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H3" authorId="0" shapeId="0" xr:uid="{4FD92E26-2924-4549-A1C0-1818835D9249}">
      <text>
        <r>
          <rPr>
            <b/>
            <sz val="9"/>
            <color indexed="81"/>
            <rFont val="Tahoma"/>
            <family val="2"/>
          </rPr>
          <t>mettre formule sur excel calendrier NAV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H3" authorId="0" shapeId="0" xr:uid="{29AB7F68-FFB3-40F3-B64C-D2DEB1B553B9}">
      <text>
        <r>
          <rPr>
            <b/>
            <sz val="9"/>
            <color indexed="81"/>
            <rFont val="Tahoma"/>
            <family val="2"/>
          </rPr>
          <t>mettre formule sur excel calendrier NAV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7" authorId="0" shapeId="0" xr:uid="{F96C239A-C23F-4DEF-99DB-D6C485CB9DB5}">
      <text>
        <r>
          <rPr>
            <b/>
            <sz val="9"/>
            <color indexed="81"/>
            <rFont val="Tahoma"/>
            <family val="2"/>
          </rPr>
          <t xml:space="preserve">pour la journée du 12 mars, VL arrivée est celle du 13 mars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F281" authorId="0" shapeId="0" xr:uid="{982317E5-08C1-4D02-B374-5D57F25579E3}">
      <text>
        <r>
          <rPr>
            <b/>
            <sz val="9"/>
            <color indexed="81"/>
            <rFont val="Tahoma"/>
            <family val="2"/>
          </rPr>
          <t>interets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22" authorId="0" shapeId="0" xr:uid="{FEAB635E-678D-4710-B45B-36928996F769}">
      <text>
        <r>
          <rPr>
            <sz val="9"/>
            <color indexed="81"/>
            <rFont val="Tahoma"/>
            <family val="2"/>
          </rPr>
          <t xml:space="preserve">klesia plus elevé que prévu
</t>
        </r>
      </text>
    </comment>
    <comment ref="E430" authorId="0" shapeId="0" xr:uid="{EB8D0659-E0AB-4AE0-BCB0-3B601A0543B8}">
      <text>
        <r>
          <rPr>
            <b/>
            <sz val="9"/>
            <color indexed="81"/>
            <rFont val="Tahoma"/>
            <family val="2"/>
          </rPr>
          <t>pas possible de confirmer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0" authorId="0" shapeId="0" xr:uid="{1409217C-A910-47B3-AD57-48D0F2F3D6FE}">
      <text>
        <r>
          <rPr>
            <b/>
            <sz val="9"/>
            <color indexed="81"/>
            <rFont val="Tahoma"/>
            <family val="2"/>
          </rPr>
          <t>-Ellipsis + PGE + IQVIA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5" authorId="0" shapeId="0" xr:uid="{1C029B9D-BDB0-4D3A-9E5B-946D7BBF5CC6}">
      <text>
        <r>
          <rPr>
            <b/>
            <sz val="9"/>
            <color indexed="81"/>
            <rFont val="Tahoma"/>
            <family val="2"/>
          </rPr>
          <t>swile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6" authorId="0" shapeId="0" xr:uid="{E15E545D-DE2F-4173-84DA-198216EA07D1}">
      <text>
        <r>
          <rPr>
            <b/>
            <sz val="9"/>
            <color indexed="81"/>
            <rFont val="Tahoma"/>
            <family val="2"/>
          </rPr>
          <t>taxe sur salaire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9" authorId="0" shapeId="0" xr:uid="{2CF39C71-C0A8-401E-B0AB-878657E03F62}">
      <text>
        <r>
          <rPr>
            <b/>
            <sz val="9"/>
            <color indexed="81"/>
            <rFont val="Tahoma"/>
            <family val="2"/>
          </rPr>
          <t>NDF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0" authorId="0" shapeId="0" xr:uid="{8CBD6D40-5DFA-4D91-B82C-6F533BA16C7B}">
      <text>
        <r>
          <rPr>
            <b/>
            <sz val="9"/>
            <color indexed="81"/>
            <rFont val="Tahoma"/>
            <family val="2"/>
          </rPr>
          <t>Taxe sur salaire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10" authorId="0" shapeId="0" xr:uid="{4F60D727-5BE9-418C-A3AC-1B83D604F2D1}">
      <text>
        <r>
          <rPr>
            <b/>
            <sz val="9"/>
            <color indexed="81"/>
            <rFont val="Tahoma"/>
            <family val="2"/>
          </rPr>
          <t xml:space="preserve">je laisse DMPK pour </t>
        </r>
        <r>
          <rPr>
            <sz val="9"/>
            <color indexed="81"/>
            <rFont val="Tahoma"/>
            <family val="2"/>
          </rPr>
          <t xml:space="preserve">
50 KUSD</t>
        </r>
      </text>
    </comment>
    <comment ref="F645" authorId="0" shapeId="0" xr:uid="{9D69ABF0-1D71-499A-BCE3-2C56B9C48378}">
      <text>
        <r>
          <rPr>
            <b/>
            <sz val="9"/>
            <color indexed="81"/>
            <rFont val="Tahoma"/>
            <family val="2"/>
          </rPr>
          <t>Apgis non passé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47" authorId="0" shapeId="0" xr:uid="{933AD533-8618-4416-9C21-9DDE06699C03}">
      <text>
        <r>
          <rPr>
            <b/>
            <sz val="9"/>
            <color indexed="81"/>
            <rFont val="Tahoma"/>
            <family val="2"/>
          </rPr>
          <t>APGIS non prelevé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28" authorId="0" shapeId="0" xr:uid="{583FEE57-8657-4DBE-A433-DCE63B4C7934}">
      <text>
        <r>
          <rPr>
            <b/>
            <sz val="9"/>
            <color indexed="81"/>
            <rFont val="Tahoma"/>
            <family val="2"/>
          </rPr>
          <t>DGFIP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L83" authorId="0" shapeId="0" xr:uid="{F684DD97-AA6D-4428-BF4C-87A4D821A1F4}">
      <text>
        <r>
          <rPr>
            <b/>
            <sz val="9"/>
            <color indexed="81"/>
            <rFont val="Tahoma"/>
            <family val="2"/>
          </rPr>
          <t>24,06 capital gains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H3" authorId="0" shapeId="0" xr:uid="{F6D78165-B2DC-4610-9924-73B037AE8BB8}">
      <text>
        <r>
          <rPr>
            <b/>
            <sz val="9"/>
            <color indexed="81"/>
            <rFont val="Tahoma"/>
            <family val="2"/>
          </rPr>
          <t>mettre formule sur excel calendrier NAV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G374" authorId="0" shapeId="0" xr:uid="{E0E1869A-B1C9-4BB2-8B7A-C9B0E7016DA0}">
      <text>
        <r>
          <rPr>
            <b/>
            <sz val="9"/>
            <color indexed="81"/>
            <rFont val="Tahoma"/>
            <family val="2"/>
          </rPr>
          <t>en fait les intérêts sont versés le 2 et intégrés au calcul le 2 pour les interets</t>
        </r>
        <r>
          <rPr>
            <sz val="9"/>
            <color indexed="81"/>
            <rFont val="Tahoma"/>
            <family val="2"/>
          </rPr>
          <t xml:space="preserve">
mis le 1 pour comparer les performances avec les autres fonds sur la meme base</t>
        </r>
      </text>
    </comment>
    <comment ref="Q374" authorId="0" shapeId="0" xr:uid="{8BDBD660-B27B-4B20-8B3B-C42609559D4C}">
      <text>
        <r>
          <rPr>
            <b/>
            <sz val="9"/>
            <color indexed="81"/>
            <rFont val="Tahoma"/>
            <family val="2"/>
          </rPr>
          <t>calculated on Daily Perf as mvt in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81" authorId="0" shapeId="0" xr:uid="{2BD2A25F-6BCE-4056-8C84-99186E034E74}">
      <text>
        <r>
          <rPr>
            <b/>
            <sz val="9"/>
            <color indexed="81"/>
            <rFont val="Tahoma"/>
            <family val="2"/>
          </rPr>
          <t>for calculation of interets, reintegrated at the begining of monh.
In real, given the 8 of January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5" authorId="0" shapeId="0" xr:uid="{A0C327BB-6FF9-4DA0-9EB7-BC718BCA6E4F}">
      <text>
        <r>
          <rPr>
            <b/>
            <sz val="9"/>
            <color indexed="81"/>
            <rFont val="Tahoma"/>
            <family val="2"/>
          </rPr>
          <t>versés le 2 mais intégré au calcul le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<sst xmlns="http://schemas.openxmlformats.org/spreadsheetml/2006/main" count="6556" uniqueCount="314">
  <si>
    <t>PLACEMENTS DE TRESORERIE AU JOUR LE JOUR</t>
  </si>
  <si>
    <t>Date départ</t>
  </si>
  <si>
    <t>Date échéance</t>
  </si>
  <si>
    <t>Nbj</t>
  </si>
  <si>
    <t>Emetteur</t>
  </si>
  <si>
    <t>Montant</t>
  </si>
  <si>
    <t>Taux</t>
  </si>
  <si>
    <t>SG</t>
  </si>
  <si>
    <t>Intérêts</t>
  </si>
  <si>
    <t>Cumul intérêts</t>
  </si>
  <si>
    <t>Notice-Call Account Daily</t>
  </si>
  <si>
    <t>€</t>
  </si>
  <si>
    <t>$</t>
  </si>
  <si>
    <t>Month</t>
  </si>
  <si>
    <t>Date de valeur</t>
  </si>
  <si>
    <t>solde</t>
  </si>
  <si>
    <t>Mouvement</t>
  </si>
  <si>
    <t>Nouveau solde C/C</t>
  </si>
  <si>
    <t>Nouveau solde NCA</t>
  </si>
  <si>
    <t>€URO</t>
  </si>
  <si>
    <t>U$ DOLLAR</t>
  </si>
  <si>
    <t xml:space="preserve">   1 554 623,97 </t>
  </si>
  <si>
    <t>Prélèvements / Ajustements</t>
  </si>
  <si>
    <t>HERE</t>
  </si>
  <si>
    <t>Fin de mois</t>
  </si>
  <si>
    <t>Formule</t>
  </si>
  <si>
    <t>Total 2023</t>
  </si>
  <si>
    <t>Total 2024</t>
  </si>
  <si>
    <t>Bank</t>
  </si>
  <si>
    <t>Investment</t>
  </si>
  <si>
    <t>NCA</t>
  </si>
  <si>
    <t>Deposit</t>
  </si>
  <si>
    <t>WF</t>
  </si>
  <si>
    <t>CAT Tréso Plus</t>
  </si>
  <si>
    <t>Rate *</t>
  </si>
  <si>
    <t xml:space="preserve"> Interest paid</t>
  </si>
  <si>
    <t xml:space="preserve"> Interest due</t>
  </si>
  <si>
    <t>Total</t>
  </si>
  <si>
    <t>Total 2024 NCA</t>
  </si>
  <si>
    <t>Total 2024 CAT</t>
  </si>
  <si>
    <t>CAT Ester + 0,25%</t>
  </si>
  <si>
    <t>moyenne arithématique ester entre date blocage et veille de l'échéance de clôture</t>
  </si>
  <si>
    <t>CAT €ster +0,25%</t>
  </si>
  <si>
    <t>Opening Date</t>
  </si>
  <si>
    <t>Closing Date</t>
  </si>
  <si>
    <t>Dual deposit $ -&gt; €</t>
  </si>
  <si>
    <t>Mouvement from NCA to CC</t>
  </si>
  <si>
    <t>CAT €ster +0,25% n°1,2,3</t>
  </si>
  <si>
    <t>CAT €ster</t>
  </si>
  <si>
    <t>CAT Tréso plus</t>
  </si>
  <si>
    <t>préavis de 5 jours ouvrés</t>
  </si>
  <si>
    <t>CAT Euribor 3 mois  -BCP</t>
  </si>
  <si>
    <t>BCP</t>
  </si>
  <si>
    <t>CAT Euribor 3 mois</t>
  </si>
  <si>
    <t>Total Montant</t>
  </si>
  <si>
    <t>Taux moyen</t>
  </si>
  <si>
    <t>Total Interêts</t>
  </si>
  <si>
    <t>Taux BCE</t>
  </si>
  <si>
    <t>Gain/NCA</t>
  </si>
  <si>
    <t>Gain Placement/NCA</t>
  </si>
  <si>
    <t>gain/NCA</t>
  </si>
  <si>
    <t>Taux Fed (bas)</t>
  </si>
  <si>
    <t>Nber of days</t>
  </si>
  <si>
    <t>Opening Balance à date échéance</t>
  </si>
  <si>
    <t>WF Sweeping account</t>
  </si>
  <si>
    <t>Montant/Opening Balance at "Date échéance"</t>
  </si>
  <si>
    <t>Total 2025 NCA</t>
  </si>
  <si>
    <t>Total 2025 CAT</t>
  </si>
  <si>
    <t>Total Sweeping account 2025</t>
  </si>
  <si>
    <t>Total EUR 2025</t>
  </si>
  <si>
    <t>Date de valeur pr mvt argent
Date comptable pour solde</t>
  </si>
  <si>
    <t>Intérêts dû in fine 
( à date d'échéance)</t>
  </si>
  <si>
    <t>CAT 3m USD</t>
  </si>
  <si>
    <t>TOTAL 2025</t>
  </si>
  <si>
    <t>mois</t>
  </si>
  <si>
    <t>-</t>
  </si>
  <si>
    <t>Gain /NCA on interest due</t>
  </si>
  <si>
    <t>Profit/NCA</t>
  </si>
  <si>
    <t>Sweeping acc.</t>
  </si>
  <si>
    <t>CAT €ster +0,20%</t>
  </si>
  <si>
    <t>campagne + MDG</t>
  </si>
  <si>
    <t>Ellipsis</t>
  </si>
  <si>
    <t>Citi/SG</t>
  </si>
  <si>
    <t>OK</t>
  </si>
  <si>
    <t>campagne</t>
  </si>
  <si>
    <t>réconciliation cloture CAT Tréso, ester et BCP</t>
  </si>
  <si>
    <t>Valorisation</t>
  </si>
  <si>
    <t>Date départ (Date de règlement)</t>
  </si>
  <si>
    <t>ICI</t>
  </si>
  <si>
    <t>Principal</t>
  </si>
  <si>
    <t>** : until VL end of month ex : 31 March which value is available on the 1st of April</t>
  </si>
  <si>
    <t>Principal Vente</t>
  </si>
  <si>
    <t>Test</t>
  </si>
  <si>
    <t>+/- values quotidiennes</t>
  </si>
  <si>
    <t>perf annuelle depuis le début (Formule linéaire)</t>
  </si>
  <si>
    <t>Date de Valorisation Fonds</t>
  </si>
  <si>
    <t>Ellipsis** (Ester +0,28%)</t>
  </si>
  <si>
    <t>ce doit être les mêmes</t>
  </si>
  <si>
    <t>perf annuelle mensuelle annualisée</t>
  </si>
  <si>
    <t>recupérer argent CAT</t>
  </si>
  <si>
    <t>Next € et $</t>
  </si>
  <si>
    <t>EURUSD</t>
  </si>
  <si>
    <t>5m$ sur le compte courant</t>
  </si>
  <si>
    <t>** : For month, monthly rate and Total is cumulated rate</t>
  </si>
  <si>
    <t>FIFO-restant/total</t>
  </si>
  <si>
    <t>7 606 306,52</t>
  </si>
  <si>
    <t>à valider avec Alan</t>
  </si>
  <si>
    <t>Ellipsis Principal</t>
  </si>
  <si>
    <t>vir MdG fait le 10 et pas le 15- normalement ce sera contrebalancé par virement Havas, pr le moment pas de signe donc on remet à 50 ke au prochain virement</t>
  </si>
  <si>
    <t>De SA -&gt; LLC</t>
  </si>
  <si>
    <t>USD</t>
  </si>
  <si>
    <t>equilibrer les comptes</t>
  </si>
  <si>
    <t>EUR</t>
  </si>
  <si>
    <t>Date d'opération</t>
  </si>
  <si>
    <t>DE LLC à SA</t>
  </si>
  <si>
    <t>Date réglmt des fonds</t>
  </si>
  <si>
    <t>116 405,97</t>
  </si>
  <si>
    <t>CAT 1 mois</t>
  </si>
  <si>
    <t>CAT Tréso plus (du 5 au 5)</t>
  </si>
  <si>
    <t>CAT 1m</t>
  </si>
  <si>
    <t>DAT 29 Sep. 25</t>
  </si>
  <si>
    <t>DAT 17 Sept. 25</t>
  </si>
  <si>
    <t>Total- SA</t>
  </si>
  <si>
    <t>LLC</t>
  </si>
  <si>
    <t>Total- SA +LLC</t>
  </si>
  <si>
    <t>CAT Tréso plus n°2 (du 11 au 11)</t>
  </si>
  <si>
    <t>VL (Date départ)</t>
  </si>
  <si>
    <t>Valorisation (Date de départ)</t>
  </si>
  <si>
    <t>CAT Tréso Plus n°2</t>
  </si>
  <si>
    <t>Codéis</t>
  </si>
  <si>
    <t>CAT Tréso + n°2 (11)</t>
  </si>
  <si>
    <t>CAT Tréso + (5)</t>
  </si>
  <si>
    <t>CAT ester +0,20% (5)</t>
  </si>
  <si>
    <t>Date de Valorisation Codéis</t>
  </si>
  <si>
    <t>Valos achat</t>
  </si>
  <si>
    <t>PV quotidienne</t>
  </si>
  <si>
    <t>PV/MV depuis origine</t>
  </si>
  <si>
    <t>9 2025</t>
  </si>
  <si>
    <t>Valos (Date départ)</t>
  </si>
  <si>
    <t>Date VL</t>
  </si>
  <si>
    <t>Performance cumulée et annualisée</t>
  </si>
  <si>
    <t>Performance quotidienne</t>
  </si>
  <si>
    <t>Valos de la vente</t>
  </si>
  <si>
    <t>PV Vente</t>
  </si>
  <si>
    <t>Achat (Part)</t>
  </si>
  <si>
    <t>Prix initial- 1 Part (USD)</t>
  </si>
  <si>
    <t>Part</t>
  </si>
  <si>
    <t>Achat (Parts)</t>
  </si>
  <si>
    <t>Vente (Parts)</t>
  </si>
  <si>
    <t>PV Ventes</t>
  </si>
  <si>
    <t>Parts</t>
  </si>
  <si>
    <t>Valo achat</t>
  </si>
  <si>
    <t>Valo Vente</t>
  </si>
  <si>
    <t>OK fin septembre</t>
  </si>
  <si>
    <t>Codéis EUR</t>
  </si>
  <si>
    <t>Prix initial- 1 Part (EUR)</t>
  </si>
  <si>
    <t>codéis EUR</t>
  </si>
  <si>
    <t>VL Trading 
(Date départ)</t>
  </si>
  <si>
    <t>urgent</t>
  </si>
  <si>
    <t>Vente (Part) (31/10/2025)</t>
  </si>
  <si>
    <t>Part Restttes 31/10/2025</t>
  </si>
  <si>
    <t>OK fin octobre</t>
  </si>
  <si>
    <t>BNP/SG</t>
  </si>
  <si>
    <t>Ellipsis** (Ester +0,32%)</t>
  </si>
  <si>
    <t>PV mensuel</t>
  </si>
  <si>
    <t>Performance mensuelle annualisée</t>
  </si>
  <si>
    <t>Total 2025 Codéis</t>
  </si>
  <si>
    <t>OK 06/10</t>
  </si>
  <si>
    <t>vente</t>
  </si>
  <si>
    <t>PV</t>
  </si>
  <si>
    <t>Ellipsis BNP</t>
  </si>
  <si>
    <t>Total 2025 Ellipsis (Citi)</t>
  </si>
  <si>
    <t>Total 2025 Ellipsis (BNP)</t>
  </si>
  <si>
    <t>closed</t>
  </si>
  <si>
    <t>Vente 20/10 (Part)</t>
  </si>
  <si>
    <t>Part restantes 20/10</t>
  </si>
  <si>
    <t>Vente 04/11</t>
  </si>
  <si>
    <t>Parts resttes 04/11</t>
  </si>
  <si>
    <t>Prinicpal ventes</t>
  </si>
  <si>
    <t>Principal (USD)</t>
  </si>
  <si>
    <t>Principal (EUR)</t>
  </si>
  <si>
    <t>Interets accrued are considered as paid</t>
  </si>
  <si>
    <t>Interests are considered paid when cash out</t>
  </si>
  <si>
    <t>CAT Arkea</t>
  </si>
  <si>
    <t>CAT BIL</t>
  </si>
  <si>
    <t>ALLSPRING GOVT MM</t>
  </si>
  <si>
    <t>OK au vendredi 26/11</t>
  </si>
  <si>
    <t>CAT Arkea 12m</t>
  </si>
  <si>
    <t>CAT ARKEA 12m (du 05/11/25 au 05/11/26)</t>
  </si>
  <si>
    <t>ARKEA</t>
  </si>
  <si>
    <t>OK 05/11</t>
  </si>
  <si>
    <t>OK 11/11</t>
  </si>
  <si>
    <t>BIL</t>
  </si>
  <si>
    <t>CAT 6m USD</t>
  </si>
  <si>
    <t>CAT 9m USD</t>
  </si>
  <si>
    <t>CAT 12m USD</t>
  </si>
  <si>
    <t>CAT USD BIL 3 month</t>
  </si>
  <si>
    <t>CAT USD BIL 6 month</t>
  </si>
  <si>
    <t>CAT USD BIL 12 month</t>
  </si>
  <si>
    <t>CAT USD BIL 9 month</t>
  </si>
  <si>
    <t>OK 05/11 et reconciliation</t>
  </si>
  <si>
    <t>PV/MV versus Principal</t>
  </si>
  <si>
    <t>Vente 05/11/2025</t>
  </si>
  <si>
    <t>Parts Resttes 05/11/2025</t>
  </si>
  <si>
    <t>160 600,82</t>
  </si>
  <si>
    <t>Allspring</t>
  </si>
  <si>
    <t>Value at month end</t>
  </si>
  <si>
    <t>Monthly gain</t>
  </si>
  <si>
    <t>Available amount</t>
  </si>
  <si>
    <t>Morgan Stanley</t>
  </si>
  <si>
    <t/>
  </si>
  <si>
    <t>State Street</t>
  </si>
  <si>
    <t>GOLDMAN SACHS</t>
  </si>
  <si>
    <t>Allspring (949921126)</t>
  </si>
  <si>
    <t>State St Govt (857492706)</t>
  </si>
  <si>
    <t>Goldman Sachs (38141W273)</t>
  </si>
  <si>
    <t>Morgan Stanel (61747C707)</t>
  </si>
  <si>
    <t>Daily interest equivalent</t>
  </si>
  <si>
    <t>OK 05/12</t>
  </si>
  <si>
    <t>OK fin décembre et OK montant reçus le 11/12</t>
  </si>
  <si>
    <t>OK au 31/12</t>
  </si>
  <si>
    <t xml:space="preserve">                             </t>
  </si>
  <si>
    <t>Operation Date</t>
  </si>
  <si>
    <t>EURUSD FX</t>
  </si>
  <si>
    <t>Value Date</t>
  </si>
  <si>
    <t>Vente (Part)</t>
  </si>
  <si>
    <t>Vente 19/12/25</t>
  </si>
  <si>
    <t>Parts resttes 19/12/25</t>
  </si>
  <si>
    <t>Total 2025 CAT Tréso Plus</t>
  </si>
  <si>
    <t>Total 2025 CAT €ster + 20%</t>
  </si>
  <si>
    <t>Total 2025 CAT Tréso Plus n°2</t>
  </si>
  <si>
    <t>Total 2025 CAT 1 m</t>
  </si>
  <si>
    <t>Total 2025 CAT Euribor 3 mois</t>
  </si>
  <si>
    <t>Total 2025 CAT ARKEA 12m</t>
  </si>
  <si>
    <t>OPCVM - UCITS</t>
  </si>
  <si>
    <t>Total Codéis 2025</t>
  </si>
  <si>
    <t>OPCVM - UCITS - Money Market Funds</t>
  </si>
  <si>
    <t>BIL 3 months</t>
  </si>
  <si>
    <t>BIL 6 months</t>
  </si>
  <si>
    <t>BIL 9 months</t>
  </si>
  <si>
    <t>BIL 12 months</t>
  </si>
  <si>
    <t xml:space="preserve">Rate </t>
  </si>
  <si>
    <t>Ester/SOFR</t>
  </si>
  <si>
    <t>BCE/Fed</t>
  </si>
  <si>
    <t>Amount end of month</t>
  </si>
  <si>
    <t>CCY</t>
  </si>
  <si>
    <t xml:space="preserve">*on base 360 days for NCA/deposit/Codeis, on 365 days for sweeping account as interets are paid eveyday </t>
  </si>
  <si>
    <t>*average, on base 360 days for NCA, Deposit, Codeis</t>
  </si>
  <si>
    <t xml:space="preserve"> Interest Due</t>
  </si>
  <si>
    <t xml:space="preserve"> Interest Paid</t>
  </si>
  <si>
    <t>1 2025</t>
  </si>
  <si>
    <t>Total 2026 NCA</t>
  </si>
  <si>
    <t>Total 2026 CAT Tréso Plus</t>
  </si>
  <si>
    <t>Total 2026 CAT</t>
  </si>
  <si>
    <t>€ Cash investments report as of 31 12 2025</t>
  </si>
  <si>
    <t>10 2023</t>
  </si>
  <si>
    <t>11 2023</t>
  </si>
  <si>
    <t>12 2023</t>
  </si>
  <si>
    <t>1 2024</t>
  </si>
  <si>
    <t>2 2024</t>
  </si>
  <si>
    <t>3 2024</t>
  </si>
  <si>
    <t>4 2024</t>
  </si>
  <si>
    <t>5 2024</t>
  </si>
  <si>
    <t>6 2024</t>
  </si>
  <si>
    <t>7 2024</t>
  </si>
  <si>
    <t>8 2024</t>
  </si>
  <si>
    <t>9 2024</t>
  </si>
  <si>
    <t>10 2024</t>
  </si>
  <si>
    <t>11 2024</t>
  </si>
  <si>
    <t>12 2024</t>
  </si>
  <si>
    <t>2 2025</t>
  </si>
  <si>
    <t>3 2025</t>
  </si>
  <si>
    <t>4 2025</t>
  </si>
  <si>
    <t>5 2025</t>
  </si>
  <si>
    <t>6 2025</t>
  </si>
  <si>
    <t>7 2025</t>
  </si>
  <si>
    <t>8 2025</t>
  </si>
  <si>
    <t>10 2025</t>
  </si>
  <si>
    <t>11 2025</t>
  </si>
  <si>
    <t>12 2025</t>
  </si>
  <si>
    <t>YTD 2026</t>
  </si>
  <si>
    <t>TOTAL 2026</t>
  </si>
  <si>
    <t>Total 2026 CAT Tréso Plus n°2</t>
  </si>
  <si>
    <t>Total 2026 CAT ARKEA 12m</t>
  </si>
  <si>
    <t>Total 2026 Codéis</t>
  </si>
  <si>
    <t>Total 2026 Ellipsis (BNP)</t>
  </si>
  <si>
    <t>18/09/206</t>
  </si>
  <si>
    <t>Part resttes 26/01/2026</t>
  </si>
  <si>
    <t>Vente 26/01/2026</t>
  </si>
  <si>
    <t>Total NCA 2026</t>
  </si>
  <si>
    <t>Total CAT BIL 2026</t>
  </si>
  <si>
    <t>Change Amont end of month manually each month</t>
  </si>
  <si>
    <t>Total 2026 Note &amp; Funds</t>
  </si>
  <si>
    <t>change all sums manually each month</t>
  </si>
  <si>
    <t>Total 2026 Deposit</t>
  </si>
  <si>
    <t>Total MM 2026</t>
  </si>
  <si>
    <t>Total 2026 Notes &amp; MM &amp; Funds</t>
  </si>
  <si>
    <t>ok</t>
  </si>
  <si>
    <t>Amont EoM</t>
  </si>
  <si>
    <t>K€</t>
  </si>
  <si>
    <t>K$</t>
  </si>
  <si>
    <t>change sums manually each month</t>
  </si>
  <si>
    <t>in Thousand</t>
  </si>
  <si>
    <t>Annualized monthly performance (360 days)</t>
  </si>
  <si>
    <t>Daily performance 
(if intra-month movement)</t>
  </si>
  <si>
    <t>Capital Gains</t>
  </si>
  <si>
    <t>FX Gain/Loss- in thousand</t>
  </si>
  <si>
    <t>in k€</t>
  </si>
  <si>
    <t>in k$</t>
  </si>
  <si>
    <t>Total 2026</t>
  </si>
  <si>
    <t>Amount EoM</t>
  </si>
  <si>
    <t>mouvement de change 2025</t>
  </si>
  <si>
    <t>mouvement intra-groupe 2025</t>
  </si>
  <si>
    <t>mouvement de change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</si>
</sst>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&quot;XDR&quot;_-;\-* #,##0.00\ &quot;XDR&quot;_-;_-* &quot;-&quot;??\ &quot;XDR&quot;_-;_-@_-"/>
    <numFmt numFmtId="167" formatCode="_-[$€-2]\ * #,##0.00_-;\-[$€-2]\ * #,##0.00_-;_-[$€-2]\ * &quot;-&quot;??_-;_-@_-"/>
    <numFmt numFmtId="168" formatCode="[$]dddd\,\ d\ mmmm\ yyyy;@" x16r2:formatCode16="[$-en-150,1]dddd\,\ d\ mmmm\ yyyy;@"/>
    <numFmt numFmtId="169" formatCode="_-[$$-409]* #,##0.00_ ;_-[$$-409]* \-#,##0.00\ ;_-[$$-409]* &quot;-&quot;??_ ;_-@_ "/>
    <numFmt numFmtId="170" formatCode="0.0000"/>
    <numFmt numFmtId="171" formatCode="[$]d\ mmm\ yyyy;@" x16r2:formatCode16="[$-en-150,1]d\ mmm\ yyyy;@"/>
    <numFmt numFmtId="172" formatCode="_-* #,##0.0000_-;\-* #,##0.0000_-;_-* &quot;-&quot;??_-;_-@_-"/>
    <numFmt numFmtId="173" formatCode="_-[$$-409]* #,##0_ ;_-[$$-409]* \-#,##0\ ;_-[$$-409]* &quot;-&quot;_ ;_-@_ "/>
    <numFmt numFmtId="174" formatCode="_-[$€-2]\ * #,##0_-;\-[$€-2]\ * #,##0_-;_-[$€-2]\ * &quot;-&quot;??_-;_-@_-"/>
    <numFmt numFmtId="175" formatCode="dd/mm/yy;@"/>
    <numFmt numFmtId="176" formatCode="#,##0.00_ ;\-#,##0.00\ "/>
    <numFmt numFmtId="177" formatCode="#,##0.0000"/>
    <numFmt numFmtId="178" formatCode="0.000000"/>
    <numFmt numFmtId="179" formatCode="#,##0.0000_ ;\-#,##0.0000\ "/>
    <numFmt numFmtId="180" formatCode="#,##0.000000_ ;\-#,##0.000000\ "/>
    <numFmt numFmtId="181" formatCode="_-[$$-409]* #,##0.0000_ ;_-[$$-409]* \-#,##0.0000\ ;_-[$$-409]* &quot;-&quot;????_ ;_-@_ "/>
    <numFmt numFmtId="182" formatCode="_-[$€-2]\ * #,##0_-;\-[$€-2]\ * #,##0_-;_-[$€-2]\ * &quot;-&quot;_-;_-@_-"/>
    <numFmt numFmtId="183" formatCode="[$]mmm\ yy;@" x16r2:formatCode16="[$-en-150,1]mmm\ yy;@"/>
    <numFmt numFmtId="184" formatCode="[$$-409]#,##0.00"/>
    <numFmt numFmtId="185" formatCode="[$$-409]#,##0.00_ ;\-[$$-409]#,##0.00\ "/>
    <numFmt numFmtId="186" formatCode="#,##0.00\ &quot;€&quot;"/>
    <numFmt numFmtId="187" formatCode="#,##0\ &quot;€&quot;"/>
    <numFmt numFmtId="188" formatCode="_([$€-2]\ * #,##0_);_([$€-2]\ * \(#,##0\);_([$€-2]\ * &quot;-&quot;??_);_(@_)"/>
    <numFmt numFmtId="189" formatCode="_([$$-409]* #,##0_);_([$$-409]* \(#,##0\);_([$$-409]* &quot;-&quot;??_);_(@_)"/>
    <numFmt numFmtId="190" formatCode="[$-409]mmmm\-yy;@"/>
    <numFmt numFmtId="191" formatCode="[$-409]mmm\-yy;@"/>
    <numFmt numFmtId="192" formatCode="[$-409]mmmm\ d\,\ yyyy;@"/>
    <numFmt numFmtId="193" formatCode="_-[$€-2]\ * #,##0,;\-[$€-2]\ * #,##0;_-[$€-2]\ * &quot;-&quot;_-;_-@_-"/>
    <numFmt numFmtId="194" formatCode="_-[$$-409]* #,###,;_-[$$-409]* \-#,###,;_-[$$-409]* &quot;-&quot;_ ;_-@_ "/>
    <numFmt numFmtId="195" formatCode="_-[$$-409]* #,##0,;_-[$$-409]* \-#,##0\ ;_-[$$-409]* &quot;-&quot;_ ;_-@_ "/>
  </numFmts>
  <fonts count="10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Verdana"/>
      <family val="2"/>
    </font>
    <font>
      <sz val="10"/>
      <color theme="4" tint="-0.249977111117893"/>
      <name val="Verdana"/>
      <family val="2"/>
    </font>
    <font>
      <b/>
      <sz val="10"/>
      <color theme="4" tint="-0.249977111117893"/>
      <name val="Verdana"/>
      <family val="2"/>
    </font>
    <font>
      <sz val="10"/>
      <color rgb="FF9933FF"/>
      <name val="Verdana"/>
      <family val="2"/>
    </font>
    <font>
      <b/>
      <sz val="10"/>
      <color theme="9" tint="-0.499984740745262"/>
      <name val="Verdana"/>
      <family val="2"/>
    </font>
    <font>
      <sz val="10"/>
      <color theme="9" tint="-0.499984740745262"/>
      <name val="Verdana"/>
      <family val="2"/>
    </font>
    <font>
      <b/>
      <i/>
      <sz val="10"/>
      <color rgb="FF3333FF"/>
      <name val="Verdana"/>
      <family val="2"/>
    </font>
    <font>
      <b/>
      <i/>
      <sz val="10"/>
      <color theme="9" tint="-0.499984740745262"/>
      <name val="Verdana"/>
      <family val="2"/>
    </font>
    <font>
      <b/>
      <sz val="14"/>
      <color theme="4" tint="-0.249977111117893"/>
      <name val="Verdana"/>
      <family val="2"/>
    </font>
    <font>
      <b/>
      <sz val="14"/>
      <color rgb="FF9933FF"/>
      <name val="Verdana"/>
      <family val="2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sz val="11"/>
      <color theme="4" tint="-0.499984740745262"/>
      <name val="Calibri"/>
      <family val="2"/>
      <scheme val="minor"/>
    </font>
    <font>
      <b/>
      <i/>
      <sz val="16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499984740745262"/>
      <name val="Aptos Narrow"/>
      <family val="2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Aptos"/>
      <family val="2"/>
    </font>
    <font>
      <b/>
      <i/>
      <sz val="16"/>
      <color theme="9" tint="-0.499984740745262"/>
      <name val="Aptos"/>
      <family val="2"/>
    </font>
    <font>
      <b/>
      <sz val="11"/>
      <color theme="9" tint="-0.499984740745262"/>
      <name val="Aptos"/>
      <family val="2"/>
    </font>
    <font>
      <b/>
      <sz val="10"/>
      <color rgb="FF000000"/>
      <name val="Segoe UI"/>
      <family val="2"/>
    </font>
    <font>
      <sz val="11"/>
      <color rgb="FFFF0000"/>
      <name val="Aptos"/>
      <family val="2"/>
    </font>
    <font>
      <sz val="11"/>
      <color theme="9" tint="-0.249977111117893"/>
      <name val="Aptos"/>
      <family val="2"/>
    </font>
    <font>
      <sz val="11"/>
      <color theme="9"/>
      <name val="Calibri"/>
      <family val="2"/>
      <scheme val="minor"/>
    </font>
    <font>
      <sz val="11"/>
      <color theme="9"/>
      <name val="Aptos"/>
      <family val="2"/>
    </font>
    <font>
      <sz val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Aptos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9" tint="-0.499984740745262"/>
      <name val="Verdana"/>
      <family val="2"/>
    </font>
    <font>
      <sz val="10"/>
      <color theme="4" tint="-0.24994659260841701"/>
      <name val="Verdana"/>
      <family val="2"/>
    </font>
    <font>
      <b/>
      <sz val="10"/>
      <color theme="4" tint="-0.24994659260841701"/>
      <name val="Verdana"/>
      <family val="2"/>
    </font>
    <font>
      <b/>
      <sz val="11"/>
      <color theme="4" tint="-0.2499465926084170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4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rgb="FF9933FF"/>
      <name val="Calibri"/>
      <family val="2"/>
      <scheme val="minor"/>
    </font>
    <font>
      <sz val="12"/>
      <color rgb="FF9933FF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0"/>
      <color theme="4" tint="-0.249977111117893"/>
      <name val="Verdana"/>
      <family val="2"/>
    </font>
    <font>
      <i/>
      <sz val="10"/>
      <color theme="4" tint="-0.249977111117893"/>
      <name val="Verdana"/>
      <family val="2"/>
    </font>
    <font>
      <sz val="11"/>
      <color theme="3"/>
      <name val="Calibri"/>
      <family val="2"/>
      <scheme val="minor"/>
    </font>
    <font>
      <sz val="11"/>
      <color theme="3"/>
      <name val="Aptos"/>
      <family val="2"/>
    </font>
    <font>
      <sz val="10"/>
      <name val="Calibri"/>
      <family val="2"/>
      <scheme val="minor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4" tint="-0.24994659260841701"/>
      <name val="Calibri"/>
      <family val="2"/>
      <scheme val="minor"/>
    </font>
    <font>
      <sz val="12"/>
      <color theme="4" tint="-0.24994659260841701"/>
      <name val="Calibri"/>
      <family val="2"/>
      <scheme val="minor"/>
    </font>
    <font>
      <b/>
      <i/>
      <sz val="10"/>
      <color theme="4" tint="-0.249977111117893"/>
      <name val="Verdana"/>
      <family val="2"/>
    </font>
    <font>
      <sz val="11"/>
      <name val="Aptos"/>
      <family val="2"/>
    </font>
    <font>
      <sz val="11"/>
      <color rgb="FF92D050"/>
      <name val="Calibri"/>
      <family val="2"/>
      <scheme val="minor"/>
    </font>
    <font>
      <sz val="11"/>
      <color rgb="FF92D050"/>
      <name val="Aptos"/>
      <family val="2"/>
    </font>
    <font>
      <b/>
      <u/>
      <sz val="11"/>
      <color theme="1"/>
      <name val="Calibri"/>
      <family val="2"/>
      <scheme val="minor"/>
    </font>
    <font>
      <sz val="11"/>
      <color theme="4" tint="-0.499984740745262"/>
      <name val="Aptos"/>
      <family val="2"/>
    </font>
    <font>
      <sz val="11"/>
      <color theme="4"/>
      <name val="Aptos"/>
      <family val="2"/>
    </font>
    <font>
      <sz val="10"/>
      <color theme="4" tint="-0.499984740745262"/>
      <name val="Verdana"/>
      <family val="2"/>
    </font>
    <font>
      <b/>
      <sz val="10"/>
      <color theme="4" tint="-0.499984740745262"/>
      <name val="Verdana"/>
      <family val="2"/>
    </font>
    <font>
      <sz val="11"/>
      <color rgb="FF000000"/>
      <name val="Segoe UI"/>
      <family val="2"/>
    </font>
    <font>
      <sz val="11"/>
      <color theme="9" tint="0.3999755851924192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9" tint="-0.499984740745262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b/>
      <sz val="11"/>
      <color theme="4" tint="-0.24994659260841701"/>
      <name val="Arial"/>
      <family val="2"/>
    </font>
    <font>
      <b/>
      <i/>
      <sz val="11"/>
      <name val="Arial"/>
      <family val="2"/>
    </font>
    <font>
      <b/>
      <sz val="12"/>
      <color theme="4" tint="-0.24994659260841701"/>
      <name val="Arial"/>
      <family val="2"/>
    </font>
    <font>
      <sz val="9"/>
      <color theme="4" tint="-0.499984740745262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1"/>
      <name val="Arial"/>
      <family val="2"/>
    </font>
    <font>
      <b/>
      <sz val="12"/>
      <color rgb="FF614DD2"/>
      <name val="Calibri"/>
      <family val="2"/>
      <scheme val="minor"/>
    </font>
    <font>
      <sz val="11"/>
      <color rgb="FF614DD2"/>
      <name val="Calibri"/>
      <family val="2"/>
      <scheme val="minor"/>
    </font>
    <font>
      <sz val="12"/>
      <color rgb="FF614DD2"/>
      <name val="Calibri"/>
      <family val="2"/>
      <scheme val="minor"/>
    </font>
    <font>
      <i/>
      <sz val="12"/>
      <color theme="4" tint="-0.24994659260841701"/>
      <name val="Calibri"/>
      <family val="2"/>
      <scheme val="minor"/>
    </font>
    <font>
      <b/>
      <u val="singleAccounting"/>
      <sz val="11"/>
      <color theme="4" tint="-0.249977111117893"/>
      <name val="Verdana"/>
      <family val="2"/>
    </font>
    <font>
      <b/>
      <sz val="11"/>
      <color rgb="FFFF0000"/>
      <name val="Verdana"/>
      <family val="2"/>
    </font>
    <font>
      <i/>
      <sz val="11"/>
      <color theme="4" tint="-0.249977111117893"/>
      <name val="Verdana"/>
      <family val="2"/>
    </font>
    <font>
      <u val="singleAccounting"/>
      <sz val="11"/>
      <color theme="4" tint="-0.249977111117893"/>
      <name val="Verdana"/>
      <family val="2"/>
    </font>
    <font>
      <u val="singleAccounting"/>
      <sz val="10"/>
      <color theme="4" tint="-0.249977111117893"/>
      <name val="Verdana"/>
      <family val="2"/>
    </font>
    <font>
      <i/>
      <sz val="11"/>
      <name val="Arial"/>
      <family val="2"/>
    </font>
    <font>
      <i/>
      <sz val="9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4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14DD2"/>
        <bgColor indexed="64"/>
      </patternFill>
    </fill>
    <fill>
      <patternFill patternType="solid">
        <fgColor rgb="FF526B8C"/>
        <bgColor indexed="64"/>
      </patternFill>
    </fill>
    <fill>
      <patternFill patternType="solid">
        <fgColor rgb="FFD2D0EE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dashed">
        <color rgb="FF614DD2"/>
      </left>
      <right/>
      <top style="dashed">
        <color rgb="FF614DD2"/>
      </top>
      <bottom/>
      <diagonal/>
    </border>
    <border>
      <left/>
      <right/>
      <top style="dashed">
        <color rgb="FF614DD2"/>
      </top>
      <bottom/>
      <diagonal/>
    </border>
    <border>
      <left/>
      <right style="dashed">
        <color rgb="FF614DD2"/>
      </right>
      <top style="dashed">
        <color rgb="FF614DD2"/>
      </top>
      <bottom/>
      <diagonal/>
    </border>
    <border>
      <left style="dashed">
        <color rgb="FF614DD2"/>
      </left>
      <right/>
      <top/>
      <bottom style="dashed">
        <color rgb="FF614DD2"/>
      </bottom>
      <diagonal/>
    </border>
    <border>
      <left/>
      <right/>
      <top/>
      <bottom style="dashed">
        <color rgb="FF614DD2"/>
      </bottom>
      <diagonal/>
    </border>
    <border>
      <left/>
      <right style="dashed">
        <color rgb="FF614DD2"/>
      </right>
      <top/>
      <bottom style="dashed">
        <color rgb="FF614DD2"/>
      </bottom>
      <diagonal/>
    </border>
  </borders>
  <cellStyleXfs count="6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43" fillId="0" borderId="0" applyFill="0" applyProtection="0"/>
    <xf numFmtId="0" fontId="58" fillId="17" borderId="0"/>
    <xf numFmtId="42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0" fontId="58" fillId="17" borderId="11" applyNumberFormat="0" applyFont="0" applyFill="0" applyAlignment="0" applyProtection="0"/>
    <xf numFmtId="44" fontId="59" fillId="0" borderId="0" applyFont="0" applyFill="0" applyBorder="0" applyAlignment="0" applyProtection="0"/>
    <xf numFmtId="42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2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2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2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7">
    <xf numFmtId="0" fontId="0" fillId="0" borderId="0" xfId="0"/>
    <xf numFmtId="0" fontId="77" fillId="26" borderId="15" xfId="0" applyFont="1" applyFill="1" applyBorder="1" applyAlignment="1">
      <alignment horizontal="center" vertical="center" wrapText="1"/>
    </xf>
    <xf numFmtId="0" fontId="77" fillId="26" borderId="14" xfId="0" applyFont="1" applyFill="1" applyBorder="1" applyAlignment="1">
      <alignment horizontal="center" vertical="center" wrapText="1"/>
    </xf>
    <xf numFmtId="0" fontId="77" fillId="26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9" fontId="2" fillId="0" borderId="0" xfId="2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3" fillId="0" borderId="1" xfId="1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9" fontId="3" fillId="0" borderId="0" xfId="2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0" applyNumberFormat="1" applyFont="1" applyAlignment="1">
      <alignment horizontal="center"/>
    </xf>
    <xf numFmtId="9" fontId="7" fillId="0" borderId="0" xfId="2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9" fontId="3" fillId="0" borderId="1" xfId="2" applyFont="1" applyBorder="1" applyAlignment="1">
      <alignment horizontal="center"/>
    </xf>
    <xf numFmtId="0" fontId="9" fillId="0" borderId="0" xfId="0" applyFont="1" applyAlignment="1">
      <alignment horizontal="center"/>
    </xf>
    <xf numFmtId="169" fontId="7" fillId="0" borderId="0" xfId="1" applyNumberFormat="1" applyFont="1" applyAlignment="1">
      <alignment horizontal="center"/>
    </xf>
    <xf numFmtId="0" fontId="10" fillId="0" borderId="0" xfId="0" applyFont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7" fontId="12" fillId="0" borderId="2" xfId="0" applyNumberFormat="1" applyFont="1" applyBorder="1" applyAlignment="1">
      <alignment horizontal="center"/>
    </xf>
    <xf numFmtId="14" fontId="16" fillId="0" borderId="20" xfId="0" applyNumberFormat="1" applyFont="1" applyBorder="1" applyAlignment="1">
      <alignment horizontal="center"/>
    </xf>
    <xf numFmtId="167" fontId="16" fillId="0" borderId="18" xfId="0" applyNumberFormat="1" applyFont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4" fontId="16" fillId="0" borderId="21" xfId="0" applyNumberFormat="1" applyFont="1" applyBorder="1" applyAlignment="1">
      <alignment horizontal="center"/>
    </xf>
    <xf numFmtId="167" fontId="16" fillId="0" borderId="22" xfId="0" applyNumberFormat="1" applyFont="1" applyBorder="1" applyAlignment="1">
      <alignment horizontal="center"/>
    </xf>
    <xf numFmtId="167" fontId="16" fillId="0" borderId="2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16" fillId="0" borderId="2" xfId="0" applyNumberFormat="1" applyFont="1" applyBorder="1" applyAlignment="1">
      <alignment horizontal="center"/>
    </xf>
    <xf numFmtId="14" fontId="16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14" fontId="16" fillId="0" borderId="19" xfId="0" applyNumberFormat="1" applyFont="1" applyBorder="1" applyAlignment="1">
      <alignment horizontal="center"/>
    </xf>
    <xf numFmtId="167" fontId="16" fillId="0" borderId="1" xfId="0" applyNumberFormat="1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/>
    </xf>
    <xf numFmtId="167" fontId="18" fillId="0" borderId="1" xfId="0" applyNumberFormat="1" applyFont="1" applyBorder="1" applyAlignment="1">
      <alignment horizontal="center"/>
    </xf>
    <xf numFmtId="167" fontId="18" fillId="0" borderId="2" xfId="0" applyNumberFormat="1" applyFont="1" applyBorder="1" applyAlignment="1">
      <alignment horizontal="center"/>
    </xf>
    <xf numFmtId="167" fontId="16" fillId="0" borderId="23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72" fontId="16" fillId="0" borderId="0" xfId="3" applyNumberFormat="1" applyFont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3" fillId="0" borderId="0" xfId="0" applyNumberFormat="1" applyFont="1" applyAlignment="1">
      <alignment horizontal="center"/>
    </xf>
    <xf numFmtId="167" fontId="23" fillId="0" borderId="7" xfId="0" applyNumberFormat="1" applyFont="1" applyBorder="1" applyAlignment="1">
      <alignment horizontal="center"/>
    </xf>
    <xf numFmtId="167" fontId="23" fillId="0" borderId="1" xfId="0" applyNumberFormat="1" applyFont="1" applyBorder="1" applyAlignment="1">
      <alignment horizontal="center"/>
    </xf>
    <xf numFmtId="167" fontId="23" fillId="0" borderId="1" xfId="0" applyNumberFormat="1" applyFont="1" applyBorder="1" applyAlignment="1">
      <alignment horizontal="center" wrapText="1"/>
    </xf>
    <xf numFmtId="167" fontId="23" fillId="0" borderId="8" xfId="0" applyNumberFormat="1" applyFont="1" applyBorder="1" applyAlignment="1">
      <alignment horizontal="center"/>
    </xf>
    <xf numFmtId="169" fontId="23" fillId="0" borderId="7" xfId="0" applyNumberFormat="1" applyFont="1" applyBorder="1" applyAlignment="1">
      <alignment horizontal="center"/>
    </xf>
    <xf numFmtId="169" fontId="23" fillId="0" borderId="1" xfId="0" applyNumberFormat="1" applyFont="1" applyBorder="1" applyAlignment="1">
      <alignment horizontal="center"/>
    </xf>
    <xf numFmtId="169" fontId="23" fillId="0" borderId="8" xfId="0" applyNumberFormat="1" applyFont="1" applyBorder="1" applyAlignment="1">
      <alignment horizontal="center"/>
    </xf>
    <xf numFmtId="169" fontId="25" fillId="0" borderId="1" xfId="0" applyNumberFormat="1" applyFont="1" applyBorder="1" applyAlignment="1">
      <alignment horizontal="center"/>
    </xf>
    <xf numFmtId="169" fontId="23" fillId="0" borderId="16" xfId="0" applyNumberFormat="1" applyFont="1" applyBorder="1" applyAlignment="1">
      <alignment horizontal="center"/>
    </xf>
    <xf numFmtId="169" fontId="23" fillId="0" borderId="9" xfId="0" applyNumberFormat="1" applyFont="1" applyBorder="1" applyAlignment="1">
      <alignment horizontal="center"/>
    </xf>
    <xf numFmtId="169" fontId="25" fillId="0" borderId="9" xfId="0" applyNumberFormat="1" applyFont="1" applyBorder="1" applyAlignment="1">
      <alignment horizontal="center"/>
    </xf>
    <xf numFmtId="169" fontId="25" fillId="0" borderId="2" xfId="0" applyNumberFormat="1" applyFont="1" applyBorder="1" applyAlignment="1">
      <alignment horizontal="center"/>
    </xf>
    <xf numFmtId="169" fontId="23" fillId="0" borderId="17" xfId="0" applyNumberFormat="1" applyFont="1" applyBorder="1" applyAlignment="1">
      <alignment horizontal="center"/>
    </xf>
    <xf numFmtId="169" fontId="23" fillId="0" borderId="12" xfId="0" applyNumberFormat="1" applyFont="1" applyBorder="1" applyAlignment="1">
      <alignment horizontal="center"/>
    </xf>
    <xf numFmtId="169" fontId="23" fillId="0" borderId="2" xfId="0" applyNumberFormat="1" applyFont="1" applyBorder="1" applyAlignment="1">
      <alignment horizontal="center"/>
    </xf>
    <xf numFmtId="169" fontId="23" fillId="0" borderId="13" xfId="0" applyNumberFormat="1" applyFont="1" applyBorder="1" applyAlignment="1">
      <alignment horizontal="center"/>
    </xf>
    <xf numFmtId="14" fontId="23" fillId="0" borderId="0" xfId="0" applyNumberFormat="1" applyFont="1" applyAlignment="1">
      <alignment horizontal="center"/>
    </xf>
    <xf numFmtId="14" fontId="23" fillId="0" borderId="19" xfId="0" applyNumberFormat="1" applyFont="1" applyBorder="1" applyAlignment="1">
      <alignment horizontal="center"/>
    </xf>
    <xf numFmtId="14" fontId="23" fillId="0" borderId="20" xfId="0" applyNumberFormat="1" applyFont="1" applyBorder="1" applyAlignment="1">
      <alignment horizontal="center"/>
    </xf>
    <xf numFmtId="14" fontId="23" fillId="0" borderId="21" xfId="0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0" fontId="26" fillId="0" borderId="0" xfId="0" applyFont="1" applyAlignment="1">
      <alignment vertical="center" wrapText="1"/>
    </xf>
    <xf numFmtId="169" fontId="27" fillId="0" borderId="1" xfId="0" applyNumberFormat="1" applyFont="1" applyBorder="1" applyAlignment="1">
      <alignment horizontal="center"/>
    </xf>
    <xf numFmtId="169" fontId="28" fillId="0" borderId="1" xfId="0" applyNumberFormat="1" applyFont="1" applyBorder="1" applyAlignment="1">
      <alignment horizontal="center"/>
    </xf>
    <xf numFmtId="167" fontId="29" fillId="0" borderId="1" xfId="0" applyNumberFormat="1" applyFont="1" applyBorder="1" applyAlignment="1">
      <alignment horizontal="center"/>
    </xf>
    <xf numFmtId="169" fontId="30" fillId="0" borderId="1" xfId="0" applyNumberFormat="1" applyFont="1" applyBorder="1" applyAlignment="1">
      <alignment horizontal="center"/>
    </xf>
    <xf numFmtId="0" fontId="15" fillId="3" borderId="0" xfId="0" applyFont="1" applyFill="1" applyAlignment="1">
      <alignment horizontal="center"/>
    </xf>
    <xf numFmtId="167" fontId="21" fillId="3" borderId="0" xfId="0" applyNumberFormat="1" applyFont="1" applyFill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7" fontId="3" fillId="6" borderId="1" xfId="1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168" fontId="11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  <xf numFmtId="167" fontId="17" fillId="0" borderId="11" xfId="0" applyNumberFormat="1" applyFont="1" applyBorder="1" applyAlignment="1">
      <alignment horizontal="center"/>
    </xf>
    <xf numFmtId="167" fontId="16" fillId="0" borderId="14" xfId="0" applyNumberFormat="1" applyFont="1" applyBorder="1" applyAlignment="1">
      <alignment horizontal="center"/>
    </xf>
    <xf numFmtId="167" fontId="16" fillId="0" borderId="10" xfId="0" applyNumberFormat="1" applyFont="1" applyBorder="1" applyAlignment="1">
      <alignment horizontal="center"/>
    </xf>
    <xf numFmtId="10" fontId="3" fillId="0" borderId="1" xfId="2" applyNumberFormat="1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167" fontId="3" fillId="0" borderId="0" xfId="1" applyNumberFormat="1" applyFont="1" applyFill="1" applyAlignment="1">
      <alignment horizontal="center"/>
    </xf>
    <xf numFmtId="9" fontId="3" fillId="0" borderId="0" xfId="2" applyFont="1" applyFill="1" applyAlignment="1">
      <alignment horizontal="center"/>
    </xf>
    <xf numFmtId="167" fontId="2" fillId="0" borderId="0" xfId="0" applyNumberFormat="1" applyFont="1" applyAlignment="1">
      <alignment horizontal="left"/>
    </xf>
    <xf numFmtId="169" fontId="3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167" fontId="35" fillId="0" borderId="1" xfId="0" applyNumberFormat="1" applyFont="1" applyBorder="1" applyAlignment="1">
      <alignment horizontal="center"/>
    </xf>
    <xf numFmtId="167" fontId="3" fillId="10" borderId="1" xfId="1" applyNumberFormat="1" applyFont="1" applyFill="1" applyBorder="1" applyAlignment="1">
      <alignment horizontal="center"/>
    </xf>
    <xf numFmtId="167" fontId="3" fillId="3" borderId="1" xfId="1" applyNumberFormat="1" applyFont="1" applyFill="1" applyBorder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7" fontId="3" fillId="2" borderId="1" xfId="1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10" fontId="3" fillId="10" borderId="1" xfId="2" applyNumberFormat="1" applyFont="1" applyFill="1" applyBorder="1" applyAlignment="1">
      <alignment horizontal="center"/>
    </xf>
    <xf numFmtId="167" fontId="16" fillId="10" borderId="1" xfId="0" applyNumberFormat="1" applyFont="1" applyFill="1" applyBorder="1" applyAlignment="1">
      <alignment horizontal="center"/>
    </xf>
    <xf numFmtId="167" fontId="36" fillId="12" borderId="1" xfId="0" applyNumberFormat="1" applyFont="1" applyFill="1" applyBorder="1" applyAlignment="1">
      <alignment horizontal="center"/>
    </xf>
    <xf numFmtId="10" fontId="3" fillId="12" borderId="1" xfId="2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10" fontId="3" fillId="0" borderId="1" xfId="1" applyNumberFormat="1" applyFont="1" applyBorder="1" applyAlignment="1">
      <alignment horizontal="center"/>
    </xf>
    <xf numFmtId="0" fontId="39" fillId="0" borderId="0" xfId="0" applyFont="1" applyAlignment="1">
      <alignment horizontal="center"/>
    </xf>
    <xf numFmtId="169" fontId="40" fillId="0" borderId="1" xfId="0" applyNumberFormat="1" applyFont="1" applyBorder="1" applyAlignment="1">
      <alignment horizontal="center"/>
    </xf>
    <xf numFmtId="10" fontId="40" fillId="0" borderId="1" xfId="0" applyNumberFormat="1" applyFont="1" applyBorder="1" applyAlignment="1">
      <alignment horizontal="center"/>
    </xf>
    <xf numFmtId="168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9" fontId="3" fillId="0" borderId="25" xfId="1" applyNumberFormat="1" applyFont="1" applyBorder="1" applyAlignment="1">
      <alignment horizontal="center"/>
    </xf>
    <xf numFmtId="10" fontId="3" fillId="0" borderId="25" xfId="2" applyNumberFormat="1" applyFont="1" applyBorder="1" applyAlignment="1">
      <alignment horizontal="center"/>
    </xf>
    <xf numFmtId="169" fontId="3" fillId="10" borderId="25" xfId="1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8" fontId="40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9" fontId="40" fillId="0" borderId="3" xfId="1" applyNumberFormat="1" applyFont="1" applyBorder="1" applyAlignment="1">
      <alignment horizontal="center"/>
    </xf>
    <xf numFmtId="9" fontId="40" fillId="0" borderId="3" xfId="2" applyFont="1" applyBorder="1" applyAlignment="1">
      <alignment horizontal="center"/>
    </xf>
    <xf numFmtId="167" fontId="40" fillId="0" borderId="3" xfId="0" applyNumberFormat="1" applyFont="1" applyBorder="1" applyAlignment="1">
      <alignment horizontal="center"/>
    </xf>
    <xf numFmtId="167" fontId="18" fillId="13" borderId="0" xfId="0" applyNumberFormat="1" applyFont="1" applyFill="1" applyAlignment="1">
      <alignment horizontal="center"/>
    </xf>
    <xf numFmtId="167" fontId="3" fillId="5" borderId="1" xfId="1" applyNumberFormat="1" applyFont="1" applyFill="1" applyBorder="1" applyAlignment="1">
      <alignment horizontal="center"/>
    </xf>
    <xf numFmtId="169" fontId="3" fillId="5" borderId="25" xfId="1" applyNumberFormat="1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168" fontId="3" fillId="4" borderId="25" xfId="0" applyNumberFormat="1" applyFont="1" applyFill="1" applyBorder="1" applyAlignment="1">
      <alignment horizontal="center"/>
    </xf>
    <xf numFmtId="10" fontId="3" fillId="0" borderId="25" xfId="0" applyNumberFormat="1" applyFont="1" applyBorder="1" applyAlignment="1">
      <alignment horizontal="center"/>
    </xf>
    <xf numFmtId="169" fontId="3" fillId="0" borderId="25" xfId="0" applyNumberFormat="1" applyFont="1" applyBorder="1" applyAlignment="1">
      <alignment horizontal="center"/>
    </xf>
    <xf numFmtId="0" fontId="37" fillId="0" borderId="0" xfId="0" applyFont="1"/>
    <xf numFmtId="168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7" fontId="4" fillId="7" borderId="1" xfId="1" applyNumberFormat="1" applyFont="1" applyFill="1" applyBorder="1" applyAlignment="1">
      <alignment horizontal="center"/>
    </xf>
    <xf numFmtId="10" fontId="4" fillId="7" borderId="1" xfId="2" applyNumberFormat="1" applyFont="1" applyFill="1" applyBorder="1" applyAlignment="1">
      <alignment horizontal="center"/>
    </xf>
    <xf numFmtId="167" fontId="4" fillId="7" borderId="1" xfId="0" applyNumberFormat="1" applyFont="1" applyFill="1" applyBorder="1" applyAlignment="1">
      <alignment horizontal="center"/>
    </xf>
    <xf numFmtId="10" fontId="4" fillId="7" borderId="1" xfId="1" applyNumberFormat="1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168" fontId="4" fillId="7" borderId="25" xfId="0" applyNumberFormat="1" applyFont="1" applyFill="1" applyBorder="1" applyAlignment="1">
      <alignment horizontal="center"/>
    </xf>
    <xf numFmtId="169" fontId="4" fillId="7" borderId="25" xfId="1" applyNumberFormat="1" applyFont="1" applyFill="1" applyBorder="1" applyAlignment="1">
      <alignment horizontal="center"/>
    </xf>
    <xf numFmtId="10" fontId="4" fillId="7" borderId="25" xfId="2" applyNumberFormat="1" applyFont="1" applyFill="1" applyBorder="1" applyAlignment="1">
      <alignment horizontal="center"/>
    </xf>
    <xf numFmtId="10" fontId="4" fillId="7" borderId="25" xfId="0" applyNumberFormat="1" applyFont="1" applyFill="1" applyBorder="1" applyAlignment="1">
      <alignment horizontal="center"/>
    </xf>
    <xf numFmtId="169" fontId="4" fillId="7" borderId="25" xfId="0" applyNumberFormat="1" applyFont="1" applyFill="1" applyBorder="1" applyAlignment="1">
      <alignment horizontal="center"/>
    </xf>
    <xf numFmtId="168" fontId="44" fillId="0" borderId="0" xfId="0" applyNumberFormat="1" applyFont="1" applyAlignment="1">
      <alignment horizontal="centerContinuous"/>
    </xf>
    <xf numFmtId="0" fontId="45" fillId="0" borderId="0" xfId="0" applyFont="1" applyAlignment="1">
      <alignment horizontal="center"/>
    </xf>
    <xf numFmtId="168" fontId="46" fillId="0" borderId="0" xfId="0" applyNumberFormat="1" applyFont="1" applyAlignment="1">
      <alignment horizontal="centerContinuous"/>
    </xf>
    <xf numFmtId="171" fontId="46" fillId="0" borderId="0" xfId="0" applyNumberFormat="1" applyFont="1"/>
    <xf numFmtId="168" fontId="47" fillId="0" borderId="0" xfId="0" applyNumberFormat="1" applyFont="1" applyAlignment="1">
      <alignment horizontal="center"/>
    </xf>
    <xf numFmtId="168" fontId="48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0" fontId="48" fillId="0" borderId="24" xfId="0" applyNumberFormat="1" applyFont="1" applyBorder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168" fontId="48" fillId="0" borderId="0" xfId="0" applyNumberFormat="1" applyFont="1" applyAlignment="1">
      <alignment horizontal="center" vertical="center"/>
    </xf>
    <xf numFmtId="171" fontId="44" fillId="0" borderId="0" xfId="0" applyNumberFormat="1" applyFont="1"/>
    <xf numFmtId="0" fontId="49" fillId="0" borderId="0" xfId="0" applyFont="1"/>
    <xf numFmtId="0" fontId="45" fillId="0" borderId="0" xfId="0" applyFont="1" applyAlignment="1">
      <alignment horizontal="left" vertical="center"/>
    </xf>
    <xf numFmtId="171" fontId="50" fillId="0" borderId="0" xfId="0" applyNumberFormat="1" applyFont="1"/>
    <xf numFmtId="167" fontId="24" fillId="0" borderId="0" xfId="0" applyNumberFormat="1" applyFont="1" applyAlignment="1">
      <alignment horizontal="center"/>
    </xf>
    <xf numFmtId="0" fontId="51" fillId="0" borderId="0" xfId="0" applyFont="1" applyAlignment="1">
      <alignment horizontal="left"/>
    </xf>
    <xf numFmtId="10" fontId="40" fillId="0" borderId="2" xfId="0" applyNumberFormat="1" applyFont="1" applyBorder="1" applyAlignment="1">
      <alignment horizontal="center"/>
    </xf>
    <xf numFmtId="10" fontId="40" fillId="0" borderId="3" xfId="0" applyNumberFormat="1" applyFont="1" applyBorder="1" applyAlignment="1">
      <alignment horizontal="center"/>
    </xf>
    <xf numFmtId="10" fontId="41" fillId="14" borderId="25" xfId="0" applyNumberFormat="1" applyFont="1" applyFill="1" applyBorder="1" applyAlignment="1">
      <alignment horizontal="center"/>
    </xf>
    <xf numFmtId="10" fontId="40" fillId="14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0" fontId="3" fillId="7" borderId="1" xfId="2" applyNumberFormat="1" applyFont="1" applyFill="1" applyBorder="1" applyAlignment="1">
      <alignment horizontal="center"/>
    </xf>
    <xf numFmtId="168" fontId="52" fillId="0" borderId="0" xfId="0" applyNumberFormat="1" applyFont="1" applyAlignment="1">
      <alignment horizontal="left" wrapText="1"/>
    </xf>
    <xf numFmtId="167" fontId="53" fillId="0" borderId="1" xfId="0" applyNumberFormat="1" applyFont="1" applyBorder="1" applyAlignment="1">
      <alignment horizontal="center"/>
    </xf>
    <xf numFmtId="169" fontId="54" fillId="0" borderId="1" xfId="0" applyNumberFormat="1" applyFont="1" applyBorder="1" applyAlignment="1">
      <alignment horizontal="center"/>
    </xf>
    <xf numFmtId="0" fontId="43" fillId="0" borderId="0" xfId="0" applyFont="1"/>
    <xf numFmtId="175" fontId="2" fillId="0" borderId="0" xfId="0" applyNumberFormat="1" applyFont="1" applyAlignment="1">
      <alignment horizontal="center"/>
    </xf>
    <xf numFmtId="167" fontId="3" fillId="15" borderId="1" xfId="1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center"/>
    </xf>
    <xf numFmtId="10" fontId="3" fillId="3" borderId="1" xfId="2" applyNumberFormat="1" applyFont="1" applyFill="1" applyBorder="1" applyAlignment="1">
      <alignment horizontal="center"/>
    </xf>
    <xf numFmtId="0" fontId="4" fillId="9" borderId="25" xfId="0" applyFont="1" applyFill="1" applyBorder="1" applyAlignment="1">
      <alignment horizontal="center"/>
    </xf>
    <xf numFmtId="169" fontId="3" fillId="9" borderId="25" xfId="1" applyNumberFormat="1" applyFont="1" applyFill="1" applyBorder="1" applyAlignment="1">
      <alignment horizontal="center"/>
    </xf>
    <xf numFmtId="10" fontId="3" fillId="9" borderId="25" xfId="0" applyNumberFormat="1" applyFont="1" applyFill="1" applyBorder="1" applyAlignment="1">
      <alignment horizontal="center"/>
    </xf>
    <xf numFmtId="169" fontId="4" fillId="9" borderId="25" xfId="1" applyNumberFormat="1" applyFont="1" applyFill="1" applyBorder="1" applyAlignment="1">
      <alignment horizontal="center"/>
    </xf>
    <xf numFmtId="10" fontId="3" fillId="7" borderId="25" xfId="0" applyNumberFormat="1" applyFont="1" applyFill="1" applyBorder="1" applyAlignment="1">
      <alignment horizontal="center"/>
    </xf>
    <xf numFmtId="3" fontId="55" fillId="0" borderId="25" xfId="6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6" fillId="0" borderId="0" xfId="0" applyFont="1"/>
    <xf numFmtId="0" fontId="57" fillId="0" borderId="0" xfId="0" applyFont="1" applyAlignment="1">
      <alignment vertical="center" wrapText="1"/>
    </xf>
    <xf numFmtId="177" fontId="3" fillId="0" borderId="1" xfId="1" applyNumberFormat="1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167" fontId="4" fillId="18" borderId="1" xfId="1" applyNumberFormat="1" applyFont="1" applyFill="1" applyBorder="1" applyAlignment="1">
      <alignment horizontal="center"/>
    </xf>
    <xf numFmtId="177" fontId="4" fillId="18" borderId="1" xfId="1" applyNumberFormat="1" applyFont="1" applyFill="1" applyBorder="1" applyAlignment="1">
      <alignment horizontal="center"/>
    </xf>
    <xf numFmtId="167" fontId="4" fillId="18" borderId="1" xfId="0" applyNumberFormat="1" applyFont="1" applyFill="1" applyBorder="1" applyAlignment="1">
      <alignment horizontal="center"/>
    </xf>
    <xf numFmtId="10" fontId="3" fillId="0" borderId="1" xfId="1" applyNumberFormat="1" applyFont="1" applyFill="1" applyBorder="1" applyAlignment="1">
      <alignment horizontal="center"/>
    </xf>
    <xf numFmtId="169" fontId="3" fillId="7" borderId="25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169" fontId="3" fillId="7" borderId="25" xfId="1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18" borderId="1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0" fontId="4" fillId="18" borderId="1" xfId="1" applyNumberFormat="1" applyFont="1" applyFill="1" applyBorder="1" applyAlignment="1">
      <alignment horizontal="center"/>
    </xf>
    <xf numFmtId="178" fontId="3" fillId="0" borderId="1" xfId="1" applyNumberFormat="1" applyFont="1" applyFill="1" applyBorder="1" applyAlignment="1">
      <alignment horizontal="center"/>
    </xf>
    <xf numFmtId="178" fontId="4" fillId="18" borderId="1" xfId="1" applyNumberFormat="1" applyFont="1" applyFill="1" applyBorder="1" applyAlignment="1">
      <alignment horizontal="center"/>
    </xf>
    <xf numFmtId="179" fontId="3" fillId="0" borderId="1" xfId="1" applyNumberFormat="1" applyFont="1" applyFill="1" applyBorder="1" applyAlignment="1">
      <alignment horizontal="center"/>
    </xf>
    <xf numFmtId="179" fontId="4" fillId="18" borderId="1" xfId="1" applyNumberFormat="1" applyFont="1" applyFill="1" applyBorder="1" applyAlignment="1">
      <alignment horizontal="center"/>
    </xf>
    <xf numFmtId="179" fontId="3" fillId="0" borderId="1" xfId="1" applyNumberFormat="1" applyFont="1" applyBorder="1" applyAlignment="1">
      <alignment horizontal="center"/>
    </xf>
    <xf numFmtId="179" fontId="4" fillId="7" borderId="1" xfId="1" applyNumberFormat="1" applyFont="1" applyFill="1" applyBorder="1" applyAlignment="1">
      <alignment horizontal="center"/>
    </xf>
    <xf numFmtId="44" fontId="3" fillId="0" borderId="1" xfId="1" applyNumberFormat="1" applyFont="1" applyFill="1" applyBorder="1" applyAlignment="1">
      <alignment horizontal="center"/>
    </xf>
    <xf numFmtId="44" fontId="4" fillId="18" borderId="1" xfId="1" applyNumberFormat="1" applyFont="1" applyFill="1" applyBorder="1" applyAlignment="1">
      <alignment horizontal="center"/>
    </xf>
    <xf numFmtId="44" fontId="3" fillId="0" borderId="1" xfId="1" applyNumberFormat="1" applyFont="1" applyBorder="1" applyAlignment="1">
      <alignment horizontal="center"/>
    </xf>
    <xf numFmtId="44" fontId="4" fillId="7" borderId="1" xfId="1" applyNumberFormat="1" applyFont="1" applyFill="1" applyBorder="1" applyAlignment="1">
      <alignment horizontal="center"/>
    </xf>
    <xf numFmtId="0" fontId="61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180" fontId="3" fillId="0" borderId="1" xfId="1" applyNumberFormat="1" applyFont="1" applyFill="1" applyBorder="1" applyAlignment="1">
      <alignment horizontal="center"/>
    </xf>
    <xf numFmtId="180" fontId="4" fillId="18" borderId="1" xfId="1" applyNumberFormat="1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3" fillId="0" borderId="0" xfId="1" applyNumberFormat="1" applyFont="1" applyBorder="1" applyAlignment="1">
      <alignment horizontal="center" vertical="center"/>
    </xf>
    <xf numFmtId="167" fontId="3" fillId="0" borderId="0" xfId="1" applyNumberFormat="1" applyFont="1" applyFill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7" fontId="52" fillId="6" borderId="1" xfId="1" applyNumberFormat="1" applyFont="1" applyFill="1" applyBorder="1" applyAlignment="1">
      <alignment horizontal="center" vertical="center"/>
    </xf>
    <xf numFmtId="167" fontId="52" fillId="6" borderId="1" xfId="1" applyNumberFormat="1" applyFont="1" applyFill="1" applyBorder="1" applyAlignment="1">
      <alignment horizontal="center" vertical="center" wrapText="1"/>
    </xf>
    <xf numFmtId="167" fontId="62" fillId="6" borderId="1" xfId="1" applyNumberFormat="1" applyFont="1" applyFill="1" applyBorder="1" applyAlignment="1">
      <alignment horizontal="center"/>
    </xf>
    <xf numFmtId="167" fontId="52" fillId="6" borderId="1" xfId="1" applyNumberFormat="1" applyFont="1" applyFill="1" applyBorder="1" applyAlignment="1">
      <alignment horizontal="center"/>
    </xf>
    <xf numFmtId="10" fontId="52" fillId="6" borderId="1" xfId="1" applyNumberFormat="1" applyFont="1" applyFill="1" applyBorder="1" applyAlignment="1">
      <alignment horizontal="center"/>
    </xf>
    <xf numFmtId="10" fontId="62" fillId="6" borderId="1" xfId="1" applyNumberFormat="1" applyFont="1" applyFill="1" applyBorder="1" applyAlignment="1">
      <alignment horizontal="center"/>
    </xf>
    <xf numFmtId="167" fontId="3" fillId="6" borderId="1" xfId="1" quotePrefix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7" fontId="4" fillId="6" borderId="1" xfId="1" applyNumberFormat="1" applyFont="1" applyFill="1" applyBorder="1" applyAlignment="1">
      <alignment horizontal="center"/>
    </xf>
    <xf numFmtId="167" fontId="4" fillId="6" borderId="1" xfId="0" applyNumberFormat="1" applyFont="1" applyFill="1" applyBorder="1" applyAlignment="1">
      <alignment horizontal="center"/>
    </xf>
    <xf numFmtId="167" fontId="4" fillId="10" borderId="1" xfId="1" applyNumberFormat="1" applyFont="1" applyFill="1" applyBorder="1" applyAlignment="1">
      <alignment horizontal="center"/>
    </xf>
    <xf numFmtId="167" fontId="3" fillId="19" borderId="1" xfId="1" applyNumberFormat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/>
    </xf>
    <xf numFmtId="178" fontId="3" fillId="0" borderId="1" xfId="1" applyNumberFormat="1" applyFont="1" applyBorder="1" applyAlignment="1">
      <alignment horizontal="center"/>
    </xf>
    <xf numFmtId="178" fontId="4" fillId="7" borderId="1" xfId="1" applyNumberFormat="1" applyFont="1" applyFill="1" applyBorder="1" applyAlignment="1">
      <alignment horizontal="center"/>
    </xf>
    <xf numFmtId="10" fontId="3" fillId="7" borderId="1" xfId="1" applyNumberFormat="1" applyFont="1" applyFill="1" applyBorder="1" applyAlignment="1">
      <alignment horizontal="center"/>
    </xf>
    <xf numFmtId="167" fontId="3" fillId="13" borderId="1" xfId="1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68" fontId="14" fillId="3" borderId="25" xfId="0" applyNumberFormat="1" applyFont="1" applyFill="1" applyBorder="1" applyAlignment="1">
      <alignment horizontal="center"/>
    </xf>
    <xf numFmtId="3" fontId="55" fillId="0" borderId="32" xfId="6" applyNumberFormat="1" applyFont="1" applyBorder="1" applyAlignment="1">
      <alignment horizontal="center" vertical="center" wrapText="1"/>
    </xf>
    <xf numFmtId="181" fontId="2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78" fontId="4" fillId="20" borderId="1" xfId="1" applyNumberFormat="1" applyFont="1" applyFill="1" applyBorder="1" applyAlignment="1">
      <alignment horizontal="center"/>
    </xf>
    <xf numFmtId="10" fontId="3" fillId="21" borderId="1" xfId="1" applyNumberFormat="1" applyFont="1" applyFill="1" applyBorder="1" applyAlignment="1">
      <alignment horizontal="center"/>
    </xf>
    <xf numFmtId="167" fontId="3" fillId="21" borderId="1" xfId="0" applyNumberFormat="1" applyFont="1" applyFill="1" applyBorder="1" applyAlignment="1">
      <alignment horizontal="center"/>
    </xf>
    <xf numFmtId="178" fontId="3" fillId="7" borderId="1" xfId="1" applyNumberFormat="1" applyFont="1" applyFill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4" fontId="3" fillId="0" borderId="1" xfId="1" applyNumberFormat="1" applyFont="1" applyBorder="1" applyAlignment="1">
      <alignment horizontal="center"/>
    </xf>
    <xf numFmtId="169" fontId="63" fillId="0" borderId="1" xfId="0" applyNumberFormat="1" applyFont="1" applyBorder="1" applyAlignment="1">
      <alignment horizontal="center"/>
    </xf>
    <xf numFmtId="167" fontId="3" fillId="7" borderId="1" xfId="1" applyNumberFormat="1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9" fontId="3" fillId="3" borderId="1" xfId="1" applyNumberFormat="1" applyFont="1" applyFill="1" applyBorder="1" applyAlignment="1">
      <alignment horizontal="center"/>
    </xf>
    <xf numFmtId="44" fontId="3" fillId="3" borderId="1" xfId="1" applyNumberFormat="1" applyFont="1" applyFill="1" applyBorder="1" applyAlignment="1">
      <alignment horizontal="center"/>
    </xf>
    <xf numFmtId="178" fontId="3" fillId="3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167" fontId="3" fillId="7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69" fontId="23" fillId="3" borderId="1" xfId="0" applyNumberFormat="1" applyFont="1" applyFill="1" applyBorder="1" applyAlignment="1">
      <alignment horizontal="center"/>
    </xf>
    <xf numFmtId="174" fontId="3" fillId="0" borderId="0" xfId="0" applyNumberFormat="1" applyFont="1" applyAlignment="1">
      <alignment horizontal="center"/>
    </xf>
    <xf numFmtId="167" fontId="64" fillId="0" borderId="1" xfId="0" applyNumberFormat="1" applyFont="1" applyBorder="1" applyAlignment="1">
      <alignment horizontal="center"/>
    </xf>
    <xf numFmtId="169" fontId="65" fillId="0" borderId="1" xfId="0" applyNumberFormat="1" applyFont="1" applyBorder="1" applyAlignment="1">
      <alignment horizontal="center"/>
    </xf>
    <xf numFmtId="169" fontId="3" fillId="12" borderId="25" xfId="1" applyNumberFormat="1" applyFont="1" applyFill="1" applyBorder="1" applyAlignment="1">
      <alignment horizontal="center"/>
    </xf>
    <xf numFmtId="169" fontId="4" fillId="20" borderId="25" xfId="1" applyNumberFormat="1" applyFont="1" applyFill="1" applyBorder="1" applyAlignment="1">
      <alignment horizontal="center"/>
    </xf>
    <xf numFmtId="167" fontId="3" fillId="3" borderId="1" xfId="1" applyNumberFormat="1" applyFont="1" applyFill="1" applyBorder="1" applyAlignment="1">
      <alignment horizontal="center" vertical="center" wrapText="1"/>
    </xf>
    <xf numFmtId="177" fontId="3" fillId="0" borderId="1" xfId="1" applyNumberFormat="1" applyFont="1" applyBorder="1" applyAlignment="1">
      <alignment horizontal="center"/>
    </xf>
    <xf numFmtId="177" fontId="4" fillId="7" borderId="1" xfId="1" applyNumberFormat="1" applyFont="1" applyFill="1" applyBorder="1" applyAlignment="1">
      <alignment horizontal="center"/>
    </xf>
    <xf numFmtId="177" fontId="3" fillId="3" borderId="1" xfId="1" applyNumberFormat="1" applyFont="1" applyFill="1" applyBorder="1" applyAlignment="1">
      <alignment horizontal="center"/>
    </xf>
    <xf numFmtId="167" fontId="16" fillId="0" borderId="0" xfId="0" applyNumberFormat="1" applyFont="1" applyAlignment="1">
      <alignment horizontal="center" wrapText="1"/>
    </xf>
    <xf numFmtId="169" fontId="23" fillId="22" borderId="1" xfId="0" applyNumberFormat="1" applyFont="1" applyFill="1" applyBorder="1" applyAlignment="1">
      <alignment horizontal="center"/>
    </xf>
    <xf numFmtId="14" fontId="0" fillId="0" borderId="0" xfId="0" applyNumberFormat="1"/>
    <xf numFmtId="3" fontId="2" fillId="0" borderId="0" xfId="0" applyNumberFormat="1" applyFont="1" applyAlignment="1">
      <alignment horizontal="left" vertical="center"/>
    </xf>
    <xf numFmtId="3" fontId="16" fillId="0" borderId="1" xfId="0" applyNumberFormat="1" applyFont="1" applyBorder="1" applyAlignment="1">
      <alignment horizontal="center"/>
    </xf>
    <xf numFmtId="167" fontId="3" fillId="12" borderId="1" xfId="1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82" fontId="53" fillId="0" borderId="1" xfId="0" applyNumberFormat="1" applyFont="1" applyBorder="1" applyAlignment="1">
      <alignment horizontal="center"/>
    </xf>
    <xf numFmtId="4" fontId="0" fillId="0" borderId="0" xfId="0" applyNumberFormat="1"/>
    <xf numFmtId="0" fontId="66" fillId="10" borderId="0" xfId="0" applyFont="1" applyFill="1"/>
    <xf numFmtId="0" fontId="0" fillId="10" borderId="0" xfId="0" applyFill="1"/>
    <xf numFmtId="10" fontId="3" fillId="0" borderId="25" xfId="2" applyNumberFormat="1" applyFont="1" applyBorder="1" applyAlignment="1">
      <alignment horizontal="center" vertical="center"/>
    </xf>
    <xf numFmtId="10" fontId="4" fillId="7" borderId="25" xfId="2" applyNumberFormat="1" applyFont="1" applyFill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/>
    </xf>
    <xf numFmtId="169" fontId="67" fillId="0" borderId="1" xfId="0" applyNumberFormat="1" applyFont="1" applyBorder="1" applyAlignment="1">
      <alignment horizontal="center"/>
    </xf>
    <xf numFmtId="167" fontId="3" fillId="6" borderId="1" xfId="1" applyNumberFormat="1" applyFont="1" applyFill="1" applyBorder="1" applyAlignment="1">
      <alignment horizontal="center" vertical="center" wrapText="1"/>
    </xf>
    <xf numFmtId="167" fontId="3" fillId="16" borderId="1" xfId="1" applyNumberFormat="1" applyFont="1" applyFill="1" applyBorder="1" applyAlignment="1">
      <alignment horizontal="center" vertical="center" wrapText="1"/>
    </xf>
    <xf numFmtId="169" fontId="3" fillId="16" borderId="25" xfId="1" applyNumberFormat="1" applyFont="1" applyFill="1" applyBorder="1" applyAlignment="1">
      <alignment horizontal="center"/>
    </xf>
    <xf numFmtId="167" fontId="4" fillId="16" borderId="1" xfId="0" applyNumberFormat="1" applyFont="1" applyFill="1" applyBorder="1" applyAlignment="1">
      <alignment horizontal="center"/>
    </xf>
    <xf numFmtId="167" fontId="0" fillId="0" borderId="0" xfId="0" applyNumberFormat="1"/>
    <xf numFmtId="9" fontId="0" fillId="0" borderId="0" xfId="2" applyFont="1"/>
    <xf numFmtId="169" fontId="3" fillId="16" borderId="25" xfId="0" applyNumberFormat="1" applyFont="1" applyFill="1" applyBorder="1" applyAlignment="1">
      <alignment horizontal="center"/>
    </xf>
    <xf numFmtId="169" fontId="23" fillId="0" borderId="0" xfId="0" applyNumberFormat="1" applyFont="1" applyAlignment="1">
      <alignment horizontal="center"/>
    </xf>
    <xf numFmtId="169" fontId="25" fillId="0" borderId="0" xfId="0" applyNumberFormat="1" applyFont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84" fontId="3" fillId="0" borderId="1" xfId="0" applyNumberFormat="1" applyFont="1" applyBorder="1" applyAlignment="1">
      <alignment horizontal="center"/>
    </xf>
    <xf numFmtId="184" fontId="3" fillId="0" borderId="1" xfId="1" applyNumberFormat="1" applyFont="1" applyBorder="1" applyAlignment="1">
      <alignment horizontal="center"/>
    </xf>
    <xf numFmtId="185" fontId="3" fillId="0" borderId="1" xfId="0" applyNumberFormat="1" applyFont="1" applyBorder="1" applyAlignment="1">
      <alignment horizontal="center"/>
    </xf>
    <xf numFmtId="185" fontId="4" fillId="7" borderId="1" xfId="0" applyNumberFormat="1" applyFont="1" applyFill="1" applyBorder="1" applyAlignment="1">
      <alignment horizontal="center"/>
    </xf>
    <xf numFmtId="169" fontId="68" fillId="0" borderId="1" xfId="0" applyNumberFormat="1" applyFont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167" fontId="4" fillId="20" borderId="1" xfId="1" applyNumberFormat="1" applyFont="1" applyFill="1" applyBorder="1" applyAlignment="1">
      <alignment horizontal="center"/>
    </xf>
    <xf numFmtId="10" fontId="4" fillId="20" borderId="1" xfId="2" applyNumberFormat="1" applyFont="1" applyFill="1" applyBorder="1" applyAlignment="1">
      <alignment horizontal="center"/>
    </xf>
    <xf numFmtId="167" fontId="4" fillId="20" borderId="1" xfId="0" applyNumberFormat="1" applyFont="1" applyFill="1" applyBorder="1" applyAlignment="1">
      <alignment horizontal="center"/>
    </xf>
    <xf numFmtId="177" fontId="3" fillId="23" borderId="1" xfId="1" applyNumberFormat="1" applyFont="1" applyFill="1" applyBorder="1" applyAlignment="1">
      <alignment horizontal="center"/>
    </xf>
    <xf numFmtId="167" fontId="3" fillId="23" borderId="1" xfId="1" applyNumberFormat="1" applyFont="1" applyFill="1" applyBorder="1" applyAlignment="1">
      <alignment horizontal="center"/>
    </xf>
    <xf numFmtId="186" fontId="23" fillId="0" borderId="1" xfId="0" applyNumberFormat="1" applyFont="1" applyBorder="1" applyAlignment="1">
      <alignment horizontal="center" vertical="center"/>
    </xf>
    <xf numFmtId="187" fontId="23" fillId="0" borderId="1" xfId="0" applyNumberFormat="1" applyFont="1" applyBorder="1" applyAlignment="1">
      <alignment horizontal="center" vertical="center"/>
    </xf>
    <xf numFmtId="10" fontId="3" fillId="2" borderId="25" xfId="2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3" fontId="55" fillId="0" borderId="24" xfId="6" applyNumberFormat="1" applyFont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/>
    </xf>
    <xf numFmtId="169" fontId="3" fillId="2" borderId="25" xfId="1" applyNumberFormat="1" applyFont="1" applyFill="1" applyBorder="1" applyAlignment="1">
      <alignment horizontal="center"/>
    </xf>
    <xf numFmtId="169" fontId="4" fillId="2" borderId="25" xfId="1" applyNumberFormat="1" applyFont="1" applyFill="1" applyBorder="1" applyAlignment="1">
      <alignment horizontal="center"/>
    </xf>
    <xf numFmtId="169" fontId="4" fillId="5" borderId="25" xfId="1" applyNumberFormat="1" applyFont="1" applyFill="1" applyBorder="1" applyAlignment="1">
      <alignment horizontal="center"/>
    </xf>
    <xf numFmtId="0" fontId="16" fillId="0" borderId="25" xfId="0" applyFont="1" applyBorder="1"/>
    <xf numFmtId="14" fontId="69" fillId="4" borderId="25" xfId="0" applyNumberFormat="1" applyFont="1" applyFill="1" applyBorder="1" applyAlignment="1">
      <alignment horizontal="center"/>
    </xf>
    <xf numFmtId="14" fontId="70" fillId="7" borderId="25" xfId="0" applyNumberFormat="1" applyFont="1" applyFill="1" applyBorder="1" applyAlignment="1">
      <alignment horizontal="center"/>
    </xf>
    <xf numFmtId="14" fontId="69" fillId="0" borderId="25" xfId="0" applyNumberFormat="1" applyFont="1" applyBorder="1" applyAlignment="1">
      <alignment horizontal="center"/>
    </xf>
    <xf numFmtId="170" fontId="16" fillId="0" borderId="25" xfId="0" applyNumberFormat="1" applyFont="1" applyBorder="1" applyAlignment="1">
      <alignment horizontal="center" vertical="center"/>
    </xf>
    <xf numFmtId="3" fontId="16" fillId="0" borderId="25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170" fontId="16" fillId="10" borderId="25" xfId="0" applyNumberFormat="1" applyFont="1" applyFill="1" applyBorder="1" applyAlignment="1">
      <alignment horizontal="center" vertical="center"/>
    </xf>
    <xf numFmtId="3" fontId="16" fillId="10" borderId="25" xfId="0" applyNumberFormat="1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10" fontId="16" fillId="0" borderId="25" xfId="2" applyNumberFormat="1" applyFont="1" applyBorder="1" applyAlignment="1">
      <alignment horizontal="center" vertical="center"/>
    </xf>
    <xf numFmtId="0" fontId="71" fillId="0" borderId="0" xfId="0" applyFont="1"/>
    <xf numFmtId="10" fontId="16" fillId="10" borderId="25" xfId="2" applyNumberFormat="1" applyFont="1" applyFill="1" applyBorder="1" applyAlignment="1">
      <alignment horizontal="center" vertical="center"/>
    </xf>
    <xf numFmtId="169" fontId="3" fillId="23" borderId="25" xfId="1" applyNumberFormat="1" applyFont="1" applyFill="1" applyBorder="1" applyAlignment="1">
      <alignment horizontal="center"/>
    </xf>
    <xf numFmtId="169" fontId="4" fillId="7" borderId="1" xfId="0" applyNumberFormat="1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4" fillId="7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8" fontId="40" fillId="6" borderId="2" xfId="0" applyNumberFormat="1" applyFont="1" applyFill="1" applyBorder="1" applyAlignment="1">
      <alignment horizontal="center" vertical="center"/>
    </xf>
    <xf numFmtId="0" fontId="40" fillId="6" borderId="2" xfId="0" applyFont="1" applyFill="1" applyBorder="1" applyAlignment="1">
      <alignment horizontal="center" vertical="center"/>
    </xf>
    <xf numFmtId="0" fontId="69" fillId="6" borderId="25" xfId="0" applyFont="1" applyFill="1" applyBorder="1" applyAlignment="1">
      <alignment horizontal="center" vertical="center" wrapText="1"/>
    </xf>
    <xf numFmtId="167" fontId="69" fillId="6" borderId="25" xfId="1" applyNumberFormat="1" applyFont="1" applyFill="1" applyBorder="1" applyAlignment="1">
      <alignment horizontal="center" vertical="center" wrapText="1"/>
    </xf>
    <xf numFmtId="0" fontId="69" fillId="6" borderId="25" xfId="0" applyFont="1" applyFill="1" applyBorder="1" applyAlignment="1">
      <alignment horizontal="center" vertical="center"/>
    </xf>
    <xf numFmtId="169" fontId="3" fillId="8" borderId="25" xfId="0" applyNumberFormat="1" applyFont="1" applyFill="1" applyBorder="1" applyAlignment="1">
      <alignment horizontal="center"/>
    </xf>
    <xf numFmtId="169" fontId="4" fillId="8" borderId="25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168" fontId="4" fillId="14" borderId="1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14" fontId="4" fillId="14" borderId="1" xfId="0" applyNumberFormat="1" applyFont="1" applyFill="1" applyBorder="1" applyAlignment="1">
      <alignment horizontal="center"/>
    </xf>
    <xf numFmtId="167" fontId="4" fillId="14" borderId="1" xfId="1" applyNumberFormat="1" applyFont="1" applyFill="1" applyBorder="1" applyAlignment="1">
      <alignment horizontal="center"/>
    </xf>
    <xf numFmtId="179" fontId="4" fillId="14" borderId="1" xfId="1" applyNumberFormat="1" applyFont="1" applyFill="1" applyBorder="1" applyAlignment="1">
      <alignment horizontal="center"/>
    </xf>
    <xf numFmtId="44" fontId="4" fillId="14" borderId="1" xfId="1" applyNumberFormat="1" applyFont="1" applyFill="1" applyBorder="1" applyAlignment="1">
      <alignment horizontal="center"/>
    </xf>
    <xf numFmtId="167" fontId="3" fillId="14" borderId="0" xfId="1" applyNumberFormat="1" applyFont="1" applyFill="1" applyAlignment="1">
      <alignment horizontal="center"/>
    </xf>
    <xf numFmtId="177" fontId="3" fillId="14" borderId="1" xfId="1" applyNumberFormat="1" applyFont="1" applyFill="1" applyBorder="1" applyAlignment="1">
      <alignment horizontal="center"/>
    </xf>
    <xf numFmtId="167" fontId="3" fillId="14" borderId="1" xfId="1" applyNumberFormat="1" applyFont="1" applyFill="1" applyBorder="1" applyAlignment="1">
      <alignment horizontal="center"/>
    </xf>
    <xf numFmtId="178" fontId="3" fillId="14" borderId="1" xfId="1" applyNumberFormat="1" applyFont="1" applyFill="1" applyBorder="1" applyAlignment="1">
      <alignment horizontal="center"/>
    </xf>
    <xf numFmtId="10" fontId="4" fillId="14" borderId="1" xfId="1" applyNumberFormat="1" applyFont="1" applyFill="1" applyBorder="1" applyAlignment="1">
      <alignment horizontal="center"/>
    </xf>
    <xf numFmtId="10" fontId="3" fillId="14" borderId="1" xfId="1" applyNumberFormat="1" applyFont="1" applyFill="1" applyBorder="1" applyAlignment="1">
      <alignment horizontal="center"/>
    </xf>
    <xf numFmtId="167" fontId="3" fillId="14" borderId="1" xfId="0" applyNumberFormat="1" applyFont="1" applyFill="1" applyBorder="1" applyAlignment="1">
      <alignment horizontal="center"/>
    </xf>
    <xf numFmtId="176" fontId="3" fillId="0" borderId="1" xfId="1" applyNumberFormat="1" applyFont="1" applyFill="1" applyBorder="1" applyAlignment="1">
      <alignment horizontal="center"/>
    </xf>
    <xf numFmtId="176" fontId="4" fillId="18" borderId="1" xfId="1" applyNumberFormat="1" applyFont="1" applyFill="1" applyBorder="1" applyAlignment="1">
      <alignment horizontal="center"/>
    </xf>
    <xf numFmtId="176" fontId="3" fillId="0" borderId="1" xfId="1" applyNumberFormat="1" applyFont="1" applyBorder="1" applyAlignment="1">
      <alignment horizontal="center"/>
    </xf>
    <xf numFmtId="176" fontId="4" fillId="7" borderId="1" xfId="1" applyNumberFormat="1" applyFont="1" applyFill="1" applyBorder="1" applyAlignment="1">
      <alignment horizontal="center"/>
    </xf>
    <xf numFmtId="176" fontId="3" fillId="3" borderId="1" xfId="1" applyNumberFormat="1" applyFont="1" applyFill="1" applyBorder="1" applyAlignment="1">
      <alignment horizontal="center"/>
    </xf>
    <xf numFmtId="176" fontId="3" fillId="7" borderId="1" xfId="1" applyNumberFormat="1" applyFont="1" applyFill="1" applyBorder="1" applyAlignment="1">
      <alignment horizontal="center"/>
    </xf>
    <xf numFmtId="176" fontId="4" fillId="14" borderId="1" xfId="1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16" borderId="11" xfId="0" applyFont="1" applyFill="1" applyBorder="1" applyAlignment="1">
      <alignment horizontal="centerContinuous"/>
    </xf>
    <xf numFmtId="0" fontId="3" fillId="6" borderId="1" xfId="0" applyFont="1" applyFill="1" applyBorder="1" applyAlignment="1">
      <alignment horizontal="center" vertical="center" wrapText="1"/>
    </xf>
    <xf numFmtId="167" fontId="3" fillId="6" borderId="1" xfId="1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167" fontId="3" fillId="6" borderId="1" xfId="1" quotePrefix="1" applyNumberFormat="1" applyFont="1" applyFill="1" applyBorder="1" applyAlignment="1">
      <alignment horizontal="center" vertical="center"/>
    </xf>
    <xf numFmtId="4" fontId="16" fillId="0" borderId="25" xfId="0" applyNumberFormat="1" applyFont="1" applyBorder="1" applyAlignment="1">
      <alignment horizontal="center" vertical="center"/>
    </xf>
    <xf numFmtId="4" fontId="16" fillId="10" borderId="25" xfId="0" applyNumberFormat="1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/>
    </xf>
    <xf numFmtId="168" fontId="3" fillId="10" borderId="25" xfId="0" applyNumberFormat="1" applyFont="1" applyFill="1" applyBorder="1" applyAlignment="1">
      <alignment horizontal="center"/>
    </xf>
    <xf numFmtId="167" fontId="72" fillId="0" borderId="1" xfId="0" applyNumberFormat="1" applyFont="1" applyBorder="1" applyAlignment="1">
      <alignment horizontal="center"/>
    </xf>
    <xf numFmtId="14" fontId="3" fillId="0" borderId="25" xfId="0" applyNumberFormat="1" applyFont="1" applyBorder="1" applyAlignment="1">
      <alignment horizontal="center"/>
    </xf>
    <xf numFmtId="14" fontId="4" fillId="7" borderId="25" xfId="0" applyNumberFormat="1" applyFont="1" applyFill="1" applyBorder="1" applyAlignment="1">
      <alignment horizontal="center"/>
    </xf>
    <xf numFmtId="14" fontId="3" fillId="10" borderId="25" xfId="0" applyNumberFormat="1" applyFont="1" applyFill="1" applyBorder="1" applyAlignment="1">
      <alignment horizontal="center"/>
    </xf>
    <xf numFmtId="3" fontId="16" fillId="16" borderId="25" xfId="0" applyNumberFormat="1" applyFont="1" applyFill="1" applyBorder="1" applyAlignment="1">
      <alignment horizontal="center" vertical="center"/>
    </xf>
    <xf numFmtId="0" fontId="16" fillId="16" borderId="25" xfId="0" applyFont="1" applyFill="1" applyBorder="1" applyAlignment="1">
      <alignment horizontal="center" vertical="center"/>
    </xf>
    <xf numFmtId="4" fontId="16" fillId="16" borderId="25" xfId="0" applyNumberFormat="1" applyFont="1" applyFill="1" applyBorder="1" applyAlignment="1">
      <alignment horizontal="center" vertical="center"/>
    </xf>
    <xf numFmtId="170" fontId="16" fillId="16" borderId="25" xfId="0" applyNumberFormat="1" applyFont="1" applyFill="1" applyBorder="1" applyAlignment="1">
      <alignment horizontal="center" vertical="center"/>
    </xf>
    <xf numFmtId="14" fontId="3" fillId="16" borderId="25" xfId="0" applyNumberFormat="1" applyFont="1" applyFill="1" applyBorder="1" applyAlignment="1">
      <alignment horizontal="center"/>
    </xf>
    <xf numFmtId="10" fontId="16" fillId="16" borderId="25" xfId="2" applyNumberFormat="1" applyFont="1" applyFill="1" applyBorder="1" applyAlignment="1">
      <alignment horizontal="center" vertical="center"/>
    </xf>
    <xf numFmtId="169" fontId="23" fillId="5" borderId="1" xfId="0" applyNumberFormat="1" applyFont="1" applyFill="1" applyBorder="1" applyAlignment="1">
      <alignment horizontal="center"/>
    </xf>
    <xf numFmtId="177" fontId="3" fillId="21" borderId="1" xfId="1" applyNumberFormat="1" applyFont="1" applyFill="1" applyBorder="1" applyAlignment="1">
      <alignment horizontal="center"/>
    </xf>
    <xf numFmtId="167" fontId="16" fillId="16" borderId="1" xfId="0" applyNumberFormat="1" applyFont="1" applyFill="1" applyBorder="1" applyAlignment="1">
      <alignment horizontal="center"/>
    </xf>
    <xf numFmtId="167" fontId="53" fillId="16" borderId="1" xfId="0" applyNumberFormat="1" applyFont="1" applyFill="1" applyBorder="1" applyAlignment="1">
      <alignment horizontal="center"/>
    </xf>
    <xf numFmtId="169" fontId="23" fillId="16" borderId="1" xfId="0" applyNumberFormat="1" applyFont="1" applyFill="1" applyBorder="1" applyAlignment="1">
      <alignment horizontal="center"/>
    </xf>
    <xf numFmtId="0" fontId="21" fillId="0" borderId="0" xfId="0" applyFont="1"/>
    <xf numFmtId="14" fontId="69" fillId="16" borderId="25" xfId="0" applyNumberFormat="1" applyFont="1" applyFill="1" applyBorder="1" applyAlignment="1">
      <alignment horizontal="center"/>
    </xf>
    <xf numFmtId="0" fontId="16" fillId="0" borderId="0" xfId="0" applyFont="1"/>
    <xf numFmtId="170" fontId="16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16" fillId="0" borderId="25" xfId="0" applyNumberFormat="1" applyFont="1" applyBorder="1" applyAlignment="1">
      <alignment horizontal="center" vertical="center"/>
    </xf>
    <xf numFmtId="10" fontId="16" fillId="16" borderId="25" xfId="0" applyNumberFormat="1" applyFont="1" applyFill="1" applyBorder="1" applyAlignment="1">
      <alignment horizontal="center" vertical="center"/>
    </xf>
    <xf numFmtId="0" fontId="3" fillId="16" borderId="25" xfId="0" applyFont="1" applyFill="1" applyBorder="1" applyAlignment="1">
      <alignment horizontal="center"/>
    </xf>
    <xf numFmtId="168" fontId="3" fillId="16" borderId="25" xfId="0" applyNumberFormat="1" applyFont="1" applyFill="1" applyBorder="1" applyAlignment="1">
      <alignment horizontal="center"/>
    </xf>
    <xf numFmtId="0" fontId="0" fillId="24" borderId="33" xfId="0" applyFill="1" applyBorder="1" applyAlignment="1">
      <alignment horizontal="center" vertical="center"/>
    </xf>
    <xf numFmtId="4" fontId="0" fillId="10" borderId="25" xfId="0" applyNumberFormat="1" applyFill="1" applyBorder="1" applyAlignment="1">
      <alignment horizontal="center" vertical="center"/>
    </xf>
    <xf numFmtId="168" fontId="2" fillId="0" borderId="0" xfId="0" applyNumberFormat="1" applyFont="1" applyAlignment="1">
      <alignment horizontal="left"/>
    </xf>
    <xf numFmtId="167" fontId="16" fillId="2" borderId="1" xfId="0" applyNumberFormat="1" applyFont="1" applyFill="1" applyBorder="1" applyAlignment="1">
      <alignment horizontal="center"/>
    </xf>
    <xf numFmtId="167" fontId="16" fillId="3" borderId="14" xfId="0" applyNumberFormat="1" applyFont="1" applyFill="1" applyBorder="1" applyAlignment="1">
      <alignment horizontal="center"/>
    </xf>
    <xf numFmtId="167" fontId="53" fillId="2" borderId="1" xfId="0" applyNumberFormat="1" applyFont="1" applyFill="1" applyBorder="1" applyAlignment="1">
      <alignment horizontal="center"/>
    </xf>
    <xf numFmtId="14" fontId="23" fillId="16" borderId="1" xfId="0" applyNumberFormat="1" applyFont="1" applyFill="1" applyBorder="1" applyAlignment="1">
      <alignment horizontal="center"/>
    </xf>
    <xf numFmtId="14" fontId="23" fillId="2" borderId="1" xfId="0" applyNumberFormat="1" applyFont="1" applyFill="1" applyBorder="1" applyAlignment="1">
      <alignment horizontal="center"/>
    </xf>
    <xf numFmtId="169" fontId="23" fillId="2" borderId="1" xfId="0" applyNumberFormat="1" applyFont="1" applyFill="1" applyBorder="1" applyAlignment="1">
      <alignment horizontal="center"/>
    </xf>
    <xf numFmtId="167" fontId="23" fillId="0" borderId="8" xfId="0" applyNumberFormat="1" applyFont="1" applyBorder="1" applyAlignment="1">
      <alignment horizontal="center" wrapText="1"/>
    </xf>
    <xf numFmtId="169" fontId="3" fillId="11" borderId="25" xfId="1" applyNumberFormat="1" applyFont="1" applyFill="1" applyBorder="1" applyAlignment="1">
      <alignment horizontal="center"/>
    </xf>
    <xf numFmtId="169" fontId="4" fillId="11" borderId="25" xfId="1" applyNumberFormat="1" applyFont="1" applyFill="1" applyBorder="1" applyAlignment="1">
      <alignment horizontal="center"/>
    </xf>
    <xf numFmtId="184" fontId="3" fillId="7" borderId="1" xfId="1" applyNumberFormat="1" applyFont="1" applyFill="1" applyBorder="1" applyAlignment="1">
      <alignment horizontal="center"/>
    </xf>
    <xf numFmtId="169" fontId="4" fillId="7" borderId="1" xfId="1" applyNumberFormat="1" applyFont="1" applyFill="1" applyBorder="1" applyAlignment="1">
      <alignment horizontal="center"/>
    </xf>
    <xf numFmtId="184" fontId="4" fillId="7" borderId="1" xfId="1" applyNumberFormat="1" applyFont="1" applyFill="1" applyBorder="1" applyAlignment="1">
      <alignment horizontal="center"/>
    </xf>
    <xf numFmtId="169" fontId="3" fillId="0" borderId="1" xfId="1" applyNumberFormat="1" applyFont="1" applyFill="1" applyBorder="1" applyAlignment="1">
      <alignment horizontal="center"/>
    </xf>
    <xf numFmtId="169" fontId="3" fillId="7" borderId="1" xfId="1" applyNumberFormat="1" applyFont="1" applyFill="1" applyBorder="1" applyAlignment="1">
      <alignment horizontal="center"/>
    </xf>
    <xf numFmtId="179" fontId="3" fillId="7" borderId="1" xfId="1" applyNumberFormat="1" applyFont="1" applyFill="1" applyBorder="1" applyAlignment="1">
      <alignment horizontal="center"/>
    </xf>
    <xf numFmtId="170" fontId="16" fillId="21" borderId="25" xfId="0" applyNumberFormat="1" applyFont="1" applyFill="1" applyBorder="1" applyAlignment="1">
      <alignment horizontal="center" vertical="center"/>
    </xf>
    <xf numFmtId="169" fontId="3" fillId="6" borderId="25" xfId="0" applyNumberFormat="1" applyFont="1" applyFill="1" applyBorder="1" applyAlignment="1">
      <alignment horizontal="center"/>
    </xf>
    <xf numFmtId="10" fontId="52" fillId="3" borderId="1" xfId="1" applyNumberFormat="1" applyFont="1" applyFill="1" applyBorder="1" applyAlignment="1">
      <alignment horizontal="center"/>
    </xf>
    <xf numFmtId="10" fontId="16" fillId="0" borderId="25" xfId="2" applyNumberFormat="1" applyFont="1" applyFill="1" applyBorder="1" applyAlignment="1">
      <alignment horizontal="center" vertical="center"/>
    </xf>
    <xf numFmtId="173" fontId="3" fillId="0" borderId="0" xfId="0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4" fontId="3" fillId="0" borderId="25" xfId="0" applyNumberFormat="1" applyFont="1" applyBorder="1" applyAlignment="1">
      <alignment horizontal="center"/>
    </xf>
    <xf numFmtId="10" fontId="40" fillId="12" borderId="1" xfId="0" applyNumberFormat="1" applyFont="1" applyFill="1" applyBorder="1" applyAlignment="1">
      <alignment horizontal="center"/>
    </xf>
    <xf numFmtId="0" fontId="73" fillId="0" borderId="0" xfId="0" applyFont="1" applyAlignment="1">
      <alignment horizontal="left" wrapText="1" readingOrder="1"/>
    </xf>
    <xf numFmtId="0" fontId="73" fillId="0" borderId="0" xfId="0" applyFont="1" applyAlignment="1">
      <alignment horizontal="left" readingOrder="1"/>
    </xf>
    <xf numFmtId="0" fontId="13" fillId="0" borderId="0" xfId="0" applyFont="1"/>
    <xf numFmtId="0" fontId="73" fillId="0" borderId="0" xfId="0" applyFont="1" applyAlignment="1">
      <alignment vertical="center" readingOrder="1"/>
    </xf>
    <xf numFmtId="0" fontId="74" fillId="0" borderId="34" xfId="0" applyFont="1" applyBorder="1" applyAlignment="1">
      <alignment horizontal="left" vertical="center" readingOrder="1"/>
    </xf>
    <xf numFmtId="0" fontId="13" fillId="0" borderId="34" xfId="0" applyFont="1" applyBorder="1" applyAlignment="1">
      <alignment vertical="top"/>
    </xf>
    <xf numFmtId="0" fontId="0" fillId="0" borderId="0" xfId="0" applyAlignment="1">
      <alignment horizontal="center"/>
    </xf>
    <xf numFmtId="167" fontId="52" fillId="6" borderId="1" xfId="1" quotePrefix="1" applyNumberFormat="1" applyFont="1" applyFill="1" applyBorder="1" applyAlignment="1">
      <alignment horizontal="center" vertical="center" wrapText="1"/>
    </xf>
    <xf numFmtId="10" fontId="3" fillId="5" borderId="25" xfId="2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0" fontId="3" fillId="7" borderId="25" xfId="2" applyNumberFormat="1" applyFont="1" applyFill="1" applyBorder="1" applyAlignment="1">
      <alignment horizontal="center"/>
    </xf>
    <xf numFmtId="169" fontId="3" fillId="7" borderId="1" xfId="0" applyNumberFormat="1" applyFont="1" applyFill="1" applyBorder="1" applyAlignment="1">
      <alignment horizontal="center"/>
    </xf>
    <xf numFmtId="0" fontId="0" fillId="24" borderId="35" xfId="0" applyFill="1" applyBorder="1" applyAlignment="1">
      <alignment horizontal="center" vertical="center"/>
    </xf>
    <xf numFmtId="3" fontId="0" fillId="24" borderId="35" xfId="0" applyNumberFormat="1" applyFill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0" fontId="0" fillId="24" borderId="35" xfId="0" applyNumberFormat="1" applyFill="1" applyBorder="1" applyAlignment="1">
      <alignment horizontal="center" vertical="center"/>
    </xf>
    <xf numFmtId="169" fontId="3" fillId="2" borderId="25" xfId="0" applyNumberFormat="1" applyFont="1" applyFill="1" applyBorder="1" applyAlignment="1">
      <alignment horizontal="center"/>
    </xf>
    <xf numFmtId="0" fontId="3" fillId="16" borderId="0" xfId="0" applyFont="1" applyFill="1" applyAlignment="1">
      <alignment horizontal="center"/>
    </xf>
    <xf numFmtId="168" fontId="3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0" fontId="16" fillId="10" borderId="25" xfId="0" applyNumberFormat="1" applyFont="1" applyFill="1" applyBorder="1" applyAlignment="1">
      <alignment horizontal="center" vertical="center"/>
    </xf>
    <xf numFmtId="3" fontId="16" fillId="7" borderId="25" xfId="0" applyNumberFormat="1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4" fontId="16" fillId="7" borderId="25" xfId="0" applyNumberFormat="1" applyFont="1" applyFill="1" applyBorder="1" applyAlignment="1">
      <alignment horizontal="center" vertical="center"/>
    </xf>
    <xf numFmtId="14" fontId="69" fillId="10" borderId="25" xfId="0" applyNumberFormat="1" applyFont="1" applyFill="1" applyBorder="1" applyAlignment="1">
      <alignment horizontal="center"/>
    </xf>
    <xf numFmtId="4" fontId="18" fillId="10" borderId="25" xfId="0" applyNumberFormat="1" applyFont="1" applyFill="1" applyBorder="1" applyAlignment="1">
      <alignment horizontal="center" vertical="center"/>
    </xf>
    <xf numFmtId="10" fontId="16" fillId="11" borderId="25" xfId="0" applyNumberFormat="1" applyFont="1" applyFill="1" applyBorder="1" applyAlignment="1">
      <alignment horizontal="center" vertical="center"/>
    </xf>
    <xf numFmtId="3" fontId="16" fillId="11" borderId="25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/>
    </xf>
    <xf numFmtId="14" fontId="3" fillId="16" borderId="1" xfId="0" applyNumberFormat="1" applyFont="1" applyFill="1" applyBorder="1" applyAlignment="1">
      <alignment horizontal="center"/>
    </xf>
    <xf numFmtId="179" fontId="3" fillId="16" borderId="1" xfId="1" applyNumberFormat="1" applyFont="1" applyFill="1" applyBorder="1" applyAlignment="1">
      <alignment horizontal="center"/>
    </xf>
    <xf numFmtId="167" fontId="3" fillId="16" borderId="1" xfId="1" applyNumberFormat="1" applyFont="1" applyFill="1" applyBorder="1" applyAlignment="1">
      <alignment horizontal="center"/>
    </xf>
    <xf numFmtId="44" fontId="3" fillId="16" borderId="1" xfId="1" applyNumberFormat="1" applyFont="1" applyFill="1" applyBorder="1" applyAlignment="1">
      <alignment horizontal="center"/>
    </xf>
    <xf numFmtId="178" fontId="3" fillId="16" borderId="1" xfId="1" applyNumberFormat="1" applyFont="1" applyFill="1" applyBorder="1" applyAlignment="1">
      <alignment horizontal="center"/>
    </xf>
    <xf numFmtId="10" fontId="3" fillId="16" borderId="1" xfId="1" applyNumberFormat="1" applyFont="1" applyFill="1" applyBorder="1" applyAlignment="1">
      <alignment horizontal="center"/>
    </xf>
    <xf numFmtId="10" fontId="3" fillId="4" borderId="1" xfId="1" applyNumberFormat="1" applyFont="1" applyFill="1" applyBorder="1" applyAlignment="1">
      <alignment horizontal="center"/>
    </xf>
    <xf numFmtId="167" fontId="3" fillId="4" borderId="1" xfId="1" applyNumberFormat="1" applyFont="1" applyFill="1" applyBorder="1" applyAlignment="1">
      <alignment horizontal="center"/>
    </xf>
    <xf numFmtId="178" fontId="3" fillId="4" borderId="1" xfId="1" applyNumberFormat="1" applyFont="1" applyFill="1" applyBorder="1" applyAlignment="1">
      <alignment horizontal="center"/>
    </xf>
    <xf numFmtId="169" fontId="3" fillId="25" borderId="25" xfId="1" applyNumberFormat="1" applyFont="1" applyFill="1" applyBorder="1" applyAlignment="1">
      <alignment horizontal="center"/>
    </xf>
    <xf numFmtId="168" fontId="3" fillId="25" borderId="25" xfId="0" applyNumberFormat="1" applyFont="1" applyFill="1" applyBorder="1" applyAlignment="1">
      <alignment horizontal="center"/>
    </xf>
    <xf numFmtId="169" fontId="3" fillId="22" borderId="25" xfId="1" applyNumberFormat="1" applyFont="1" applyFill="1" applyBorder="1" applyAlignment="1">
      <alignment horizontal="center"/>
    </xf>
    <xf numFmtId="168" fontId="3" fillId="22" borderId="25" xfId="0" applyNumberFormat="1" applyFont="1" applyFill="1" applyBorder="1" applyAlignment="1">
      <alignment horizontal="center"/>
    </xf>
    <xf numFmtId="10" fontId="3" fillId="13" borderId="25" xfId="0" applyNumberFormat="1" applyFont="1" applyFill="1" applyBorder="1" applyAlignment="1">
      <alignment horizontal="center"/>
    </xf>
    <xf numFmtId="10" fontId="3" fillId="4" borderId="25" xfId="0" applyNumberFormat="1" applyFont="1" applyFill="1" applyBorder="1" applyAlignment="1">
      <alignment horizontal="center"/>
    </xf>
    <xf numFmtId="10" fontId="3" fillId="16" borderId="25" xfId="0" applyNumberFormat="1" applyFont="1" applyFill="1" applyBorder="1" applyAlignment="1">
      <alignment horizontal="center"/>
    </xf>
    <xf numFmtId="168" fontId="2" fillId="16" borderId="0" xfId="0" applyNumberFormat="1" applyFont="1" applyFill="1" applyAlignment="1">
      <alignment horizontal="center"/>
    </xf>
    <xf numFmtId="169" fontId="3" fillId="24" borderId="25" xfId="1" applyNumberFormat="1" applyFont="1" applyFill="1" applyBorder="1" applyAlignment="1">
      <alignment horizontal="center"/>
    </xf>
    <xf numFmtId="167" fontId="75" fillId="0" borderId="1" xfId="0" applyNumberFormat="1" applyFont="1" applyBorder="1" applyAlignment="1">
      <alignment horizontal="center"/>
    </xf>
    <xf numFmtId="17" fontId="60" fillId="0" borderId="0" xfId="0" applyNumberFormat="1" applyFont="1" applyAlignment="1">
      <alignment horizontal="center" vertical="center"/>
    </xf>
    <xf numFmtId="169" fontId="3" fillId="4" borderId="1" xfId="1" applyNumberFormat="1" applyFont="1" applyFill="1" applyBorder="1" applyAlignment="1">
      <alignment horizontal="center"/>
    </xf>
    <xf numFmtId="169" fontId="4" fillId="4" borderId="1" xfId="1" applyNumberFormat="1" applyFont="1" applyFill="1" applyBorder="1" applyAlignment="1">
      <alignment horizontal="center"/>
    </xf>
    <xf numFmtId="185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84" fontId="3" fillId="4" borderId="1" xfId="1" applyNumberFormat="1" applyFont="1" applyFill="1" applyBorder="1" applyAlignment="1">
      <alignment horizontal="center"/>
    </xf>
    <xf numFmtId="10" fontId="3" fillId="4" borderId="1" xfId="2" applyNumberFormat="1" applyFont="1" applyFill="1" applyBorder="1" applyAlignment="1">
      <alignment horizontal="center"/>
    </xf>
    <xf numFmtId="169" fontId="4" fillId="4" borderId="1" xfId="0" applyNumberFormat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169" fontId="3" fillId="4" borderId="25" xfId="1" applyNumberFormat="1" applyFont="1" applyFill="1" applyBorder="1" applyAlignment="1">
      <alignment horizontal="center"/>
    </xf>
    <xf numFmtId="10" fontId="4" fillId="4" borderId="25" xfId="0" applyNumberFormat="1" applyFont="1" applyFill="1" applyBorder="1" applyAlignment="1">
      <alignment horizontal="center"/>
    </xf>
    <xf numFmtId="169" fontId="3" fillId="4" borderId="25" xfId="0" applyNumberFormat="1" applyFont="1" applyFill="1" applyBorder="1" applyAlignment="1">
      <alignment horizontal="center"/>
    </xf>
    <xf numFmtId="4" fontId="3" fillId="4" borderId="25" xfId="0" applyNumberFormat="1" applyFont="1" applyFill="1" applyBorder="1" applyAlignment="1">
      <alignment horizontal="center"/>
    </xf>
    <xf numFmtId="0" fontId="76" fillId="0" borderId="0" xfId="0" applyFont="1"/>
    <xf numFmtId="10" fontId="79" fillId="6" borderId="24" xfId="0" applyNumberFormat="1" applyFont="1" applyFill="1" applyBorder="1" applyAlignment="1">
      <alignment horizontal="center" vertical="center"/>
    </xf>
    <xf numFmtId="188" fontId="79" fillId="6" borderId="24" xfId="1" applyNumberFormat="1" applyFont="1" applyFill="1" applyBorder="1" applyAlignment="1">
      <alignment horizontal="center" vertical="center"/>
    </xf>
    <xf numFmtId="17" fontId="80" fillId="0" borderId="0" xfId="0" applyNumberFormat="1" applyFont="1" applyAlignment="1">
      <alignment horizontal="center" vertical="center"/>
    </xf>
    <xf numFmtId="17" fontId="82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/>
    </xf>
    <xf numFmtId="186" fontId="83" fillId="0" borderId="0" xfId="0" applyNumberFormat="1" applyFont="1" applyAlignment="1">
      <alignment horizontal="center"/>
    </xf>
    <xf numFmtId="10" fontId="79" fillId="6" borderId="24" xfId="0" applyNumberFormat="1" applyFont="1" applyFill="1" applyBorder="1" applyAlignment="1">
      <alignment horizontal="centerContinuous" vertical="center"/>
    </xf>
    <xf numFmtId="10" fontId="81" fillId="6" borderId="24" xfId="0" applyNumberFormat="1" applyFont="1" applyFill="1" applyBorder="1" applyAlignment="1">
      <alignment horizontal="centerContinuous" vertical="center"/>
    </xf>
    <xf numFmtId="0" fontId="76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90" fontId="79" fillId="28" borderId="40" xfId="0" applyNumberFormat="1" applyFont="1" applyFill="1" applyBorder="1" applyAlignment="1">
      <alignment horizontal="center" vertical="center"/>
    </xf>
    <xf numFmtId="10" fontId="79" fillId="28" borderId="40" xfId="0" applyNumberFormat="1" applyFont="1" applyFill="1" applyBorder="1" applyAlignment="1">
      <alignment horizontal="center" vertical="center"/>
    </xf>
    <xf numFmtId="188" fontId="79" fillId="28" borderId="40" xfId="0" applyNumberFormat="1" applyFont="1" applyFill="1" applyBorder="1" applyAlignment="1">
      <alignment horizontal="center" vertical="center"/>
    </xf>
    <xf numFmtId="188" fontId="79" fillId="28" borderId="40" xfId="1" applyNumberFormat="1" applyFont="1" applyFill="1" applyBorder="1" applyAlignment="1">
      <alignment horizontal="center" vertical="center"/>
    </xf>
    <xf numFmtId="10" fontId="79" fillId="28" borderId="40" xfId="2" applyNumberFormat="1" applyFont="1" applyFill="1" applyBorder="1" applyAlignment="1">
      <alignment horizontal="center" vertical="center"/>
    </xf>
    <xf numFmtId="10" fontId="86" fillId="6" borderId="24" xfId="0" applyNumberFormat="1" applyFont="1" applyFill="1" applyBorder="1" applyAlignment="1">
      <alignment horizontal="center" vertical="center"/>
    </xf>
    <xf numFmtId="188" fontId="86" fillId="6" borderId="24" xfId="0" applyNumberFormat="1" applyFont="1" applyFill="1" applyBorder="1" applyAlignment="1">
      <alignment horizontal="center" vertical="center"/>
    </xf>
    <xf numFmtId="14" fontId="86" fillId="6" borderId="24" xfId="0" applyNumberFormat="1" applyFont="1" applyFill="1" applyBorder="1" applyAlignment="1">
      <alignment horizontal="center" vertical="center"/>
    </xf>
    <xf numFmtId="14" fontId="86" fillId="6" borderId="24" xfId="1" applyNumberFormat="1" applyFont="1" applyFill="1" applyBorder="1" applyAlignment="1">
      <alignment horizontal="center" vertical="center"/>
    </xf>
    <xf numFmtId="10" fontId="86" fillId="6" borderId="24" xfId="2" applyNumberFormat="1" applyFont="1" applyFill="1" applyBorder="1" applyAlignment="1">
      <alignment horizontal="center" vertical="center"/>
    </xf>
    <xf numFmtId="10" fontId="86" fillId="6" borderId="39" xfId="0" applyNumberFormat="1" applyFont="1" applyFill="1" applyBorder="1" applyAlignment="1">
      <alignment horizontal="center" vertical="center"/>
    </xf>
    <xf numFmtId="188" fontId="86" fillId="6" borderId="39" xfId="0" applyNumberFormat="1" applyFont="1" applyFill="1" applyBorder="1" applyAlignment="1">
      <alignment horizontal="center" vertical="center"/>
    </xf>
    <xf numFmtId="14" fontId="86" fillId="6" borderId="39" xfId="0" applyNumberFormat="1" applyFont="1" applyFill="1" applyBorder="1" applyAlignment="1">
      <alignment horizontal="center" vertical="center"/>
    </xf>
    <xf numFmtId="14" fontId="86" fillId="6" borderId="39" xfId="1" applyNumberFormat="1" applyFont="1" applyFill="1" applyBorder="1" applyAlignment="1">
      <alignment horizontal="center" vertical="center"/>
    </xf>
    <xf numFmtId="190" fontId="79" fillId="28" borderId="40" xfId="0" applyNumberFormat="1" applyFont="1" applyFill="1" applyBorder="1" applyAlignment="1">
      <alignment horizontal="centerContinuous" vertical="center"/>
    </xf>
    <xf numFmtId="10" fontId="79" fillId="28" borderId="40" xfId="0" applyNumberFormat="1" applyFont="1" applyFill="1" applyBorder="1" applyAlignment="1">
      <alignment horizontal="centerContinuous" vertical="center"/>
    </xf>
    <xf numFmtId="188" fontId="79" fillId="28" borderId="40" xfId="0" applyNumberFormat="1" applyFont="1" applyFill="1" applyBorder="1" applyAlignment="1">
      <alignment horizontal="centerContinuous" vertical="center"/>
    </xf>
    <xf numFmtId="190" fontId="79" fillId="28" borderId="42" xfId="0" applyNumberFormat="1" applyFont="1" applyFill="1" applyBorder="1" applyAlignment="1">
      <alignment horizontal="center" vertical="center"/>
    </xf>
    <xf numFmtId="10" fontId="79" fillId="28" borderId="43" xfId="0" applyNumberFormat="1" applyFont="1" applyFill="1" applyBorder="1" applyAlignment="1">
      <alignment horizontal="center" vertical="center"/>
    </xf>
    <xf numFmtId="188" fontId="79" fillId="28" borderId="43" xfId="0" applyNumberFormat="1" applyFont="1" applyFill="1" applyBorder="1" applyAlignment="1">
      <alignment horizontal="center" vertical="center"/>
    </xf>
    <xf numFmtId="188" fontId="79" fillId="28" borderId="43" xfId="1" applyNumberFormat="1" applyFont="1" applyFill="1" applyBorder="1" applyAlignment="1">
      <alignment horizontal="center" vertical="center"/>
    </xf>
    <xf numFmtId="10" fontId="79" fillId="28" borderId="43" xfId="2" applyNumberFormat="1" applyFont="1" applyFill="1" applyBorder="1" applyAlignment="1">
      <alignment horizontal="center" vertical="center"/>
    </xf>
    <xf numFmtId="188" fontId="79" fillId="28" borderId="44" xfId="0" applyNumberFormat="1" applyFont="1" applyFill="1" applyBorder="1" applyAlignment="1">
      <alignment horizontal="center" vertical="center"/>
    </xf>
    <xf numFmtId="188" fontId="79" fillId="6" borderId="41" xfId="1" applyNumberFormat="1" applyFont="1" applyFill="1" applyBorder="1" applyAlignment="1">
      <alignment horizontal="center" vertical="center"/>
    </xf>
    <xf numFmtId="190" fontId="79" fillId="6" borderId="24" xfId="0" applyNumberFormat="1" applyFont="1" applyFill="1" applyBorder="1" applyAlignment="1">
      <alignment horizontal="center" vertical="center"/>
    </xf>
    <xf numFmtId="188" fontId="79" fillId="6" borderId="24" xfId="0" applyNumberFormat="1" applyFont="1" applyFill="1" applyBorder="1" applyAlignment="1">
      <alignment horizontal="center" vertical="center"/>
    </xf>
    <xf numFmtId="187" fontId="79" fillId="28" borderId="40" xfId="2" applyNumberFormat="1" applyFont="1" applyFill="1" applyBorder="1" applyAlignment="1">
      <alignment horizontal="center" vertical="center"/>
    </xf>
    <xf numFmtId="190" fontId="79" fillId="6" borderId="45" xfId="0" applyNumberFormat="1" applyFont="1" applyFill="1" applyBorder="1" applyAlignment="1">
      <alignment horizontal="center" vertical="center"/>
    </xf>
    <xf numFmtId="10" fontId="79" fillId="6" borderId="45" xfId="0" applyNumberFormat="1" applyFont="1" applyFill="1" applyBorder="1" applyAlignment="1">
      <alignment horizontal="center" vertical="center"/>
    </xf>
    <xf numFmtId="188" fontId="79" fillId="6" borderId="45" xfId="0" applyNumberFormat="1" applyFont="1" applyFill="1" applyBorder="1" applyAlignment="1">
      <alignment horizontal="center" vertical="center"/>
    </xf>
    <xf numFmtId="188" fontId="79" fillId="6" borderId="45" xfId="1" applyNumberFormat="1" applyFont="1" applyFill="1" applyBorder="1" applyAlignment="1">
      <alignment horizontal="center" vertical="center"/>
    </xf>
    <xf numFmtId="188" fontId="79" fillId="6" borderId="46" xfId="1" applyNumberFormat="1" applyFont="1" applyFill="1" applyBorder="1" applyAlignment="1">
      <alignment horizontal="center" vertical="center"/>
    </xf>
    <xf numFmtId="189" fontId="86" fillId="6" borderId="24" xfId="0" applyNumberFormat="1" applyFont="1" applyFill="1" applyBorder="1" applyAlignment="1">
      <alignment horizontal="center" vertical="center"/>
    </xf>
    <xf numFmtId="189" fontId="79" fillId="28" borderId="40" xfId="0" applyNumberFormat="1" applyFont="1" applyFill="1" applyBorder="1" applyAlignment="1">
      <alignment horizontal="center" vertical="center"/>
    </xf>
    <xf numFmtId="0" fontId="0" fillId="29" borderId="0" xfId="0" applyFill="1"/>
    <xf numFmtId="188" fontId="86" fillId="6" borderId="45" xfId="0" applyNumberFormat="1" applyFont="1" applyFill="1" applyBorder="1" applyAlignment="1">
      <alignment horizontal="center" vertical="center"/>
    </xf>
    <xf numFmtId="189" fontId="86" fillId="6" borderId="36" xfId="0" applyNumberFormat="1" applyFont="1" applyFill="1" applyBorder="1" applyAlignment="1">
      <alignment horizontal="center" vertical="center"/>
    </xf>
    <xf numFmtId="189" fontId="79" fillId="28" borderId="47" xfId="0" applyNumberFormat="1" applyFont="1" applyFill="1" applyBorder="1" applyAlignment="1">
      <alignment horizontal="center" vertical="center"/>
    </xf>
    <xf numFmtId="168" fontId="87" fillId="0" borderId="0" xfId="0" applyNumberFormat="1" applyFont="1" applyAlignment="1">
      <alignment horizontal="left"/>
    </xf>
    <xf numFmtId="190" fontId="79" fillId="28" borderId="0" xfId="0" applyNumberFormat="1" applyFont="1" applyFill="1" applyAlignment="1">
      <alignment horizontal="center" vertical="center"/>
    </xf>
    <xf numFmtId="10" fontId="79" fillId="28" borderId="0" xfId="0" applyNumberFormat="1" applyFont="1" applyFill="1" applyAlignment="1">
      <alignment horizontal="center" vertical="center"/>
    </xf>
    <xf numFmtId="188" fontId="79" fillId="28" borderId="0" xfId="0" applyNumberFormat="1" applyFont="1" applyFill="1" applyAlignment="1">
      <alignment horizontal="center" vertical="center"/>
    </xf>
    <xf numFmtId="188" fontId="79" fillId="28" borderId="0" xfId="1" applyNumberFormat="1" applyFont="1" applyFill="1" applyBorder="1" applyAlignment="1">
      <alignment horizontal="center" vertical="center"/>
    </xf>
    <xf numFmtId="10" fontId="79" fillId="28" borderId="0" xfId="2" applyNumberFormat="1" applyFont="1" applyFill="1" applyBorder="1" applyAlignment="1">
      <alignment horizontal="center" vertical="center"/>
    </xf>
    <xf numFmtId="189" fontId="79" fillId="28" borderId="0" xfId="0" applyNumberFormat="1" applyFont="1" applyFill="1" applyAlignment="1">
      <alignment horizontal="center" vertical="center"/>
    </xf>
    <xf numFmtId="190" fontId="79" fillId="28" borderId="0" xfId="0" applyNumberFormat="1" applyFont="1" applyFill="1" applyAlignment="1">
      <alignment horizontal="centerContinuous" vertical="center"/>
    </xf>
    <xf numFmtId="10" fontId="79" fillId="28" borderId="0" xfId="0" applyNumberFormat="1" applyFont="1" applyFill="1" applyAlignment="1">
      <alignment horizontal="centerContinuous" vertical="center"/>
    </xf>
    <xf numFmtId="188" fontId="79" fillId="28" borderId="0" xfId="0" applyNumberFormat="1" applyFont="1" applyFill="1" applyAlignment="1">
      <alignment horizontal="centerContinuous" vertical="center"/>
    </xf>
    <xf numFmtId="0" fontId="88" fillId="0" borderId="0" xfId="0" applyFont="1"/>
    <xf numFmtId="0" fontId="89" fillId="0" borderId="0" xfId="0" applyFont="1" applyAlignment="1">
      <alignment horizontal="left" vertical="center"/>
    </xf>
    <xf numFmtId="191" fontId="86" fillId="6" borderId="24" xfId="0" applyNumberFormat="1" applyFont="1" applyFill="1" applyBorder="1" applyAlignment="1">
      <alignment horizontal="center" vertical="center"/>
    </xf>
    <xf numFmtId="191" fontId="86" fillId="6" borderId="39" xfId="0" applyNumberFormat="1" applyFont="1" applyFill="1" applyBorder="1" applyAlignment="1">
      <alignment horizontal="center" vertical="center"/>
    </xf>
    <xf numFmtId="191" fontId="79" fillId="6" borderId="24" xfId="0" applyNumberFormat="1" applyFont="1" applyFill="1" applyBorder="1" applyAlignment="1">
      <alignment horizontal="center" vertical="center"/>
    </xf>
    <xf numFmtId="191" fontId="79" fillId="6" borderId="45" xfId="0" applyNumberFormat="1" applyFont="1" applyFill="1" applyBorder="1" applyAlignment="1">
      <alignment horizontal="center" vertical="center"/>
    </xf>
    <xf numFmtId="42" fontId="79" fillId="6" borderId="24" xfId="0" applyNumberFormat="1" applyFont="1" applyFill="1" applyBorder="1" applyAlignment="1">
      <alignment horizontal="center" vertical="center"/>
    </xf>
    <xf numFmtId="167" fontId="4" fillId="12" borderId="1" xfId="1" applyNumberFormat="1" applyFont="1" applyFill="1" applyBorder="1" applyAlignment="1">
      <alignment horizontal="center"/>
    </xf>
    <xf numFmtId="0" fontId="90" fillId="0" borderId="0" xfId="0" applyFont="1" applyAlignment="1">
      <alignment horizontal="left" vertical="center"/>
    </xf>
    <xf numFmtId="190" fontId="79" fillId="12" borderId="36" xfId="0" applyNumberFormat="1" applyFont="1" applyFill="1" applyBorder="1" applyAlignment="1">
      <alignment horizontal="center" vertical="center"/>
    </xf>
    <xf numFmtId="10" fontId="3" fillId="10" borderId="1" xfId="1" applyNumberFormat="1" applyFont="1" applyFill="1" applyBorder="1" applyAlignment="1">
      <alignment horizontal="center"/>
    </xf>
    <xf numFmtId="10" fontId="79" fillId="12" borderId="37" xfId="2" applyNumberFormat="1" applyFont="1" applyFill="1" applyBorder="1" applyAlignment="1">
      <alignment horizontal="center" vertical="center"/>
    </xf>
    <xf numFmtId="10" fontId="4" fillId="10" borderId="1" xfId="1" applyNumberFormat="1" applyFont="1" applyFill="1" applyBorder="1" applyAlignment="1">
      <alignment horizontal="center"/>
    </xf>
    <xf numFmtId="188" fontId="79" fillId="12" borderId="37" xfId="1" applyNumberFormat="1" applyFont="1" applyFill="1" applyBorder="1" applyAlignment="1">
      <alignment horizontal="center" vertical="center"/>
    </xf>
    <xf numFmtId="188" fontId="79" fillId="12" borderId="41" xfId="0" applyNumberFormat="1" applyFont="1" applyFill="1" applyBorder="1" applyAlignment="1">
      <alignment horizontal="center" vertical="center"/>
    </xf>
    <xf numFmtId="188" fontId="79" fillId="12" borderId="37" xfId="0" applyNumberFormat="1" applyFont="1" applyFill="1" applyBorder="1" applyAlignment="1">
      <alignment horizontal="center" vertical="center"/>
    </xf>
    <xf numFmtId="10" fontId="79" fillId="12" borderId="37" xfId="0" applyNumberFormat="1" applyFont="1" applyFill="1" applyBorder="1" applyAlignment="1">
      <alignment horizontal="center" vertical="center"/>
    </xf>
    <xf numFmtId="10" fontId="86" fillId="6" borderId="41" xfId="2" applyNumberFormat="1" applyFont="1" applyFill="1" applyBorder="1" applyAlignment="1">
      <alignment horizontal="center" vertical="center"/>
    </xf>
    <xf numFmtId="167" fontId="91" fillId="0" borderId="0" xfId="0" applyNumberFormat="1" applyFont="1" applyAlignment="1">
      <alignment horizontal="center"/>
    </xf>
    <xf numFmtId="14" fontId="86" fillId="6" borderId="41" xfId="1" applyNumberFormat="1" applyFont="1" applyFill="1" applyBorder="1" applyAlignment="1">
      <alignment horizontal="center" vertical="center"/>
    </xf>
    <xf numFmtId="14" fontId="86" fillId="6" borderId="41" xfId="0" applyNumberFormat="1" applyFont="1" applyFill="1" applyBorder="1" applyAlignment="1">
      <alignment horizontal="center" vertical="center"/>
    </xf>
    <xf numFmtId="188" fontId="86" fillId="6" borderId="4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174" fontId="48" fillId="0" borderId="24" xfId="0" applyNumberFormat="1" applyFont="1" applyBorder="1" applyAlignment="1">
      <alignment horizontal="center" vertical="center"/>
    </xf>
    <xf numFmtId="174" fontId="48" fillId="5" borderId="24" xfId="0" applyNumberFormat="1" applyFont="1" applyFill="1" applyBorder="1" applyAlignment="1">
      <alignment horizontal="center" vertical="center"/>
    </xf>
    <xf numFmtId="174" fontId="45" fillId="5" borderId="24" xfId="0" applyNumberFormat="1" applyFont="1" applyFill="1" applyBorder="1" applyAlignment="1">
      <alignment horizontal="center" vertical="center"/>
    </xf>
    <xf numFmtId="17" fontId="45" fillId="0" borderId="24" xfId="0" applyNumberFormat="1" applyFont="1" applyBorder="1" applyAlignment="1">
      <alignment horizontal="center" vertical="center"/>
    </xf>
    <xf numFmtId="14" fontId="45" fillId="0" borderId="24" xfId="0" applyNumberFormat="1" applyFont="1" applyBorder="1" applyAlignment="1">
      <alignment horizontal="center" vertical="center"/>
    </xf>
    <xf numFmtId="17" fontId="45" fillId="5" borderId="24" xfId="0" applyNumberFormat="1" applyFont="1" applyFill="1" applyBorder="1" applyAlignment="1">
      <alignment horizontal="center" vertical="center"/>
    </xf>
    <xf numFmtId="14" fontId="45" fillId="5" borderId="24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74" fontId="48" fillId="0" borderId="0" xfId="0" applyNumberFormat="1" applyFont="1" applyAlignment="1">
      <alignment horizontal="center" vertical="center"/>
    </xf>
    <xf numFmtId="17" fontId="60" fillId="0" borderId="24" xfId="0" applyNumberFormat="1" applyFont="1" applyBorder="1" applyAlignment="1">
      <alignment horizontal="center" vertical="center"/>
    </xf>
    <xf numFmtId="10" fontId="61" fillId="0" borderId="24" xfId="0" applyNumberFormat="1" applyFont="1" applyBorder="1" applyAlignment="1">
      <alignment horizontal="center" vertical="center"/>
    </xf>
    <xf numFmtId="174" fontId="61" fillId="0" borderId="24" xfId="0" applyNumberFormat="1" applyFont="1" applyBorder="1" applyAlignment="1">
      <alignment horizontal="center" vertical="center"/>
    </xf>
    <xf numFmtId="17" fontId="60" fillId="5" borderId="24" xfId="0" applyNumberFormat="1" applyFont="1" applyFill="1" applyBorder="1" applyAlignment="1">
      <alignment horizontal="center" vertical="center"/>
    </xf>
    <xf numFmtId="174" fontId="61" fillId="5" borderId="24" xfId="0" applyNumberFormat="1" applyFont="1" applyFill="1" applyBorder="1" applyAlignment="1">
      <alignment horizontal="center" vertical="center"/>
    </xf>
    <xf numFmtId="174" fontId="60" fillId="5" borderId="24" xfId="0" applyNumberFormat="1" applyFont="1" applyFill="1" applyBorder="1" applyAlignment="1">
      <alignment horizontal="center" vertical="center"/>
    </xf>
    <xf numFmtId="168" fontId="61" fillId="0" borderId="0" xfId="0" applyNumberFormat="1" applyFont="1" applyAlignment="1">
      <alignment horizontal="center" vertical="center"/>
    </xf>
    <xf numFmtId="14" fontId="61" fillId="0" borderId="0" xfId="0" applyNumberFormat="1" applyFont="1" applyAlignment="1">
      <alignment horizontal="center" vertical="center"/>
    </xf>
    <xf numFmtId="17" fontId="60" fillId="6" borderId="24" xfId="0" applyNumberFormat="1" applyFont="1" applyFill="1" applyBorder="1" applyAlignment="1">
      <alignment horizontal="center" vertical="center"/>
    </xf>
    <xf numFmtId="14" fontId="60" fillId="6" borderId="24" xfId="0" applyNumberFormat="1" applyFont="1" applyFill="1" applyBorder="1" applyAlignment="1">
      <alignment horizontal="center" vertical="center"/>
    </xf>
    <xf numFmtId="10" fontId="61" fillId="6" borderId="24" xfId="0" applyNumberFormat="1" applyFont="1" applyFill="1" applyBorder="1" applyAlignment="1">
      <alignment horizontal="center" vertical="center"/>
    </xf>
    <xf numFmtId="174" fontId="61" fillId="6" borderId="24" xfId="0" applyNumberFormat="1" applyFont="1" applyFill="1" applyBorder="1" applyAlignment="1">
      <alignment horizontal="center" vertical="center"/>
    </xf>
    <xf numFmtId="174" fontId="61" fillId="0" borderId="0" xfId="0" applyNumberFormat="1" applyFont="1" applyAlignment="1">
      <alignment horizontal="center" vertical="center"/>
    </xf>
    <xf numFmtId="175" fontId="2" fillId="16" borderId="0" xfId="0" applyNumberFormat="1" applyFont="1" applyFill="1" applyAlignment="1">
      <alignment horizontal="center"/>
    </xf>
    <xf numFmtId="176" fontId="2" fillId="6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center"/>
    </xf>
    <xf numFmtId="167" fontId="2" fillId="6" borderId="0" xfId="0" applyNumberFormat="1" applyFont="1" applyFill="1" applyAlignment="1">
      <alignment horizontal="center"/>
    </xf>
    <xf numFmtId="167" fontId="71" fillId="0" borderId="0" xfId="0" applyNumberFormat="1" applyFont="1"/>
    <xf numFmtId="183" fontId="60" fillId="0" borderId="0" xfId="0" applyNumberFormat="1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10" fontId="61" fillId="0" borderId="0" xfId="0" applyNumberFormat="1" applyFont="1" applyAlignment="1">
      <alignment horizontal="center" vertical="center"/>
    </xf>
    <xf numFmtId="10" fontId="86" fillId="6" borderId="39" xfId="2" applyNumberFormat="1" applyFont="1" applyFill="1" applyBorder="1" applyAlignment="1">
      <alignment horizontal="center" vertical="center"/>
    </xf>
    <xf numFmtId="188" fontId="79" fillId="28" borderId="41" xfId="0" applyNumberFormat="1" applyFont="1" applyFill="1" applyBorder="1" applyAlignment="1">
      <alignment horizontal="center" vertical="center"/>
    </xf>
    <xf numFmtId="190" fontId="79" fillId="28" borderId="36" xfId="0" applyNumberFormat="1" applyFont="1" applyFill="1" applyBorder="1" applyAlignment="1">
      <alignment horizontal="center" vertical="center"/>
    </xf>
    <xf numFmtId="10" fontId="79" fillId="28" borderId="37" xfId="0" applyNumberFormat="1" applyFont="1" applyFill="1" applyBorder="1" applyAlignment="1">
      <alignment horizontal="center" vertical="center"/>
    </xf>
    <xf numFmtId="188" fontId="79" fillId="28" borderId="37" xfId="0" applyNumberFormat="1" applyFont="1" applyFill="1" applyBorder="1" applyAlignment="1">
      <alignment horizontal="center" vertical="center"/>
    </xf>
    <xf numFmtId="188" fontId="79" fillId="28" borderId="37" xfId="1" applyNumberFormat="1" applyFont="1" applyFill="1" applyBorder="1" applyAlignment="1">
      <alignment horizontal="center" vertical="center"/>
    </xf>
    <xf numFmtId="10" fontId="79" fillId="28" borderId="37" xfId="2" applyNumberFormat="1" applyFont="1" applyFill="1" applyBorder="1" applyAlignment="1">
      <alignment horizontal="center" vertical="center"/>
    </xf>
    <xf numFmtId="188" fontId="79" fillId="28" borderId="38" xfId="0" applyNumberFormat="1" applyFont="1" applyFill="1" applyBorder="1" applyAlignment="1">
      <alignment horizontal="center" vertical="center"/>
    </xf>
    <xf numFmtId="168" fontId="40" fillId="0" borderId="0" xfId="0" applyNumberFormat="1" applyFont="1" applyAlignment="1">
      <alignment horizontal="center"/>
    </xf>
    <xf numFmtId="169" fontId="40" fillId="0" borderId="0" xfId="1" applyNumberFormat="1" applyFont="1" applyBorder="1" applyAlignment="1">
      <alignment horizontal="center"/>
    </xf>
    <xf numFmtId="9" fontId="40" fillId="0" borderId="0" xfId="2" applyFont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8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4" fontId="16" fillId="8" borderId="25" xfId="0" applyNumberFormat="1" applyFont="1" applyFill="1" applyBorder="1" applyAlignment="1">
      <alignment horizontal="center" vertical="center"/>
    </xf>
    <xf numFmtId="10" fontId="16" fillId="8" borderId="25" xfId="0" applyNumberFormat="1" applyFont="1" applyFill="1" applyBorder="1" applyAlignment="1">
      <alignment horizontal="center" vertical="center"/>
    </xf>
    <xf numFmtId="10" fontId="16" fillId="8" borderId="25" xfId="2" applyNumberFormat="1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/>
    </xf>
    <xf numFmtId="3" fontId="16" fillId="8" borderId="25" xfId="0" applyNumberFormat="1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/>
    </xf>
    <xf numFmtId="14" fontId="3" fillId="8" borderId="25" xfId="0" applyNumberFormat="1" applyFont="1" applyFill="1" applyBorder="1" applyAlignment="1">
      <alignment horizontal="center"/>
    </xf>
    <xf numFmtId="170" fontId="16" fillId="8" borderId="25" xfId="0" applyNumberFormat="1" applyFont="1" applyFill="1" applyBorder="1" applyAlignment="1">
      <alignment horizontal="center" vertical="center"/>
    </xf>
    <xf numFmtId="168" fontId="3" fillId="8" borderId="25" xfId="0" applyNumberFormat="1" applyFont="1" applyFill="1" applyBorder="1" applyAlignment="1">
      <alignment horizontal="center"/>
    </xf>
    <xf numFmtId="0" fontId="0" fillId="16" borderId="0" xfId="0" applyFill="1"/>
    <xf numFmtId="169" fontId="3" fillId="10" borderId="25" xfId="0" applyNumberFormat="1" applyFont="1" applyFill="1" applyBorder="1" applyAlignment="1">
      <alignment horizontal="center"/>
    </xf>
    <xf numFmtId="167" fontId="92" fillId="0" borderId="0" xfId="0" applyNumberFormat="1" applyFont="1" applyAlignment="1">
      <alignment horizontal="center"/>
    </xf>
    <xf numFmtId="184" fontId="3" fillId="10" borderId="1" xfId="1" applyNumberFormat="1" applyFont="1" applyFill="1" applyBorder="1" applyAlignment="1">
      <alignment horizontal="center"/>
    </xf>
    <xf numFmtId="167" fontId="93" fillId="0" borderId="0" xfId="0" applyNumberFormat="1" applyFont="1" applyAlignment="1">
      <alignment horizontal="left"/>
    </xf>
    <xf numFmtId="190" fontId="79" fillId="12" borderId="36" xfId="0" applyNumberFormat="1" applyFont="1" applyFill="1" applyBorder="1" applyAlignment="1">
      <alignment horizontal="centerContinuous" vertical="center"/>
    </xf>
    <xf numFmtId="10" fontId="79" fillId="12" borderId="37" xfId="0" applyNumberFormat="1" applyFont="1" applyFill="1" applyBorder="1" applyAlignment="1">
      <alignment horizontal="centerContinuous" vertical="center"/>
    </xf>
    <xf numFmtId="188" fontId="79" fillId="12" borderId="37" xfId="0" applyNumberFormat="1" applyFont="1" applyFill="1" applyBorder="1" applyAlignment="1">
      <alignment horizontal="centerContinuous" vertical="center"/>
    </xf>
    <xf numFmtId="190" fontId="79" fillId="12" borderId="0" xfId="0" applyNumberFormat="1" applyFont="1" applyFill="1" applyAlignment="1">
      <alignment horizontal="center" vertical="center"/>
    </xf>
    <xf numFmtId="10" fontId="79" fillId="12" borderId="0" xfId="0" applyNumberFormat="1" applyFont="1" applyFill="1" applyAlignment="1">
      <alignment horizontal="center" vertical="center"/>
    </xf>
    <xf numFmtId="188" fontId="79" fillId="12" borderId="0" xfId="0" applyNumberFormat="1" applyFont="1" applyFill="1" applyAlignment="1">
      <alignment horizontal="center" vertical="center"/>
    </xf>
    <xf numFmtId="188" fontId="79" fillId="12" borderId="0" xfId="1" applyNumberFormat="1" applyFont="1" applyFill="1" applyBorder="1" applyAlignment="1">
      <alignment horizontal="center" vertical="center"/>
    </xf>
    <xf numFmtId="10" fontId="79" fillId="12" borderId="0" xfId="2" applyNumberFormat="1" applyFont="1" applyFill="1" applyBorder="1" applyAlignment="1">
      <alignment horizontal="center" vertical="center"/>
    </xf>
    <xf numFmtId="167" fontId="52" fillId="7" borderId="1" xfId="1" applyNumberFormat="1" applyFont="1" applyFill="1" applyBorder="1" applyAlignment="1">
      <alignment horizontal="center"/>
    </xf>
    <xf numFmtId="10" fontId="52" fillId="7" borderId="1" xfId="1" applyNumberFormat="1" applyFont="1" applyFill="1" applyBorder="1" applyAlignment="1">
      <alignment horizontal="center"/>
    </xf>
    <xf numFmtId="189" fontId="79" fillId="12" borderId="0" xfId="0" applyNumberFormat="1" applyFont="1" applyFill="1" applyAlignment="1">
      <alignment horizontal="center" vertical="center"/>
    </xf>
    <xf numFmtId="167" fontId="91" fillId="0" borderId="0" xfId="0" applyNumberFormat="1" applyFont="1" applyAlignment="1">
      <alignment horizontal="left"/>
    </xf>
    <xf numFmtId="167" fontId="94" fillId="0" borderId="0" xfId="1" applyNumberFormat="1" applyFont="1" applyAlignment="1">
      <alignment horizontal="center"/>
    </xf>
    <xf numFmtId="0" fontId="95" fillId="0" borderId="0" xfId="0" applyFont="1" applyAlignment="1">
      <alignment horizontal="center"/>
    </xf>
    <xf numFmtId="189" fontId="86" fillId="6" borderId="39" xfId="0" applyNumberFormat="1" applyFont="1" applyFill="1" applyBorder="1" applyAlignment="1">
      <alignment horizontal="center" vertical="center"/>
    </xf>
    <xf numFmtId="190" fontId="79" fillId="28" borderId="48" xfId="0" applyNumberFormat="1" applyFont="1" applyFill="1" applyBorder="1" applyAlignment="1">
      <alignment horizontal="centerContinuous" vertical="center"/>
    </xf>
    <xf numFmtId="10" fontId="79" fillId="28" borderId="48" xfId="0" applyNumberFormat="1" applyFont="1" applyFill="1" applyBorder="1" applyAlignment="1">
      <alignment horizontal="centerContinuous" vertical="center"/>
    </xf>
    <xf numFmtId="188" fontId="79" fillId="28" borderId="48" xfId="0" applyNumberFormat="1" applyFont="1" applyFill="1" applyBorder="1" applyAlignment="1">
      <alignment horizontal="centerContinuous" vertical="center"/>
    </xf>
    <xf numFmtId="188" fontId="79" fillId="28" borderId="48" xfId="0" applyNumberFormat="1" applyFont="1" applyFill="1" applyBorder="1" applyAlignment="1">
      <alignment horizontal="center" vertical="center"/>
    </xf>
    <xf numFmtId="188" fontId="79" fillId="28" borderId="48" xfId="1" applyNumberFormat="1" applyFont="1" applyFill="1" applyBorder="1" applyAlignment="1">
      <alignment horizontal="center" vertical="center"/>
    </xf>
    <xf numFmtId="10" fontId="79" fillId="28" borderId="48" xfId="2" applyNumberFormat="1" applyFont="1" applyFill="1" applyBorder="1" applyAlignment="1">
      <alignment horizontal="center" vertical="center"/>
    </xf>
    <xf numFmtId="189" fontId="79" fillId="28" borderId="48" xfId="0" applyNumberFormat="1" applyFont="1" applyFill="1" applyBorder="1" applyAlignment="1">
      <alignment horizontal="center" vertical="center"/>
    </xf>
    <xf numFmtId="190" fontId="79" fillId="12" borderId="0" xfId="0" applyNumberFormat="1" applyFont="1" applyFill="1" applyAlignment="1">
      <alignment horizontal="centerContinuous" vertical="center"/>
    </xf>
    <xf numFmtId="10" fontId="79" fillId="12" borderId="0" xfId="0" applyNumberFormat="1" applyFont="1" applyFill="1" applyAlignment="1">
      <alignment horizontal="centerContinuous" vertical="center"/>
    </xf>
    <xf numFmtId="188" fontId="79" fillId="12" borderId="0" xfId="0" applyNumberFormat="1" applyFont="1" applyFill="1" applyAlignment="1">
      <alignment horizontal="centerContinuous" vertical="center"/>
    </xf>
    <xf numFmtId="169" fontId="3" fillId="12" borderId="25" xfId="0" applyNumberFormat="1" applyFont="1" applyFill="1" applyBorder="1" applyAlignment="1">
      <alignment horizontal="center"/>
    </xf>
    <xf numFmtId="193" fontId="79" fillId="6" borderId="24" xfId="0" applyNumberFormat="1" applyFont="1" applyFill="1" applyBorder="1" applyAlignment="1">
      <alignment horizontal="center" vertical="center"/>
    </xf>
    <xf numFmtId="173" fontId="79" fillId="12" borderId="0" xfId="0" applyNumberFormat="1" applyFont="1" applyFill="1" applyAlignment="1">
      <alignment horizontal="center" vertical="center"/>
    </xf>
    <xf numFmtId="173" fontId="79" fillId="6" borderId="24" xfId="0" applyNumberFormat="1" applyFont="1" applyFill="1" applyBorder="1" applyAlignment="1">
      <alignment horizontal="center" vertical="center"/>
    </xf>
    <xf numFmtId="194" fontId="79" fillId="6" borderId="24" xfId="0" applyNumberFormat="1" applyFont="1" applyFill="1" applyBorder="1" applyAlignment="1">
      <alignment horizontal="center" vertical="center"/>
    </xf>
    <xf numFmtId="10" fontId="96" fillId="6" borderId="24" xfId="0" applyNumberFormat="1" applyFont="1" applyFill="1" applyBorder="1" applyAlignment="1">
      <alignment horizontal="centerContinuous" vertical="center"/>
    </xf>
    <xf numFmtId="42" fontId="96" fillId="6" borderId="24" xfId="0" applyNumberFormat="1" applyFont="1" applyFill="1" applyBorder="1" applyAlignment="1">
      <alignment horizontal="center" vertical="center"/>
    </xf>
    <xf numFmtId="0" fontId="97" fillId="0" borderId="0" xfId="0" applyFont="1" applyAlignment="1">
      <alignment horizontal="left" vertical="center"/>
    </xf>
    <xf numFmtId="42" fontId="96" fillId="0" borderId="0" xfId="0" applyNumberFormat="1" applyFont="1" applyAlignment="1">
      <alignment horizontal="center" vertical="center"/>
    </xf>
    <xf numFmtId="0" fontId="77" fillId="26" borderId="49" xfId="0" applyFont="1" applyFill="1" applyBorder="1" applyAlignment="1">
      <alignment horizontal="center" vertical="center" wrapText="1"/>
    </xf>
    <xf numFmtId="0" fontId="77" fillId="26" borderId="50" xfId="0" applyFont="1" applyFill="1" applyBorder="1" applyAlignment="1">
      <alignment horizontal="center" vertical="center" wrapText="1"/>
    </xf>
    <xf numFmtId="0" fontId="77" fillId="26" borderId="51" xfId="0" applyFont="1" applyFill="1" applyBorder="1" applyAlignment="1">
      <alignment horizontal="center" vertical="center" wrapText="1"/>
    </xf>
    <xf numFmtId="0" fontId="77" fillId="26" borderId="52" xfId="0" applyFont="1" applyFill="1" applyBorder="1" applyAlignment="1">
      <alignment horizontal="center" vertical="center" wrapText="1"/>
    </xf>
    <xf numFmtId="0" fontId="77" fillId="26" borderId="53" xfId="0" applyFont="1" applyFill="1" applyBorder="1" applyAlignment="1">
      <alignment horizontal="center" vertical="center" wrapText="1"/>
    </xf>
    <xf numFmtId="0" fontId="98" fillId="26" borderId="53" xfId="0" quotePrefix="1" applyFont="1" applyFill="1" applyBorder="1" applyAlignment="1">
      <alignment horizontal="center" vertical="center" wrapText="1"/>
    </xf>
    <xf numFmtId="0" fontId="98" fillId="26" borderId="54" xfId="0" quotePrefix="1" applyFont="1" applyFill="1" applyBorder="1" applyAlignment="1">
      <alignment horizontal="center" vertical="center" wrapText="1"/>
    </xf>
    <xf numFmtId="192" fontId="84" fillId="27" borderId="55" xfId="0" applyNumberFormat="1" applyFont="1" applyFill="1" applyBorder="1" applyAlignment="1">
      <alignment horizontal="centerContinuous"/>
    </xf>
    <xf numFmtId="0" fontId="85" fillId="27" borderId="56" xfId="0" applyFont="1" applyFill="1" applyBorder="1" applyAlignment="1">
      <alignment horizontal="centerContinuous"/>
    </xf>
    <xf numFmtId="0" fontId="85" fillId="27" borderId="57" xfId="0" applyFont="1" applyFill="1" applyBorder="1" applyAlignment="1">
      <alignment horizontal="centerContinuous"/>
    </xf>
    <xf numFmtId="0" fontId="84" fillId="27" borderId="55" xfId="0" applyFont="1" applyFill="1" applyBorder="1" applyAlignment="1">
      <alignment horizontal="centerContinuous"/>
    </xf>
    <xf numFmtId="10" fontId="86" fillId="6" borderId="24" xfId="0" applyNumberFormat="1" applyFont="1" applyFill="1" applyBorder="1" applyAlignment="1">
      <alignment horizontal="centerContinuous" vertical="center"/>
    </xf>
    <xf numFmtId="169" fontId="0" fillId="0" borderId="0" xfId="0" applyNumberFormat="1"/>
    <xf numFmtId="10" fontId="3" fillId="2" borderId="25" xfId="0" applyNumberFormat="1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10" fontId="3" fillId="0" borderId="25" xfId="63" applyNumberFormat="1" applyFont="1" applyBorder="1" applyAlignment="1">
      <alignment horizontal="center"/>
    </xf>
    <xf numFmtId="4" fontId="3" fillId="16" borderId="25" xfId="0" applyNumberFormat="1" applyFont="1" applyFill="1" applyBorder="1" applyAlignment="1">
      <alignment horizontal="center"/>
    </xf>
    <xf numFmtId="4" fontId="3" fillId="2" borderId="25" xfId="0" applyNumberFormat="1" applyFont="1" applyFill="1" applyBorder="1" applyAlignment="1">
      <alignment horizontal="center"/>
    </xf>
    <xf numFmtId="10" fontId="3" fillId="2" borderId="25" xfId="63" applyNumberFormat="1" applyFont="1" applyFill="1" applyBorder="1" applyAlignment="1">
      <alignment horizontal="center"/>
    </xf>
    <xf numFmtId="10" fontId="0" fillId="0" borderId="0" xfId="63" applyNumberFormat="1" applyFont="1"/>
    <xf numFmtId="167" fontId="22" fillId="3" borderId="0" xfId="0" applyNumberFormat="1" applyFont="1" applyFill="1" applyAlignment="1">
      <alignment horizontal="center"/>
    </xf>
    <xf numFmtId="193" fontId="79" fillId="28" borderId="40" xfId="0" applyNumberFormat="1" applyFont="1" applyFill="1" applyBorder="1" applyAlignment="1">
      <alignment horizontal="center" vertical="center"/>
    </xf>
    <xf numFmtId="191" fontId="79" fillId="6" borderId="41" xfId="0" applyNumberFormat="1" applyFont="1" applyFill="1" applyBorder="1" applyAlignment="1">
      <alignment horizontal="center" vertical="center"/>
    </xf>
    <xf numFmtId="190" fontId="79" fillId="6" borderId="41" xfId="0" applyNumberFormat="1" applyFont="1" applyFill="1" applyBorder="1" applyAlignment="1">
      <alignment horizontal="center" vertical="center"/>
    </xf>
    <xf numFmtId="10" fontId="79" fillId="6" borderId="41" xfId="0" applyNumberFormat="1" applyFont="1" applyFill="1" applyBorder="1" applyAlignment="1">
      <alignment horizontal="center" vertical="center"/>
    </xf>
    <xf numFmtId="193" fontId="79" fillId="6" borderId="41" xfId="0" applyNumberFormat="1" applyFont="1" applyFill="1" applyBorder="1" applyAlignment="1">
      <alignment horizontal="center" vertical="center"/>
    </xf>
    <xf numFmtId="0" fontId="77" fillId="26" borderId="58" xfId="0" applyFont="1" applyFill="1" applyBorder="1" applyAlignment="1">
      <alignment horizontal="center" vertical="center" wrapText="1"/>
    </xf>
    <xf numFmtId="0" fontId="77" fillId="26" borderId="59" xfId="0" applyFont="1" applyFill="1" applyBorder="1" applyAlignment="1">
      <alignment horizontal="center" vertical="center" wrapText="1"/>
    </xf>
    <xf numFmtId="0" fontId="77" fillId="26" borderId="60" xfId="0" applyFont="1" applyFill="1" applyBorder="1" applyAlignment="1">
      <alignment horizontal="center" vertical="center" wrapText="1"/>
    </xf>
    <xf numFmtId="0" fontId="77" fillId="26" borderId="61" xfId="0" applyFont="1" applyFill="1" applyBorder="1" applyAlignment="1">
      <alignment horizontal="center" vertical="center" wrapText="1"/>
    </xf>
    <xf numFmtId="0" fontId="77" fillId="26" borderId="62" xfId="0" applyFont="1" applyFill="1" applyBorder="1" applyAlignment="1">
      <alignment horizontal="center" vertical="center" wrapText="1"/>
    </xf>
    <xf numFmtId="0" fontId="99" fillId="26" borderId="62" xfId="0" applyFont="1" applyFill="1" applyBorder="1" applyAlignment="1">
      <alignment horizontal="center" vertical="center" wrapText="1"/>
    </xf>
    <xf numFmtId="0" fontId="99" fillId="26" borderId="63" xfId="0" applyFont="1" applyFill="1" applyBorder="1" applyAlignment="1">
      <alignment horizontal="center" vertical="center" wrapText="1"/>
    </xf>
    <xf numFmtId="195" fontId="79" fillId="6" borderId="24" xfId="0" applyNumberFormat="1" applyFont="1" applyFill="1" applyBorder="1" applyAlignment="1">
      <alignment horizontal="center" vertical="center"/>
    </xf>
    <xf numFmtId="195" fontId="79" fillId="28" borderId="40" xfId="0" applyNumberFormat="1" applyFont="1" applyFill="1" applyBorder="1" applyAlignment="1">
      <alignment horizontal="center" vertical="center"/>
    </xf>
    <xf numFmtId="193" fontId="2" fillId="0" borderId="0" xfId="0" applyNumberFormat="1" applyFont="1" applyAlignment="1">
      <alignment horizontal="center"/>
    </xf>
    <xf numFmtId="167" fontId="100" fillId="0" borderId="1" xfId="0" applyNumberFormat="1" applyFont="1" applyBorder="1" applyAlignment="1">
      <alignment horizontal="center"/>
    </xf>
    <xf numFmtId="167" fontId="17" fillId="0" borderId="18" xfId="0" applyNumberFormat="1" applyFont="1" applyBorder="1" applyAlignment="1">
      <alignment horizontal="center"/>
    </xf>
    <xf numFmtId="167" fontId="17" fillId="0" borderId="1" xfId="0" applyNumberFormat="1" applyFont="1" applyBorder="1" applyAlignment="1">
      <alignment horizontal="center"/>
    </xf>
    <xf numFmtId="167" fontId="17" fillId="0" borderId="15" xfId="0" applyNumberFormat="1" applyFont="1" applyBorder="1" applyAlignment="1">
      <alignment horizontal="center"/>
    </xf>
    <xf numFmtId="167" fontId="24" fillId="0" borderId="4" xfId="0" applyNumberFormat="1" applyFont="1" applyBorder="1" applyAlignment="1">
      <alignment horizontal="center"/>
    </xf>
    <xf numFmtId="167" fontId="24" fillId="0" borderId="5" xfId="0" applyNumberFormat="1" applyFont="1" applyBorder="1" applyAlignment="1">
      <alignment horizontal="center"/>
    </xf>
    <xf numFmtId="167" fontId="24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68" fontId="7" fillId="0" borderId="0" xfId="0" applyNumberFormat="1" applyFont="1" applyAlignment="1">
      <alignment horizontal="center"/>
    </xf>
    <xf numFmtId="0" fontId="40" fillId="0" borderId="26" xfId="0" applyFont="1" applyBorder="1" applyAlignment="1">
      <alignment horizontal="center"/>
    </xf>
    <xf numFmtId="0" fontId="40" fillId="0" borderId="27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30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4">
    <cellStyle name="Comma" xfId="3" xr:uid="{43C9FE59-3DB3-46D9-BA77-B35FB5096204}"/>
    <cellStyle name="Comma [0]" xfId="11" xr:uid="{1A1976F8-97E8-4F88-9DCA-AD0E6A80CDA3}"/>
    <cellStyle name="Comma [0] 2" xfId="16" xr:uid="{FC93A5EE-7AE6-42FA-A4B0-72797646624D}"/>
    <cellStyle name="Comma [0] 2 2" xfId="44" xr:uid="{84214F3B-E5A5-4A34-89DC-5365D1C2E656}"/>
    <cellStyle name="Comma [0] 3" xfId="28" xr:uid="{249F6FA6-2E83-4451-BC71-3FF3FA898223}"/>
    <cellStyle name="Comma [0] 3 2" xfId="56" xr:uid="{595F0F29-21A6-4811-A26F-579B29938E8F}"/>
    <cellStyle name="Comma [0] 4" xfId="40" xr:uid="{624FE82C-D5D3-4073-BCE0-4A4902F36BD9}"/>
    <cellStyle name="Comma 10" xfId="33" xr:uid="{FB914267-6B1E-4DF8-A030-0334F97C0D83}"/>
    <cellStyle name="Comma 10 2" xfId="61" xr:uid="{94F7190B-3475-4005-A8BC-D10162C837D0}"/>
    <cellStyle name="Comma 11" xfId="35" xr:uid="{ABEBA1D4-A989-40D2-A3D7-EF5E8956AF9C}"/>
    <cellStyle name="Comma 12" xfId="37" xr:uid="{461C80B8-93CF-4645-8AF3-09BB7ED0C67F}"/>
    <cellStyle name="Comma 2" xfId="15" xr:uid="{14CA9D47-75B2-4275-8939-1D9E6F1A79C4}"/>
    <cellStyle name="Comma 2 2" xfId="43" xr:uid="{85BA4C30-D065-4747-9658-59EC9640902A}"/>
    <cellStyle name="Comma 3" xfId="19" xr:uid="{A607C21C-BC1A-4C93-8DA7-5005C9B5804E}"/>
    <cellStyle name="Comma 3 2" xfId="47" xr:uid="{3A8551C3-08E0-4405-B3F4-89A8C355A93E}"/>
    <cellStyle name="Comma 4" xfId="20" xr:uid="{B67D63E3-BF7E-4159-88BE-E5934E082879}"/>
    <cellStyle name="Comma 4 2" xfId="48" xr:uid="{6C4EE215-97F8-460A-8CED-6A566310E08F}"/>
    <cellStyle name="Comma 5" xfId="22" xr:uid="{CF3080A6-0318-4E9F-927F-14C2139DD2DF}"/>
    <cellStyle name="Comma 5 2" xfId="50" xr:uid="{F6818D80-AD82-4885-AF44-1004CC834687}"/>
    <cellStyle name="Comma 6" xfId="24" xr:uid="{F9BF4DEC-ACD8-4089-B373-ABBC42AED800}"/>
    <cellStyle name="Comma 6 2" xfId="52" xr:uid="{8C7B0D29-E049-449A-A53E-89555C710008}"/>
    <cellStyle name="Comma 7" xfId="27" xr:uid="{344EFEDA-9785-4B2F-BFAD-C5871ED6ABD1}"/>
    <cellStyle name="Comma 7 2" xfId="55" xr:uid="{BFA9E91E-3B96-40A0-B59E-1D9E1D31ADCD}"/>
    <cellStyle name="Comma 8" xfId="30" xr:uid="{D5E15278-5C06-475C-AA23-D3DAC147C302}"/>
    <cellStyle name="Comma 8 2" xfId="58" xr:uid="{279B9C13-43AF-4908-858F-63722F1B9A5E}"/>
    <cellStyle name="Comma 9" xfId="31" xr:uid="{66591EBD-0836-420F-A2B6-30DA2B824182}"/>
    <cellStyle name="Comma 9 2" xfId="59" xr:uid="{6C7F0271-2F73-417B-95A2-2793178067CF}"/>
    <cellStyle name="Currency" xfId="1" xr:uid="{CD8DB7D3-2224-4FD6-9E0A-58ECFF4C0CF7}"/>
    <cellStyle name="Currency [0]" xfId="10" xr:uid="{8B174FBF-AB5E-4235-B6E4-0EA3CD616CD6}"/>
    <cellStyle name="Currency [0] 2" xfId="14" xr:uid="{F5F82552-D5D2-4849-87A7-E676B5C2E43D}"/>
    <cellStyle name="Currency [0] 2 2" xfId="42" xr:uid="{F5E4468A-765E-4009-973E-357FD5BD0EE4}"/>
    <cellStyle name="Currency [0] 3" xfId="26" xr:uid="{6EAEB1E7-4EBA-40A5-89AE-F7B5EA25D647}"/>
    <cellStyle name="Currency [0] 3 2" xfId="54" xr:uid="{4F91CC1D-8C74-4954-86E4-81926F87573D}"/>
    <cellStyle name="Currency [0] 4" xfId="39" xr:uid="{6808C946-CCA8-4541-B682-1494A3F75140}"/>
    <cellStyle name="Currency 10" xfId="34" xr:uid="{F965DAD0-FDD1-4CF6-8D11-2B8B6BF5D7DD}"/>
    <cellStyle name="Currency 10 2" xfId="62" xr:uid="{1BCD0460-33DA-4788-82CE-FD7829AB5EF6}"/>
    <cellStyle name="Currency 2" xfId="13" xr:uid="{4D1B9118-30A4-4E17-8FA2-1EDA2081BFCE}"/>
    <cellStyle name="Currency 2 2" xfId="41" xr:uid="{6C787E41-F3D3-4355-8DD8-9874AC918E2D}"/>
    <cellStyle name="Currency 3" xfId="17" xr:uid="{547C071E-B7A2-4800-9AB8-6DD4A28A17E4}"/>
    <cellStyle name="Currency 3 2" xfId="45" xr:uid="{22498373-A96F-4BBD-BC83-CB4C435DD926}"/>
    <cellStyle name="Currency 4" xfId="21" xr:uid="{5A03B001-844E-44F2-8280-C652FE2E4C1D}"/>
    <cellStyle name="Currency 4 2" xfId="49" xr:uid="{FDEFEF00-A868-4C1B-B48F-B47D946ED17D}"/>
    <cellStyle name="Currency 5" xfId="23" xr:uid="{063A887B-5F3F-4D2B-A945-6B8B121E30D5}"/>
    <cellStyle name="Currency 5 2" xfId="51" xr:uid="{D44253C5-F8A2-45DE-AB0B-AD88E6537EF7}"/>
    <cellStyle name="Currency 6" xfId="18" xr:uid="{D0C249F0-5A52-4AD5-9A2F-D58F7CA58972}"/>
    <cellStyle name="Currency 6 2" xfId="46" xr:uid="{837782A6-ED52-4111-94A3-B36C04157E22}"/>
    <cellStyle name="Currency 7" xfId="25" xr:uid="{6D21723E-90CC-4334-BEAE-1F77468CDF55}"/>
    <cellStyle name="Currency 7 2" xfId="53" xr:uid="{336B1930-CF78-4939-B3A7-01714B9BC8A2}"/>
    <cellStyle name="Currency 8" xfId="29" xr:uid="{A86790CF-9AA2-410C-9757-A790AFF781D2}"/>
    <cellStyle name="Currency 8 2" xfId="57" xr:uid="{AE9CC3CB-3009-4199-A504-E6E2C60C162C}"/>
    <cellStyle name="Currency 9" xfId="32" xr:uid="{FD1547F2-D5A3-45AB-82AC-E6E768750147}"/>
    <cellStyle name="Currency 9 2" xfId="60" xr:uid="{DEAFD971-668B-4516-B8C9-9AFFDC70C1CD}"/>
    <cellStyle name="header" xfId="12" xr:uid="{8C883EC0-7CBF-4114-8C3C-1AF32D263428}"/>
    <cellStyle name="Milliers 2" xfId="4" xr:uid="{6CCC0102-1963-4AD5-A5CC-046BA88974B0}"/>
    <cellStyle name="Milliers 2 2" xfId="36" xr:uid="{0CBD85E7-C256-42F6-8351-879C55A6703C}"/>
    <cellStyle name="Milliers 3" xfId="7" xr:uid="{C4B156A9-936A-4EC7-9674-BA38E2B6A5DD}"/>
    <cellStyle name="Milliers 3 2" xfId="38" xr:uid="{562CB377-73F3-4F20-B36B-9A346DF034B9}"/>
    <cellStyle name="Monétaire 2" xfId="5" xr:uid="{38CCD273-6BAB-46AA-B09F-C62B3F8C06EF}"/>
    <cellStyle name="Normal" xfId="0" builtinId="0"/>
    <cellStyle name="Normal 2" xfId="6" xr:uid="{BDF5004C-F906-4AB0-B162-A6F2C4709E47}"/>
    <cellStyle name="Normal 3" xfId="8" xr:uid="{229B01C2-A7E4-4E0E-AEBF-B3D84709732D}"/>
    <cellStyle name="Normal 4" xfId="9" xr:uid="{57DBCBBC-959D-4E1E-8A96-82816AA3CFEC}"/>
    <cellStyle name="Percent" xfId="2" xr:uid="{A67E4001-33AF-4073-928A-A49567266A10}"/>
    <cellStyle name="Pourcentage" xfId="63" builtinId="5"/>
  </cellStyles>
  <dxfs count="0"/>
  <tableStyles count="0" defaultTableStyle="TableStyleMedium2" defaultPivotStyle="PivotStyleLight16"/>
  <colors>
    <mruColors>
      <color rgb="FF614DD2"/>
      <color rgb="FF526B8C"/>
      <color rgb="FF3333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85725</xdr:rowOff>
    </xdr:from>
    <xdr:to>
      <xdr:col>4</xdr:col>
      <xdr:colOff>1006476</xdr:colOff>
      <xdr:row>4</xdr:row>
      <xdr:rowOff>39370</xdr:rowOff>
    </xdr:to>
    <xdr:pic>
      <xdr:nvPicPr>
        <xdr:cNvPr id="2" name="object 10">
          <a:extLst>
            <a:ext uri="{FF2B5EF4-FFF2-40B4-BE49-F238E27FC236}">
              <a16:creationId xmlns:a16="http://schemas.microsoft.com/office/drawing/2014/main" id="{73349EB3-F6DC-4B14-B6E9-761130DA15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7575" y="457200"/>
          <a:ext cx="2035175" cy="3155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85725</xdr:rowOff>
    </xdr:from>
    <xdr:to>
      <xdr:col>5</xdr:col>
      <xdr:colOff>301626</xdr:colOff>
      <xdr:row>4</xdr:row>
      <xdr:rowOff>39370</xdr:rowOff>
    </xdr:to>
    <xdr:pic>
      <xdr:nvPicPr>
        <xdr:cNvPr id="2" name="object 10">
          <a:extLst>
            <a:ext uri="{FF2B5EF4-FFF2-40B4-BE49-F238E27FC236}">
              <a16:creationId xmlns:a16="http://schemas.microsoft.com/office/drawing/2014/main" id="{3FD15624-F0B4-459C-AB5C-83BD4E87E9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36570" y="459105"/>
          <a:ext cx="2073276" cy="3041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1371600</xdr:colOff>
      <xdr:row>2</xdr:row>
      <xdr:rowOff>19050</xdr:rowOff>
    </xdr:from>
    <xdr:to>
      <xdr:col>6</xdr:col>
      <xdr:colOff>949536</xdr:colOff>
      <xdr:row>3</xdr:row>
      <xdr:rowOff>153670</xdr:rowOff>
    </xdr:to>
    <xdr:pic>
      <xdr:nvPicPr>
        <xdr:cNvPr id="2" name="object 10">
          <a:extLst>
            <a:ext uri="{FF2B5EF4-FFF2-40B4-BE49-F238E27FC236}">
              <a16:creationId xmlns:a16="http://schemas.microsoft.com/office/drawing/2014/main" id="{316BC6FB-B037-43E6-8DFF-5778B8632A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43650" y="381000"/>
          <a:ext cx="2035175" cy="315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082F-A14D-4AB8-A5AF-B6197E729BC7}">
  <sheetPr>
    <tabColor theme="4" tint="-0.499984740745262"/>
  </sheetPr>
  <dimension ref="B2:M27"/>
  <sheetViews>
    <sheetView showGridLines="0" zoomScale="90" zoomScaleNormal="90" workbookViewId="0">
      <selection activeCell="E50" sqref="E49:E50"/>
    </sheetView>
  </sheetViews>
  <sheetFormatPr baseColWidth="10" defaultColWidth="10.85546875" defaultRowHeight="15" x14ac:dyDescent="0.25"/>
  <cols>
    <col min="2" max="2" width="12.5703125" customWidth="1"/>
    <col min="4" max="4" width="14.140625" customWidth="1"/>
    <col min="6" max="6" width="18" bestFit="1" customWidth="1"/>
    <col min="7" max="7" width="14.85546875" bestFit="1" customWidth="1"/>
    <col min="8" max="8" width="15" bestFit="1" customWidth="1"/>
    <col min="9" max="9" width="12.28515625" bestFit="1" customWidth="1"/>
    <col min="10" max="10" width="3.42578125" customWidth="1"/>
    <col min="11" max="11" width="24.85546875" bestFit="1" customWidth="1"/>
    <col min="12" max="12" width="1.42578125" customWidth="1"/>
    <col min="13" max="14" width="12.5703125" bestFit="1" customWidth="1"/>
  </cols>
  <sheetData>
    <row r="2" spans="2:13" ht="18" x14ac:dyDescent="0.25">
      <c r="B2" s="678">
        <f>'Monthly Report 2026 €'!D107</f>
        <v>46053</v>
      </c>
      <c r="C2" s="679"/>
      <c r="D2" s="679"/>
      <c r="E2" s="679"/>
      <c r="F2" s="679"/>
      <c r="G2" s="679"/>
      <c r="H2" s="679"/>
      <c r="I2" s="680"/>
    </row>
    <row r="3" spans="2:13" ht="7.35" customHeight="1" x14ac:dyDescent="0.25">
      <c r="B3" s="496"/>
      <c r="C3" s="496"/>
      <c r="D3" s="496"/>
      <c r="E3" s="496"/>
      <c r="F3" s="496"/>
      <c r="G3" s="496"/>
      <c r="H3" s="496"/>
      <c r="I3" s="496"/>
    </row>
    <row r="4" spans="2:13" ht="16.350000000000001" customHeight="1" x14ac:dyDescent="0.25">
      <c r="B4" s="671" t="s">
        <v>245</v>
      </c>
      <c r="C4" s="672" t="s">
        <v>241</v>
      </c>
      <c r="D4" s="672" t="s">
        <v>242</v>
      </c>
      <c r="E4" s="672" t="s">
        <v>243</v>
      </c>
      <c r="F4" s="672" t="s">
        <v>298</v>
      </c>
      <c r="G4" s="672" t="s">
        <v>248</v>
      </c>
      <c r="H4" s="672" t="s">
        <v>249</v>
      </c>
      <c r="I4" s="673" t="s">
        <v>77</v>
      </c>
    </row>
    <row r="5" spans="2:13" ht="15.75" x14ac:dyDescent="0.25">
      <c r="B5" s="674"/>
      <c r="C5" s="675"/>
      <c r="D5" s="675"/>
      <c r="E5" s="675"/>
      <c r="F5" s="676" t="s">
        <v>302</v>
      </c>
      <c r="G5" s="676" t="s">
        <v>302</v>
      </c>
      <c r="H5" s="676" t="s">
        <v>302</v>
      </c>
      <c r="I5" s="677" t="s">
        <v>302</v>
      </c>
    </row>
    <row r="6" spans="2:13" ht="6.6" customHeight="1" x14ac:dyDescent="0.25">
      <c r="B6" s="505"/>
      <c r="C6" s="505"/>
      <c r="D6" s="506"/>
      <c r="E6" s="506"/>
      <c r="F6" s="506"/>
      <c r="G6" s="505"/>
      <c r="H6" s="505"/>
      <c r="I6" s="505"/>
    </row>
    <row r="7" spans="2:13" ht="16.350000000000001" customHeight="1" x14ac:dyDescent="0.25">
      <c r="B7" s="497" t="s">
        <v>299</v>
      </c>
      <c r="C7" s="497">
        <f>INDEX('Monthly Report 2026 €'!$I$107:$I$118,MATCH('2026-1'!$B$2,'Monthly Report 2026 €'!$D$107:$D$118,0))</f>
        <v>2.2007028490396589E-2</v>
      </c>
      <c r="D7" s="497">
        <v>1.9300000000000001E-2</v>
      </c>
      <c r="E7" s="497">
        <v>0.02</v>
      </c>
      <c r="F7" s="663">
        <f>INDEX('Monthly Report 2026 €'!J$107:J$118,MATCH('2026-1'!$B$2,'Monthly Report 2026 €'!$D$107:$D$118,0))</f>
        <v>187938022.01431116</v>
      </c>
      <c r="G7" s="663">
        <f>INDEX('Monthly Report 2026 €'!K$107:K$118,MATCH('2026-1'!$B$2,'Monthly Report 2026 €'!$D$107:$D$118,0))</f>
        <v>383920.65830215765</v>
      </c>
      <c r="H7" s="663">
        <f>INDEX('Monthly Report 2026 €'!L$107:L$118,MATCH('2026-1'!$B$2,'Monthly Report 2026 €'!$D$107:$D$118,0))</f>
        <v>150003.47</v>
      </c>
      <c r="I7" s="663">
        <f>INDEX('Monthly Report 2026 €'!M$107:M$118,MATCH('2026-1'!$B$2,'Monthly Report 2026 €'!$D$107:$D$118,0))</f>
        <v>93246.03813763021</v>
      </c>
    </row>
    <row r="8" spans="2:13" ht="16.350000000000001" customHeight="1" x14ac:dyDescent="0.25">
      <c r="B8" s="497" t="s">
        <v>300</v>
      </c>
      <c r="C8" s="497">
        <f>INDEX('Monthly Report 2026 $'!I$93:I$104,MATCH($B$2,'Monthly Report 2026 $'!$D$93:$D$104,0))</f>
        <v>3.6755514080697931E-2</v>
      </c>
      <c r="D8" s="497">
        <v>3.6700000000000003E-2</v>
      </c>
      <c r="E8" s="497">
        <v>3.5000000000000003E-2</v>
      </c>
      <c r="F8" s="666">
        <f>INDEX('Monthly Report 2026 $'!J$93:J$104,MATCH($B$2,'Monthly Report 2026 $'!$D$93:$D$104,0))</f>
        <v>369432597.42858255</v>
      </c>
      <c r="G8" s="666">
        <f>INDEX('Monthly Report 2026 $'!K$93:K$104,MATCH($B$2,'Monthly Report 2026 $'!$D$93:$D$104,0))</f>
        <v>1183348.8614251809</v>
      </c>
      <c r="H8" s="666">
        <f>INDEX('Monthly Report 2026 $'!L$93:L$104,MATCH($B$2,'Monthly Report 2026 $'!$D$93:$D$104,0))</f>
        <v>1095294.410000006</v>
      </c>
      <c r="I8" s="666">
        <f>INDEX('Monthly Report 2026 $'!M$93:M$104,MATCH($B$2,'Monthly Report 2026 $'!$D$93:$D$104,0))</f>
        <v>185126.46770348074</v>
      </c>
    </row>
    <row r="9" spans="2:13" ht="25.15" customHeight="1" x14ac:dyDescent="0.25">
      <c r="B9" s="499"/>
      <c r="C9" s="499"/>
      <c r="D9" s="499"/>
      <c r="E9" s="499"/>
      <c r="F9" s="499"/>
      <c r="G9" s="499"/>
      <c r="H9" s="499"/>
      <c r="I9" s="499"/>
      <c r="J9" s="483"/>
    </row>
    <row r="10" spans="2:13" ht="16.149999999999999" customHeight="1" x14ac:dyDescent="0.25">
      <c r="B10" s="503" t="str">
        <f>"Total in K€eq at FX "&amp;M10</f>
        <v>Total in K€eq at FX 1,1919</v>
      </c>
      <c r="C10" s="503"/>
      <c r="D10" s="503"/>
      <c r="E10" s="504"/>
      <c r="F10" s="504"/>
      <c r="G10" s="561">
        <f>(G7+G8/$M$10)*10^-3</f>
        <v>1376.7462824528254</v>
      </c>
      <c r="H10" s="561">
        <f t="shared" ref="H10:I10" si="0">(H7+H8/$M$10)*10^-3</f>
        <v>1068.9517123022117</v>
      </c>
      <c r="I10" s="561">
        <f t="shared" si="0"/>
        <v>248.56650772692527</v>
      </c>
      <c r="J10" s="483"/>
      <c r="M10">
        <v>1.1919</v>
      </c>
    </row>
    <row r="11" spans="2:13" ht="3" customHeight="1" x14ac:dyDescent="0.25"/>
    <row r="12" spans="2:13" ht="16.350000000000001" customHeight="1" x14ac:dyDescent="0.25">
      <c r="B12" s="682" t="str">
        <f>"Total in K€eq at FX "&amp;M12</f>
        <v>Total in K€eq at FX 1,1886</v>
      </c>
      <c r="C12" s="667"/>
      <c r="D12" s="667"/>
      <c r="E12" s="667"/>
      <c r="F12" s="667"/>
      <c r="G12" s="668">
        <f>(G7+G8/$M$12)*10^-3</f>
        <v>1379.5027392588975</v>
      </c>
      <c r="H12" s="668">
        <f>(H7+H8/$M$12)*10^-3</f>
        <v>1071.5030577502994</v>
      </c>
      <c r="I12" s="668">
        <f>(I7+I8/$M$12)*10^-3</f>
        <v>248.99773568388693</v>
      </c>
      <c r="J12" s="483"/>
      <c r="M12">
        <v>1.1886000000000001</v>
      </c>
    </row>
    <row r="13" spans="2:13" ht="16.350000000000001" customHeight="1" x14ac:dyDescent="0.25">
      <c r="B13" s="669" t="s">
        <v>306</v>
      </c>
      <c r="C13" s="500"/>
      <c r="D13" s="500"/>
      <c r="E13" s="500"/>
      <c r="F13" s="500"/>
      <c r="G13" s="670">
        <f>G12-G10</f>
        <v>2.7564568060720376</v>
      </c>
      <c r="H13" s="670">
        <f>H12-H10</f>
        <v>2.551345448087659</v>
      </c>
      <c r="I13" s="670">
        <f>I12-I10</f>
        <v>0.43122795696166349</v>
      </c>
      <c r="J13" s="483"/>
    </row>
    <row r="14" spans="2:13" ht="16.350000000000001" customHeight="1" x14ac:dyDescent="0.25">
      <c r="B14" s="496"/>
      <c r="C14" s="496"/>
      <c r="D14" s="496"/>
      <c r="E14" s="496"/>
      <c r="F14" s="496"/>
      <c r="G14" s="496"/>
      <c r="H14" s="496"/>
      <c r="I14" s="496"/>
    </row>
    <row r="15" spans="2:13" ht="16.350000000000001" customHeight="1" x14ac:dyDescent="0.25">
      <c r="B15" s="681" t="s">
        <v>280</v>
      </c>
      <c r="C15" s="679"/>
      <c r="D15" s="679"/>
      <c r="E15" s="679"/>
      <c r="F15" s="679"/>
      <c r="G15" s="679"/>
      <c r="H15" s="679"/>
      <c r="I15" s="680"/>
    </row>
    <row r="16" spans="2:13" ht="4.3499999999999996" customHeight="1" x14ac:dyDescent="0.25">
      <c r="B16" s="496"/>
      <c r="C16" s="496"/>
      <c r="D16" s="496"/>
      <c r="E16" s="496"/>
      <c r="F16" s="496"/>
      <c r="G16" s="496"/>
      <c r="H16" s="496"/>
      <c r="I16" s="496"/>
    </row>
    <row r="17" spans="2:13" ht="16.350000000000001" customHeight="1" x14ac:dyDescent="0.25">
      <c r="B17" s="671" t="s">
        <v>245</v>
      </c>
      <c r="C17" s="672" t="s">
        <v>241</v>
      </c>
      <c r="D17" s="672" t="s">
        <v>242</v>
      </c>
      <c r="E17" s="672" t="s">
        <v>243</v>
      </c>
      <c r="F17" s="672" t="s">
        <v>298</v>
      </c>
      <c r="G17" s="672" t="s">
        <v>248</v>
      </c>
      <c r="H17" s="672" t="s">
        <v>249</v>
      </c>
      <c r="I17" s="673" t="s">
        <v>77</v>
      </c>
    </row>
    <row r="18" spans="2:13" ht="15.75" x14ac:dyDescent="0.25">
      <c r="B18" s="674"/>
      <c r="C18" s="675"/>
      <c r="D18" s="675"/>
      <c r="E18" s="675"/>
      <c r="F18" s="676" t="s">
        <v>302</v>
      </c>
      <c r="G18" s="676" t="s">
        <v>302</v>
      </c>
      <c r="H18" s="676" t="s">
        <v>302</v>
      </c>
      <c r="I18" s="677" t="s">
        <v>302</v>
      </c>
    </row>
    <row r="19" spans="2:13" ht="6.6" customHeight="1" x14ac:dyDescent="0.25">
      <c r="B19" s="505"/>
      <c r="C19" s="505"/>
      <c r="D19" s="506"/>
      <c r="E19" s="506"/>
      <c r="F19" s="506"/>
      <c r="G19" s="505"/>
      <c r="H19" s="505"/>
      <c r="I19" s="505"/>
    </row>
    <row r="20" spans="2:13" ht="16.350000000000001" customHeight="1" x14ac:dyDescent="0.25">
      <c r="B20" s="497" t="s">
        <v>112</v>
      </c>
      <c r="C20" s="497">
        <f>'Monthly Report 2026 €'!I119</f>
        <v>2.2007028490396589E-2</v>
      </c>
      <c r="D20" s="497">
        <v>1.9300000000000001E-2</v>
      </c>
      <c r="E20" s="497">
        <v>0.02</v>
      </c>
      <c r="F20" s="663">
        <f>'Monthly Report 2026 €'!J119</f>
        <v>187938022.01431116</v>
      </c>
      <c r="G20" s="663">
        <f>'Monthly Report 2026 €'!K119</f>
        <v>383920.65830215765</v>
      </c>
      <c r="H20" s="663">
        <f>'Monthly Report 2026 €'!L119</f>
        <v>150003.47</v>
      </c>
      <c r="I20" s="663">
        <f>'Monthly Report 2026 €'!M119</f>
        <v>93246.03813763021</v>
      </c>
    </row>
    <row r="21" spans="2:13" ht="16.350000000000001" customHeight="1" x14ac:dyDescent="0.25">
      <c r="B21" s="497" t="s">
        <v>110</v>
      </c>
      <c r="C21" s="497">
        <f>'Monthly Report 2026 $'!I105</f>
        <v>3.6755514080697931E-2</v>
      </c>
      <c r="D21" s="497">
        <v>3.6700000000000003E-2</v>
      </c>
      <c r="E21" s="497">
        <v>3.5000000000000003E-2</v>
      </c>
      <c r="F21" s="666">
        <f>'Monthly Report 2026 $'!J105</f>
        <v>369432597.42858255</v>
      </c>
      <c r="G21" s="666">
        <f>'Monthly Report 2026 $'!K105</f>
        <v>1183348.8614251809</v>
      </c>
      <c r="H21" s="666">
        <f>'Monthly Report 2026 $'!L105</f>
        <v>1095294.410000006</v>
      </c>
      <c r="I21" s="666">
        <f>'Monthly Report 2026 $'!M105</f>
        <v>185126.46770348074</v>
      </c>
    </row>
    <row r="22" spans="2:13" ht="25.15" customHeight="1" x14ac:dyDescent="0.25">
      <c r="B22" s="499"/>
      <c r="C22" s="499"/>
      <c r="D22" s="499"/>
      <c r="E22" s="499"/>
      <c r="F22" s="499"/>
      <c r="G22" s="499"/>
      <c r="H22" s="499"/>
      <c r="I22" s="499"/>
    </row>
    <row r="23" spans="2:13" ht="16.350000000000001" customHeight="1" x14ac:dyDescent="0.25">
      <c r="B23" s="503" t="str">
        <f>"Total in K€eq at FX "&amp;M23</f>
        <v>Total in K€eq at FX 1,1919</v>
      </c>
      <c r="C23" s="503"/>
      <c r="D23" s="503"/>
      <c r="E23" s="504"/>
      <c r="F23" s="504"/>
      <c r="G23" s="561">
        <f>(G20+G21/M23)*10^-3</f>
        <v>1376.7462824528254</v>
      </c>
      <c r="H23" s="561">
        <f>(H20+H21/$M$23)*10^-3</f>
        <v>1068.9517123022117</v>
      </c>
      <c r="I23" s="561">
        <f>(I20+I21/$M$23)*10^-3</f>
        <v>248.56650772692527</v>
      </c>
      <c r="M23">
        <v>1.1919</v>
      </c>
    </row>
    <row r="24" spans="2:13" ht="3" customHeight="1" x14ac:dyDescent="0.25"/>
    <row r="25" spans="2:13" ht="16.350000000000001" customHeight="1" x14ac:dyDescent="0.25">
      <c r="B25" s="682" t="str">
        <f>"Total in K€eq at FX "&amp;M25</f>
        <v>Total in K€eq at FX 1,1886</v>
      </c>
      <c r="C25" s="667"/>
      <c r="D25" s="667"/>
      <c r="E25" s="667"/>
      <c r="F25" s="667"/>
      <c r="G25" s="668">
        <f>(G20+G21/$M$25)*10^-3</f>
        <v>1379.5027392588975</v>
      </c>
      <c r="H25" s="668">
        <f>(H20+H21/$M$25)*10^-3</f>
        <v>1071.5030577502994</v>
      </c>
      <c r="I25" s="668">
        <f>(I20+I21/$M$25)*10^-3</f>
        <v>248.99773568388693</v>
      </c>
      <c r="J25" s="483"/>
      <c r="M25">
        <f>M12</f>
        <v>1.1886000000000001</v>
      </c>
    </row>
    <row r="26" spans="2:13" ht="16.350000000000001" customHeight="1" x14ac:dyDescent="0.25">
      <c r="B26" s="669" t="s">
        <v>306</v>
      </c>
      <c r="C26" s="500"/>
      <c r="D26" s="500"/>
      <c r="E26" s="500"/>
      <c r="F26" s="500"/>
      <c r="G26" s="670">
        <f>G25-G23</f>
        <v>2.7564568060720376</v>
      </c>
      <c r="H26" s="670">
        <f>H25-H23</f>
        <v>2.551345448087659</v>
      </c>
      <c r="I26" s="670">
        <f>I25-I23</f>
        <v>0.43122795696166349</v>
      </c>
      <c r="J26" s="483"/>
    </row>
    <row r="27" spans="2:13" x14ac:dyDescent="0.25">
      <c r="K27" s="501"/>
      <c r="L27" s="501"/>
      <c r="M27" s="502"/>
    </row>
  </sheetData>
  <pageMargins left="0.7" right="0.7" top="0.75" bottom="0.75" header="0.3" footer="0.3"/>
  <ignoredErrors>
    <ignoredError xmlns:x16r3="http://schemas.microsoft.com/office/spreadsheetml/2018/08/main" sqref="E8" x16r3:misleadingForma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4FC8-6FFF-4A12-A7C5-60ABF17ADE7C}">
  <sheetPr>
    <tabColor theme="4" tint="-0.499984740745262"/>
  </sheetPr>
  <dimension ref="A3:O34"/>
  <sheetViews>
    <sheetView workbookViewId="0">
      <selection activeCell="E50" sqref="E49:E50"/>
    </sheetView>
  </sheetViews>
  <sheetFormatPr baseColWidth="10" defaultRowHeight="15" x14ac:dyDescent="0.25"/>
  <sheetData>
    <row r="3" spans="1:15" s="9" customFormat="1" ht="30.6" customHeight="1" x14ac:dyDescent="0.2">
      <c r="A3" s="4"/>
      <c r="B3" s="180"/>
      <c r="C3" s="4"/>
      <c r="D3" s="697" t="s">
        <v>13</v>
      </c>
      <c r="E3" s="698" t="s">
        <v>34</v>
      </c>
      <c r="F3" s="698" t="s">
        <v>310</v>
      </c>
      <c r="G3" s="698" t="s">
        <v>36</v>
      </c>
      <c r="H3" s="698" t="s">
        <v>35</v>
      </c>
      <c r="I3" s="699" t="s">
        <v>77</v>
      </c>
      <c r="J3" s="16"/>
      <c r="K3" s="101"/>
      <c r="L3" s="4"/>
      <c r="M3" s="4"/>
      <c r="N3" s="4"/>
      <c r="O3" s="4"/>
    </row>
    <row r="4" spans="1:15" s="9" customFormat="1" ht="15.75" x14ac:dyDescent="0.2">
      <c r="A4" s="4"/>
      <c r="B4" s="180"/>
      <c r="C4" s="4"/>
      <c r="D4" s="700"/>
      <c r="E4" s="701"/>
      <c r="F4" s="702" t="s">
        <v>307</v>
      </c>
      <c r="G4" s="702" t="s">
        <v>307</v>
      </c>
      <c r="H4" s="702" t="s">
        <v>307</v>
      </c>
      <c r="I4" s="703" t="s">
        <v>307</v>
      </c>
      <c r="J4" s="16"/>
      <c r="K4" s="101"/>
      <c r="L4" s="4"/>
      <c r="M4" s="4"/>
      <c r="N4" s="4"/>
      <c r="O4" s="4"/>
    </row>
    <row r="5" spans="1:15" s="9" customFormat="1" ht="16.149999999999999" customHeight="1" x14ac:dyDescent="0.2">
      <c r="A5" s="5"/>
      <c r="B5" s="104"/>
      <c r="C5" s="5"/>
      <c r="D5" s="693">
        <f>'Monthly Report 2026 €'!D107</f>
        <v>46053</v>
      </c>
      <c r="E5" s="695">
        <f>'Monthly Report 2026 €'!I107</f>
        <v>2.2007028490396589E-2</v>
      </c>
      <c r="F5" s="696">
        <f>'Monthly Report 2026 €'!J107</f>
        <v>187938022.01431116</v>
      </c>
      <c r="G5" s="696">
        <f>'Monthly Report 2026 €'!K107</f>
        <v>383920.65830215765</v>
      </c>
      <c r="H5" s="696">
        <f>'Monthly Report 2026 €'!L107</f>
        <v>150003.47</v>
      </c>
      <c r="I5" s="696">
        <f>'Monthly Report 2026 €'!M107</f>
        <v>93246.03813763021</v>
      </c>
      <c r="J5" s="16"/>
      <c r="K5" s="4"/>
      <c r="L5" s="222"/>
      <c r="M5" s="4"/>
    </row>
    <row r="6" spans="1:15" s="9" customFormat="1" ht="14.25" hidden="1" customHeight="1" x14ac:dyDescent="0.2">
      <c r="A6" s="5" t="str">
        <f>CONCATENATE(MONTH(D6)," ",YEAR(D6))</f>
        <v>2 2026</v>
      </c>
      <c r="B6" s="104">
        <f>EOMONTH(D6,0)</f>
        <v>46081</v>
      </c>
      <c r="C6" s="5"/>
      <c r="D6" s="559">
        <f>'Monthly Report 2026 €'!D108</f>
        <v>46081</v>
      </c>
      <c r="E6" s="497">
        <f>'Monthly Report 2026 €'!I108</f>
        <v>2.2605120752304149E-2</v>
      </c>
      <c r="F6" s="663">
        <f>'Monthly Report 2026 €'!J108</f>
        <v>37210956.159999996</v>
      </c>
      <c r="G6" s="663">
        <f>'Monthly Report 2026 €'!K108</f>
        <v>67926.154254149151</v>
      </c>
      <c r="H6" s="663">
        <f>'Monthly Report 2026 €'!L108</f>
        <v>0</v>
      </c>
      <c r="I6" s="663">
        <f>'Monthly Report 2026 €'!M108</f>
        <v>15322.76948081583</v>
      </c>
      <c r="J6" s="16"/>
      <c r="K6" s="4"/>
      <c r="L6" s="222"/>
      <c r="M6" s="4"/>
    </row>
    <row r="7" spans="1:15" s="9" customFormat="1" ht="14.25" hidden="1" customHeight="1" x14ac:dyDescent="0.2">
      <c r="A7" s="5" t="str">
        <f t="shared" ref="A7:A16" si="0">CONCATENATE(MONTH(D7)," ",YEAR(D7))</f>
        <v>3 2026</v>
      </c>
      <c r="B7" s="104">
        <f t="shared" ref="B7:B16" si="1">EOMONTH(D7,0)</f>
        <v>46112</v>
      </c>
      <c r="C7" s="5"/>
      <c r="D7" s="559">
        <f>'Monthly Report 2026 €'!D109</f>
        <v>46112</v>
      </c>
      <c r="E7" s="497">
        <f>'Monthly Report 2026 €'!I109</f>
        <v>2.0734270060822135E-2</v>
      </c>
      <c r="F7" s="663">
        <f>'Monthly Report 2026 €'!J109</f>
        <v>67260956.159999996</v>
      </c>
      <c r="G7" s="663">
        <f>'Monthly Report 2026 €'!K109</f>
        <v>112477.53288455401</v>
      </c>
      <c r="H7" s="663">
        <f>'Monthly Report 2026 €'!L109</f>
        <v>0</v>
      </c>
      <c r="I7" s="663">
        <f>'Monthly Report 2026 €'!M109</f>
        <v>16964.494782331811</v>
      </c>
      <c r="J7" s="16"/>
      <c r="K7" s="4"/>
      <c r="L7" s="4"/>
      <c r="M7" s="4"/>
    </row>
    <row r="8" spans="1:15" s="9" customFormat="1" ht="14.25" hidden="1" customHeight="1" x14ac:dyDescent="0.2">
      <c r="A8" s="5" t="str">
        <f t="shared" si="0"/>
        <v>4 2026</v>
      </c>
      <c r="B8" s="104">
        <f t="shared" si="1"/>
        <v>46142</v>
      </c>
      <c r="C8" s="5"/>
      <c r="D8" s="559">
        <f>'Monthly Report 2026 €'!D110</f>
        <v>46142</v>
      </c>
      <c r="E8" s="497">
        <f>'Monthly Report 2026 €'!I110</f>
        <v>2.0428995474183854E-2</v>
      </c>
      <c r="F8" s="663">
        <f>'Monthly Report 2026 €'!J110</f>
        <v>67260956.159999996</v>
      </c>
      <c r="G8" s="663">
        <f>'Monthly Report 2026 €'!K110</f>
        <v>114506.14741515978</v>
      </c>
      <c r="H8" s="663">
        <f>'Monthly Report 2026 €'!L110</f>
        <v>0</v>
      </c>
      <c r="I8" s="663">
        <f>'Monthly Report 2026 €'!M110</f>
        <v>16417.253015159818</v>
      </c>
      <c r="J8" s="16"/>
      <c r="K8" s="4"/>
      <c r="L8" s="4"/>
      <c r="M8" s="4"/>
    </row>
    <row r="9" spans="1:15" s="9" customFormat="1" ht="14.25" hidden="1" customHeight="1" x14ac:dyDescent="0.2">
      <c r="A9" s="5" t="str">
        <f t="shared" si="0"/>
        <v>5 2026</v>
      </c>
      <c r="B9" s="104">
        <f t="shared" si="1"/>
        <v>46173</v>
      </c>
      <c r="C9" s="5"/>
      <c r="D9" s="559">
        <f>'Monthly Report 2026 €'!D111</f>
        <v>46173</v>
      </c>
      <c r="E9" s="497">
        <f>'Monthly Report 2026 €'!I111</f>
        <v>2.0428995474183854E-2</v>
      </c>
      <c r="F9" s="663">
        <f>'Monthly Report 2026 €'!J111</f>
        <v>67260956.159999996</v>
      </c>
      <c r="G9" s="663">
        <f>'Monthly Report 2026 €'!K111</f>
        <v>118323.0189956651</v>
      </c>
      <c r="H9" s="663">
        <f>'Monthly Report 2026 €'!L111</f>
        <v>0</v>
      </c>
      <c r="I9" s="663">
        <f>'Monthly Report 2026 €'!M111</f>
        <v>16964.494782331811</v>
      </c>
      <c r="J9" s="16"/>
      <c r="K9" s="4"/>
      <c r="L9" s="4"/>
      <c r="M9" s="4"/>
    </row>
    <row r="10" spans="1:15" s="9" customFormat="1" ht="14.25" hidden="1" customHeight="1" x14ac:dyDescent="0.2">
      <c r="A10" s="5" t="str">
        <f t="shared" si="0"/>
        <v>6 2026</v>
      </c>
      <c r="B10" s="104">
        <f t="shared" si="1"/>
        <v>46203</v>
      </c>
      <c r="C10" s="5"/>
      <c r="D10" s="559">
        <f>'Monthly Report 2026 €'!D112</f>
        <v>46203</v>
      </c>
      <c r="E10" s="497">
        <f>'Monthly Report 2026 €'!I112</f>
        <v>2.0428995474183854E-2</v>
      </c>
      <c r="F10" s="663">
        <f>'Monthly Report 2026 €'!J112</f>
        <v>67260956.159999996</v>
      </c>
      <c r="G10" s="663">
        <f>'Monthly Report 2026 €'!K112</f>
        <v>114506.14741515978</v>
      </c>
      <c r="H10" s="663">
        <f>'Monthly Report 2026 €'!L112</f>
        <v>0</v>
      </c>
      <c r="I10" s="663">
        <f>'Monthly Report 2026 €'!M112</f>
        <v>16417.253015159818</v>
      </c>
      <c r="J10" s="16"/>
      <c r="K10" s="4"/>
      <c r="L10" s="4"/>
      <c r="M10" s="4"/>
      <c r="N10" s="4"/>
    </row>
    <row r="11" spans="1:15" s="9" customFormat="1" ht="14.25" hidden="1" customHeight="1" x14ac:dyDescent="0.2">
      <c r="A11" s="5" t="str">
        <f t="shared" si="0"/>
        <v>7 2026</v>
      </c>
      <c r="B11" s="104">
        <f t="shared" si="1"/>
        <v>46234</v>
      </c>
      <c r="C11" s="5"/>
      <c r="D11" s="559">
        <f>'Monthly Report 2026 €'!D113</f>
        <v>46234</v>
      </c>
      <c r="E11" s="497">
        <f>'Monthly Report 2026 €'!I113</f>
        <v>2.0428995474183854E-2</v>
      </c>
      <c r="F11" s="663">
        <f>'Monthly Report 2026 €'!J113</f>
        <v>67260956.159999996</v>
      </c>
      <c r="G11" s="663">
        <f>'Monthly Report 2026 €'!K113</f>
        <v>118323.0189956651</v>
      </c>
      <c r="H11" s="663">
        <f>'Monthly Report 2026 €'!L113</f>
        <v>0</v>
      </c>
      <c r="I11" s="663">
        <f>'Monthly Report 2026 €'!M113</f>
        <v>16964.494782331811</v>
      </c>
      <c r="J11" s="16"/>
      <c r="K11" s="4"/>
      <c r="L11" s="4"/>
      <c r="M11" s="4"/>
      <c r="N11" s="4"/>
    </row>
    <row r="12" spans="1:15" s="9" customFormat="1" ht="14.25" hidden="1" customHeight="1" x14ac:dyDescent="0.2">
      <c r="A12" s="5" t="str">
        <f t="shared" si="0"/>
        <v>8 2026</v>
      </c>
      <c r="B12" s="104">
        <f t="shared" si="1"/>
        <v>46265</v>
      </c>
      <c r="C12" s="5"/>
      <c r="D12" s="559">
        <f>'Monthly Report 2026 €'!D114</f>
        <v>46265</v>
      </c>
      <c r="E12" s="497">
        <f>'Monthly Report 2026 €'!I114</f>
        <v>2.0428995474183854E-2</v>
      </c>
      <c r="F12" s="663">
        <f>'Monthly Report 2026 €'!J114</f>
        <v>67260956.159999996</v>
      </c>
      <c r="G12" s="663">
        <f>'Monthly Report 2026 €'!K114</f>
        <v>118323.0189956651</v>
      </c>
      <c r="H12" s="663">
        <f>'Monthly Report 2026 €'!L114</f>
        <v>0</v>
      </c>
      <c r="I12" s="663">
        <f>'Monthly Report 2026 €'!M114</f>
        <v>16964.494782331811</v>
      </c>
      <c r="J12" s="16"/>
      <c r="K12" s="4"/>
      <c r="L12" s="4"/>
      <c r="M12" s="4"/>
      <c r="N12" s="4"/>
    </row>
    <row r="13" spans="1:15" s="9" customFormat="1" ht="14.25" hidden="1" customHeight="1" x14ac:dyDescent="0.2">
      <c r="A13" s="5" t="str">
        <f t="shared" si="0"/>
        <v>9 2026</v>
      </c>
      <c r="B13" s="104">
        <f t="shared" si="1"/>
        <v>46295</v>
      </c>
      <c r="C13" s="5"/>
      <c r="D13" s="559">
        <f>'Monthly Report 2026 €'!D115</f>
        <v>46295</v>
      </c>
      <c r="E13" s="497">
        <f>'Monthly Report 2026 €'!I115</f>
        <v>2.0428995474183854E-2</v>
      </c>
      <c r="F13" s="663">
        <f>'Monthly Report 2026 €'!J115</f>
        <v>67260956.159999996</v>
      </c>
      <c r="G13" s="663">
        <f>'Monthly Report 2026 €'!K115</f>
        <v>114506.14741515978</v>
      </c>
      <c r="H13" s="663">
        <f>'Monthly Report 2026 €'!L115</f>
        <v>0</v>
      </c>
      <c r="I13" s="663">
        <f>'Monthly Report 2026 €'!M115</f>
        <v>16417.253015159818</v>
      </c>
      <c r="J13" s="16"/>
      <c r="K13" s="4"/>
      <c r="L13" s="4"/>
      <c r="M13" s="4"/>
      <c r="N13" s="4"/>
    </row>
    <row r="14" spans="1:15" s="9" customFormat="1" ht="14.25" hidden="1" customHeight="1" x14ac:dyDescent="0.2">
      <c r="A14" s="5" t="str">
        <f t="shared" si="0"/>
        <v>10 2026</v>
      </c>
      <c r="B14" s="104">
        <f t="shared" si="1"/>
        <v>46326</v>
      </c>
      <c r="C14" s="5"/>
      <c r="D14" s="559">
        <f>'Monthly Report 2026 €'!D116</f>
        <v>46326</v>
      </c>
      <c r="E14" s="497">
        <f>'Monthly Report 2026 €'!I116</f>
        <v>2.0428995474183854E-2</v>
      </c>
      <c r="F14" s="663">
        <f>'Monthly Report 2026 €'!J116</f>
        <v>67260956.159999996</v>
      </c>
      <c r="G14" s="663">
        <f>'Monthly Report 2026 €'!K116</f>
        <v>118323.0189956651</v>
      </c>
      <c r="H14" s="663">
        <f>'Monthly Report 2026 €'!L116</f>
        <v>0</v>
      </c>
      <c r="I14" s="663">
        <f>'Monthly Report 2026 €'!M116</f>
        <v>16964.494782331811</v>
      </c>
      <c r="J14" s="16"/>
      <c r="K14" s="93"/>
      <c r="L14" s="93"/>
      <c r="M14" s="93"/>
      <c r="N14" s="93"/>
    </row>
    <row r="15" spans="1:15" s="9" customFormat="1" ht="14.25" hidden="1" customHeight="1" x14ac:dyDescent="0.2">
      <c r="A15" s="5" t="str">
        <f t="shared" si="0"/>
        <v>11 2026</v>
      </c>
      <c r="B15" s="104">
        <f t="shared" si="1"/>
        <v>46356</v>
      </c>
      <c r="C15" s="5"/>
      <c r="D15" s="559">
        <f>'Monthly Report 2026 €'!D117</f>
        <v>46356</v>
      </c>
      <c r="E15" s="497">
        <f>'Monthly Report 2026 €'!I117</f>
        <v>1.9198018105288466E-2</v>
      </c>
      <c r="F15" s="663">
        <f>'Monthly Report 2026 €'!J117</f>
        <v>52260956.159999996</v>
      </c>
      <c r="G15" s="663">
        <f>'Monthly Report 2026 €'!K117</f>
        <v>88716.147415159794</v>
      </c>
      <c r="H15" s="663">
        <f>'Monthly Report 2026 €'!L117</f>
        <v>0</v>
      </c>
      <c r="I15" s="663">
        <f>'Monthly Report 2026 €'!M117</f>
        <v>8127.2530151598185</v>
      </c>
      <c r="J15" s="16"/>
      <c r="K15" s="93"/>
      <c r="L15" s="93"/>
      <c r="M15" s="93"/>
      <c r="N15" s="93"/>
    </row>
    <row r="16" spans="1:15" s="9" customFormat="1" ht="14.25" hidden="1" customHeight="1" x14ac:dyDescent="0.2">
      <c r="A16" s="5" t="str">
        <f t="shared" si="0"/>
        <v>12 2026</v>
      </c>
      <c r="B16" s="104">
        <f t="shared" si="1"/>
        <v>46387</v>
      </c>
      <c r="C16" s="5"/>
      <c r="D16" s="559">
        <f>'Monthly Report 2026 €'!D118</f>
        <v>46387</v>
      </c>
      <c r="E16" s="497">
        <f>'Monthly Report 2026 €'!I118</f>
        <v>1.8890273763064621E-2</v>
      </c>
      <c r="F16" s="663">
        <f>'Monthly Report 2026 €'!J118</f>
        <v>52260956.159999996</v>
      </c>
      <c r="G16" s="663">
        <f>'Monthly Report 2026 €'!K118</f>
        <v>85010.935662331787</v>
      </c>
      <c r="H16" s="663">
        <f>'Monthly Report 2026 €'!L118</f>
        <v>0</v>
      </c>
      <c r="I16" s="663">
        <f>'Monthly Report 2026 €'!M118</f>
        <v>6256.5781156651465</v>
      </c>
      <c r="J16" s="16"/>
      <c r="K16" s="4"/>
      <c r="L16" s="4"/>
      <c r="M16" s="4"/>
      <c r="N16" s="4"/>
    </row>
    <row r="17" spans="1:14" s="9" customFormat="1" ht="16.149999999999999" customHeight="1" x14ac:dyDescent="0.2">
      <c r="A17" s="5"/>
      <c r="B17" s="5"/>
      <c r="C17" s="5"/>
      <c r="D17" s="507" t="str">
        <f>'Monthly Report 2026 €'!D119</f>
        <v>Total 2026</v>
      </c>
      <c r="E17" s="511">
        <f>'Monthly Report 2026 €'!I119</f>
        <v>2.2007028490396589E-2</v>
      </c>
      <c r="F17" s="692">
        <f>'Monthly Report 2026 €'!J119</f>
        <v>187938022.01431116</v>
      </c>
      <c r="G17" s="692">
        <f>'Monthly Report 2026 €'!K119</f>
        <v>383920.65830215765</v>
      </c>
      <c r="H17" s="692">
        <f>'Monthly Report 2026 €'!L119</f>
        <v>150003.47</v>
      </c>
      <c r="I17" s="692">
        <f>'Monthly Report 2026 €'!M119</f>
        <v>93246.03813763021</v>
      </c>
      <c r="J17" s="16"/>
      <c r="K17" s="4"/>
      <c r="L17" s="4"/>
      <c r="M17" s="4"/>
      <c r="N17" s="4"/>
    </row>
    <row r="20" spans="1:14" ht="30.6" customHeight="1" x14ac:dyDescent="0.25">
      <c r="D20" s="697" t="s">
        <v>13</v>
      </c>
      <c r="E20" s="698" t="s">
        <v>34</v>
      </c>
      <c r="F20" s="698" t="s">
        <v>310</v>
      </c>
      <c r="G20" s="698" t="s">
        <v>36</v>
      </c>
      <c r="H20" s="698" t="s">
        <v>35</v>
      </c>
      <c r="I20" s="699" t="s">
        <v>77</v>
      </c>
    </row>
    <row r="21" spans="1:14" ht="15.75" x14ac:dyDescent="0.25">
      <c r="D21" s="700"/>
      <c r="E21" s="701"/>
      <c r="F21" s="702" t="s">
        <v>308</v>
      </c>
      <c r="G21" s="702" t="s">
        <v>308</v>
      </c>
      <c r="H21" s="702" t="s">
        <v>308</v>
      </c>
      <c r="I21" s="703" t="s">
        <v>308</v>
      </c>
    </row>
    <row r="22" spans="1:14" x14ac:dyDescent="0.25">
      <c r="D22" s="559">
        <f>'Monthly Report 2026 $'!D93</f>
        <v>46053</v>
      </c>
      <c r="E22" s="497">
        <f>'Monthly Report 2026 $'!I93</f>
        <v>3.6755514080697931E-2</v>
      </c>
      <c r="F22" s="704">
        <f>'Monthly Report 2026 $'!J93</f>
        <v>369432597.42858255</v>
      </c>
      <c r="G22" s="704">
        <f>'Monthly Report 2026 $'!K93</f>
        <v>1183348.8614251809</v>
      </c>
      <c r="H22" s="704">
        <f>'Monthly Report 2026 $'!L93</f>
        <v>1095294.410000006</v>
      </c>
      <c r="I22" s="704">
        <f>'Monthly Report 2026 $'!M93</f>
        <v>185126.46770348074</v>
      </c>
    </row>
    <row r="23" spans="1:14" hidden="1" x14ac:dyDescent="0.25">
      <c r="D23" s="559">
        <f>'Monthly Report 2026 $'!D94</f>
        <v>46081</v>
      </c>
      <c r="E23" s="497">
        <f>'Monthly Report 2026 $'!I94</f>
        <v>3.3400702357460781E-2</v>
      </c>
      <c r="F23" s="704">
        <f>'Monthly Report 2026 $'!J94</f>
        <v>22280000</v>
      </c>
      <c r="G23" s="704">
        <f>'Monthly Report 2026 $'!K94</f>
        <v>65861.444444444453</v>
      </c>
      <c r="H23" s="704">
        <f>'Monthly Report 2026 $'!L94</f>
        <v>50983.33</v>
      </c>
      <c r="I23" s="704">
        <f>'Monthly Report 2026 $'!M94</f>
        <v>10834.444444444445</v>
      </c>
    </row>
    <row r="24" spans="1:14" hidden="1" x14ac:dyDescent="0.25">
      <c r="D24" s="559">
        <f>'Monthly Report 2026 $'!D95</f>
        <v>46112</v>
      </c>
      <c r="E24" s="497">
        <f>'Monthly Report 2026 $'!I95</f>
        <v>3.7444946479909494E-2</v>
      </c>
      <c r="F24" s="704">
        <f>'Monthly Report 2026 $'!J95</f>
        <v>1450000</v>
      </c>
      <c r="G24" s="704">
        <f>'Monthly Report 2026 $'!K95</f>
        <v>3858.75</v>
      </c>
      <c r="H24" s="704">
        <f>'Monthly Report 2026 $'!L95</f>
        <v>0</v>
      </c>
      <c r="I24" s="704">
        <f>'Monthly Report 2026 $'!M95</f>
        <v>0</v>
      </c>
    </row>
    <row r="25" spans="1:14" hidden="1" x14ac:dyDescent="0.25">
      <c r="D25" s="559">
        <f>'Monthly Report 2026 $'!D96</f>
        <v>46142</v>
      </c>
      <c r="E25" s="497">
        <f>'Monthly Report 2026 $'!I96</f>
        <v>3.7437639198218277E-2</v>
      </c>
      <c r="F25" s="704">
        <f>'Monthly Report 2026 $'!J96</f>
        <v>1450000</v>
      </c>
      <c r="G25" s="704">
        <f>'Monthly Report 2026 $'!K96</f>
        <v>3806.25</v>
      </c>
      <c r="H25" s="704">
        <f>'Monthly Report 2026 $'!L96</f>
        <v>0</v>
      </c>
      <c r="I25" s="704">
        <f>'Monthly Report 2026 $'!M96</f>
        <v>0</v>
      </c>
    </row>
    <row r="26" spans="1:14" hidden="1" x14ac:dyDescent="0.25">
      <c r="D26" s="559">
        <f>'Monthly Report 2026 $'!D97</f>
        <v>46173</v>
      </c>
      <c r="E26" s="497">
        <f>'Monthly Report 2026 $'!I97</f>
        <v>3.6732482819653849E-2</v>
      </c>
      <c r="F26" s="704">
        <f>'Monthly Report 2026 $'!J97</f>
        <v>1450000</v>
      </c>
      <c r="G26" s="704">
        <f>'Monthly Report 2026 $'!K97</f>
        <v>3933.125</v>
      </c>
      <c r="H26" s="704">
        <f>'Monthly Report 2026 $'!L97</f>
        <v>0</v>
      </c>
      <c r="I26" s="704">
        <f>'Monthly Report 2026 $'!M97</f>
        <v>0</v>
      </c>
    </row>
    <row r="27" spans="1:14" hidden="1" x14ac:dyDescent="0.25">
      <c r="D27" s="559">
        <f>'Monthly Report 2026 $'!D98</f>
        <v>46203</v>
      </c>
      <c r="E27" s="497">
        <f>'Monthly Report 2026 $'!I98</f>
        <v>3.6932664756446971E-2</v>
      </c>
      <c r="F27" s="704">
        <f>'Monthly Report 2026 $'!J98</f>
        <v>1450000</v>
      </c>
      <c r="G27" s="704">
        <f>'Monthly Report 2026 $'!K98</f>
        <v>3806.25</v>
      </c>
      <c r="H27" s="704">
        <f>'Monthly Report 2026 $'!L98</f>
        <v>0</v>
      </c>
      <c r="I27" s="704">
        <f>'Monthly Report 2026 $'!M98</f>
        <v>0</v>
      </c>
    </row>
    <row r="28" spans="1:14" hidden="1" x14ac:dyDescent="0.25">
      <c r="D28" s="559">
        <f>'Monthly Report 2026 $'!D99</f>
        <v>46234</v>
      </c>
      <c r="E28" s="497">
        <f>'Monthly Report 2026 $'!I99</f>
        <v>3.6932664756446971E-2</v>
      </c>
      <c r="F28" s="704">
        <f>'Monthly Report 2026 $'!J99</f>
        <v>1450000</v>
      </c>
      <c r="G28" s="704">
        <f>'Monthly Report 2026 $'!K99</f>
        <v>3933.125</v>
      </c>
      <c r="H28" s="704">
        <f>'Monthly Report 2026 $'!L99</f>
        <v>0</v>
      </c>
      <c r="I28" s="704">
        <f>'Monthly Report 2026 $'!M99</f>
        <v>0</v>
      </c>
    </row>
    <row r="29" spans="1:14" hidden="1" x14ac:dyDescent="0.25">
      <c r="D29" s="559">
        <f>'Monthly Report 2026 $'!D100</f>
        <v>46265</v>
      </c>
      <c r="E29" s="497">
        <f>'Monthly Report 2026 $'!I100</f>
        <v>3.5600742479518062E-2</v>
      </c>
      <c r="F29" s="704">
        <f>'Monthly Report 2026 $'!J100</f>
        <v>1450000</v>
      </c>
      <c r="G29" s="704">
        <f>'Monthly Report 2026 $'!K100</f>
        <v>3933.125</v>
      </c>
      <c r="H29" s="704">
        <f>'Monthly Report 2026 $'!L100</f>
        <v>0</v>
      </c>
      <c r="I29" s="704">
        <f>'Monthly Report 2026 $'!M100</f>
        <v>0</v>
      </c>
    </row>
    <row r="30" spans="1:14" hidden="1" x14ac:dyDescent="0.25">
      <c r="D30" s="559">
        <f>'Monthly Report 2026 $'!D101</f>
        <v>46295</v>
      </c>
      <c r="E30" s="497">
        <f>'Monthly Report 2026 $'!I101</f>
        <v>3.61711409395973E-2</v>
      </c>
      <c r="F30" s="704">
        <f>'Monthly Report 2026 $'!J101</f>
        <v>1450000</v>
      </c>
      <c r="G30" s="704">
        <f>'Monthly Report 2026 $'!K101</f>
        <v>3806.25</v>
      </c>
      <c r="H30" s="704">
        <f>'Monthly Report 2026 $'!L101</f>
        <v>0</v>
      </c>
      <c r="I30" s="704">
        <f>'Monthly Report 2026 $'!M101</f>
        <v>0</v>
      </c>
    </row>
    <row r="31" spans="1:14" hidden="1" x14ac:dyDescent="0.25">
      <c r="D31" s="559">
        <f>'Monthly Report 2026 $'!D102</f>
        <v>46326</v>
      </c>
      <c r="E31" s="497">
        <f>'Monthly Report 2026 $'!I102</f>
        <v>3.61711409395973E-2</v>
      </c>
      <c r="F31" s="704">
        <f>'Monthly Report 2026 $'!J102</f>
        <v>1450000</v>
      </c>
      <c r="G31" s="704">
        <f>'Monthly Report 2026 $'!K102</f>
        <v>3933.125</v>
      </c>
      <c r="H31" s="704">
        <f>'Monthly Report 2026 $'!L102</f>
        <v>0</v>
      </c>
      <c r="I31" s="704">
        <f>'Monthly Report 2026 $'!M102</f>
        <v>0</v>
      </c>
    </row>
    <row r="32" spans="1:14" hidden="1" x14ac:dyDescent="0.25">
      <c r="D32" s="559">
        <f>'Monthly Report 2026 $'!D103</f>
        <v>46356</v>
      </c>
      <c r="E32" s="497">
        <f>'Monthly Report 2026 $'!I103</f>
        <v>3.1277181208053673E-2</v>
      </c>
      <c r="F32" s="704">
        <f>'Monthly Report 2026 $'!J103</f>
        <v>1450000</v>
      </c>
      <c r="G32" s="704">
        <f>'Monthly Report 2026 $'!K103</f>
        <v>3806.25</v>
      </c>
      <c r="H32" s="704">
        <f>'Monthly Report 2026 $'!L103</f>
        <v>0</v>
      </c>
      <c r="I32" s="704">
        <f>'Monthly Report 2026 $'!M103</f>
        <v>0</v>
      </c>
    </row>
    <row r="33" spans="4:9" hidden="1" x14ac:dyDescent="0.25">
      <c r="D33" s="559">
        <f>'Monthly Report 2026 $'!D104</f>
        <v>46387</v>
      </c>
      <c r="E33" s="497">
        <f>'Monthly Report 2026 $'!I104</f>
        <v>3.1499999999999979E-2</v>
      </c>
      <c r="F33" s="704">
        <f>'Monthly Report 2026 $'!J104</f>
        <v>1450000</v>
      </c>
      <c r="G33" s="704">
        <f>'Monthly Report 2026 $'!K104</f>
        <v>3933.125</v>
      </c>
      <c r="H33" s="704">
        <f>'Monthly Report 2026 $'!L104</f>
        <v>0</v>
      </c>
      <c r="I33" s="704">
        <f>'Monthly Report 2026 $'!M104</f>
        <v>0</v>
      </c>
    </row>
    <row r="34" spans="4:9" x14ac:dyDescent="0.25">
      <c r="D34" s="507" t="s">
        <v>309</v>
      </c>
      <c r="E34" s="511">
        <f>'Monthly Report 2026 $'!F105</f>
        <v>0</v>
      </c>
      <c r="F34" s="705">
        <f>'Monthly Report 2026 $'!J105</f>
        <v>369432597.42858255</v>
      </c>
      <c r="G34" s="705">
        <f>'Monthly Report 2026 $'!K105</f>
        <v>1183348.8614251809</v>
      </c>
      <c r="H34" s="705">
        <f>'Monthly Report 2026 $'!L105</f>
        <v>1095294.410000006</v>
      </c>
      <c r="I34" s="705">
        <f>'Monthly Report 2026 $'!M105</f>
        <v>185126.46770348074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17DF-AB15-46CC-B717-80ECA56C9A2E}">
  <sheetPr>
    <tabColor theme="9" tint="-0.499984740745262"/>
    <pageSetUpPr fitToPage="1"/>
  </sheetPr>
  <dimension ref="A1:DI166"/>
  <sheetViews>
    <sheetView showGridLines="0" topLeftCell="A3" zoomScale="80" zoomScaleNormal="80" workbookViewId="0">
      <pane xSplit="3" ySplit="6" topLeftCell="D9" activePane="bottomRight" state="frozen"/>
      <selection activeCell="A3" sqref="A3"/>
      <selection pane="topRight" activeCell="D3" sqref="D3"/>
      <selection pane="bottomLeft" activeCell="A11" sqref="A11"/>
      <selection pane="bottomRight" activeCell="K89" sqref="K89"/>
    </sheetView>
  </sheetViews>
  <sheetFormatPr baseColWidth="10" defaultColWidth="10.85546875" defaultRowHeight="14.25" outlineLevelCol="1" x14ac:dyDescent="0.2"/>
  <cols>
    <col min="1" max="1" width="13.5703125" style="5" customWidth="1"/>
    <col min="2" max="2" width="25.85546875" style="5" customWidth="1"/>
    <col min="3" max="3" width="4.5703125" style="5" customWidth="1"/>
    <col min="4" max="4" width="15.7109375" style="5" customWidth="1"/>
    <col min="5" max="5" width="15.7109375" style="5" customWidth="1" outlineLevel="1"/>
    <col min="6" max="6" width="25" style="5" bestFit="1" customWidth="1" outlineLevel="1"/>
    <col min="7" max="7" width="15.7109375" style="5" customWidth="1" outlineLevel="1"/>
    <col min="8" max="8" width="14.85546875" style="5" bestFit="1" customWidth="1" outlineLevel="1"/>
    <col min="9" max="9" width="7.42578125" style="5" bestFit="1" customWidth="1"/>
    <col min="10" max="10" width="16.7109375" style="4" bestFit="1" customWidth="1"/>
    <col min="11" max="11" width="14.28515625" style="4" bestFit="1" customWidth="1"/>
    <col min="12" max="12" width="15.7109375" style="4" customWidth="1"/>
    <col min="13" max="13" width="13.28515625" style="7" customWidth="1"/>
    <col min="14" max="14" width="1.42578125" style="7" customWidth="1"/>
    <col min="15" max="15" width="51.42578125" style="8" bestFit="1" customWidth="1"/>
    <col min="16" max="16" width="21.42578125" style="4" bestFit="1" customWidth="1"/>
    <col min="17" max="17" width="15.42578125" style="9" bestFit="1" customWidth="1"/>
    <col min="18" max="18" width="18.140625" style="9" customWidth="1"/>
    <col min="19" max="19" width="25.42578125" style="9" bestFit="1" customWidth="1"/>
    <col min="20" max="20" width="16.85546875" style="9" bestFit="1" customWidth="1"/>
    <col min="21" max="21" width="18.5703125" style="9" customWidth="1"/>
    <col min="22" max="22" width="7.140625" style="9" customWidth="1"/>
    <col min="23" max="23" width="13.140625" style="9" bestFit="1" customWidth="1"/>
    <col min="24" max="24" width="17.85546875" style="9" bestFit="1" customWidth="1"/>
    <col min="25" max="113" width="10.85546875" style="9"/>
    <col min="114" max="16384" width="10.85546875" style="4"/>
  </cols>
  <sheetData>
    <row r="1" spans="1:18" ht="15.75" x14ac:dyDescent="0.25">
      <c r="L1" s="164">
        <v>46053</v>
      </c>
      <c r="Q1" s="20"/>
      <c r="R1" s="20"/>
    </row>
    <row r="2" spans="1:18" x14ac:dyDescent="0.2">
      <c r="Q2" s="20"/>
      <c r="R2" s="20"/>
    </row>
    <row r="3" spans="1:18" x14ac:dyDescent="0.2">
      <c r="Q3" s="20"/>
      <c r="R3" s="20"/>
    </row>
    <row r="4" spans="1:18" x14ac:dyDescent="0.2">
      <c r="Q4" s="20"/>
      <c r="R4" s="20"/>
    </row>
    <row r="5" spans="1:18" x14ac:dyDescent="0.2">
      <c r="Q5" s="20"/>
      <c r="R5" s="20"/>
    </row>
    <row r="6" spans="1:18" ht="15.75" x14ac:dyDescent="0.25">
      <c r="D6" s="545" t="str">
        <f>"€ Cash investments report as of "&amp;TEXT(L1,"jj mm aaaa")</f>
        <v>€ Cash investments report as of 31 01 2026</v>
      </c>
      <c r="E6" s="159"/>
      <c r="F6" s="159"/>
      <c r="G6" s="159"/>
      <c r="H6" s="159"/>
      <c r="I6" s="159"/>
      <c r="J6" s="160"/>
      <c r="K6" s="160"/>
      <c r="L6" s="160"/>
      <c r="N6" s="16"/>
    </row>
    <row r="7" spans="1:18" ht="26.45" customHeight="1" x14ac:dyDescent="0.2">
      <c r="B7" s="5" t="s">
        <v>25</v>
      </c>
      <c r="D7" s="697" t="s">
        <v>13</v>
      </c>
      <c r="E7" s="698" t="s">
        <v>28</v>
      </c>
      <c r="F7" s="698" t="s">
        <v>29</v>
      </c>
      <c r="G7" s="698" t="s">
        <v>43</v>
      </c>
      <c r="H7" s="698" t="s">
        <v>44</v>
      </c>
      <c r="I7" s="698" t="s">
        <v>34</v>
      </c>
      <c r="J7" s="698" t="s">
        <v>310</v>
      </c>
      <c r="K7" s="698" t="s">
        <v>36</v>
      </c>
      <c r="L7" s="698" t="s">
        <v>35</v>
      </c>
      <c r="M7" s="699" t="s">
        <v>77</v>
      </c>
      <c r="N7" s="16"/>
    </row>
    <row r="8" spans="1:18" ht="3.75" customHeight="1" x14ac:dyDescent="0.2">
      <c r="D8" s="700"/>
      <c r="E8" s="701"/>
      <c r="F8" s="701"/>
      <c r="G8" s="701"/>
      <c r="H8" s="701"/>
      <c r="I8" s="701"/>
      <c r="J8" s="702"/>
      <c r="K8" s="702"/>
      <c r="L8" s="702"/>
      <c r="M8" s="703"/>
      <c r="N8" s="5"/>
    </row>
    <row r="9" spans="1:18" ht="15" x14ac:dyDescent="0.2">
      <c r="D9" s="640" t="s">
        <v>31</v>
      </c>
      <c r="E9" s="641"/>
      <c r="F9" s="642"/>
      <c r="G9" s="642"/>
      <c r="H9" s="643"/>
      <c r="I9" s="644"/>
      <c r="J9" s="642"/>
      <c r="K9" s="642"/>
      <c r="L9" s="642"/>
      <c r="M9" s="642"/>
      <c r="N9" s="16"/>
    </row>
    <row r="10" spans="1:18" s="9" customFormat="1" ht="6" customHeight="1" x14ac:dyDescent="0.2">
      <c r="A10" s="5"/>
      <c r="B10" s="180"/>
      <c r="C10" s="5"/>
      <c r="D10" s="163"/>
      <c r="E10" s="163"/>
      <c r="F10" s="163"/>
      <c r="G10" s="162"/>
      <c r="H10" s="163"/>
      <c r="I10" s="163"/>
      <c r="J10" s="163"/>
      <c r="K10" s="163"/>
      <c r="L10" s="163"/>
      <c r="M10" s="7"/>
      <c r="N10" s="16"/>
      <c r="O10" s="8"/>
      <c r="P10" s="4"/>
    </row>
    <row r="11" spans="1:18" s="9" customFormat="1" ht="14.25" customHeight="1" x14ac:dyDescent="0.2">
      <c r="A11" s="5" t="str">
        <f>CONCATENATE(MONTH(D11)," ",YEAR(D11))</f>
        <v>1 2026</v>
      </c>
      <c r="B11" s="180">
        <v>46053</v>
      </c>
      <c r="C11" s="5"/>
      <c r="D11" s="557">
        <v>46053</v>
      </c>
      <c r="E11" s="512" t="s">
        <v>7</v>
      </c>
      <c r="F11" s="513" t="s">
        <v>30</v>
      </c>
      <c r="G11" s="514">
        <v>45205</v>
      </c>
      <c r="H11" s="515"/>
      <c r="I11" s="516">
        <f>INDEX('OverNight €'!$I$376:$I$737,MATCH(B11,'OverNight €'!$D$376:$D$737,0))</f>
        <v>1.7500000000000002E-2</v>
      </c>
      <c r="J11" s="513">
        <f>INDEX('OverNight €'!$H$376:$H$737,MATCH(B11,'OverNight €'!$C$376:$C$737,0))</f>
        <v>7130000</v>
      </c>
      <c r="K11" s="513">
        <f>SUMIFS('OverNight €'!$J$373:$J$750,'OverNight €'!$B$373:$B$750,A11)</f>
        <v>5285.9722222222226</v>
      </c>
      <c r="L11" s="513">
        <v>4939.3900000000003</v>
      </c>
      <c r="M11" s="513">
        <v>0</v>
      </c>
      <c r="N11" s="16"/>
      <c r="O11" s="8" t="s">
        <v>83</v>
      </c>
      <c r="P11" s="4"/>
    </row>
    <row r="12" spans="1:18" s="9" customFormat="1" ht="13.9" customHeight="1" x14ac:dyDescent="0.2">
      <c r="A12" s="5" t="str">
        <f>CONCATENATE(MONTH(D12)," ",YEAR(D12))</f>
        <v>2 2026</v>
      </c>
      <c r="B12" s="180">
        <f>EOMONTH(B11,1)</f>
        <v>46081</v>
      </c>
      <c r="C12" s="5"/>
      <c r="D12" s="557">
        <f>EOMONTH(D11,1)</f>
        <v>46081</v>
      </c>
      <c r="E12" s="512" t="s">
        <v>7</v>
      </c>
      <c r="F12" s="513" t="s">
        <v>30</v>
      </c>
      <c r="G12" s="514"/>
      <c r="H12" s="515"/>
      <c r="I12" s="516">
        <f>INDEX('OverNight €'!$I$376:$I$737,MATCH(B12,'OverNight €'!$D$376:$D$737,0))</f>
        <v>1.7500000000000002E-2</v>
      </c>
      <c r="J12" s="513">
        <f>INDEX('OverNight €'!$H$376:$H$737,MATCH(B12,'OverNight €'!$C$376:$C$737,0))</f>
        <v>4200000</v>
      </c>
      <c r="K12" s="513">
        <f>SUMIFS('OverNight €'!$J$373:$J$750,'OverNight €'!$B$373:$B$750,A12)</f>
        <v>7671.8055555555593</v>
      </c>
      <c r="L12" s="513"/>
      <c r="M12" s="513">
        <v>0</v>
      </c>
      <c r="N12" s="16"/>
      <c r="O12" s="8"/>
      <c r="P12" s="4"/>
    </row>
    <row r="13" spans="1:18" s="9" customFormat="1" ht="14.25" customHeight="1" x14ac:dyDescent="0.2">
      <c r="A13" s="5" t="str">
        <f t="shared" ref="A13:A22" si="0">CONCATENATE(MONTH(D13)," ",YEAR(D13))</f>
        <v>3 2026</v>
      </c>
      <c r="B13" s="180">
        <f t="shared" ref="B13:B22" si="1">EOMONTH(B12,1)</f>
        <v>46112</v>
      </c>
      <c r="C13" s="5"/>
      <c r="D13" s="557">
        <f t="shared" ref="D13:D22" si="2">EOMONTH(D12,1)</f>
        <v>46112</v>
      </c>
      <c r="E13" s="512" t="s">
        <v>7</v>
      </c>
      <c r="F13" s="513" t="s">
        <v>30</v>
      </c>
      <c r="G13" s="514"/>
      <c r="H13" s="515"/>
      <c r="I13" s="516">
        <f>INDEX('OverNight €'!$I$376:$I$737,MATCH(B13,'OverNight €'!$D$376:$D$737,0))</f>
        <v>1.7500000000000002E-2</v>
      </c>
      <c r="J13" s="513">
        <f>INDEX('OverNight €'!$H$376:$H$737,MATCH(B13,'OverNight €'!$C$376:$C$737,0))</f>
        <v>34250000</v>
      </c>
      <c r="K13" s="513">
        <f>SUMIFS('OverNight €'!$J$373:$J$750,'OverNight €'!$B$373:$B$750,A13)</f>
        <v>45767.361111111095</v>
      </c>
      <c r="L13" s="513"/>
      <c r="M13" s="513">
        <v>0</v>
      </c>
      <c r="N13" s="16"/>
      <c r="O13" s="8"/>
      <c r="P13" s="4"/>
    </row>
    <row r="14" spans="1:18" s="9" customFormat="1" ht="14.25" customHeight="1" x14ac:dyDescent="0.2">
      <c r="A14" s="5" t="str">
        <f t="shared" si="0"/>
        <v>4 2026</v>
      </c>
      <c r="B14" s="180">
        <f t="shared" si="1"/>
        <v>46142</v>
      </c>
      <c r="C14" s="5"/>
      <c r="D14" s="557">
        <f t="shared" si="2"/>
        <v>46142</v>
      </c>
      <c r="E14" s="512" t="s">
        <v>7</v>
      </c>
      <c r="F14" s="513" t="s">
        <v>30</v>
      </c>
      <c r="G14" s="514"/>
      <c r="H14" s="515"/>
      <c r="I14" s="516">
        <f>INDEX('OverNight €'!$I$376:$I$737,MATCH(B14,'OverNight €'!$D$376:$D$737,0))</f>
        <v>1.7500000000000002E-2</v>
      </c>
      <c r="J14" s="513">
        <f>INDEX('OverNight €'!$H$376:$H$737,MATCH(B14,'OverNight €'!$C$376:$C$737,0))</f>
        <v>34250000</v>
      </c>
      <c r="K14" s="513">
        <f>SUMIFS('OverNight €'!$J$373:$J$750,'OverNight €'!$B$373:$B$750,A14)</f>
        <v>49947.91666666665</v>
      </c>
      <c r="L14" s="513"/>
      <c r="M14" s="513">
        <v>0</v>
      </c>
      <c r="N14" s="16"/>
      <c r="O14" s="8"/>
      <c r="P14" s="4"/>
    </row>
    <row r="15" spans="1:18" s="9" customFormat="1" ht="14.25" customHeight="1" x14ac:dyDescent="0.2">
      <c r="A15" s="5" t="str">
        <f t="shared" si="0"/>
        <v>5 2026</v>
      </c>
      <c r="B15" s="180">
        <f t="shared" si="1"/>
        <v>46173</v>
      </c>
      <c r="C15" s="5"/>
      <c r="D15" s="557">
        <f t="shared" si="2"/>
        <v>46173</v>
      </c>
      <c r="E15" s="512" t="s">
        <v>7</v>
      </c>
      <c r="F15" s="513" t="s">
        <v>30</v>
      </c>
      <c r="G15" s="514"/>
      <c r="H15" s="515"/>
      <c r="I15" s="516">
        <f>INDEX('OverNight €'!$I$376:$I$737,MATCH(B15,'OverNight €'!$D$376:$D$737,0))</f>
        <v>1.7500000000000002E-2</v>
      </c>
      <c r="J15" s="513">
        <f>INDEX('OverNight €'!$H$376:$H$737,MATCH(B15,'OverNight €'!$C$376:$C$737,0))</f>
        <v>34250000</v>
      </c>
      <c r="K15" s="513">
        <f>SUMIFS('OverNight €'!$J$373:$J$750,'OverNight €'!$B$373:$B$750,A15)</f>
        <v>51612.847222222204</v>
      </c>
      <c r="L15" s="513"/>
      <c r="M15" s="513">
        <v>0</v>
      </c>
      <c r="N15" s="16"/>
      <c r="O15" s="271"/>
      <c r="P15" s="4"/>
    </row>
    <row r="16" spans="1:18" s="9" customFormat="1" ht="14.25" customHeight="1" x14ac:dyDescent="0.2">
      <c r="A16" s="5" t="str">
        <f t="shared" si="0"/>
        <v>6 2026</v>
      </c>
      <c r="B16" s="180">
        <f t="shared" si="1"/>
        <v>46203</v>
      </c>
      <c r="C16" s="5"/>
      <c r="D16" s="557">
        <f t="shared" si="2"/>
        <v>46203</v>
      </c>
      <c r="E16" s="512" t="s">
        <v>7</v>
      </c>
      <c r="F16" s="513" t="s">
        <v>30</v>
      </c>
      <c r="G16" s="514"/>
      <c r="H16" s="515"/>
      <c r="I16" s="516">
        <f>INDEX('OverNight €'!$I$376:$I$737,MATCH(B16,'OverNight €'!$D$376:$D$737,0))</f>
        <v>1.7500000000000002E-2</v>
      </c>
      <c r="J16" s="513">
        <f>INDEX('OverNight €'!$H$376:$H$737,MATCH(B16,'OverNight €'!$C$376:$C$737,0))</f>
        <v>34250000</v>
      </c>
      <c r="K16" s="513">
        <f>SUMIFS('OverNight €'!$J$373:$J$750,'OverNight €'!$B$373:$B$750,A16)</f>
        <v>49947.91666666665</v>
      </c>
      <c r="L16" s="513"/>
      <c r="M16" s="513">
        <v>0</v>
      </c>
      <c r="N16" s="16"/>
      <c r="O16" s="8"/>
      <c r="P16" s="4"/>
    </row>
    <row r="17" spans="1:16" s="9" customFormat="1" ht="14.25" customHeight="1" x14ac:dyDescent="0.2">
      <c r="A17" s="5" t="str">
        <f t="shared" si="0"/>
        <v>7 2026</v>
      </c>
      <c r="B17" s="180">
        <f t="shared" si="1"/>
        <v>46234</v>
      </c>
      <c r="C17" s="5"/>
      <c r="D17" s="557">
        <f t="shared" si="2"/>
        <v>46234</v>
      </c>
      <c r="E17" s="512" t="s">
        <v>7</v>
      </c>
      <c r="F17" s="513" t="s">
        <v>30</v>
      </c>
      <c r="G17" s="514"/>
      <c r="H17" s="515"/>
      <c r="I17" s="516">
        <f>INDEX('OverNight €'!$I$376:$I$737,MATCH(B17,'OverNight €'!$D$376:$D$737,0))</f>
        <v>1.7500000000000002E-2</v>
      </c>
      <c r="J17" s="513">
        <f>INDEX('OverNight €'!$H$376:$H$737,MATCH(B17,'OverNight €'!$C$376:$C$737,0))</f>
        <v>34250000</v>
      </c>
      <c r="K17" s="513">
        <f>SUMIFS('OverNight €'!$J$373:$J$750,'OverNight €'!$B$373:$B$750,A17)</f>
        <v>51612.847222222204</v>
      </c>
      <c r="L17" s="513"/>
      <c r="M17" s="513">
        <v>0</v>
      </c>
      <c r="N17" s="16"/>
      <c r="O17" s="8"/>
      <c r="P17" s="4"/>
    </row>
    <row r="18" spans="1:16" s="9" customFormat="1" ht="14.25" customHeight="1" x14ac:dyDescent="0.2">
      <c r="A18" s="5" t="str">
        <f t="shared" si="0"/>
        <v>8 2026</v>
      </c>
      <c r="B18" s="180">
        <f t="shared" si="1"/>
        <v>46265</v>
      </c>
      <c r="C18" s="5"/>
      <c r="D18" s="557">
        <f t="shared" si="2"/>
        <v>46265</v>
      </c>
      <c r="E18" s="512" t="s">
        <v>7</v>
      </c>
      <c r="F18" s="513" t="s">
        <v>30</v>
      </c>
      <c r="G18" s="514"/>
      <c r="H18" s="515"/>
      <c r="I18" s="516">
        <f>INDEX('OverNight €'!$I$376:$I$737,MATCH(B18,'OverNight €'!$D$376:$D$737,0))</f>
        <v>1.7500000000000002E-2</v>
      </c>
      <c r="J18" s="513">
        <f>INDEX('OverNight €'!$H$376:$H$737,MATCH(B18,'OverNight €'!$C$376:$C$737,0))</f>
        <v>34250000</v>
      </c>
      <c r="K18" s="513">
        <f>SUMIFS('OverNight €'!$J$373:$J$750,'OverNight €'!$B$373:$B$750,A18)</f>
        <v>51612.847222222204</v>
      </c>
      <c r="L18" s="513"/>
      <c r="M18" s="513">
        <v>0</v>
      </c>
      <c r="N18" s="16"/>
      <c r="O18" s="8"/>
      <c r="P18" s="4"/>
    </row>
    <row r="19" spans="1:16" s="9" customFormat="1" ht="14.25" customHeight="1" x14ac:dyDescent="0.2">
      <c r="A19" s="5" t="str">
        <f t="shared" si="0"/>
        <v>9 2026</v>
      </c>
      <c r="B19" s="180">
        <f t="shared" si="1"/>
        <v>46295</v>
      </c>
      <c r="C19" s="5"/>
      <c r="D19" s="557">
        <f t="shared" si="2"/>
        <v>46295</v>
      </c>
      <c r="E19" s="512" t="s">
        <v>7</v>
      </c>
      <c r="F19" s="513" t="s">
        <v>30</v>
      </c>
      <c r="G19" s="514"/>
      <c r="H19" s="515"/>
      <c r="I19" s="516">
        <f>INDEX('OverNight €'!$I$376:$I$737,MATCH(B19,'OverNight €'!$D$376:$D$737,0))</f>
        <v>1.7500000000000002E-2</v>
      </c>
      <c r="J19" s="513">
        <f>INDEX('OverNight €'!$H$376:$H$737,MATCH(B19,'OverNight €'!$C$376:$C$737,0))</f>
        <v>34250000</v>
      </c>
      <c r="K19" s="513">
        <f>SUMIFS('OverNight €'!$J$373:$J$750,'OverNight €'!$B$373:$B$750,A19)</f>
        <v>49947.91666666665</v>
      </c>
      <c r="L19" s="513"/>
      <c r="M19" s="513">
        <v>0</v>
      </c>
      <c r="N19" s="16"/>
      <c r="O19" s="8"/>
      <c r="P19" s="4"/>
    </row>
    <row r="20" spans="1:16" s="9" customFormat="1" ht="14.25" customHeight="1" x14ac:dyDescent="0.2">
      <c r="A20" s="5" t="str">
        <f t="shared" si="0"/>
        <v>10 2026</v>
      </c>
      <c r="B20" s="180">
        <f t="shared" si="1"/>
        <v>46326</v>
      </c>
      <c r="C20" s="5"/>
      <c r="D20" s="557">
        <f t="shared" si="2"/>
        <v>46326</v>
      </c>
      <c r="E20" s="512" t="s">
        <v>7</v>
      </c>
      <c r="F20" s="513" t="s">
        <v>30</v>
      </c>
      <c r="G20" s="514"/>
      <c r="H20" s="515"/>
      <c r="I20" s="516">
        <f>INDEX('OverNight €'!$I$376:$I$737,MATCH(B20,'OverNight €'!$D$376:$D$737,0))</f>
        <v>1.7500000000000002E-2</v>
      </c>
      <c r="J20" s="513">
        <f>INDEX('OverNight €'!$H$376:$H$737,MATCH(B20,'OverNight €'!$C$376:$C$737,0))</f>
        <v>34250000</v>
      </c>
      <c r="K20" s="513">
        <f>SUMIFS('OverNight €'!$J$373:$J$750,'OverNight €'!$B$373:$B$750,A20)</f>
        <v>51612.847222222204</v>
      </c>
      <c r="L20" s="513"/>
      <c r="M20" s="513">
        <v>0</v>
      </c>
      <c r="N20" s="16"/>
      <c r="O20" s="8"/>
      <c r="P20" s="4"/>
    </row>
    <row r="21" spans="1:16" s="9" customFormat="1" ht="14.25" customHeight="1" x14ac:dyDescent="0.2">
      <c r="A21" s="5" t="str">
        <f t="shared" si="0"/>
        <v>11 2026</v>
      </c>
      <c r="B21" s="180">
        <f t="shared" si="1"/>
        <v>46356</v>
      </c>
      <c r="C21" s="5"/>
      <c r="D21" s="557">
        <f t="shared" si="2"/>
        <v>46356</v>
      </c>
      <c r="E21" s="512" t="s">
        <v>7</v>
      </c>
      <c r="F21" s="513" t="s">
        <v>30</v>
      </c>
      <c r="G21" s="514"/>
      <c r="H21" s="515"/>
      <c r="I21" s="516">
        <f>INDEX('OverNight €'!$I$376:$I$737,MATCH(B21,'OverNight €'!$D$376:$D$737,0))</f>
        <v>1.7500000000000002E-2</v>
      </c>
      <c r="J21" s="513">
        <f>INDEX('OverNight €'!$H$376:$H$737,MATCH(B21,'OverNight €'!$C$376:$C$737,0))</f>
        <v>34250000</v>
      </c>
      <c r="K21" s="513">
        <f>SUMIFS('OverNight €'!$J$373:$J$750,'OverNight €'!$B$373:$B$750,A21)</f>
        <v>49947.91666666665</v>
      </c>
      <c r="L21" s="513"/>
      <c r="M21" s="513">
        <v>0</v>
      </c>
      <c r="N21" s="16"/>
      <c r="O21" s="8"/>
      <c r="P21" s="4"/>
    </row>
    <row r="22" spans="1:16" s="9" customFormat="1" ht="14.25" customHeight="1" x14ac:dyDescent="0.2">
      <c r="A22" s="5" t="str">
        <f t="shared" si="0"/>
        <v>12 2026</v>
      </c>
      <c r="B22" s="180">
        <f t="shared" si="1"/>
        <v>46387</v>
      </c>
      <c r="C22" s="5"/>
      <c r="D22" s="558">
        <f t="shared" si="2"/>
        <v>46387</v>
      </c>
      <c r="E22" s="517" t="s">
        <v>7</v>
      </c>
      <c r="F22" s="518" t="s">
        <v>30</v>
      </c>
      <c r="G22" s="519"/>
      <c r="H22" s="520"/>
      <c r="I22" s="516">
        <f>INDEX('OverNight €'!$I$376:$I$737,MATCH(B22,'OverNight €'!$D$376:$D$737,0))</f>
        <v>1.7500000000000002E-2</v>
      </c>
      <c r="J22" s="513">
        <f>INDEX('OverNight €'!$H$376:$H$750,MATCH(B22,'OverNight €'!$C$376:$C$750,0))</f>
        <v>34250000</v>
      </c>
      <c r="K22" s="513">
        <f>SUMIFS('OverNight €'!$J$373:$J$750,'OverNight €'!$B$373:$B$750,A22)</f>
        <v>51612.847222222204</v>
      </c>
      <c r="L22" s="513"/>
      <c r="M22" s="513">
        <v>0</v>
      </c>
      <c r="N22" s="16"/>
      <c r="O22" s="8"/>
      <c r="P22" s="4"/>
    </row>
    <row r="23" spans="1:16" s="9" customFormat="1" ht="18.75" x14ac:dyDescent="0.5">
      <c r="A23" s="4"/>
      <c r="B23" s="180"/>
      <c r="C23" s="5"/>
      <c r="D23" s="521" t="s">
        <v>251</v>
      </c>
      <c r="E23" s="522"/>
      <c r="F23" s="523"/>
      <c r="G23" s="509"/>
      <c r="H23" s="510"/>
      <c r="I23" s="511">
        <f>AVERAGE(I11)</f>
        <v>1.7500000000000002E-2</v>
      </c>
      <c r="J23" s="509"/>
      <c r="K23" s="509">
        <f>SUM(K11:K11)</f>
        <v>5285.9722222222226</v>
      </c>
      <c r="L23" s="509">
        <f t="shared" ref="L23:M23" si="3">SUM(L11:L11)</f>
        <v>4939.3900000000003</v>
      </c>
      <c r="M23" s="509">
        <f t="shared" si="3"/>
        <v>0</v>
      </c>
      <c r="N23" s="16"/>
      <c r="O23" s="573" t="s">
        <v>293</v>
      </c>
      <c r="P23" s="4"/>
    </row>
    <row r="24" spans="1:16" s="9" customFormat="1" ht="9.75" customHeight="1" x14ac:dyDescent="0.2">
      <c r="A24" s="4"/>
      <c r="B24" s="180"/>
      <c r="C24" s="5"/>
      <c r="D24" s="180"/>
      <c r="E24" s="5"/>
      <c r="F24" s="180"/>
      <c r="G24" s="5"/>
      <c r="H24" s="180"/>
      <c r="I24" s="5"/>
      <c r="J24" s="180"/>
      <c r="K24" s="5"/>
      <c r="L24" s="180"/>
      <c r="M24" s="5"/>
      <c r="N24" s="16"/>
      <c r="O24" s="5"/>
      <c r="P24" s="4"/>
    </row>
    <row r="25" spans="1:16" s="9" customFormat="1" x14ac:dyDescent="0.2">
      <c r="A25" s="5" t="str">
        <f t="shared" ref="A25" si="4">CONCATENATE(MONTH(D25)," ",YEAR(D25))</f>
        <v>1 2026</v>
      </c>
      <c r="B25" s="180">
        <v>46053</v>
      </c>
      <c r="C25" s="5"/>
      <c r="D25" s="557">
        <v>46053</v>
      </c>
      <c r="E25" s="512" t="s">
        <v>7</v>
      </c>
      <c r="F25" s="513" t="s">
        <v>33</v>
      </c>
      <c r="G25" s="514">
        <v>46027</v>
      </c>
      <c r="H25" s="515">
        <f>EDATE(G25,1)</f>
        <v>46058</v>
      </c>
      <c r="I25" s="516">
        <f>INDEX('OverNight €'!$O$376:$O$750,MATCH($B25,'OverNight €'!$D$376:$D$750,0))</f>
        <v>2.1698630136986304E-2</v>
      </c>
      <c r="J25" s="513">
        <f>INDEX('OverNight €'!$N$376:$N$750,MATCH(B25,'OverNight €'!$C$376:$C$750,0))</f>
        <v>12000000</v>
      </c>
      <c r="K25" s="513">
        <f>SUMIFS('OverNight €'!$P$373:$P$750,'OverNight €'!$B$373:$B$750,A25)</f>
        <v>22421.917808219172</v>
      </c>
      <c r="L25" s="513">
        <v>22421.919999999998</v>
      </c>
      <c r="M25" s="513">
        <f>SUMIFS('OverNight €'!$R$373:$R$750,'OverNight €'!$B$373:$B$750,A25)</f>
        <v>4338.5844748858499</v>
      </c>
      <c r="N25" s="16"/>
      <c r="O25" s="8" t="s">
        <v>83</v>
      </c>
      <c r="P25" s="4"/>
    </row>
    <row r="26" spans="1:16" s="9" customFormat="1" x14ac:dyDescent="0.2">
      <c r="A26" s="5" t="str">
        <f>CONCATENATE(MONTH(D26)," ",YEAR(D26))</f>
        <v>2 2026</v>
      </c>
      <c r="B26" s="180">
        <f>EOMONTH(B25,1)</f>
        <v>46081</v>
      </c>
      <c r="C26" s="5"/>
      <c r="D26" s="557">
        <f>EOMONTH(D25,1)</f>
        <v>46081</v>
      </c>
      <c r="E26" s="512" t="s">
        <v>7</v>
      </c>
      <c r="F26" s="513" t="s">
        <v>33</v>
      </c>
      <c r="G26" s="514">
        <f>H25</f>
        <v>46058</v>
      </c>
      <c r="H26" s="515">
        <f>EDATE(G26,1)</f>
        <v>46086</v>
      </c>
      <c r="I26" s="516">
        <f>INDEX('OverNight €'!$O$376:$O$750,MATCH($B26,'OverNight €'!$D$376:$D$750,0))</f>
        <v>2.1698630136986304E-2</v>
      </c>
      <c r="J26" s="513">
        <f>INDEX('OverNight €'!$N$376:$N$750,MATCH(B26,'OverNight €'!$C$376:$C$750,0))</f>
        <v>12000000</v>
      </c>
      <c r="K26" s="513">
        <f>SUMIFS('OverNight €'!$P$373:$P$750,'OverNight €'!$B$373:$B$750,A26)</f>
        <v>20252.054794520544</v>
      </c>
      <c r="L26" s="513"/>
      <c r="M26" s="513">
        <f>SUMIFS('OverNight €'!$R$373:$R$750,'OverNight €'!$B$373:$B$750,A26)</f>
        <v>3918.7214611872196</v>
      </c>
      <c r="N26" s="16"/>
      <c r="O26" s="8"/>
      <c r="P26" s="4"/>
    </row>
    <row r="27" spans="1:16" s="9" customFormat="1" x14ac:dyDescent="0.2">
      <c r="A27" s="5" t="str">
        <f t="shared" ref="A27:A36" si="5">CONCATENATE(MONTH(D27)," ",YEAR(D27))</f>
        <v>3 2026</v>
      </c>
      <c r="B27" s="180">
        <f t="shared" ref="B27:B36" si="6">EOMONTH(B26,1)</f>
        <v>46112</v>
      </c>
      <c r="C27" s="5"/>
      <c r="D27" s="557">
        <f t="shared" ref="D27:D36" si="7">EOMONTH(D26,1)</f>
        <v>46112</v>
      </c>
      <c r="E27" s="512" t="s">
        <v>7</v>
      </c>
      <c r="F27" s="513" t="s">
        <v>33</v>
      </c>
      <c r="G27" s="514">
        <f t="shared" ref="G27:G36" si="8">H26</f>
        <v>46086</v>
      </c>
      <c r="H27" s="515">
        <f t="shared" ref="H27:H36" si="9">EDATE(G27,1)</f>
        <v>46117</v>
      </c>
      <c r="I27" s="516">
        <f>INDEX('OverNight €'!$O$376:$O$750,MATCH($B27,'OverNight €'!$D$376:$D$750,0))</f>
        <v>2.1698630136986304E-2</v>
      </c>
      <c r="J27" s="513">
        <f>INDEX('OverNight €'!$N$376:$N$750,MATCH(B27,'OverNight €'!$C$376:$C$750,0))</f>
        <v>12000000</v>
      </c>
      <c r="K27" s="513">
        <f>SUMIFS('OverNight €'!$P$373:$P$750,'OverNight €'!$B$373:$B$750,A27)</f>
        <v>22421.917808219172</v>
      </c>
      <c r="L27" s="576"/>
      <c r="M27" s="513">
        <f>SUMIFS('OverNight €'!$R$373:$R$750,'OverNight €'!$B$373:$B$750,A27)</f>
        <v>4338.5844748858499</v>
      </c>
      <c r="N27" s="16"/>
      <c r="O27" s="8"/>
      <c r="P27" s="4"/>
    </row>
    <row r="28" spans="1:16" s="9" customFormat="1" x14ac:dyDescent="0.2">
      <c r="A28" s="5" t="str">
        <f t="shared" si="5"/>
        <v>4 2026</v>
      </c>
      <c r="B28" s="180">
        <f t="shared" si="6"/>
        <v>46142</v>
      </c>
      <c r="C28" s="5"/>
      <c r="D28" s="557">
        <f t="shared" si="7"/>
        <v>46142</v>
      </c>
      <c r="E28" s="512" t="s">
        <v>7</v>
      </c>
      <c r="F28" s="513" t="s">
        <v>33</v>
      </c>
      <c r="G28" s="514">
        <f t="shared" si="8"/>
        <v>46117</v>
      </c>
      <c r="H28" s="515">
        <f t="shared" si="9"/>
        <v>46147</v>
      </c>
      <c r="I28" s="516">
        <f>INDEX('OverNight €'!$O$376:$O$750,MATCH($B28,'OverNight €'!$D$376:$D$750,0))</f>
        <v>2.1698630136986304E-2</v>
      </c>
      <c r="J28" s="513">
        <f>INDEX('OverNight €'!$N$376:$N$750,MATCH(B28,'OverNight €'!$C$376:$C$750,0))</f>
        <v>12000000</v>
      </c>
      <c r="K28" s="513">
        <f>SUMIFS('OverNight €'!$P$373:$P$750,'OverNight €'!$B$373:$B$750,A28)</f>
        <v>21698.630136986296</v>
      </c>
      <c r="L28" s="576"/>
      <c r="M28" s="513">
        <f>SUMIFS('OverNight €'!$R$373:$R$750,'OverNight €'!$B$373:$B$750,A28)</f>
        <v>4198.6301369863068</v>
      </c>
      <c r="N28" s="16"/>
      <c r="O28" s="8"/>
      <c r="P28" s="4"/>
    </row>
    <row r="29" spans="1:16" s="9" customFormat="1" x14ac:dyDescent="0.2">
      <c r="A29" s="5" t="str">
        <f t="shared" si="5"/>
        <v>5 2026</v>
      </c>
      <c r="B29" s="180">
        <f t="shared" si="6"/>
        <v>46173</v>
      </c>
      <c r="C29" s="5"/>
      <c r="D29" s="557">
        <f t="shared" si="7"/>
        <v>46173</v>
      </c>
      <c r="E29" s="512" t="s">
        <v>7</v>
      </c>
      <c r="F29" s="513" t="s">
        <v>33</v>
      </c>
      <c r="G29" s="514">
        <f t="shared" si="8"/>
        <v>46147</v>
      </c>
      <c r="H29" s="515">
        <f t="shared" si="9"/>
        <v>46178</v>
      </c>
      <c r="I29" s="516">
        <f>INDEX('OverNight €'!$O$376:$O$750,MATCH($B29,'OverNight €'!$D$376:$D$750,0))</f>
        <v>2.1698630136986304E-2</v>
      </c>
      <c r="J29" s="513">
        <f>INDEX('OverNight €'!$N$376:$N$750,MATCH(B29,'OverNight €'!$C$376:$C$750,0))</f>
        <v>12000000</v>
      </c>
      <c r="K29" s="513">
        <f>SUMIFS('OverNight €'!$P$373:$P$750,'OverNight €'!$B$373:$B$750,A29)</f>
        <v>22421.917808219172</v>
      </c>
      <c r="L29" s="576"/>
      <c r="M29" s="513">
        <f>SUMIFS('OverNight €'!$R$373:$R$750,'OverNight €'!$B$373:$B$750,A29)</f>
        <v>4338.5844748858499</v>
      </c>
      <c r="N29" s="16"/>
      <c r="O29" s="8"/>
      <c r="P29" s="4"/>
    </row>
    <row r="30" spans="1:16" s="9" customFormat="1" x14ac:dyDescent="0.2">
      <c r="A30" s="5" t="str">
        <f t="shared" si="5"/>
        <v>6 2026</v>
      </c>
      <c r="B30" s="180">
        <f t="shared" si="6"/>
        <v>46203</v>
      </c>
      <c r="C30" s="5"/>
      <c r="D30" s="557">
        <f t="shared" si="7"/>
        <v>46203</v>
      </c>
      <c r="E30" s="512" t="s">
        <v>7</v>
      </c>
      <c r="F30" s="513" t="s">
        <v>33</v>
      </c>
      <c r="G30" s="514">
        <f t="shared" si="8"/>
        <v>46178</v>
      </c>
      <c r="H30" s="515">
        <f t="shared" si="9"/>
        <v>46208</v>
      </c>
      <c r="I30" s="516">
        <f>INDEX('OverNight €'!$O$376:$O$750,MATCH($B30,'OverNight €'!$D$376:$D$750,0))</f>
        <v>2.1698630136986304E-2</v>
      </c>
      <c r="J30" s="513">
        <f>INDEX('OverNight €'!$N$376:$N$750,MATCH(B30,'OverNight €'!$C$376:$C$750,0))</f>
        <v>12000000</v>
      </c>
      <c r="K30" s="513">
        <f>SUMIFS('OverNight €'!$P$373:$P$750,'OverNight €'!$B$373:$B$750,A30)</f>
        <v>21698.630136986296</v>
      </c>
      <c r="L30" s="576"/>
      <c r="M30" s="513">
        <f>SUMIFS('OverNight €'!$R$373:$R$750,'OverNight €'!$B$373:$B$750,A30)</f>
        <v>4198.6301369863068</v>
      </c>
      <c r="N30" s="16"/>
      <c r="O30" s="8"/>
      <c r="P30" s="4"/>
    </row>
    <row r="31" spans="1:16" s="9" customFormat="1" x14ac:dyDescent="0.2">
      <c r="A31" s="5" t="str">
        <f t="shared" si="5"/>
        <v>7 2026</v>
      </c>
      <c r="B31" s="180">
        <f t="shared" si="6"/>
        <v>46234</v>
      </c>
      <c r="C31" s="5"/>
      <c r="D31" s="557">
        <f t="shared" si="7"/>
        <v>46234</v>
      </c>
      <c r="E31" s="512" t="s">
        <v>7</v>
      </c>
      <c r="F31" s="513" t="s">
        <v>33</v>
      </c>
      <c r="G31" s="514">
        <f t="shared" si="8"/>
        <v>46208</v>
      </c>
      <c r="H31" s="515">
        <f t="shared" si="9"/>
        <v>46239</v>
      </c>
      <c r="I31" s="516">
        <f>INDEX('OverNight €'!$O$376:$O$750,MATCH($B31,'OverNight €'!$D$376:$D$750,0))</f>
        <v>2.1698630136986304E-2</v>
      </c>
      <c r="J31" s="513">
        <f>INDEX('OverNight €'!$N$376:$N$750,MATCH(B31,'OverNight €'!$C$376:$C$750,0))</f>
        <v>12000000</v>
      </c>
      <c r="K31" s="513">
        <f>SUMIFS('OverNight €'!$P$373:$P$750,'OverNight €'!$B$373:$B$750,A31)</f>
        <v>22421.917808219172</v>
      </c>
      <c r="L31" s="576"/>
      <c r="M31" s="513">
        <f>SUMIFS('OverNight €'!$R$373:$R$750,'OverNight €'!$B$373:$B$750,A31)</f>
        <v>4338.5844748858499</v>
      </c>
      <c r="N31" s="16"/>
      <c r="O31" s="8"/>
      <c r="P31" s="4"/>
    </row>
    <row r="32" spans="1:16" s="9" customFormat="1" x14ac:dyDescent="0.2">
      <c r="A32" s="5" t="str">
        <f t="shared" si="5"/>
        <v>8 2026</v>
      </c>
      <c r="B32" s="180">
        <f t="shared" si="6"/>
        <v>46265</v>
      </c>
      <c r="C32" s="5"/>
      <c r="D32" s="557">
        <f t="shared" si="7"/>
        <v>46265</v>
      </c>
      <c r="E32" s="512" t="s">
        <v>7</v>
      </c>
      <c r="F32" s="513" t="s">
        <v>33</v>
      </c>
      <c r="G32" s="514">
        <f t="shared" si="8"/>
        <v>46239</v>
      </c>
      <c r="H32" s="515">
        <f t="shared" si="9"/>
        <v>46270</v>
      </c>
      <c r="I32" s="516">
        <f>INDEX('OverNight €'!$O$376:$O$750,MATCH($B32,'OverNight €'!$D$376:$D$750,0))</f>
        <v>2.1698630136986304E-2</v>
      </c>
      <c r="J32" s="513">
        <f>INDEX('OverNight €'!$N$376:$N$750,MATCH(B32,'OverNight €'!$C$376:$C$750,0))</f>
        <v>12000000</v>
      </c>
      <c r="K32" s="513">
        <f>SUMIFS('OverNight €'!$P$373:$P$750,'OverNight €'!$B$373:$B$750,A32)</f>
        <v>22421.917808219172</v>
      </c>
      <c r="L32" s="576"/>
      <c r="M32" s="513">
        <f>SUMIFS('OverNight €'!$R$373:$R$750,'OverNight €'!$B$373:$B$750,A32)</f>
        <v>4338.5844748858499</v>
      </c>
      <c r="N32" s="16"/>
      <c r="O32" s="8"/>
      <c r="P32" s="4"/>
    </row>
    <row r="33" spans="1:16" s="9" customFormat="1" x14ac:dyDescent="0.2">
      <c r="A33" s="5" t="str">
        <f t="shared" si="5"/>
        <v>9 2026</v>
      </c>
      <c r="B33" s="180">
        <f t="shared" si="6"/>
        <v>46295</v>
      </c>
      <c r="C33" s="5"/>
      <c r="D33" s="557">
        <f t="shared" si="7"/>
        <v>46295</v>
      </c>
      <c r="E33" s="512" t="s">
        <v>7</v>
      </c>
      <c r="F33" s="513" t="s">
        <v>33</v>
      </c>
      <c r="G33" s="514">
        <f t="shared" si="8"/>
        <v>46270</v>
      </c>
      <c r="H33" s="515">
        <f t="shared" si="9"/>
        <v>46300</v>
      </c>
      <c r="I33" s="516">
        <f>INDEX('OverNight €'!$O$376:$O$750,MATCH($B33,'OverNight €'!$D$376:$D$750,0))</f>
        <v>2.1698630136986304E-2</v>
      </c>
      <c r="J33" s="513">
        <f>INDEX('OverNight €'!$N$376:$N$750,MATCH(B33,'OverNight €'!$C$376:$C$750,0))</f>
        <v>12000000</v>
      </c>
      <c r="K33" s="513">
        <f>SUMIFS('OverNight €'!$P$373:$P$750,'OverNight €'!$B$373:$B$750,A33)</f>
        <v>21698.630136986296</v>
      </c>
      <c r="L33" s="576"/>
      <c r="M33" s="513">
        <f>SUMIFS('OverNight €'!$R$373:$R$750,'OverNight €'!$B$373:$B$750,A33)</f>
        <v>4198.6301369863068</v>
      </c>
      <c r="N33" s="16"/>
      <c r="O33" s="8"/>
      <c r="P33" s="4"/>
    </row>
    <row r="34" spans="1:16" s="9" customFormat="1" x14ac:dyDescent="0.2">
      <c r="A34" s="5" t="str">
        <f t="shared" si="5"/>
        <v>10 2026</v>
      </c>
      <c r="B34" s="180">
        <f t="shared" si="6"/>
        <v>46326</v>
      </c>
      <c r="C34" s="5"/>
      <c r="D34" s="557">
        <f t="shared" si="7"/>
        <v>46326</v>
      </c>
      <c r="E34" s="512" t="s">
        <v>7</v>
      </c>
      <c r="F34" s="513" t="s">
        <v>33</v>
      </c>
      <c r="G34" s="514">
        <f t="shared" si="8"/>
        <v>46300</v>
      </c>
      <c r="H34" s="515">
        <f t="shared" si="9"/>
        <v>46331</v>
      </c>
      <c r="I34" s="516">
        <f>INDEX('OverNight €'!$O$376:$O$750,MATCH($B34,'OverNight €'!$D$376:$D$750,0))</f>
        <v>2.1698630136986304E-2</v>
      </c>
      <c r="J34" s="513">
        <f>INDEX('OverNight €'!$N$376:$N$750,MATCH(B34,'OverNight €'!$C$376:$C$750,0))</f>
        <v>12000000</v>
      </c>
      <c r="K34" s="513">
        <f>SUMIFS('OverNight €'!$P$373:$P$750,'OverNight €'!$B$373:$B$750,A34)</f>
        <v>22421.917808219172</v>
      </c>
      <c r="L34" s="576"/>
      <c r="M34" s="513">
        <f>SUMIFS('OverNight €'!$R$373:$R$750,'OverNight €'!$B$373:$B$750,A34)</f>
        <v>4338.5844748858499</v>
      </c>
      <c r="N34" s="16"/>
      <c r="O34" s="8"/>
      <c r="P34" s="4"/>
    </row>
    <row r="35" spans="1:16" s="9" customFormat="1" x14ac:dyDescent="0.2">
      <c r="A35" s="5" t="str">
        <f t="shared" si="5"/>
        <v>11 2026</v>
      </c>
      <c r="B35" s="180">
        <f t="shared" si="6"/>
        <v>46356</v>
      </c>
      <c r="C35" s="5"/>
      <c r="D35" s="557">
        <f t="shared" si="7"/>
        <v>46356</v>
      </c>
      <c r="E35" s="512" t="s">
        <v>7</v>
      </c>
      <c r="F35" s="513" t="s">
        <v>33</v>
      </c>
      <c r="G35" s="514">
        <f t="shared" si="8"/>
        <v>46331</v>
      </c>
      <c r="H35" s="515">
        <f t="shared" si="9"/>
        <v>46361</v>
      </c>
      <c r="I35" s="516">
        <f>INDEX('OverNight €'!$O$376:$O$750,MATCH($B35,'OverNight €'!$D$376:$D$750,0))</f>
        <v>2.1698630136986304E-2</v>
      </c>
      <c r="J35" s="513">
        <f>INDEX('OverNight €'!$N$376:$N$750,MATCH(B35,'OverNight €'!$C$376:$C$750,0))</f>
        <v>12000000</v>
      </c>
      <c r="K35" s="513">
        <f>SUMIFS('OverNight €'!$P$373:$P$750,'OverNight €'!$B$373:$B$750,A35)</f>
        <v>21698.630136986296</v>
      </c>
      <c r="L35" s="576"/>
      <c r="M35" s="513">
        <f>SUMIFS('OverNight €'!$R$373:$R$750,'OverNight €'!$B$373:$B$750,A35)</f>
        <v>4198.6301369863068</v>
      </c>
      <c r="N35" s="16"/>
      <c r="O35" s="8"/>
      <c r="P35" s="4"/>
    </row>
    <row r="36" spans="1:16" s="9" customFormat="1" x14ac:dyDescent="0.2">
      <c r="A36" s="5" t="str">
        <f t="shared" si="5"/>
        <v>12 2026</v>
      </c>
      <c r="B36" s="180">
        <f t="shared" si="6"/>
        <v>46387</v>
      </c>
      <c r="C36" s="5"/>
      <c r="D36" s="557">
        <f t="shared" si="7"/>
        <v>46387</v>
      </c>
      <c r="E36" s="512" t="s">
        <v>7</v>
      </c>
      <c r="F36" s="513" t="s">
        <v>33</v>
      </c>
      <c r="G36" s="514">
        <f t="shared" si="8"/>
        <v>46361</v>
      </c>
      <c r="H36" s="515">
        <f t="shared" si="9"/>
        <v>46392</v>
      </c>
      <c r="I36" s="516">
        <f>INDEX('OverNight €'!$O$376:$O$750,MATCH($B36,'OverNight €'!$D$376:$D$750,0))</f>
        <v>2.1698630136986304E-2</v>
      </c>
      <c r="J36" s="513">
        <f>INDEX('OverNight €'!$N$376:$N$750,MATCH(B36,'OverNight €'!$C$376:$C$750,0))</f>
        <v>12000000</v>
      </c>
      <c r="K36" s="513">
        <f>SUMIFS('OverNight €'!$P$373:$P$750,'OverNight €'!$B$373:$B$750,A36)</f>
        <v>22421.917808219172</v>
      </c>
      <c r="L36" s="576"/>
      <c r="M36" s="513">
        <f>SUMIFS('OverNight €'!$R$373:$R$750,'OverNight €'!$B$373:$B$750,A36)</f>
        <v>4338.5844748858499</v>
      </c>
      <c r="N36" s="16"/>
      <c r="O36" s="8"/>
      <c r="P36" s="4"/>
    </row>
    <row r="37" spans="1:16" s="9" customFormat="1" ht="15" x14ac:dyDescent="0.2">
      <c r="A37" s="5"/>
      <c r="B37" s="180"/>
      <c r="C37" s="5"/>
      <c r="D37" s="521" t="s">
        <v>252</v>
      </c>
      <c r="E37" s="522"/>
      <c r="F37" s="523"/>
      <c r="G37" s="523"/>
      <c r="H37" s="510"/>
      <c r="I37" s="511">
        <f>AVERAGE(I25)</f>
        <v>2.1698630136986304E-2</v>
      </c>
      <c r="J37" s="509"/>
      <c r="K37" s="509">
        <f>SUM(K25:K25)</f>
        <v>22421.917808219172</v>
      </c>
      <c r="L37" s="509">
        <f t="shared" ref="L37:M37" si="10">SUM(L25:L25)</f>
        <v>22421.919999999998</v>
      </c>
      <c r="M37" s="509">
        <f t="shared" si="10"/>
        <v>4338.5844748858499</v>
      </c>
      <c r="N37" s="16"/>
      <c r="O37" s="8"/>
      <c r="P37" s="8"/>
    </row>
    <row r="38" spans="1:16" s="9" customFormat="1" x14ac:dyDescent="0.2">
      <c r="A38" s="5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8"/>
    </row>
    <row r="39" spans="1:16" s="9" customFormat="1" x14ac:dyDescent="0.2">
      <c r="A39" s="5" t="str">
        <f t="shared" ref="A39:A40" si="11">CONCATENATE(MONTH(D39)," ",YEAR(D39))</f>
        <v>1 2026</v>
      </c>
      <c r="B39" s="180">
        <v>46053</v>
      </c>
      <c r="C39" s="5"/>
      <c r="D39" s="557">
        <v>46053</v>
      </c>
      <c r="E39" s="512" t="s">
        <v>7</v>
      </c>
      <c r="F39" s="513" t="s">
        <v>128</v>
      </c>
      <c r="G39" s="514">
        <v>45668</v>
      </c>
      <c r="H39" s="515">
        <f>EDATE(G39,1)</f>
        <v>45699</v>
      </c>
      <c r="I39" s="516">
        <f>INDEX('OverNight €'!$V$376:$V$750,MATCH($B39,'OverNight €'!$D$376:$D$750,0))</f>
        <v>2.1205479452054792E-2</v>
      </c>
      <c r="J39" s="513">
        <f>INDEX('OverNight €'!$U$376:$U$750,MATCH($B39,'OverNight €'!$D$376:$D$750,0))</f>
        <v>6010956.1600000001</v>
      </c>
      <c r="K39" s="513">
        <f>SUMIFS('OverNight €'!$W$373:$W$750,'OverNight €'!$B$373:$B$750,$A39)</f>
        <v>10969.071640547945</v>
      </c>
      <c r="L39" s="513">
        <v>10956.16</v>
      </c>
      <c r="M39" s="513">
        <f>SUMIFS('OverNight €'!$Y$373:$Y$750,'OverNight €'!$B$373:$B$750,$A39)</f>
        <v>1916.7531516590529</v>
      </c>
      <c r="N39" s="16"/>
      <c r="O39" s="8" t="s">
        <v>83</v>
      </c>
      <c r="P39" s="8"/>
    </row>
    <row r="40" spans="1:16" s="9" customFormat="1" x14ac:dyDescent="0.2">
      <c r="A40" s="5" t="str">
        <f t="shared" si="11"/>
        <v>2 2026</v>
      </c>
      <c r="B40" s="180">
        <f>EOMONTH(B39,1)</f>
        <v>46081</v>
      </c>
      <c r="C40" s="5"/>
      <c r="D40" s="557">
        <f>EOMONTH(D39,1)</f>
        <v>46081</v>
      </c>
      <c r="E40" s="512" t="s">
        <v>7</v>
      </c>
      <c r="F40" s="513" t="s">
        <v>128</v>
      </c>
      <c r="G40" s="514">
        <f>H39</f>
        <v>45699</v>
      </c>
      <c r="H40" s="515">
        <f>EDATE(G40,1)</f>
        <v>45727</v>
      </c>
      <c r="I40" s="516">
        <f>INDEX('OverNight €'!$V$376:$V$750,MATCH($B40,'OverNight €'!$D$376:$D$750,0))</f>
        <v>2.1205479452054792E-2</v>
      </c>
      <c r="J40" s="513">
        <f>INDEX('OverNight €'!$U$376:$U$750,MATCH($B40,'OverNight €'!$D$376:$D$750,0))</f>
        <v>6010956.1600000001</v>
      </c>
      <c r="K40" s="513">
        <f>SUMIFS('OverNight €'!$W$373:$W$750,'OverNight €'!$B$373:$B$750,$A40)</f>
        <v>9913.9605707397259</v>
      </c>
      <c r="L40" s="513"/>
      <c r="M40" s="513">
        <f>SUMIFS('OverNight €'!$Y$373:$Y$750,'OverNight €'!$B$373:$B$750,$A40)</f>
        <v>1732.3813529619451</v>
      </c>
      <c r="N40" s="16"/>
      <c r="O40" s="8"/>
      <c r="P40" s="8"/>
    </row>
    <row r="41" spans="1:16" s="9" customFormat="1" x14ac:dyDescent="0.2">
      <c r="A41" s="5" t="str">
        <f t="shared" ref="A41:A50" si="12">CONCATENATE(MONTH(D41)," ",YEAR(D41))</f>
        <v>3 2026</v>
      </c>
      <c r="B41" s="180">
        <f t="shared" ref="B41:B50" si="13">EOMONTH(B40,1)</f>
        <v>46112</v>
      </c>
      <c r="C41" s="5"/>
      <c r="D41" s="557">
        <f t="shared" ref="D41:D50" si="14">EOMONTH(D40,1)</f>
        <v>46112</v>
      </c>
      <c r="E41" s="512" t="s">
        <v>7</v>
      </c>
      <c r="F41" s="513" t="s">
        <v>128</v>
      </c>
      <c r="G41" s="514">
        <f t="shared" ref="G41:G50" si="15">H40</f>
        <v>45727</v>
      </c>
      <c r="H41" s="515">
        <f t="shared" ref="H41:H50" si="16">EDATE(G41,1)</f>
        <v>45758</v>
      </c>
      <c r="I41" s="516">
        <f>INDEX('OverNight €'!$V$376:$V$750,MATCH($B41,'OverNight €'!$D$376:$D$750,0))</f>
        <v>2.1205479452054792E-2</v>
      </c>
      <c r="J41" s="513">
        <f>INDEX('OverNight €'!$U$376:$U$750,MATCH($B41,'OverNight €'!$D$376:$D$750,0))</f>
        <v>6010956.1600000001</v>
      </c>
      <c r="K41" s="513">
        <f>SUMIFS('OverNight €'!$W$373:$W$750,'OverNight €'!$B$373:$B$750,$A41)</f>
        <v>10976.170631890413</v>
      </c>
      <c r="L41" s="576"/>
      <c r="M41" s="513">
        <f>SUMIFS('OverNight €'!$Y$373:$Y$750,'OverNight €'!$B$373:$B$750,$A41)</f>
        <v>1917.9936407792964</v>
      </c>
      <c r="N41" s="16"/>
      <c r="O41" s="8"/>
      <c r="P41" s="8"/>
    </row>
    <row r="42" spans="1:16" s="9" customFormat="1" x14ac:dyDescent="0.2">
      <c r="A42" s="5" t="str">
        <f t="shared" si="12"/>
        <v>4 2026</v>
      </c>
      <c r="B42" s="180">
        <f t="shared" si="13"/>
        <v>46142</v>
      </c>
      <c r="C42" s="5"/>
      <c r="D42" s="557">
        <f t="shared" si="14"/>
        <v>46142</v>
      </c>
      <c r="E42" s="512" t="s">
        <v>7</v>
      </c>
      <c r="F42" s="513" t="s">
        <v>128</v>
      </c>
      <c r="G42" s="514">
        <f t="shared" si="15"/>
        <v>45758</v>
      </c>
      <c r="H42" s="515">
        <f t="shared" si="16"/>
        <v>45788</v>
      </c>
      <c r="I42" s="516">
        <f>INDEX('OverNight €'!$V$376:$V$750,MATCH($B42,'OverNight €'!$D$376:$D$750,0))</f>
        <v>2.1205479452054792E-2</v>
      </c>
      <c r="J42" s="513">
        <f>INDEX('OverNight €'!$U$376:$U$750,MATCH($B42,'OverNight €'!$D$376:$D$750,0))</f>
        <v>6010956.1600000001</v>
      </c>
      <c r="K42" s="513">
        <f>SUMIFS('OverNight €'!$W$373:$W$750,'OverNight €'!$B$373:$B$750,$A42)</f>
        <v>10622.10061150685</v>
      </c>
      <c r="L42" s="576"/>
      <c r="M42" s="513">
        <f>SUMIFS('OverNight €'!$Y$373:$Y$750,'OverNight €'!$B$373:$B$750,$A42)</f>
        <v>1856.1228781735126</v>
      </c>
      <c r="N42" s="16"/>
      <c r="O42" s="8"/>
      <c r="P42" s="8"/>
    </row>
    <row r="43" spans="1:16" s="9" customFormat="1" x14ac:dyDescent="0.2">
      <c r="A43" s="5" t="str">
        <f t="shared" si="12"/>
        <v>5 2026</v>
      </c>
      <c r="B43" s="180">
        <f t="shared" si="13"/>
        <v>46173</v>
      </c>
      <c r="C43" s="5"/>
      <c r="D43" s="557">
        <f t="shared" si="14"/>
        <v>46173</v>
      </c>
      <c r="E43" s="512" t="s">
        <v>7</v>
      </c>
      <c r="F43" s="513" t="s">
        <v>128</v>
      </c>
      <c r="G43" s="514">
        <f t="shared" si="15"/>
        <v>45788</v>
      </c>
      <c r="H43" s="515">
        <f t="shared" si="16"/>
        <v>45819</v>
      </c>
      <c r="I43" s="516">
        <f>INDEX('OverNight €'!$V$376:$V$750,MATCH($B43,'OverNight €'!$D$376:$D$750,0))</f>
        <v>2.1205479452054792E-2</v>
      </c>
      <c r="J43" s="513">
        <f>INDEX('OverNight €'!$U$376:$U$750,MATCH($B43,'OverNight €'!$D$376:$D$750,0))</f>
        <v>6010956.1600000001</v>
      </c>
      <c r="K43" s="513">
        <f>SUMIFS('OverNight €'!$W$373:$W$750,'OverNight €'!$B$373:$B$750,$A43)</f>
        <v>10976.170631890413</v>
      </c>
      <c r="L43" s="576"/>
      <c r="M43" s="513">
        <f>SUMIFS('OverNight €'!$Y$373:$Y$750,'OverNight €'!$B$373:$B$750,$A43)</f>
        <v>1917.9936407792964</v>
      </c>
      <c r="N43" s="16"/>
      <c r="O43" s="8"/>
      <c r="P43" s="8"/>
    </row>
    <row r="44" spans="1:16" s="9" customFormat="1" x14ac:dyDescent="0.2">
      <c r="A44" s="5" t="str">
        <f t="shared" si="12"/>
        <v>6 2026</v>
      </c>
      <c r="B44" s="180">
        <f t="shared" si="13"/>
        <v>46203</v>
      </c>
      <c r="C44" s="5"/>
      <c r="D44" s="557">
        <f t="shared" si="14"/>
        <v>46203</v>
      </c>
      <c r="E44" s="512" t="s">
        <v>7</v>
      </c>
      <c r="F44" s="513" t="s">
        <v>128</v>
      </c>
      <c r="G44" s="514">
        <f t="shared" si="15"/>
        <v>45819</v>
      </c>
      <c r="H44" s="515">
        <f t="shared" si="16"/>
        <v>45849</v>
      </c>
      <c r="I44" s="516">
        <f>INDEX('OverNight €'!$V$376:$V$750,MATCH($B44,'OverNight €'!$D$376:$D$750,0))</f>
        <v>2.1205479452054792E-2</v>
      </c>
      <c r="J44" s="513">
        <f>INDEX('OverNight €'!$U$376:$U$750,MATCH($B44,'OverNight €'!$D$376:$D$750,0))</f>
        <v>6010956.1600000001</v>
      </c>
      <c r="K44" s="513">
        <f>SUMIFS('OverNight €'!$W$373:$W$750,'OverNight €'!$B$373:$B$750,$A44)</f>
        <v>10622.10061150685</v>
      </c>
      <c r="L44" s="576"/>
      <c r="M44" s="513">
        <f>SUMIFS('OverNight €'!$Y$373:$Y$750,'OverNight €'!$B$373:$B$750,$A44)</f>
        <v>1856.1228781735126</v>
      </c>
      <c r="N44" s="16"/>
      <c r="O44" s="8"/>
      <c r="P44" s="8"/>
    </row>
    <row r="45" spans="1:16" s="9" customFormat="1" x14ac:dyDescent="0.2">
      <c r="A45" s="5" t="str">
        <f t="shared" si="12"/>
        <v>7 2026</v>
      </c>
      <c r="B45" s="180">
        <f t="shared" si="13"/>
        <v>46234</v>
      </c>
      <c r="C45" s="5"/>
      <c r="D45" s="557">
        <f t="shared" si="14"/>
        <v>46234</v>
      </c>
      <c r="E45" s="512" t="s">
        <v>7</v>
      </c>
      <c r="F45" s="513" t="s">
        <v>128</v>
      </c>
      <c r="G45" s="514">
        <f t="shared" si="15"/>
        <v>45849</v>
      </c>
      <c r="H45" s="515">
        <f t="shared" si="16"/>
        <v>45880</v>
      </c>
      <c r="I45" s="516">
        <f>INDEX('OverNight €'!$V$376:$V$750,MATCH($B45,'OverNight €'!$D$376:$D$750,0))</f>
        <v>2.1205479452054792E-2</v>
      </c>
      <c r="J45" s="513">
        <f>INDEX('OverNight €'!$U$376:$U$750,MATCH($B45,'OverNight €'!$D$376:$D$750,0))</f>
        <v>6010956.1600000001</v>
      </c>
      <c r="K45" s="513">
        <f>SUMIFS('OverNight €'!$W$373:$W$750,'OverNight €'!$B$373:$B$750,$A45)</f>
        <v>10976.170631890413</v>
      </c>
      <c r="L45" s="576"/>
      <c r="M45" s="513">
        <f>SUMIFS('OverNight €'!$Y$373:$Y$750,'OverNight €'!$B$373:$B$750,$A45)</f>
        <v>1917.9936407792964</v>
      </c>
      <c r="N45" s="16"/>
      <c r="O45" s="8"/>
      <c r="P45" s="8"/>
    </row>
    <row r="46" spans="1:16" s="9" customFormat="1" x14ac:dyDescent="0.2">
      <c r="A46" s="5" t="str">
        <f t="shared" si="12"/>
        <v>8 2026</v>
      </c>
      <c r="B46" s="180">
        <f t="shared" si="13"/>
        <v>46265</v>
      </c>
      <c r="C46" s="5"/>
      <c r="D46" s="557">
        <f t="shared" si="14"/>
        <v>46265</v>
      </c>
      <c r="E46" s="512" t="s">
        <v>7</v>
      </c>
      <c r="F46" s="513" t="s">
        <v>128</v>
      </c>
      <c r="G46" s="514">
        <f t="shared" si="15"/>
        <v>45880</v>
      </c>
      <c r="H46" s="515">
        <f t="shared" si="16"/>
        <v>45911</v>
      </c>
      <c r="I46" s="516">
        <f>INDEX('OverNight €'!$V$376:$V$750,MATCH($B46,'OverNight €'!$D$376:$D$750,0))</f>
        <v>2.1205479452054792E-2</v>
      </c>
      <c r="J46" s="513">
        <f>INDEX('OverNight €'!$U$376:$U$750,MATCH($B46,'OverNight €'!$D$376:$D$750,0))</f>
        <v>6010956.1600000001</v>
      </c>
      <c r="K46" s="513">
        <f>SUMIFS('OverNight €'!$W$373:$W$750,'OverNight €'!$B$373:$B$750,$A46)</f>
        <v>10976.170631890413</v>
      </c>
      <c r="L46" s="576"/>
      <c r="M46" s="513">
        <f>SUMIFS('OverNight €'!$Y$373:$Y$750,'OverNight €'!$B$373:$B$750,$A46)</f>
        <v>1917.9936407792964</v>
      </c>
      <c r="N46" s="16"/>
      <c r="O46" s="8"/>
      <c r="P46" s="8"/>
    </row>
    <row r="47" spans="1:16" s="9" customFormat="1" x14ac:dyDescent="0.2">
      <c r="A47" s="5" t="str">
        <f t="shared" si="12"/>
        <v>9 2026</v>
      </c>
      <c r="B47" s="180">
        <f t="shared" si="13"/>
        <v>46295</v>
      </c>
      <c r="C47" s="5"/>
      <c r="D47" s="557">
        <f t="shared" si="14"/>
        <v>46295</v>
      </c>
      <c r="E47" s="512" t="s">
        <v>7</v>
      </c>
      <c r="F47" s="513" t="s">
        <v>128</v>
      </c>
      <c r="G47" s="514">
        <f t="shared" si="15"/>
        <v>45911</v>
      </c>
      <c r="H47" s="515">
        <f t="shared" si="16"/>
        <v>45941</v>
      </c>
      <c r="I47" s="516">
        <f>INDEX('OverNight €'!$V$376:$V$750,MATCH($B47,'OverNight €'!$D$376:$D$750,0))</f>
        <v>2.1205479452054792E-2</v>
      </c>
      <c r="J47" s="513">
        <f>INDEX('OverNight €'!$U$376:$U$750,MATCH($B47,'OverNight €'!$D$376:$D$750,0))</f>
        <v>6010956.1600000001</v>
      </c>
      <c r="K47" s="513">
        <f>SUMIFS('OverNight €'!$W$373:$W$750,'OverNight €'!$B$373:$B$750,$A47)</f>
        <v>10622.10061150685</v>
      </c>
      <c r="L47" s="576"/>
      <c r="M47" s="513">
        <f>SUMIFS('OverNight €'!$Y$373:$Y$750,'OverNight €'!$B$373:$B$750,$A47)</f>
        <v>1856.1228781735126</v>
      </c>
      <c r="N47" s="16"/>
      <c r="O47" s="8"/>
      <c r="P47" s="8"/>
    </row>
    <row r="48" spans="1:16" s="9" customFormat="1" x14ac:dyDescent="0.2">
      <c r="A48" s="5" t="str">
        <f t="shared" si="12"/>
        <v>10 2026</v>
      </c>
      <c r="B48" s="180">
        <f t="shared" si="13"/>
        <v>46326</v>
      </c>
      <c r="C48" s="5"/>
      <c r="D48" s="557">
        <f t="shared" si="14"/>
        <v>46326</v>
      </c>
      <c r="E48" s="512" t="s">
        <v>7</v>
      </c>
      <c r="F48" s="513" t="s">
        <v>128</v>
      </c>
      <c r="G48" s="514">
        <f t="shared" si="15"/>
        <v>45941</v>
      </c>
      <c r="H48" s="515">
        <f t="shared" si="16"/>
        <v>45972</v>
      </c>
      <c r="I48" s="516">
        <f>INDEX('OverNight €'!$V$376:$V$750,MATCH($B48,'OverNight €'!$D$376:$D$750,0))</f>
        <v>2.1205479452054792E-2</v>
      </c>
      <c r="J48" s="513">
        <f>INDEX('OverNight €'!$U$376:$U$750,MATCH($B48,'OverNight €'!$D$376:$D$750,0))</f>
        <v>6010956.1600000001</v>
      </c>
      <c r="K48" s="513">
        <f>SUMIFS('OverNight €'!$W$373:$W$750,'OverNight €'!$B$373:$B$750,$A48)</f>
        <v>10976.170631890413</v>
      </c>
      <c r="L48" s="576"/>
      <c r="M48" s="513">
        <f>SUMIFS('OverNight €'!$Y$373:$Y$750,'OverNight €'!$B$373:$B$750,$A48)</f>
        <v>1917.9936407792964</v>
      </c>
      <c r="N48" s="16"/>
      <c r="O48" s="8"/>
      <c r="P48" s="8"/>
    </row>
    <row r="49" spans="1:16" s="9" customFormat="1" x14ac:dyDescent="0.2">
      <c r="A49" s="5" t="str">
        <f t="shared" si="12"/>
        <v>11 2026</v>
      </c>
      <c r="B49" s="180">
        <f t="shared" si="13"/>
        <v>46356</v>
      </c>
      <c r="C49" s="5"/>
      <c r="D49" s="557">
        <f t="shared" si="14"/>
        <v>46356</v>
      </c>
      <c r="E49" s="512" t="s">
        <v>7</v>
      </c>
      <c r="F49" s="513" t="s">
        <v>128</v>
      </c>
      <c r="G49" s="514">
        <f t="shared" si="15"/>
        <v>45972</v>
      </c>
      <c r="H49" s="515">
        <f t="shared" si="16"/>
        <v>46002</v>
      </c>
      <c r="I49" s="516">
        <f>INDEX('OverNight €'!$V$376:$V$750,MATCH($B49,'OverNight €'!$D$376:$D$750,0))</f>
        <v>2.1205479452054792E-2</v>
      </c>
      <c r="J49" s="513">
        <f>INDEX('OverNight €'!$U$376:$U$750,MATCH($B49,'OverNight €'!$D$376:$D$750,0))</f>
        <v>6010956.1600000001</v>
      </c>
      <c r="K49" s="513">
        <f>SUMIFS('OverNight €'!$W$373:$W$750,'OverNight €'!$B$373:$B$750,$A49)</f>
        <v>10622.10061150685</v>
      </c>
      <c r="L49" s="576"/>
      <c r="M49" s="513">
        <f>SUMIFS('OverNight €'!$Y$373:$Y$750,'OverNight €'!$B$373:$B$750,$A49)</f>
        <v>1856.1228781735126</v>
      </c>
      <c r="N49" s="16"/>
      <c r="O49" s="8"/>
      <c r="P49" s="8"/>
    </row>
    <row r="50" spans="1:16" s="9" customFormat="1" x14ac:dyDescent="0.2">
      <c r="A50" s="5" t="str">
        <f t="shared" si="12"/>
        <v>12 2026</v>
      </c>
      <c r="B50" s="180">
        <f t="shared" si="13"/>
        <v>46387</v>
      </c>
      <c r="C50" s="5"/>
      <c r="D50" s="557">
        <f t="shared" si="14"/>
        <v>46387</v>
      </c>
      <c r="E50" s="512" t="s">
        <v>7</v>
      </c>
      <c r="F50" s="513" t="s">
        <v>128</v>
      </c>
      <c r="G50" s="514">
        <f t="shared" si="15"/>
        <v>46002</v>
      </c>
      <c r="H50" s="515">
        <f t="shared" si="16"/>
        <v>46033</v>
      </c>
      <c r="I50" s="516">
        <f>INDEX('OverNight €'!$V$376:$V$750,MATCH($B50,'OverNight €'!$D$376:$D$750,0))</f>
        <v>2.1205479452054792E-2</v>
      </c>
      <c r="J50" s="513">
        <f>INDEX('OverNight €'!$U$376:$U$750,MATCH($B50,'OverNight €'!$D$376:$D$750,0))</f>
        <v>6010956.1600000001</v>
      </c>
      <c r="K50" s="513">
        <f>SUMIFS('OverNight €'!$W$373:$W$750,'OverNight €'!$B$373:$B$750,$A50)</f>
        <v>10976.170631890413</v>
      </c>
      <c r="L50" s="576"/>
      <c r="M50" s="513">
        <f>SUMIFS('OverNight €'!$Y$373:$Y$750,'OverNight €'!$B$373:$B$750,$A50)</f>
        <v>1917.9936407792964</v>
      </c>
      <c r="N50" s="16"/>
      <c r="O50" s="8"/>
      <c r="P50" s="8"/>
    </row>
    <row r="51" spans="1:16" s="9" customFormat="1" ht="15" x14ac:dyDescent="0.2">
      <c r="A51" s="5"/>
      <c r="B51" s="180"/>
      <c r="C51" s="5"/>
      <c r="D51" s="521" t="s">
        <v>282</v>
      </c>
      <c r="E51" s="522"/>
      <c r="F51" s="523"/>
      <c r="G51" s="509"/>
      <c r="H51" s="510"/>
      <c r="I51" s="511">
        <f>AVERAGE(I39)</f>
        <v>2.1205479452054792E-2</v>
      </c>
      <c r="J51" s="509"/>
      <c r="K51" s="509">
        <f>SUM(K39:K39)</f>
        <v>10969.071640547945</v>
      </c>
      <c r="L51" s="509">
        <f t="shared" ref="L51:M51" si="17">SUM(L39:L39)</f>
        <v>10956.16</v>
      </c>
      <c r="M51" s="509">
        <f t="shared" si="17"/>
        <v>1916.7531516590529</v>
      </c>
      <c r="N51" s="16"/>
      <c r="O51" s="8"/>
      <c r="P51" s="8"/>
    </row>
    <row r="52" spans="1:16" s="9" customFormat="1" x14ac:dyDescent="0.2">
      <c r="A52" s="5"/>
      <c r="B52" s="18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8"/>
      <c r="P52" s="4"/>
    </row>
    <row r="53" spans="1:16" s="9" customFormat="1" x14ac:dyDescent="0.2">
      <c r="A53" s="5" t="str">
        <f>CONCATENATE(MONTH(D53)," ",YEAR(D53))</f>
        <v>11 2025</v>
      </c>
      <c r="B53" s="180">
        <v>45991</v>
      </c>
      <c r="C53" s="5"/>
      <c r="D53" s="557">
        <f>B53</f>
        <v>45991</v>
      </c>
      <c r="E53" s="512" t="s">
        <v>7</v>
      </c>
      <c r="F53" s="513" t="s">
        <v>187</v>
      </c>
      <c r="G53" s="514">
        <v>45966</v>
      </c>
      <c r="H53" s="515"/>
      <c r="I53" s="516">
        <f>INDEX('OverNight €'!$AC$5:$AC$369,MATCH($B53,'OverNight €'!$D$5:$D$369,0))</f>
        <v>2.579E-2</v>
      </c>
      <c r="J53" s="513">
        <f>INDEX('OverNight €'!$AB$5:$AB$369,MATCH($B53,'OverNight €'!$D$5:$D$369,0))</f>
        <v>15000000</v>
      </c>
      <c r="K53" s="513">
        <f>SUMIFS('OverNight €'!$AD$5:$AD$369,'OverNight €'!$B$5:$B$369,$A53)</f>
        <v>26864.583333333325</v>
      </c>
      <c r="L53" s="513"/>
      <c r="M53" s="513">
        <f>SUMIFS('OverNight €'!$AF$5:$AF$369,'OverNight €'!$B$5:$B$369,$A53)</f>
        <v>8635.4166666666679</v>
      </c>
      <c r="N53" s="16"/>
      <c r="O53" s="8"/>
      <c r="P53" s="8"/>
    </row>
    <row r="54" spans="1:16" s="9" customFormat="1" ht="16.5" x14ac:dyDescent="0.3">
      <c r="A54" s="5" t="str">
        <f>CONCATENATE(MONTH(D54)," ",YEAR(D54))</f>
        <v>12 2025</v>
      </c>
      <c r="B54" s="180">
        <f>EOMONTH(B53,1)</f>
        <v>46022</v>
      </c>
      <c r="C54" s="5"/>
      <c r="D54" s="557">
        <f>EOMONTH(D53,1)</f>
        <v>46022</v>
      </c>
      <c r="E54" s="512" t="s">
        <v>7</v>
      </c>
      <c r="F54" s="513" t="s">
        <v>187</v>
      </c>
      <c r="G54" s="514"/>
      <c r="H54" s="515"/>
      <c r="I54" s="516">
        <f>INDEX('OverNight €'!$AC$5:$AC$369,MATCH($B54,'OverNight €'!$D$5:$D$369,0))</f>
        <v>2.579E-2</v>
      </c>
      <c r="J54" s="513">
        <f>INDEX('OverNight €'!$AB$5:$AB$369,MATCH($B54,'OverNight €'!$D$5:$D$369,0))</f>
        <v>15000000</v>
      </c>
      <c r="K54" s="513">
        <f>SUMIFS('OverNight €'!$AD$5:$AD$369,'OverNight €'!$B$5:$B$369,$A54)</f>
        <v>33312.083333333321</v>
      </c>
      <c r="L54" s="513"/>
      <c r="M54" s="513">
        <f>SUMIFS('OverNight €'!$AF$5:$AF$369,'OverNight €'!$B$5:$B$369,$A54)</f>
        <v>10707.916666666664</v>
      </c>
      <c r="N54" s="16"/>
      <c r="O54" s="336"/>
      <c r="P54" s="8"/>
    </row>
    <row r="55" spans="1:16" s="9" customFormat="1" ht="15" x14ac:dyDescent="0.2">
      <c r="A55" s="4"/>
      <c r="B55" s="180"/>
      <c r="C55" s="5"/>
      <c r="D55" s="521" t="s">
        <v>233</v>
      </c>
      <c r="E55" s="522"/>
      <c r="F55" s="523"/>
      <c r="G55" s="509"/>
      <c r="H55" s="510"/>
      <c r="I55" s="511">
        <f>AVERAGE(I53:I54)</f>
        <v>2.579E-2</v>
      </c>
      <c r="J55" s="509"/>
      <c r="K55" s="509">
        <f>SUM(K53:K54)</f>
        <v>60176.666666666642</v>
      </c>
      <c r="L55" s="509">
        <f>SUM(L53:L54)</f>
        <v>0</v>
      </c>
      <c r="M55" s="509">
        <f>SUM(M53:M54)</f>
        <v>19343.333333333332</v>
      </c>
      <c r="N55" s="16"/>
      <c r="O55" s="8"/>
      <c r="P55" s="4"/>
    </row>
    <row r="56" spans="1:16" s="9" customFormat="1" ht="8.25" customHeight="1" x14ac:dyDescent="0.3">
      <c r="A56" s="5"/>
      <c r="B56" s="18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336"/>
      <c r="P56" s="8"/>
    </row>
    <row r="57" spans="1:16" s="9" customFormat="1" x14ac:dyDescent="0.2">
      <c r="A57" s="5" t="str">
        <f t="shared" ref="A57" si="18">CONCATENATE(MONTH(D57)," ",YEAR(D57))</f>
        <v>1 2026</v>
      </c>
      <c r="B57" s="180">
        <v>46053</v>
      </c>
      <c r="C57" s="5"/>
      <c r="D57" s="557">
        <v>46053</v>
      </c>
      <c r="E57" s="512" t="s">
        <v>7</v>
      </c>
      <c r="F57" s="513" t="s">
        <v>187</v>
      </c>
      <c r="G57" s="514">
        <v>45966</v>
      </c>
      <c r="H57" s="515"/>
      <c r="I57" s="516">
        <f>INDEX('OverNight €'!$AC$376:$AC$750,MATCH($B57,'OverNight €'!$D$376:$D$750,0))</f>
        <v>2.579E-2</v>
      </c>
      <c r="J57" s="513">
        <f>INDEX('OverNight €'!$AB$376:$AB$750,MATCH($B57,'OverNight €'!$D$376:$D$750,0))</f>
        <v>15000000</v>
      </c>
      <c r="K57" s="513">
        <f>SUMIFS('OverNight €'!$AD$373:$AD$750,'OverNight €'!$B$373:$B$750,$A57)</f>
        <v>33312.083333333321</v>
      </c>
      <c r="L57" s="513"/>
      <c r="M57" s="513">
        <f>SUMIFS('OverNight €'!$AF$373:$AF$750,'OverNight €'!$B$373:$B$750,$A57)</f>
        <v>10707.916666666664</v>
      </c>
      <c r="N57" s="16"/>
      <c r="O57" s="8"/>
      <c r="P57" s="8"/>
    </row>
    <row r="58" spans="1:16" s="9" customFormat="1" ht="16.5" x14ac:dyDescent="0.3">
      <c r="A58" s="5" t="str">
        <f>CONCATENATE(MONTH(D58)," ",YEAR(D58))</f>
        <v>2 2026</v>
      </c>
      <c r="B58" s="180">
        <f>EOMONTH(B57,1)</f>
        <v>46081</v>
      </c>
      <c r="C58" s="5"/>
      <c r="D58" s="557">
        <f>EOMONTH(D57,1)</f>
        <v>46081</v>
      </c>
      <c r="E58" s="512" t="s">
        <v>7</v>
      </c>
      <c r="F58" s="513" t="s">
        <v>187</v>
      </c>
      <c r="G58" s="514"/>
      <c r="H58" s="515"/>
      <c r="I58" s="516">
        <f>INDEX('OverNight €'!$AC$376:$AC$750,MATCH($B58,'OverNight €'!$D$376:$D$750,0))</f>
        <v>2.579E-2</v>
      </c>
      <c r="J58" s="513">
        <f>INDEX('OverNight €'!$AB$376:$AB$750,MATCH($B58,'OverNight €'!$D$376:$D$750,0))</f>
        <v>15000000</v>
      </c>
      <c r="K58" s="513">
        <f>SUMIFS('OverNight €'!$AD$373:$AD$750,'OverNight €'!$B$373:$B$750,$A58)</f>
        <v>30088.333333333321</v>
      </c>
      <c r="L58" s="513"/>
      <c r="M58" s="513">
        <f>SUMIFS('OverNight €'!$AF$373:$AF$750,'OverNight €'!$B$373:$B$750,$A58)</f>
        <v>9671.6666666666661</v>
      </c>
      <c r="N58" s="16"/>
      <c r="O58" s="336"/>
      <c r="P58" s="8"/>
    </row>
    <row r="59" spans="1:16" s="9" customFormat="1" ht="16.5" x14ac:dyDescent="0.3">
      <c r="A59" s="5" t="str">
        <f t="shared" ref="A59:A68" si="19">CONCATENATE(MONTH(D59)," ",YEAR(D59))</f>
        <v>3 2026</v>
      </c>
      <c r="B59" s="180">
        <f t="shared" ref="B59:B68" si="20">EOMONTH(B58,1)</f>
        <v>46112</v>
      </c>
      <c r="C59" s="5"/>
      <c r="D59" s="557">
        <f t="shared" ref="D59:D68" si="21">EOMONTH(D58,1)</f>
        <v>46112</v>
      </c>
      <c r="E59" s="512" t="s">
        <v>7</v>
      </c>
      <c r="F59" s="513" t="s">
        <v>187</v>
      </c>
      <c r="G59" s="575"/>
      <c r="H59" s="574"/>
      <c r="I59" s="516">
        <f>INDEX('OverNight €'!$AC$376:$AC$750,MATCH($B59,'OverNight €'!$D$376:$D$750,0))</f>
        <v>2.579E-2</v>
      </c>
      <c r="J59" s="513">
        <f>INDEX('OverNight €'!$AB$376:$AB$750,MATCH($B59,'OverNight €'!$D$376:$D$750,0))</f>
        <v>15000000</v>
      </c>
      <c r="K59" s="513">
        <f>SUMIFS('OverNight €'!$AD$373:$AD$750,'OverNight €'!$B$373:$B$750,$A59)</f>
        <v>33312.083333333321</v>
      </c>
      <c r="L59" s="576"/>
      <c r="M59" s="513">
        <f>SUMIFS('OverNight €'!$AF$373:$AF$750,'OverNight €'!$B$373:$B$750,$A59)</f>
        <v>10707.916666666664</v>
      </c>
      <c r="N59" s="16"/>
      <c r="O59" s="336"/>
      <c r="P59" s="8"/>
    </row>
    <row r="60" spans="1:16" s="9" customFormat="1" ht="16.5" x14ac:dyDescent="0.3">
      <c r="A60" s="5" t="str">
        <f t="shared" si="19"/>
        <v>4 2026</v>
      </c>
      <c r="B60" s="180">
        <f t="shared" si="20"/>
        <v>46142</v>
      </c>
      <c r="C60" s="5"/>
      <c r="D60" s="557">
        <f t="shared" si="21"/>
        <v>46142</v>
      </c>
      <c r="E60" s="512" t="s">
        <v>7</v>
      </c>
      <c r="F60" s="513" t="s">
        <v>187</v>
      </c>
      <c r="G60" s="575"/>
      <c r="H60" s="574"/>
      <c r="I60" s="516">
        <f>INDEX('OverNight €'!$AC$376:$AC$750,MATCH($B60,'OverNight €'!$D$376:$D$750,0))</f>
        <v>2.579E-2</v>
      </c>
      <c r="J60" s="513">
        <f>INDEX('OverNight €'!$AB$376:$AB$750,MATCH($B60,'OverNight €'!$D$376:$D$750,0))</f>
        <v>15000000</v>
      </c>
      <c r="K60" s="513">
        <f>SUMIFS('OverNight €'!$AD$373:$AD$750,'OverNight €'!$B$373:$B$750,$A60)</f>
        <v>32237.499999999985</v>
      </c>
      <c r="L60" s="576"/>
      <c r="M60" s="513">
        <f>SUMIFS('OverNight €'!$AF$373:$AF$750,'OverNight €'!$B$373:$B$750,$A60)</f>
        <v>10362.499999999998</v>
      </c>
      <c r="N60" s="16"/>
      <c r="O60" s="336"/>
      <c r="P60" s="8"/>
    </row>
    <row r="61" spans="1:16" s="9" customFormat="1" ht="16.5" x14ac:dyDescent="0.3">
      <c r="A61" s="5" t="str">
        <f t="shared" si="19"/>
        <v>5 2026</v>
      </c>
      <c r="B61" s="180">
        <f t="shared" si="20"/>
        <v>46173</v>
      </c>
      <c r="C61" s="5"/>
      <c r="D61" s="557">
        <f t="shared" si="21"/>
        <v>46173</v>
      </c>
      <c r="E61" s="512" t="s">
        <v>7</v>
      </c>
      <c r="F61" s="513" t="s">
        <v>187</v>
      </c>
      <c r="G61" s="575"/>
      <c r="H61" s="574"/>
      <c r="I61" s="516">
        <f>INDEX('OverNight €'!$AC$376:$AC$750,MATCH($B61,'OverNight €'!$D$376:$D$750,0))</f>
        <v>2.579E-2</v>
      </c>
      <c r="J61" s="513">
        <f>INDEX('OverNight €'!$AB$376:$AB$750,MATCH($B61,'OverNight €'!$D$376:$D$750,0))</f>
        <v>15000000</v>
      </c>
      <c r="K61" s="513">
        <f>SUMIFS('OverNight €'!$AD$373:$AD$750,'OverNight €'!$B$373:$B$750,$A61)</f>
        <v>33312.083333333321</v>
      </c>
      <c r="L61" s="576"/>
      <c r="M61" s="513">
        <f>SUMIFS('OverNight €'!$AF$373:$AF$750,'OverNight €'!$B$373:$B$750,$A61)</f>
        <v>10707.916666666664</v>
      </c>
      <c r="N61" s="16"/>
      <c r="O61" s="336"/>
      <c r="P61" s="8"/>
    </row>
    <row r="62" spans="1:16" s="9" customFormat="1" ht="16.5" x14ac:dyDescent="0.3">
      <c r="A62" s="5" t="str">
        <f t="shared" si="19"/>
        <v>6 2026</v>
      </c>
      <c r="B62" s="180">
        <f t="shared" si="20"/>
        <v>46203</v>
      </c>
      <c r="C62" s="5"/>
      <c r="D62" s="557">
        <f t="shared" si="21"/>
        <v>46203</v>
      </c>
      <c r="E62" s="512" t="s">
        <v>7</v>
      </c>
      <c r="F62" s="513" t="s">
        <v>187</v>
      </c>
      <c r="G62" s="575"/>
      <c r="H62" s="574"/>
      <c r="I62" s="516">
        <f>INDEX('OverNight €'!$AC$376:$AC$750,MATCH($B62,'OverNight €'!$D$376:$D$750,0))</f>
        <v>2.579E-2</v>
      </c>
      <c r="J62" s="513">
        <f>INDEX('OverNight €'!$AB$376:$AB$750,MATCH($B62,'OverNight €'!$D$376:$D$750,0))</f>
        <v>15000000</v>
      </c>
      <c r="K62" s="513">
        <f>SUMIFS('OverNight €'!$AD$373:$AD$750,'OverNight €'!$B$373:$B$750,$A62)</f>
        <v>32237.499999999985</v>
      </c>
      <c r="L62" s="576"/>
      <c r="M62" s="513">
        <f>SUMIFS('OverNight €'!$AF$373:$AF$750,'OverNight €'!$B$373:$B$750,$A62)</f>
        <v>10362.499999999998</v>
      </c>
      <c r="N62" s="16"/>
      <c r="O62" s="336"/>
      <c r="P62" s="8"/>
    </row>
    <row r="63" spans="1:16" s="9" customFormat="1" ht="16.5" x14ac:dyDescent="0.3">
      <c r="A63" s="5" t="str">
        <f t="shared" si="19"/>
        <v>7 2026</v>
      </c>
      <c r="B63" s="180">
        <f t="shared" si="20"/>
        <v>46234</v>
      </c>
      <c r="C63" s="5"/>
      <c r="D63" s="557">
        <f t="shared" si="21"/>
        <v>46234</v>
      </c>
      <c r="E63" s="512" t="s">
        <v>7</v>
      </c>
      <c r="F63" s="513" t="s">
        <v>187</v>
      </c>
      <c r="G63" s="575"/>
      <c r="H63" s="574"/>
      <c r="I63" s="516">
        <f>INDEX('OverNight €'!$AC$376:$AC$750,MATCH($B63,'OverNight €'!$D$376:$D$750,0))</f>
        <v>2.579E-2</v>
      </c>
      <c r="J63" s="513">
        <f>INDEX('OverNight €'!$AB$376:$AB$750,MATCH($B63,'OverNight €'!$D$376:$D$750,0))</f>
        <v>15000000</v>
      </c>
      <c r="K63" s="513">
        <f>SUMIFS('OverNight €'!$AD$373:$AD$750,'OverNight €'!$B$373:$B$750,$A63)</f>
        <v>33312.083333333321</v>
      </c>
      <c r="L63" s="576"/>
      <c r="M63" s="513">
        <f>SUMIFS('OverNight €'!$AF$373:$AF$750,'OverNight €'!$B$373:$B$750,$A63)</f>
        <v>10707.916666666664</v>
      </c>
      <c r="N63" s="16"/>
      <c r="O63" s="336"/>
      <c r="P63" s="8"/>
    </row>
    <row r="64" spans="1:16" s="9" customFormat="1" ht="16.5" x14ac:dyDescent="0.3">
      <c r="A64" s="5" t="str">
        <f t="shared" si="19"/>
        <v>8 2026</v>
      </c>
      <c r="B64" s="180">
        <f t="shared" si="20"/>
        <v>46265</v>
      </c>
      <c r="C64" s="5"/>
      <c r="D64" s="557">
        <f t="shared" si="21"/>
        <v>46265</v>
      </c>
      <c r="E64" s="512" t="s">
        <v>7</v>
      </c>
      <c r="F64" s="513" t="s">
        <v>187</v>
      </c>
      <c r="G64" s="575"/>
      <c r="H64" s="574"/>
      <c r="I64" s="516">
        <f>INDEX('OverNight €'!$AC$376:$AC$750,MATCH($B64,'OverNight €'!$D$376:$D$750,0))</f>
        <v>2.579E-2</v>
      </c>
      <c r="J64" s="513">
        <f>INDEX('OverNight €'!$AB$376:$AB$750,MATCH($B64,'OverNight €'!$D$376:$D$750,0))</f>
        <v>15000000</v>
      </c>
      <c r="K64" s="513">
        <f>SUMIFS('OverNight €'!$AD$373:$AD$750,'OverNight €'!$B$373:$B$750,$A64)</f>
        <v>33312.083333333321</v>
      </c>
      <c r="L64" s="576"/>
      <c r="M64" s="513">
        <f>SUMIFS('OverNight €'!$AF$373:$AF$750,'OverNight €'!$B$373:$B$750,$A64)</f>
        <v>10707.916666666664</v>
      </c>
      <c r="N64" s="16"/>
      <c r="O64" s="336"/>
      <c r="P64" s="8"/>
    </row>
    <row r="65" spans="1:16" s="9" customFormat="1" ht="16.5" x14ac:dyDescent="0.3">
      <c r="A65" s="5" t="str">
        <f t="shared" si="19"/>
        <v>9 2026</v>
      </c>
      <c r="B65" s="180">
        <f t="shared" si="20"/>
        <v>46295</v>
      </c>
      <c r="C65" s="5"/>
      <c r="D65" s="557">
        <f t="shared" si="21"/>
        <v>46295</v>
      </c>
      <c r="E65" s="512" t="s">
        <v>7</v>
      </c>
      <c r="F65" s="513" t="s">
        <v>187</v>
      </c>
      <c r="G65" s="575"/>
      <c r="H65" s="574"/>
      <c r="I65" s="516">
        <f>INDEX('OverNight €'!$AC$376:$AC$750,MATCH($B65,'OverNight €'!$D$376:$D$750,0))</f>
        <v>2.579E-2</v>
      </c>
      <c r="J65" s="513">
        <f>INDEX('OverNight €'!$AB$376:$AB$750,MATCH($B65,'OverNight €'!$D$376:$D$750,0))</f>
        <v>15000000</v>
      </c>
      <c r="K65" s="513">
        <f>SUMIFS('OverNight €'!$AD$373:$AD$750,'OverNight €'!$B$373:$B$750,$A65)</f>
        <v>32237.499999999985</v>
      </c>
      <c r="L65" s="576"/>
      <c r="M65" s="513">
        <f>SUMIFS('OverNight €'!$AF$373:$AF$750,'OverNight €'!$B$373:$B$750,$A65)</f>
        <v>10362.499999999998</v>
      </c>
      <c r="N65" s="16"/>
      <c r="O65" s="336"/>
      <c r="P65" s="8"/>
    </row>
    <row r="66" spans="1:16" s="9" customFormat="1" ht="16.5" x14ac:dyDescent="0.3">
      <c r="A66" s="5" t="str">
        <f t="shared" si="19"/>
        <v>10 2026</v>
      </c>
      <c r="B66" s="180">
        <f t="shared" si="20"/>
        <v>46326</v>
      </c>
      <c r="C66" s="5"/>
      <c r="D66" s="557">
        <f t="shared" si="21"/>
        <v>46326</v>
      </c>
      <c r="E66" s="512" t="s">
        <v>7</v>
      </c>
      <c r="F66" s="513" t="s">
        <v>187</v>
      </c>
      <c r="G66" s="575"/>
      <c r="H66" s="574"/>
      <c r="I66" s="516">
        <f>INDEX('OverNight €'!$AC$376:$AC$750,MATCH($B66,'OverNight €'!$D$376:$D$750,0))</f>
        <v>2.579E-2</v>
      </c>
      <c r="J66" s="513">
        <f>INDEX('OverNight €'!$AB$376:$AB$750,MATCH($B66,'OverNight €'!$D$376:$D$750,0))</f>
        <v>15000000</v>
      </c>
      <c r="K66" s="513">
        <f>SUMIFS('OverNight €'!$AD$373:$AD$750,'OverNight €'!$B$373:$B$750,$A66)</f>
        <v>33312.083333333321</v>
      </c>
      <c r="L66" s="576"/>
      <c r="M66" s="513">
        <f>SUMIFS('OverNight €'!$AF$373:$AF$750,'OverNight €'!$B$373:$B$750,$A66)</f>
        <v>10707.916666666664</v>
      </c>
      <c r="N66" s="16"/>
      <c r="O66" s="336"/>
      <c r="P66" s="8"/>
    </row>
    <row r="67" spans="1:16" s="9" customFormat="1" ht="16.5" x14ac:dyDescent="0.3">
      <c r="A67" s="5" t="str">
        <f t="shared" si="19"/>
        <v>11 2026</v>
      </c>
      <c r="B67" s="180">
        <f t="shared" si="20"/>
        <v>46356</v>
      </c>
      <c r="C67" s="5"/>
      <c r="D67" s="557">
        <f t="shared" si="21"/>
        <v>46356</v>
      </c>
      <c r="E67" s="512" t="s">
        <v>7</v>
      </c>
      <c r="F67" s="513" t="s">
        <v>187</v>
      </c>
      <c r="G67" s="575"/>
      <c r="H67" s="514">
        <v>46331</v>
      </c>
      <c r="I67" s="516">
        <f>INDEX('OverNight €'!$AC$376:$AC$750,MATCH($B67,'OverNight €'!$D$376:$D$750,0))</f>
        <v>0</v>
      </c>
      <c r="J67" s="513">
        <f>INDEX('OverNight €'!$AB$376:$AB$750,MATCH($B67,'OverNight €'!$D$376:$D$750,0))</f>
        <v>0</v>
      </c>
      <c r="K67" s="513">
        <f>SUMIFS('OverNight €'!$AD$373:$AD$750,'OverNight €'!$B$373:$B$750,$A67)</f>
        <v>6447.4999999999991</v>
      </c>
      <c r="L67" s="576"/>
      <c r="M67" s="513">
        <f>SUMIFS('OverNight €'!$AF$373:$AF$750,'OverNight €'!$B$373:$B$750,$A67)</f>
        <v>2072.4999999999995</v>
      </c>
      <c r="N67" s="16"/>
      <c r="O67" s="336"/>
      <c r="P67" s="8"/>
    </row>
    <row r="68" spans="1:16" s="9" customFormat="1" ht="16.5" x14ac:dyDescent="0.3">
      <c r="A68" s="5" t="str">
        <f t="shared" si="19"/>
        <v>12 2026</v>
      </c>
      <c r="B68" s="180">
        <f t="shared" si="20"/>
        <v>46387</v>
      </c>
      <c r="C68" s="5"/>
      <c r="D68" s="557">
        <f t="shared" si="21"/>
        <v>46387</v>
      </c>
      <c r="E68" s="512" t="s">
        <v>7</v>
      </c>
      <c r="F68" s="513" t="s">
        <v>187</v>
      </c>
      <c r="G68" s="575"/>
      <c r="H68" s="574"/>
      <c r="I68" s="516">
        <f>INDEX('OverNight €'!$AC$376:$AC$750,MATCH($B68,'OverNight €'!$D$376:$D$750,0))</f>
        <v>0</v>
      </c>
      <c r="J68" s="513">
        <f>INDEX('OverNight €'!$AB$376:$AB$750,MATCH($B68,'OverNight €'!$D$376:$D$750,0))</f>
        <v>0</v>
      </c>
      <c r="K68" s="513">
        <f>SUMIFS('OverNight €'!$AD$373:$AD$750,'OverNight €'!$B$373:$B$750,$A68)</f>
        <v>0</v>
      </c>
      <c r="L68" s="576"/>
      <c r="M68" s="513">
        <f>SUMIFS('OverNight €'!$AF$373:$AF$750,'OverNight €'!$B$373:$B$750,$A68)</f>
        <v>0</v>
      </c>
      <c r="N68" s="16"/>
      <c r="O68" s="336"/>
      <c r="P68" s="8"/>
    </row>
    <row r="69" spans="1:16" s="9" customFormat="1" ht="15" x14ac:dyDescent="0.2">
      <c r="A69" s="4"/>
      <c r="B69" s="180"/>
      <c r="C69" s="5"/>
      <c r="D69" s="521" t="s">
        <v>283</v>
      </c>
      <c r="E69" s="522"/>
      <c r="F69" s="523"/>
      <c r="G69" s="509"/>
      <c r="H69" s="510"/>
      <c r="I69" s="511">
        <f>AVERAGE(I57)</f>
        <v>2.579E-2</v>
      </c>
      <c r="J69" s="509"/>
      <c r="K69" s="509">
        <f>SUM(K57:K57)</f>
        <v>33312.083333333321</v>
      </c>
      <c r="L69" s="509">
        <f t="shared" ref="L69:M69" si="22">SUM(L57:L57)</f>
        <v>0</v>
      </c>
      <c r="M69" s="509">
        <f t="shared" si="22"/>
        <v>10707.916666666664</v>
      </c>
      <c r="N69" s="16"/>
      <c r="O69" s="8"/>
      <c r="P69" s="4"/>
    </row>
    <row r="70" spans="1:16" s="9" customFormat="1" ht="8.25" customHeight="1" x14ac:dyDescent="0.3">
      <c r="A70" s="5"/>
      <c r="B70" s="18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336"/>
      <c r="P70" s="8"/>
    </row>
    <row r="71" spans="1:16" s="9" customFormat="1" ht="15" x14ac:dyDescent="0.2">
      <c r="A71" s="4"/>
      <c r="B71" s="180"/>
      <c r="C71" s="5"/>
      <c r="D71" s="564" t="s">
        <v>253</v>
      </c>
      <c r="E71" s="571"/>
      <c r="F71" s="570"/>
      <c r="G71" s="570"/>
      <c r="H71" s="568"/>
      <c r="I71" s="566"/>
      <c r="J71" s="569">
        <f>J11+J25+J39+J57</f>
        <v>40140956.159999996</v>
      </c>
      <c r="K71" s="569">
        <f>K69+K51+K37+K23</f>
        <v>71989.045004322659</v>
      </c>
      <c r="L71" s="569">
        <f t="shared" ref="L71:M71" si="23">L69+L51+L37+L23</f>
        <v>38317.47</v>
      </c>
      <c r="M71" s="569">
        <f t="shared" si="23"/>
        <v>16963.254293211568</v>
      </c>
      <c r="N71" s="16"/>
      <c r="O71" s="636" t="s">
        <v>291</v>
      </c>
      <c r="P71" s="4"/>
    </row>
    <row r="72" spans="1:16" s="9" customFormat="1" x14ac:dyDescent="0.2">
      <c r="A72" s="4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8"/>
      <c r="P72" s="4"/>
    </row>
    <row r="73" spans="1:16" s="9" customFormat="1" ht="15" x14ac:dyDescent="0.2">
      <c r="A73" s="4"/>
      <c r="B73" s="180"/>
      <c r="C73" s="5"/>
      <c r="D73" s="524" t="s">
        <v>234</v>
      </c>
      <c r="E73" s="525"/>
      <c r="F73" s="526"/>
      <c r="G73" s="526"/>
      <c r="H73" s="527"/>
      <c r="I73" s="528"/>
      <c r="J73" s="526"/>
      <c r="K73" s="526"/>
      <c r="L73" s="526"/>
      <c r="M73" s="529"/>
      <c r="N73" s="5"/>
      <c r="O73" s="5"/>
      <c r="P73" s="5"/>
    </row>
    <row r="74" spans="1:16" s="9" customFormat="1" x14ac:dyDescent="0.2">
      <c r="A74" s="4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634"/>
      <c r="P74" s="4"/>
    </row>
    <row r="75" spans="1:16" s="9" customFormat="1" x14ac:dyDescent="0.2">
      <c r="A75" s="5" t="str">
        <f t="shared" ref="A75:A77" si="24">CONCATENATE(MONTH(D75)," ",YEAR(D75))</f>
        <v>1 2026</v>
      </c>
      <c r="B75" s="180">
        <f>D75</f>
        <v>46053</v>
      </c>
      <c r="C75" s="5"/>
      <c r="D75" s="557">
        <v>46053</v>
      </c>
      <c r="E75" s="512" t="s">
        <v>7</v>
      </c>
      <c r="F75" s="513" t="s">
        <v>156</v>
      </c>
      <c r="G75" s="514">
        <v>45940</v>
      </c>
      <c r="H75" s="515"/>
      <c r="I75" s="516">
        <f>'codeis €'!AF403</f>
        <v>2.0819937670163213E-2</v>
      </c>
      <c r="J75" s="513">
        <f>'codeis €'!Z403</f>
        <v>47203972.799999997</v>
      </c>
      <c r="K75" s="513">
        <f>'codeis €'!AD403</f>
        <v>111686</v>
      </c>
      <c r="L75" s="513">
        <f>K75</f>
        <v>111686</v>
      </c>
      <c r="M75" s="513">
        <f>SUMIFS('codeis €'!$AI$373:$AI$750,'codeis €'!$B$373:$B$750,A75)</f>
        <v>21969.047988888906</v>
      </c>
      <c r="N75" s="180"/>
      <c r="O75" s="408" t="s">
        <v>181</v>
      </c>
      <c r="P75" s="4"/>
    </row>
    <row r="76" spans="1:16" s="9" customFormat="1" x14ac:dyDescent="0.2">
      <c r="A76" s="5" t="str">
        <f t="shared" si="24"/>
        <v>2 2026</v>
      </c>
      <c r="B76" s="180">
        <f>D76</f>
        <v>46081</v>
      </c>
      <c r="C76" s="5"/>
      <c r="D76" s="557">
        <f>EOMONTH(D75,1)</f>
        <v>46081</v>
      </c>
      <c r="E76" s="512" t="s">
        <v>7</v>
      </c>
      <c r="F76" s="513" t="s">
        <v>156</v>
      </c>
      <c r="G76" s="514"/>
      <c r="H76" s="515"/>
      <c r="I76" s="516"/>
      <c r="J76" s="513"/>
      <c r="K76" s="513"/>
      <c r="L76" s="513"/>
      <c r="M76" s="513"/>
      <c r="N76" s="180"/>
      <c r="O76" s="5"/>
      <c r="P76" s="4"/>
    </row>
    <row r="77" spans="1:16" s="9" customFormat="1" x14ac:dyDescent="0.2">
      <c r="A77" s="5" t="str">
        <f t="shared" si="24"/>
        <v>3 2026</v>
      </c>
      <c r="B77" s="180">
        <f t="shared" ref="B77:B86" si="25">EOMONTH(B76,1)</f>
        <v>46112</v>
      </c>
      <c r="C77" s="5"/>
      <c r="D77" s="557">
        <f t="shared" ref="D77:D86" si="26">EOMONTH(D76,1)</f>
        <v>46112</v>
      </c>
      <c r="E77" s="512" t="s">
        <v>7</v>
      </c>
      <c r="F77" s="513" t="s">
        <v>156</v>
      </c>
      <c r="G77" s="514"/>
      <c r="H77" s="515"/>
      <c r="I77" s="516"/>
      <c r="J77" s="513"/>
      <c r="K77" s="513"/>
      <c r="L77" s="513"/>
      <c r="M77" s="513"/>
      <c r="N77" s="5"/>
      <c r="O77" s="5"/>
      <c r="P77" s="5"/>
    </row>
    <row r="78" spans="1:16" s="9" customFormat="1" x14ac:dyDescent="0.2">
      <c r="A78" s="5" t="str">
        <f t="shared" ref="A78:A86" si="27">CONCATENATE(MONTH(D78)," ",YEAR(D78))</f>
        <v>4 2026</v>
      </c>
      <c r="B78" s="180">
        <f t="shared" si="25"/>
        <v>46142</v>
      </c>
      <c r="C78" s="5"/>
      <c r="D78" s="557">
        <f t="shared" si="26"/>
        <v>46142</v>
      </c>
      <c r="E78" s="512" t="s">
        <v>7</v>
      </c>
      <c r="F78" s="513" t="s">
        <v>156</v>
      </c>
      <c r="G78" s="575"/>
      <c r="H78" s="574"/>
      <c r="I78" s="572"/>
      <c r="J78" s="576"/>
      <c r="K78" s="576"/>
      <c r="L78" s="576"/>
      <c r="M78" s="576"/>
      <c r="N78" s="5"/>
      <c r="O78" s="5"/>
      <c r="P78" s="5"/>
    </row>
    <row r="79" spans="1:16" s="9" customFormat="1" x14ac:dyDescent="0.2">
      <c r="A79" s="5" t="str">
        <f t="shared" si="27"/>
        <v>5 2026</v>
      </c>
      <c r="B79" s="180">
        <f t="shared" si="25"/>
        <v>46173</v>
      </c>
      <c r="C79" s="5"/>
      <c r="D79" s="557">
        <f t="shared" si="26"/>
        <v>46173</v>
      </c>
      <c r="E79" s="512" t="s">
        <v>7</v>
      </c>
      <c r="F79" s="513" t="s">
        <v>156</v>
      </c>
      <c r="G79" s="575"/>
      <c r="H79" s="574"/>
      <c r="I79" s="572"/>
      <c r="J79" s="576"/>
      <c r="K79" s="576"/>
      <c r="L79" s="576"/>
      <c r="M79" s="576"/>
      <c r="N79" s="5"/>
      <c r="O79" s="5"/>
      <c r="P79" s="5"/>
    </row>
    <row r="80" spans="1:16" s="9" customFormat="1" x14ac:dyDescent="0.2">
      <c r="A80" s="5" t="str">
        <f t="shared" si="27"/>
        <v>6 2026</v>
      </c>
      <c r="B80" s="180">
        <f t="shared" si="25"/>
        <v>46203</v>
      </c>
      <c r="C80" s="5"/>
      <c r="D80" s="557">
        <f t="shared" si="26"/>
        <v>46203</v>
      </c>
      <c r="E80" s="512" t="s">
        <v>7</v>
      </c>
      <c r="F80" s="513" t="s">
        <v>156</v>
      </c>
      <c r="G80" s="575"/>
      <c r="H80" s="574"/>
      <c r="I80" s="572"/>
      <c r="J80" s="576"/>
      <c r="K80" s="576"/>
      <c r="L80" s="576"/>
      <c r="M80" s="576"/>
      <c r="N80" s="5"/>
      <c r="O80" s="5"/>
      <c r="P80" s="5"/>
    </row>
    <row r="81" spans="1:16" s="9" customFormat="1" x14ac:dyDescent="0.2">
      <c r="A81" s="5" t="str">
        <f t="shared" si="27"/>
        <v>7 2026</v>
      </c>
      <c r="B81" s="180">
        <f t="shared" si="25"/>
        <v>46234</v>
      </c>
      <c r="C81" s="5"/>
      <c r="D81" s="557">
        <f t="shared" si="26"/>
        <v>46234</v>
      </c>
      <c r="E81" s="512" t="s">
        <v>7</v>
      </c>
      <c r="F81" s="513" t="s">
        <v>156</v>
      </c>
      <c r="G81" s="575"/>
      <c r="H81" s="574"/>
      <c r="I81" s="572"/>
      <c r="J81" s="576"/>
      <c r="K81" s="576"/>
      <c r="L81" s="576"/>
      <c r="M81" s="576"/>
      <c r="N81" s="5"/>
      <c r="O81" s="5"/>
      <c r="P81" s="5"/>
    </row>
    <row r="82" spans="1:16" s="9" customFormat="1" x14ac:dyDescent="0.2">
      <c r="A82" s="5" t="str">
        <f t="shared" si="27"/>
        <v>8 2026</v>
      </c>
      <c r="B82" s="180">
        <f t="shared" si="25"/>
        <v>46265</v>
      </c>
      <c r="C82" s="5"/>
      <c r="D82" s="557">
        <f t="shared" si="26"/>
        <v>46265</v>
      </c>
      <c r="E82" s="512" t="s">
        <v>7</v>
      </c>
      <c r="F82" s="513" t="s">
        <v>156</v>
      </c>
      <c r="G82" s="575"/>
      <c r="H82" s="574"/>
      <c r="I82" s="572"/>
      <c r="J82" s="576"/>
      <c r="K82" s="576"/>
      <c r="L82" s="576"/>
      <c r="M82" s="576"/>
      <c r="N82" s="5"/>
      <c r="O82" s="5"/>
      <c r="P82" s="5"/>
    </row>
    <row r="83" spans="1:16" s="9" customFormat="1" x14ac:dyDescent="0.2">
      <c r="A83" s="5" t="str">
        <f t="shared" si="27"/>
        <v>9 2026</v>
      </c>
      <c r="B83" s="180">
        <f t="shared" si="25"/>
        <v>46295</v>
      </c>
      <c r="C83" s="5"/>
      <c r="D83" s="557">
        <f t="shared" si="26"/>
        <v>46295</v>
      </c>
      <c r="E83" s="512" t="s">
        <v>7</v>
      </c>
      <c r="F83" s="513" t="s">
        <v>156</v>
      </c>
      <c r="G83" s="575"/>
      <c r="H83" s="574"/>
      <c r="I83" s="572"/>
      <c r="J83" s="576"/>
      <c r="K83" s="576"/>
      <c r="L83" s="576"/>
      <c r="M83" s="576"/>
      <c r="N83" s="5"/>
      <c r="O83" s="5"/>
      <c r="P83" s="5"/>
    </row>
    <row r="84" spans="1:16" s="9" customFormat="1" x14ac:dyDescent="0.2">
      <c r="A84" s="5" t="str">
        <f t="shared" si="27"/>
        <v>10 2026</v>
      </c>
      <c r="B84" s="180">
        <f t="shared" si="25"/>
        <v>46326</v>
      </c>
      <c r="C84" s="5"/>
      <c r="D84" s="557">
        <f t="shared" si="26"/>
        <v>46326</v>
      </c>
      <c r="E84" s="512" t="s">
        <v>7</v>
      </c>
      <c r="F84" s="513" t="s">
        <v>156</v>
      </c>
      <c r="G84" s="575"/>
      <c r="H84" s="574"/>
      <c r="I84" s="572"/>
      <c r="J84" s="576"/>
      <c r="K84" s="576"/>
      <c r="L84" s="576"/>
      <c r="M84" s="576"/>
      <c r="N84" s="5"/>
      <c r="O84" s="5"/>
      <c r="P84" s="5"/>
    </row>
    <row r="85" spans="1:16" s="9" customFormat="1" x14ac:dyDescent="0.2">
      <c r="A85" s="5" t="str">
        <f t="shared" si="27"/>
        <v>11 2026</v>
      </c>
      <c r="B85" s="180">
        <f t="shared" si="25"/>
        <v>46356</v>
      </c>
      <c r="C85" s="5"/>
      <c r="D85" s="557">
        <f t="shared" si="26"/>
        <v>46356</v>
      </c>
      <c r="E85" s="512" t="s">
        <v>7</v>
      </c>
      <c r="F85" s="513" t="s">
        <v>156</v>
      </c>
      <c r="G85" s="575"/>
      <c r="H85" s="574"/>
      <c r="I85" s="572"/>
      <c r="J85" s="576"/>
      <c r="K85" s="576"/>
      <c r="L85" s="576"/>
      <c r="M85" s="576"/>
      <c r="N85" s="5"/>
      <c r="O85" s="5"/>
      <c r="P85" s="5"/>
    </row>
    <row r="86" spans="1:16" s="9" customFormat="1" x14ac:dyDescent="0.2">
      <c r="A86" s="5" t="str">
        <f t="shared" si="27"/>
        <v>12 2026</v>
      </c>
      <c r="B86" s="180">
        <f t="shared" si="25"/>
        <v>46387</v>
      </c>
      <c r="C86" s="5"/>
      <c r="D86" s="557">
        <f t="shared" si="26"/>
        <v>46387</v>
      </c>
      <c r="E86" s="512" t="s">
        <v>7</v>
      </c>
      <c r="F86" s="513" t="s">
        <v>156</v>
      </c>
      <c r="G86" s="575"/>
      <c r="H86" s="574"/>
      <c r="I86" s="572"/>
      <c r="J86" s="576"/>
      <c r="K86" s="576"/>
      <c r="L86" s="576"/>
      <c r="M86" s="576"/>
      <c r="N86" s="5"/>
      <c r="O86" s="5"/>
      <c r="P86" s="5"/>
    </row>
    <row r="87" spans="1:16" s="9" customFormat="1" ht="15" x14ac:dyDescent="0.2">
      <c r="A87" s="4"/>
      <c r="B87" s="180"/>
      <c r="C87" s="5"/>
      <c r="D87" s="521" t="s">
        <v>284</v>
      </c>
      <c r="E87" s="522"/>
      <c r="F87" s="523"/>
      <c r="G87" s="509"/>
      <c r="H87" s="510"/>
      <c r="I87" s="511"/>
      <c r="J87" s="509"/>
      <c r="K87" s="509">
        <f>SUM(K75:K75)</f>
        <v>111686</v>
      </c>
      <c r="L87" s="509">
        <f t="shared" ref="L87:M87" si="28">SUM(L75:L75)</f>
        <v>111686</v>
      </c>
      <c r="M87" s="509">
        <f t="shared" si="28"/>
        <v>21969.047988888906</v>
      </c>
      <c r="N87" s="5"/>
      <c r="O87" s="5"/>
      <c r="P87" s="5"/>
    </row>
    <row r="88" spans="1:16" s="9" customForma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01"/>
      <c r="P88" s="4"/>
    </row>
    <row r="89" spans="1:16" s="9" customFormat="1" x14ac:dyDescent="0.2">
      <c r="A89" s="5" t="str">
        <f t="shared" ref="A89" si="29">CONCATENATE(MONTH(D89)," ",YEAR(D89))</f>
        <v>1 2026</v>
      </c>
      <c r="B89" s="180">
        <f>D89</f>
        <v>46053</v>
      </c>
      <c r="C89" s="5"/>
      <c r="D89" s="557">
        <v>46053</v>
      </c>
      <c r="E89" s="512" t="s">
        <v>162</v>
      </c>
      <c r="F89" s="513" t="s">
        <v>163</v>
      </c>
      <c r="G89" s="514">
        <v>45959</v>
      </c>
      <c r="H89" s="515"/>
      <c r="I89" s="516">
        <f>'CT- € Ellipsis BNP'!AA407</f>
        <v>2.2439478578633043E-2</v>
      </c>
      <c r="J89" s="513">
        <f>'CT- € Ellipsis BNP'!X407</f>
        <v>100593093.05431117</v>
      </c>
      <c r="K89" s="513">
        <f>SUM('CT- € Ellipsis BNP'!W376:W407)</f>
        <v>200245.61329783499</v>
      </c>
      <c r="L89" s="513"/>
      <c r="M89" s="513">
        <f>SUMIFS('CT- € Ellipsis BNP'!$AC$373:$AC$750,'CT- € Ellipsis BNP'!$B$373:$B$750,A89)</f>
        <v>54313.73585552974</v>
      </c>
      <c r="N89" s="16"/>
      <c r="O89" s="101"/>
    </row>
    <row r="90" spans="1:16" s="9" customFormat="1" x14ac:dyDescent="0.2">
      <c r="A90" s="5" t="str">
        <f t="shared" ref="A90:A91" si="30">CONCATENATE(MONTH(D90)," ",YEAR(D90))</f>
        <v>2 2026</v>
      </c>
      <c r="B90" s="180">
        <f t="shared" ref="B90:B100" si="31">EOMONTH(B89,1)</f>
        <v>46081</v>
      </c>
      <c r="C90" s="5"/>
      <c r="D90" s="557">
        <f>EOMONTH(D89,1)</f>
        <v>46081</v>
      </c>
      <c r="E90" s="512" t="str">
        <f>E89</f>
        <v>BNP/SG</v>
      </c>
      <c r="F90" s="513" t="str">
        <f>F89</f>
        <v>Ellipsis** (Ester +0,32%)</v>
      </c>
      <c r="G90" s="514"/>
      <c r="H90" s="515"/>
      <c r="I90" s="516"/>
      <c r="J90" s="513"/>
      <c r="K90" s="513"/>
      <c r="L90" s="513"/>
      <c r="M90" s="513"/>
      <c r="N90" s="16"/>
      <c r="O90" s="101"/>
    </row>
    <row r="91" spans="1:16" s="9" customFormat="1" x14ac:dyDescent="0.2">
      <c r="A91" s="5" t="str">
        <f t="shared" si="30"/>
        <v>3 2026</v>
      </c>
      <c r="B91" s="180">
        <f t="shared" si="31"/>
        <v>46112</v>
      </c>
      <c r="C91" s="5"/>
      <c r="D91" s="557">
        <f>EOMONTH(D90,1)</f>
        <v>46112</v>
      </c>
      <c r="E91" s="512" t="str">
        <f>E90</f>
        <v>BNP/SG</v>
      </c>
      <c r="F91" s="513" t="str">
        <f>F90</f>
        <v>Ellipsis** (Ester +0,32%)</v>
      </c>
      <c r="G91" s="514"/>
      <c r="H91" s="515"/>
      <c r="I91" s="516"/>
      <c r="J91" s="513"/>
      <c r="K91" s="513"/>
      <c r="L91" s="513"/>
      <c r="M91" s="513"/>
      <c r="N91" s="16"/>
      <c r="O91" s="101"/>
    </row>
    <row r="92" spans="1:16" s="9" customFormat="1" x14ac:dyDescent="0.2">
      <c r="A92" s="5" t="str">
        <f t="shared" ref="A92:A100" si="32">CONCATENATE(MONTH(D92)," ",YEAR(D92))</f>
        <v>4 2026</v>
      </c>
      <c r="B92" s="180">
        <f t="shared" si="31"/>
        <v>46142</v>
      </c>
      <c r="C92" s="5"/>
      <c r="D92" s="557">
        <f t="shared" ref="D92:D97" si="33">EOMONTH(D91,1)</f>
        <v>46142</v>
      </c>
      <c r="E92" s="512" t="str">
        <f t="shared" ref="E92:E97" si="34">E91</f>
        <v>BNP/SG</v>
      </c>
      <c r="F92" s="513" t="str">
        <f t="shared" ref="F92:F97" si="35">F91</f>
        <v>Ellipsis** (Ester +0,32%)</v>
      </c>
      <c r="G92" s="575"/>
      <c r="H92" s="574"/>
      <c r="I92" s="572"/>
      <c r="J92" s="576"/>
      <c r="K92" s="576"/>
      <c r="L92" s="576"/>
      <c r="M92" s="576"/>
      <c r="N92" s="16"/>
      <c r="O92" s="101"/>
    </row>
    <row r="93" spans="1:16" s="9" customFormat="1" x14ac:dyDescent="0.2">
      <c r="A93" s="5" t="str">
        <f t="shared" si="32"/>
        <v>5 2026</v>
      </c>
      <c r="B93" s="180">
        <f t="shared" si="31"/>
        <v>46173</v>
      </c>
      <c r="C93" s="5"/>
      <c r="D93" s="557">
        <f t="shared" si="33"/>
        <v>46173</v>
      </c>
      <c r="E93" s="512" t="str">
        <f t="shared" si="34"/>
        <v>BNP/SG</v>
      </c>
      <c r="F93" s="513" t="str">
        <f t="shared" si="35"/>
        <v>Ellipsis** (Ester +0,32%)</v>
      </c>
      <c r="G93" s="575"/>
      <c r="H93" s="574"/>
      <c r="I93" s="572"/>
      <c r="J93" s="576"/>
      <c r="K93" s="576"/>
      <c r="L93" s="576"/>
      <c r="M93" s="576"/>
      <c r="N93" s="16"/>
      <c r="O93" s="101"/>
    </row>
    <row r="94" spans="1:16" s="9" customFormat="1" x14ac:dyDescent="0.2">
      <c r="A94" s="5" t="str">
        <f t="shared" si="32"/>
        <v>6 2026</v>
      </c>
      <c r="B94" s="180">
        <f t="shared" si="31"/>
        <v>46203</v>
      </c>
      <c r="C94" s="5"/>
      <c r="D94" s="557">
        <f t="shared" si="33"/>
        <v>46203</v>
      </c>
      <c r="E94" s="512" t="str">
        <f t="shared" si="34"/>
        <v>BNP/SG</v>
      </c>
      <c r="F94" s="513" t="str">
        <f t="shared" si="35"/>
        <v>Ellipsis** (Ester +0,32%)</v>
      </c>
      <c r="G94" s="575"/>
      <c r="H94" s="574"/>
      <c r="I94" s="572"/>
      <c r="J94" s="576"/>
      <c r="K94" s="576"/>
      <c r="L94" s="576"/>
      <c r="M94" s="576"/>
      <c r="N94" s="16"/>
      <c r="O94" s="101"/>
    </row>
    <row r="95" spans="1:16" s="9" customFormat="1" x14ac:dyDescent="0.2">
      <c r="A95" s="5" t="str">
        <f t="shared" si="32"/>
        <v>7 2026</v>
      </c>
      <c r="B95" s="180">
        <f t="shared" si="31"/>
        <v>46234</v>
      </c>
      <c r="C95" s="5"/>
      <c r="D95" s="557">
        <f t="shared" si="33"/>
        <v>46234</v>
      </c>
      <c r="E95" s="512" t="str">
        <f t="shared" si="34"/>
        <v>BNP/SG</v>
      </c>
      <c r="F95" s="513" t="str">
        <f t="shared" si="35"/>
        <v>Ellipsis** (Ester +0,32%)</v>
      </c>
      <c r="G95" s="575"/>
      <c r="H95" s="574"/>
      <c r="I95" s="572"/>
      <c r="J95" s="576"/>
      <c r="K95" s="576"/>
      <c r="L95" s="576"/>
      <c r="M95" s="576"/>
      <c r="N95" s="16"/>
      <c r="O95" s="101"/>
    </row>
    <row r="96" spans="1:16" s="9" customFormat="1" x14ac:dyDescent="0.2">
      <c r="A96" s="5" t="str">
        <f t="shared" si="32"/>
        <v>8 2026</v>
      </c>
      <c r="B96" s="180">
        <f t="shared" si="31"/>
        <v>46265</v>
      </c>
      <c r="C96" s="5"/>
      <c r="D96" s="557">
        <f t="shared" si="33"/>
        <v>46265</v>
      </c>
      <c r="E96" s="512" t="str">
        <f t="shared" si="34"/>
        <v>BNP/SG</v>
      </c>
      <c r="F96" s="513" t="str">
        <f t="shared" si="35"/>
        <v>Ellipsis** (Ester +0,32%)</v>
      </c>
      <c r="G96" s="575"/>
      <c r="H96" s="574"/>
      <c r="I96" s="572"/>
      <c r="J96" s="576"/>
      <c r="K96" s="576"/>
      <c r="L96" s="576"/>
      <c r="M96" s="576"/>
      <c r="N96" s="16"/>
      <c r="O96" s="101"/>
    </row>
    <row r="97" spans="1:19" s="9" customFormat="1" x14ac:dyDescent="0.2">
      <c r="A97" s="5" t="str">
        <f t="shared" si="32"/>
        <v>9 2026</v>
      </c>
      <c r="B97" s="180">
        <f t="shared" si="31"/>
        <v>46295</v>
      </c>
      <c r="C97" s="5"/>
      <c r="D97" s="557">
        <f t="shared" si="33"/>
        <v>46295</v>
      </c>
      <c r="E97" s="512" t="str">
        <f t="shared" si="34"/>
        <v>BNP/SG</v>
      </c>
      <c r="F97" s="513" t="str">
        <f t="shared" si="35"/>
        <v>Ellipsis** (Ester +0,32%)</v>
      </c>
      <c r="G97" s="575"/>
      <c r="H97" s="574" t="s">
        <v>286</v>
      </c>
      <c r="I97" s="572"/>
      <c r="J97" s="576"/>
      <c r="K97" s="576"/>
      <c r="L97" s="576"/>
      <c r="M97" s="576"/>
      <c r="N97" s="16"/>
      <c r="O97" s="101"/>
    </row>
    <row r="98" spans="1:19" s="9" customFormat="1" x14ac:dyDescent="0.2">
      <c r="A98" s="5" t="str">
        <f t="shared" si="32"/>
        <v>1 1900</v>
      </c>
      <c r="B98" s="180">
        <f t="shared" si="31"/>
        <v>46326</v>
      </c>
      <c r="C98" s="5"/>
      <c r="D98" s="557"/>
      <c r="E98" s="512"/>
      <c r="F98" s="513"/>
      <c r="G98" s="575"/>
      <c r="H98" s="574"/>
      <c r="I98" s="572"/>
      <c r="J98" s="576"/>
      <c r="K98" s="576"/>
      <c r="L98" s="576"/>
      <c r="M98" s="576"/>
      <c r="N98" s="16"/>
      <c r="O98" s="101"/>
    </row>
    <row r="99" spans="1:19" s="9" customFormat="1" x14ac:dyDescent="0.2">
      <c r="A99" s="5" t="str">
        <f t="shared" si="32"/>
        <v>1 1900</v>
      </c>
      <c r="B99" s="180">
        <f t="shared" si="31"/>
        <v>46356</v>
      </c>
      <c r="C99" s="5"/>
      <c r="D99" s="557"/>
      <c r="E99" s="512"/>
      <c r="F99" s="513"/>
      <c r="G99" s="575"/>
      <c r="H99" s="574"/>
      <c r="I99" s="572"/>
      <c r="J99" s="576"/>
      <c r="K99" s="576"/>
      <c r="L99" s="576"/>
      <c r="M99" s="576"/>
      <c r="N99" s="16"/>
      <c r="O99" s="101"/>
    </row>
    <row r="100" spans="1:19" s="9" customFormat="1" x14ac:dyDescent="0.2">
      <c r="A100" s="5" t="str">
        <f t="shared" si="32"/>
        <v>1 1900</v>
      </c>
      <c r="B100" s="180">
        <f t="shared" si="31"/>
        <v>46387</v>
      </c>
      <c r="C100" s="5"/>
      <c r="D100" s="557"/>
      <c r="E100" s="512"/>
      <c r="F100" s="513"/>
      <c r="G100" s="575"/>
      <c r="H100" s="574"/>
      <c r="I100" s="572"/>
      <c r="J100" s="576"/>
      <c r="K100" s="576"/>
      <c r="L100" s="576"/>
      <c r="M100" s="576"/>
      <c r="N100" s="16"/>
      <c r="O100" s="101"/>
    </row>
    <row r="101" spans="1:19" s="9" customFormat="1" ht="15" x14ac:dyDescent="0.2">
      <c r="A101" s="5"/>
      <c r="B101" s="180"/>
      <c r="C101" s="5"/>
      <c r="D101" s="521" t="s">
        <v>285</v>
      </c>
      <c r="E101" s="522"/>
      <c r="F101" s="523"/>
      <c r="G101" s="509"/>
      <c r="H101" s="510"/>
      <c r="I101" s="511">
        <f>AVERAGE(I89)</f>
        <v>2.2439478578633043E-2</v>
      </c>
      <c r="J101" s="509"/>
      <c r="K101" s="509">
        <f>SUM(K89:K89)</f>
        <v>200245.61329783499</v>
      </c>
      <c r="L101" s="509">
        <f t="shared" ref="L101:M101" si="36">SUM(L89:L89)</f>
        <v>0</v>
      </c>
      <c r="M101" s="509">
        <f t="shared" si="36"/>
        <v>54313.73585552974</v>
      </c>
      <c r="N101" s="16"/>
      <c r="O101" s="101" t="s">
        <v>182</v>
      </c>
    </row>
    <row r="102" spans="1:19" s="9" customForma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9" s="9" customFormat="1" ht="15" x14ac:dyDescent="0.2">
      <c r="A103" s="4"/>
      <c r="B103" s="180"/>
      <c r="C103" s="4"/>
      <c r="D103" s="637" t="s">
        <v>292</v>
      </c>
      <c r="E103" s="638"/>
      <c r="F103" s="639"/>
      <c r="G103" s="570"/>
      <c r="H103" s="568"/>
      <c r="I103" s="566"/>
      <c r="J103" s="569">
        <f>J89+J75</f>
        <v>147797065.85431117</v>
      </c>
      <c r="K103" s="569">
        <f>K101+K87+K68+K54</f>
        <v>345243.69663116831</v>
      </c>
      <c r="L103" s="569">
        <f t="shared" ref="L103:M103" si="37">L101+L87+L68+L54</f>
        <v>111686</v>
      </c>
      <c r="M103" s="569">
        <f t="shared" si="37"/>
        <v>86990.700511085306</v>
      </c>
      <c r="N103" s="16"/>
      <c r="O103" s="636" t="s">
        <v>291</v>
      </c>
      <c r="P103" s="4"/>
      <c r="Q103" s="4"/>
      <c r="R103" s="4"/>
      <c r="S103" s="4"/>
    </row>
    <row r="104" spans="1:19" s="9" customFormat="1" ht="15.75" x14ac:dyDescent="0.2">
      <c r="A104" s="4"/>
      <c r="B104" s="180"/>
      <c r="C104" s="4"/>
      <c r="D104" s="563"/>
      <c r="E104" s="221"/>
      <c r="F104" s="221"/>
      <c r="G104" s="221"/>
      <c r="H104" s="221"/>
      <c r="I104" s="221"/>
      <c r="J104" s="221"/>
      <c r="K104" s="221"/>
      <c r="L104" s="221"/>
      <c r="M104" s="221"/>
      <c r="N104" s="16"/>
      <c r="O104" s="101"/>
      <c r="P104" s="4"/>
      <c r="Q104" s="4"/>
      <c r="R104" s="4"/>
      <c r="S104" s="4"/>
    </row>
    <row r="105" spans="1:19" s="9" customFormat="1" ht="19.899999999999999" customHeight="1" x14ac:dyDescent="0.2">
      <c r="A105" s="4"/>
      <c r="B105" s="180"/>
      <c r="C105" s="4"/>
      <c r="D105" s="697" t="s">
        <v>13</v>
      </c>
      <c r="E105" s="698" t="s">
        <v>28</v>
      </c>
      <c r="F105" s="698" t="s">
        <v>29</v>
      </c>
      <c r="G105" s="698" t="s">
        <v>43</v>
      </c>
      <c r="H105" s="698" t="s">
        <v>44</v>
      </c>
      <c r="I105" s="698" t="s">
        <v>34</v>
      </c>
      <c r="J105" s="698" t="s">
        <v>310</v>
      </c>
      <c r="K105" s="698" t="s">
        <v>36</v>
      </c>
      <c r="L105" s="698" t="s">
        <v>35</v>
      </c>
      <c r="M105" s="699" t="s">
        <v>77</v>
      </c>
      <c r="N105" s="16"/>
      <c r="O105" s="101"/>
      <c r="P105" s="4"/>
      <c r="Q105" s="4"/>
      <c r="R105" s="4"/>
      <c r="S105" s="4"/>
    </row>
    <row r="106" spans="1:19" s="9" customFormat="1" ht="16.149999999999999" customHeight="1" x14ac:dyDescent="0.2">
      <c r="A106" s="4"/>
      <c r="B106" s="180"/>
      <c r="C106" s="4"/>
      <c r="D106" s="700"/>
      <c r="E106" s="701"/>
      <c r="F106" s="701"/>
      <c r="G106" s="701"/>
      <c r="H106" s="701"/>
      <c r="I106" s="701"/>
      <c r="J106" s="702" t="s">
        <v>307</v>
      </c>
      <c r="K106" s="702" t="s">
        <v>307</v>
      </c>
      <c r="L106" s="702" t="s">
        <v>307</v>
      </c>
      <c r="M106" s="703" t="s">
        <v>307</v>
      </c>
      <c r="N106" s="16"/>
      <c r="O106" s="101"/>
      <c r="P106" s="4"/>
      <c r="Q106" s="4"/>
      <c r="R106" s="4"/>
      <c r="S106" s="4"/>
    </row>
    <row r="107" spans="1:19" s="9" customFormat="1" ht="16.149999999999999" customHeight="1" x14ac:dyDescent="0.2">
      <c r="A107" s="5" t="str">
        <f>CONCATENATE(MONTH(D107)," ",YEAR(D107))</f>
        <v>1 2026</v>
      </c>
      <c r="B107" s="104">
        <f>EOMONTH(D107,0)</f>
        <v>46053</v>
      </c>
      <c r="C107" s="5"/>
      <c r="D107" s="693">
        <v>46053</v>
      </c>
      <c r="E107" s="694" t="s">
        <v>37</v>
      </c>
      <c r="F107" s="694"/>
      <c r="G107" s="694"/>
      <c r="H107" s="694"/>
      <c r="I107" s="695">
        <f>AVERAGEIFS('OverNight €'!$AT$373:$AT$750,'OverNight €'!$B$373:$B$750,$A107)</f>
        <v>2.2007028490396589E-2</v>
      </c>
      <c r="J107" s="696">
        <f>SUMIFS(J$11:J$100,$D$11:$D$100,$D107)</f>
        <v>187938022.01431116</v>
      </c>
      <c r="K107" s="696">
        <f>SUMIFS(K$11:K$100,$D$11:$D$100,$D107)</f>
        <v>383920.65830215765</v>
      </c>
      <c r="L107" s="696">
        <f>SUMIFS(L$11:L$100,$D$11:$D$100,$D107)</f>
        <v>150003.47</v>
      </c>
      <c r="M107" s="696">
        <f>SUMIFS(M$11:M$100,$D$11:$D$100,$D107)</f>
        <v>93246.03813763021</v>
      </c>
      <c r="N107" s="16"/>
      <c r="O107" s="706">
        <f>L107-L75</f>
        <v>38317.47</v>
      </c>
      <c r="P107" s="222"/>
      <c r="Q107" s="4"/>
    </row>
    <row r="108" spans="1:19" s="9" customFormat="1" ht="14.25" hidden="1" customHeight="1" x14ac:dyDescent="0.2">
      <c r="A108" s="5" t="str">
        <f>CONCATENATE(MONTH(D108)," ",YEAR(D108))</f>
        <v>2 2026</v>
      </c>
      <c r="B108" s="104">
        <f>EOMONTH(D108,0)</f>
        <v>46081</v>
      </c>
      <c r="C108" s="5"/>
      <c r="D108" s="559">
        <f>EOMONTH(D107,1)</f>
        <v>46081</v>
      </c>
      <c r="E108" s="531" t="s">
        <v>37</v>
      </c>
      <c r="F108" s="531"/>
      <c r="G108" s="531"/>
      <c r="H108" s="531"/>
      <c r="I108" s="497">
        <f>AVERAGEIFS('OverNight €'!$AT$373:$AT$750,'OverNight €'!$B$373:$B$750,$A108)</f>
        <v>2.2605120752304149E-2</v>
      </c>
      <c r="J108" s="663">
        <f t="shared" ref="J108:M118" si="38">SUMIFS(J$11:J$100,$D$11:$D$100,$D108)</f>
        <v>37210956.159999996</v>
      </c>
      <c r="K108" s="663">
        <f t="shared" si="38"/>
        <v>67926.154254149151</v>
      </c>
      <c r="L108" s="663">
        <f t="shared" si="38"/>
        <v>0</v>
      </c>
      <c r="M108" s="663">
        <f t="shared" si="38"/>
        <v>15322.76948081583</v>
      </c>
      <c r="N108" s="16"/>
      <c r="O108" s="4"/>
      <c r="P108" s="222"/>
      <c r="Q108" s="4"/>
    </row>
    <row r="109" spans="1:19" s="9" customFormat="1" ht="14.25" hidden="1" customHeight="1" x14ac:dyDescent="0.2">
      <c r="A109" s="5" t="str">
        <f t="shared" ref="A109:A117" si="39">CONCATENATE(MONTH(D109)," ",YEAR(D109))</f>
        <v>3 2026</v>
      </c>
      <c r="B109" s="104">
        <f t="shared" ref="B109:B117" si="40">EOMONTH(D109,0)</f>
        <v>46112</v>
      </c>
      <c r="C109" s="5"/>
      <c r="D109" s="559">
        <f t="shared" ref="D109:D118" si="41">EOMONTH(D108,1)</f>
        <v>46112</v>
      </c>
      <c r="E109" s="531" t="s">
        <v>37</v>
      </c>
      <c r="F109" s="531"/>
      <c r="G109" s="531"/>
      <c r="H109" s="531"/>
      <c r="I109" s="497">
        <f>AVERAGEIFS('OverNight €'!$AT$373:$AT$750,'OverNight €'!$B$373:$B$750,$A109)</f>
        <v>2.0734270060822135E-2</v>
      </c>
      <c r="J109" s="663">
        <f t="shared" si="38"/>
        <v>67260956.159999996</v>
      </c>
      <c r="K109" s="663">
        <f t="shared" si="38"/>
        <v>112477.53288455401</v>
      </c>
      <c r="L109" s="663">
        <f t="shared" si="38"/>
        <v>0</v>
      </c>
      <c r="M109" s="663">
        <f t="shared" si="38"/>
        <v>16964.494782331811</v>
      </c>
      <c r="N109" s="16"/>
      <c r="O109" s="4"/>
      <c r="P109" s="4"/>
      <c r="Q109" s="4"/>
    </row>
    <row r="110" spans="1:19" s="9" customFormat="1" ht="14.25" hidden="1" customHeight="1" x14ac:dyDescent="0.2">
      <c r="A110" s="5" t="str">
        <f t="shared" si="39"/>
        <v>4 2026</v>
      </c>
      <c r="B110" s="104">
        <f t="shared" si="40"/>
        <v>46142</v>
      </c>
      <c r="C110" s="5"/>
      <c r="D110" s="559">
        <f t="shared" si="41"/>
        <v>46142</v>
      </c>
      <c r="E110" s="531" t="s">
        <v>37</v>
      </c>
      <c r="F110" s="531"/>
      <c r="G110" s="531"/>
      <c r="H110" s="531"/>
      <c r="I110" s="497">
        <f>AVERAGEIFS('OverNight €'!$AT$373:$AT$750,'OverNight €'!$B$373:$B$750,$A110)</f>
        <v>2.0428995474183854E-2</v>
      </c>
      <c r="J110" s="663">
        <f t="shared" si="38"/>
        <v>67260956.159999996</v>
      </c>
      <c r="K110" s="663">
        <f t="shared" si="38"/>
        <v>114506.14741515978</v>
      </c>
      <c r="L110" s="663">
        <f t="shared" si="38"/>
        <v>0</v>
      </c>
      <c r="M110" s="663">
        <f t="shared" si="38"/>
        <v>16417.253015159818</v>
      </c>
      <c r="N110" s="16"/>
      <c r="O110" s="4"/>
      <c r="P110" s="4"/>
      <c r="Q110" s="4"/>
    </row>
    <row r="111" spans="1:19" s="9" customFormat="1" ht="14.25" hidden="1" customHeight="1" x14ac:dyDescent="0.2">
      <c r="A111" s="5" t="str">
        <f t="shared" si="39"/>
        <v>5 2026</v>
      </c>
      <c r="B111" s="104">
        <f t="shared" si="40"/>
        <v>46173</v>
      </c>
      <c r="C111" s="5"/>
      <c r="D111" s="559">
        <f t="shared" si="41"/>
        <v>46173</v>
      </c>
      <c r="E111" s="531" t="s">
        <v>37</v>
      </c>
      <c r="F111" s="531"/>
      <c r="G111" s="531"/>
      <c r="H111" s="531"/>
      <c r="I111" s="497">
        <f>AVERAGEIFS('OverNight €'!$AT$373:$AT$750,'OverNight €'!$B$373:$B$750,$A111)</f>
        <v>2.0428995474183854E-2</v>
      </c>
      <c r="J111" s="663">
        <f t="shared" si="38"/>
        <v>67260956.159999996</v>
      </c>
      <c r="K111" s="663">
        <f t="shared" si="38"/>
        <v>118323.0189956651</v>
      </c>
      <c r="L111" s="663">
        <f t="shared" si="38"/>
        <v>0</v>
      </c>
      <c r="M111" s="663">
        <f t="shared" si="38"/>
        <v>16964.494782331811</v>
      </c>
      <c r="N111" s="16"/>
      <c r="O111" s="4"/>
      <c r="P111" s="4"/>
      <c r="Q111" s="4"/>
    </row>
    <row r="112" spans="1:19" s="9" customFormat="1" ht="14.25" hidden="1" customHeight="1" x14ac:dyDescent="0.2">
      <c r="A112" s="5" t="str">
        <f t="shared" si="39"/>
        <v>6 2026</v>
      </c>
      <c r="B112" s="104">
        <f t="shared" si="40"/>
        <v>46203</v>
      </c>
      <c r="C112" s="5"/>
      <c r="D112" s="559">
        <f t="shared" si="41"/>
        <v>46203</v>
      </c>
      <c r="E112" s="531" t="s">
        <v>37</v>
      </c>
      <c r="F112" s="531"/>
      <c r="G112" s="531"/>
      <c r="H112" s="531"/>
      <c r="I112" s="497">
        <f>AVERAGEIFS('OverNight €'!$AT$373:$AT$750,'OverNight €'!$B$373:$B$750,$A112)</f>
        <v>2.0428995474183854E-2</v>
      </c>
      <c r="J112" s="663">
        <f t="shared" si="38"/>
        <v>67260956.159999996</v>
      </c>
      <c r="K112" s="663">
        <f t="shared" si="38"/>
        <v>114506.14741515978</v>
      </c>
      <c r="L112" s="663">
        <f t="shared" si="38"/>
        <v>0</v>
      </c>
      <c r="M112" s="663">
        <f t="shared" si="38"/>
        <v>16417.253015159818</v>
      </c>
      <c r="N112" s="16"/>
      <c r="O112" s="4"/>
      <c r="P112" s="4"/>
      <c r="Q112" s="4"/>
      <c r="R112" s="4"/>
    </row>
    <row r="113" spans="1:18" s="9" customFormat="1" ht="14.25" hidden="1" customHeight="1" x14ac:dyDescent="0.2">
      <c r="A113" s="5" t="str">
        <f t="shared" si="39"/>
        <v>7 2026</v>
      </c>
      <c r="B113" s="104">
        <f t="shared" si="40"/>
        <v>46234</v>
      </c>
      <c r="C113" s="5"/>
      <c r="D113" s="559">
        <f t="shared" si="41"/>
        <v>46234</v>
      </c>
      <c r="E113" s="531" t="s">
        <v>37</v>
      </c>
      <c r="F113" s="531"/>
      <c r="G113" s="531"/>
      <c r="H113" s="531"/>
      <c r="I113" s="497">
        <f>AVERAGEIFS('OverNight €'!$AT$373:$AT$750,'OverNight €'!$B$373:$B$750,$A113)</f>
        <v>2.0428995474183854E-2</v>
      </c>
      <c r="J113" s="663">
        <f t="shared" si="38"/>
        <v>67260956.159999996</v>
      </c>
      <c r="K113" s="663">
        <f t="shared" si="38"/>
        <v>118323.0189956651</v>
      </c>
      <c r="L113" s="663">
        <f t="shared" si="38"/>
        <v>0</v>
      </c>
      <c r="M113" s="663">
        <f t="shared" si="38"/>
        <v>16964.494782331811</v>
      </c>
      <c r="N113" s="16"/>
      <c r="O113" s="4"/>
      <c r="P113" s="4"/>
      <c r="Q113" s="4"/>
      <c r="R113" s="4"/>
    </row>
    <row r="114" spans="1:18" s="9" customFormat="1" ht="14.25" hidden="1" customHeight="1" x14ac:dyDescent="0.2">
      <c r="A114" s="5" t="str">
        <f t="shared" si="39"/>
        <v>8 2026</v>
      </c>
      <c r="B114" s="104">
        <f t="shared" si="40"/>
        <v>46265</v>
      </c>
      <c r="C114" s="5"/>
      <c r="D114" s="559">
        <f t="shared" si="41"/>
        <v>46265</v>
      </c>
      <c r="E114" s="531" t="s">
        <v>37</v>
      </c>
      <c r="F114" s="531"/>
      <c r="G114" s="531"/>
      <c r="H114" s="531"/>
      <c r="I114" s="497">
        <f>AVERAGEIFS('OverNight €'!$AT$373:$AT$750,'OverNight €'!$B$373:$B$750,$A114)</f>
        <v>2.0428995474183854E-2</v>
      </c>
      <c r="J114" s="663">
        <f t="shared" si="38"/>
        <v>67260956.159999996</v>
      </c>
      <c r="K114" s="663">
        <f t="shared" si="38"/>
        <v>118323.0189956651</v>
      </c>
      <c r="L114" s="663">
        <f t="shared" si="38"/>
        <v>0</v>
      </c>
      <c r="M114" s="663">
        <f t="shared" si="38"/>
        <v>16964.494782331811</v>
      </c>
      <c r="N114" s="16"/>
      <c r="O114" s="4"/>
      <c r="P114" s="4"/>
      <c r="Q114" s="4"/>
      <c r="R114" s="4"/>
    </row>
    <row r="115" spans="1:18" s="9" customFormat="1" ht="14.25" hidden="1" customHeight="1" x14ac:dyDescent="0.2">
      <c r="A115" s="5" t="str">
        <f t="shared" si="39"/>
        <v>9 2026</v>
      </c>
      <c r="B115" s="104">
        <f t="shared" si="40"/>
        <v>46295</v>
      </c>
      <c r="C115" s="5"/>
      <c r="D115" s="559">
        <f t="shared" si="41"/>
        <v>46295</v>
      </c>
      <c r="E115" s="531" t="s">
        <v>37</v>
      </c>
      <c r="F115" s="531"/>
      <c r="G115" s="531"/>
      <c r="H115" s="531"/>
      <c r="I115" s="497">
        <f>AVERAGEIFS('OverNight €'!$AT$373:$AT$750,'OverNight €'!$B$373:$B$750,$A115)</f>
        <v>2.0428995474183854E-2</v>
      </c>
      <c r="J115" s="663">
        <f t="shared" si="38"/>
        <v>67260956.159999996</v>
      </c>
      <c r="K115" s="663">
        <f t="shared" si="38"/>
        <v>114506.14741515978</v>
      </c>
      <c r="L115" s="663">
        <f t="shared" si="38"/>
        <v>0</v>
      </c>
      <c r="M115" s="663">
        <f t="shared" si="38"/>
        <v>16417.253015159818</v>
      </c>
      <c r="N115" s="16"/>
      <c r="O115" s="4"/>
      <c r="P115" s="4"/>
      <c r="Q115" s="4"/>
      <c r="R115" s="4"/>
    </row>
    <row r="116" spans="1:18" s="9" customFormat="1" ht="14.25" hidden="1" customHeight="1" x14ac:dyDescent="0.2">
      <c r="A116" s="5" t="str">
        <f t="shared" si="39"/>
        <v>10 2026</v>
      </c>
      <c r="B116" s="104">
        <f t="shared" si="40"/>
        <v>46326</v>
      </c>
      <c r="C116" s="5"/>
      <c r="D116" s="559">
        <f t="shared" si="41"/>
        <v>46326</v>
      </c>
      <c r="E116" s="531" t="s">
        <v>37</v>
      </c>
      <c r="F116" s="531"/>
      <c r="G116" s="531"/>
      <c r="H116" s="531"/>
      <c r="I116" s="497">
        <f>AVERAGEIFS('OverNight €'!$AT$373:$AT$750,'OverNight €'!$B$373:$B$750,$A116)</f>
        <v>2.0428995474183854E-2</v>
      </c>
      <c r="J116" s="663">
        <f t="shared" si="38"/>
        <v>67260956.159999996</v>
      </c>
      <c r="K116" s="663">
        <f t="shared" si="38"/>
        <v>118323.0189956651</v>
      </c>
      <c r="L116" s="663">
        <f t="shared" si="38"/>
        <v>0</v>
      </c>
      <c r="M116" s="663">
        <f t="shared" si="38"/>
        <v>16964.494782331811</v>
      </c>
      <c r="N116" s="16"/>
      <c r="O116" s="93"/>
      <c r="P116" s="93"/>
      <c r="Q116" s="93"/>
      <c r="R116" s="93"/>
    </row>
    <row r="117" spans="1:18" s="9" customFormat="1" ht="14.25" hidden="1" customHeight="1" x14ac:dyDescent="0.2">
      <c r="A117" s="5" t="str">
        <f t="shared" si="39"/>
        <v>11 2026</v>
      </c>
      <c r="B117" s="104">
        <f t="shared" si="40"/>
        <v>46356</v>
      </c>
      <c r="C117" s="5"/>
      <c r="D117" s="559">
        <f t="shared" si="41"/>
        <v>46356</v>
      </c>
      <c r="E117" s="531" t="s">
        <v>37</v>
      </c>
      <c r="F117" s="531"/>
      <c r="G117" s="531"/>
      <c r="H117" s="531"/>
      <c r="I117" s="497">
        <f>AVERAGEIFS('OverNight €'!$AT$373:$AT$750,'OverNight €'!$B$373:$B$750,$A117)</f>
        <v>1.9198018105288466E-2</v>
      </c>
      <c r="J117" s="663">
        <f t="shared" si="38"/>
        <v>52260956.159999996</v>
      </c>
      <c r="K117" s="663">
        <f t="shared" si="38"/>
        <v>88716.147415159794</v>
      </c>
      <c r="L117" s="663">
        <f t="shared" si="38"/>
        <v>0</v>
      </c>
      <c r="M117" s="663">
        <f t="shared" si="38"/>
        <v>8127.2530151598185</v>
      </c>
      <c r="N117" s="16"/>
      <c r="O117" s="93"/>
      <c r="P117" s="93"/>
      <c r="Q117" s="93"/>
      <c r="R117" s="93"/>
    </row>
    <row r="118" spans="1:18" s="9" customFormat="1" ht="14.25" hidden="1" customHeight="1" x14ac:dyDescent="0.2">
      <c r="A118" s="5" t="str">
        <f t="shared" ref="A118" si="42">CONCATENATE(MONTH(D118)," ",YEAR(D118))</f>
        <v>12 2026</v>
      </c>
      <c r="B118" s="104">
        <f t="shared" ref="B118" si="43">EOMONTH(D118,0)</f>
        <v>46387</v>
      </c>
      <c r="C118" s="5"/>
      <c r="D118" s="559">
        <f t="shared" si="41"/>
        <v>46387</v>
      </c>
      <c r="E118" s="534" t="s">
        <v>37</v>
      </c>
      <c r="F118" s="534"/>
      <c r="G118" s="534"/>
      <c r="H118" s="534"/>
      <c r="I118" s="497">
        <f>AVERAGEIFS('OverNight €'!$AT$373:$AT$750,'OverNight €'!$B$373:$B$750,$A118)</f>
        <v>1.8890273763064621E-2</v>
      </c>
      <c r="J118" s="663">
        <f t="shared" si="38"/>
        <v>52260956.159999996</v>
      </c>
      <c r="K118" s="663">
        <f t="shared" si="38"/>
        <v>85010.935662331787</v>
      </c>
      <c r="L118" s="663">
        <f t="shared" si="38"/>
        <v>0</v>
      </c>
      <c r="M118" s="663">
        <f t="shared" si="38"/>
        <v>6256.5781156651465</v>
      </c>
      <c r="N118" s="16"/>
      <c r="O118" s="4"/>
      <c r="P118" s="4"/>
      <c r="Q118" s="4"/>
      <c r="R118" s="4"/>
    </row>
    <row r="119" spans="1:18" s="9" customFormat="1" ht="16.149999999999999" customHeight="1" x14ac:dyDescent="0.2">
      <c r="A119" s="5"/>
      <c r="B119" s="5"/>
      <c r="C119" s="5"/>
      <c r="D119" s="507" t="s">
        <v>309</v>
      </c>
      <c r="E119" s="508"/>
      <c r="F119" s="509"/>
      <c r="G119" s="509"/>
      <c r="H119" s="510"/>
      <c r="I119" s="511">
        <f>AVERAGE(I107)</f>
        <v>2.2007028490396589E-2</v>
      </c>
      <c r="J119" s="692">
        <f>J107</f>
        <v>187938022.01431116</v>
      </c>
      <c r="K119" s="692">
        <f>SUM(K107:K107)</f>
        <v>383920.65830215765</v>
      </c>
      <c r="L119" s="692">
        <f t="shared" ref="L119:M119" si="44">SUM(L107:L107)</f>
        <v>150003.47</v>
      </c>
      <c r="M119" s="692">
        <f t="shared" si="44"/>
        <v>93246.03813763021</v>
      </c>
      <c r="N119" s="16"/>
      <c r="O119" s="4"/>
      <c r="P119" s="4"/>
      <c r="Q119" s="4"/>
      <c r="R119" s="4"/>
    </row>
    <row r="120" spans="1:18" s="9" customFormat="1" ht="15" customHeight="1" x14ac:dyDescent="0.25">
      <c r="A120" s="5"/>
      <c r="B120" s="5"/>
      <c r="C120" s="5"/>
      <c r="D120" s="555" t="s">
        <v>247</v>
      </c>
      <c r="E120"/>
      <c r="F120"/>
      <c r="G120"/>
      <c r="H120"/>
      <c r="I120"/>
      <c r="J120" s="4"/>
      <c r="K120" s="4"/>
      <c r="L120" s="4"/>
      <c r="M120" s="7"/>
      <c r="N120" s="16"/>
      <c r="O120" s="4"/>
      <c r="P120" s="4"/>
      <c r="Q120" s="4"/>
      <c r="R120" s="4"/>
    </row>
    <row r="121" spans="1:18" s="9" customFormat="1" ht="15" customHeight="1" x14ac:dyDescent="0.25">
      <c r="A121" s="5"/>
      <c r="B121" s="5"/>
      <c r="C121" s="5"/>
      <c r="D121" s="555" t="s">
        <v>90</v>
      </c>
      <c r="E121"/>
      <c r="F121"/>
      <c r="G121"/>
      <c r="H121"/>
      <c r="I121"/>
      <c r="J121" s="4"/>
      <c r="K121" s="4"/>
      <c r="L121" s="222"/>
      <c r="M121" s="7"/>
      <c r="N121" s="16"/>
      <c r="O121" s="4"/>
      <c r="P121" s="4"/>
      <c r="Q121" s="4"/>
      <c r="R121" s="4"/>
    </row>
    <row r="122" spans="1:18" s="9" customFormat="1" ht="15" customHeight="1" x14ac:dyDescent="0.25">
      <c r="A122" s="5"/>
      <c r="B122" s="5"/>
      <c r="C122" s="5"/>
      <c r="D122" s="555" t="s">
        <v>103</v>
      </c>
      <c r="E122"/>
      <c r="F122"/>
      <c r="G122"/>
      <c r="H122"/>
      <c r="I122" s="299"/>
      <c r="J122" s="4"/>
      <c r="K122" s="222"/>
      <c r="L122" s="4"/>
      <c r="M122" s="7"/>
      <c r="N122" s="16"/>
      <c r="O122" s="4"/>
      <c r="P122" s="4"/>
      <c r="Q122" s="4"/>
    </row>
    <row r="123" spans="1:18" s="9" customFormat="1" ht="15" customHeight="1" x14ac:dyDescent="0.25">
      <c r="A123" s="5"/>
      <c r="B123" s="5"/>
      <c r="C123" s="5"/>
      <c r="D123"/>
      <c r="E123"/>
      <c r="F123"/>
      <c r="G123"/>
      <c r="H123"/>
      <c r="I123" s="300"/>
      <c r="J123" s="4"/>
      <c r="K123" s="4"/>
      <c r="L123" s="4"/>
      <c r="M123" s="7"/>
      <c r="N123" s="16"/>
      <c r="O123" s="8"/>
      <c r="P123" s="4"/>
    </row>
    <row r="124" spans="1:18" s="9" customFormat="1" ht="15" customHeight="1" x14ac:dyDescent="0.25">
      <c r="A124" s="5"/>
      <c r="B124" s="5"/>
      <c r="C124" s="5"/>
      <c r="D124"/>
      <c r="E124"/>
      <c r="F124"/>
      <c r="G124"/>
      <c r="H124"/>
      <c r="I124"/>
      <c r="J124" s="4"/>
      <c r="K124" s="4"/>
      <c r="L124" s="4"/>
      <c r="M124" s="7"/>
      <c r="N124" s="16"/>
      <c r="O124" s="8"/>
      <c r="P124" s="4"/>
    </row>
    <row r="125" spans="1:18" s="9" customFormat="1" ht="15" x14ac:dyDescent="0.25">
      <c r="A125" s="5"/>
      <c r="B125" s="5"/>
      <c r="C125" s="5"/>
      <c r="D125"/>
      <c r="E125"/>
      <c r="F125"/>
      <c r="G125"/>
      <c r="H125"/>
      <c r="I125"/>
      <c r="J125" s="4"/>
      <c r="K125" s="4"/>
      <c r="L125" s="4"/>
      <c r="M125" s="7"/>
      <c r="N125" s="16"/>
      <c r="O125" s="8"/>
      <c r="P125" s="4"/>
    </row>
    <row r="126" spans="1:18" s="9" customFormat="1" ht="15" x14ac:dyDescent="0.25">
      <c r="A126" s="5"/>
      <c r="B126" s="5"/>
      <c r="C126" s="5"/>
      <c r="D126"/>
      <c r="E126"/>
      <c r="F126"/>
      <c r="G126"/>
      <c r="H126"/>
      <c r="I126"/>
      <c r="J126" s="4"/>
      <c r="K126" s="4"/>
      <c r="L126" s="4"/>
      <c r="M126" s="7"/>
      <c r="N126" s="16"/>
      <c r="O126" s="8"/>
      <c r="P126" s="4"/>
    </row>
    <row r="127" spans="1:18" s="9" customFormat="1" ht="15" x14ac:dyDescent="0.25">
      <c r="A127" s="5"/>
      <c r="B127" s="5"/>
      <c r="C127" s="5"/>
      <c r="D127" t="s">
        <v>48</v>
      </c>
      <c r="E127" t="s">
        <v>50</v>
      </c>
      <c r="F127"/>
      <c r="G127"/>
      <c r="H127"/>
      <c r="I127"/>
      <c r="J127" s="4"/>
      <c r="K127" s="4"/>
      <c r="L127" s="4"/>
      <c r="M127" s="7"/>
      <c r="N127" s="16"/>
      <c r="O127" s="8"/>
      <c r="P127" s="4"/>
    </row>
    <row r="128" spans="1:18" s="9" customFormat="1" ht="15" x14ac:dyDescent="0.25">
      <c r="A128" s="5"/>
      <c r="B128" s="5"/>
      <c r="C128" s="5"/>
      <c r="D128" t="s">
        <v>49</v>
      </c>
      <c r="E128" t="s">
        <v>50</v>
      </c>
      <c r="F128"/>
      <c r="G128"/>
      <c r="H128"/>
      <c r="I128"/>
      <c r="J128" s="4"/>
      <c r="K128" s="4"/>
      <c r="L128" s="4"/>
      <c r="M128" s="7"/>
      <c r="N128" s="16"/>
      <c r="O128" s="8"/>
      <c r="P128" s="4"/>
    </row>
    <row r="129" spans="1:16" s="9" customFormat="1" ht="15" x14ac:dyDescent="0.25">
      <c r="A129" s="5"/>
      <c r="B129" s="5"/>
      <c r="C129" s="5"/>
      <c r="D129" t="s">
        <v>76</v>
      </c>
      <c r="E129"/>
      <c r="F129"/>
      <c r="G129"/>
      <c r="H129"/>
      <c r="I129"/>
      <c r="J129" s="4"/>
      <c r="K129" s="4"/>
      <c r="L129" s="4"/>
      <c r="M129" s="7"/>
      <c r="N129" s="16"/>
      <c r="O129" s="8"/>
      <c r="P129" s="4"/>
    </row>
    <row r="130" spans="1:16" s="9" customFormat="1" ht="15" x14ac:dyDescent="0.25">
      <c r="A130" s="5"/>
      <c r="B130" s="5"/>
      <c r="C130" s="5"/>
      <c r="D130"/>
      <c r="E130"/>
      <c r="F130"/>
      <c r="G130"/>
      <c r="H130"/>
      <c r="I130"/>
      <c r="J130" s="4"/>
      <c r="K130" s="4"/>
      <c r="L130" s="4"/>
      <c r="M130" s="7"/>
      <c r="N130" s="16"/>
      <c r="O130" s="8"/>
      <c r="P130" s="4"/>
    </row>
    <row r="131" spans="1:16" s="9" customFormat="1" ht="15" x14ac:dyDescent="0.25">
      <c r="A131" s="5"/>
      <c r="B131" s="5"/>
      <c r="C131" s="5"/>
      <c r="D131"/>
      <c r="E131"/>
      <c r="F131"/>
      <c r="G131"/>
      <c r="H131"/>
      <c r="I131"/>
      <c r="J131" s="4"/>
      <c r="K131" s="4"/>
      <c r="L131" s="4"/>
      <c r="M131" s="7"/>
      <c r="N131" s="16"/>
      <c r="O131" s="8"/>
      <c r="P131" s="4"/>
    </row>
    <row r="132" spans="1:16" ht="15" x14ac:dyDescent="0.25">
      <c r="D132"/>
      <c r="E132"/>
      <c r="F132"/>
      <c r="G132"/>
      <c r="H132"/>
      <c r="I132"/>
      <c r="N132" s="16"/>
    </row>
    <row r="133" spans="1:16" ht="15" x14ac:dyDescent="0.25">
      <c r="D133"/>
      <c r="E133"/>
      <c r="F133"/>
      <c r="G133"/>
      <c r="H133"/>
      <c r="I133"/>
      <c r="N133" s="16"/>
    </row>
    <row r="134" spans="1:16" ht="15" x14ac:dyDescent="0.25">
      <c r="D134"/>
      <c r="E134"/>
      <c r="F134"/>
      <c r="G134"/>
      <c r="H134"/>
      <c r="I134"/>
      <c r="N134" s="16"/>
    </row>
    <row r="135" spans="1:16" ht="15" x14ac:dyDescent="0.25">
      <c r="D135"/>
      <c r="E135"/>
      <c r="F135"/>
      <c r="G135"/>
      <c r="H135"/>
      <c r="I135"/>
      <c r="N135" s="16"/>
    </row>
    <row r="136" spans="1:16" ht="15" x14ac:dyDescent="0.25">
      <c r="D136"/>
      <c r="E136"/>
      <c r="F136"/>
      <c r="G136"/>
      <c r="H136"/>
      <c r="I136"/>
      <c r="N136" s="16"/>
    </row>
    <row r="137" spans="1:16" ht="15" x14ac:dyDescent="0.25">
      <c r="D137"/>
      <c r="E137"/>
      <c r="F137"/>
      <c r="G137"/>
      <c r="H137"/>
      <c r="I137"/>
      <c r="N137" s="16"/>
    </row>
    <row r="138" spans="1:16" ht="15" x14ac:dyDescent="0.25">
      <c r="D138"/>
      <c r="E138"/>
      <c r="F138"/>
      <c r="G138"/>
      <c r="H138"/>
      <c r="I138"/>
      <c r="N138" s="16"/>
    </row>
    <row r="139" spans="1:16" ht="15" x14ac:dyDescent="0.25">
      <c r="D139"/>
      <c r="E139"/>
      <c r="F139"/>
      <c r="G139"/>
      <c r="H139"/>
      <c r="I139"/>
      <c r="N139" s="16"/>
    </row>
    <row r="140" spans="1:16" ht="15" x14ac:dyDescent="0.25">
      <c r="D140"/>
      <c r="E140"/>
      <c r="F140"/>
      <c r="G140"/>
      <c r="H140"/>
      <c r="I140"/>
      <c r="N140" s="16"/>
    </row>
    <row r="141" spans="1:16" ht="15" x14ac:dyDescent="0.25">
      <c r="D141"/>
      <c r="E141"/>
      <c r="F141"/>
      <c r="G141"/>
      <c r="H141"/>
      <c r="I141"/>
      <c r="N141" s="16"/>
    </row>
    <row r="142" spans="1:16" ht="15" x14ac:dyDescent="0.25">
      <c r="D142"/>
      <c r="E142"/>
      <c r="F142"/>
      <c r="G142"/>
      <c r="H142"/>
      <c r="I142"/>
      <c r="N142" s="16"/>
    </row>
    <row r="143" spans="1:16" ht="15" x14ac:dyDescent="0.25">
      <c r="D143"/>
      <c r="E143"/>
      <c r="F143"/>
      <c r="G143"/>
      <c r="H143"/>
      <c r="I143"/>
      <c r="N143" s="16"/>
    </row>
    <row r="144" spans="1:16" ht="15" x14ac:dyDescent="0.25">
      <c r="D144"/>
      <c r="E144"/>
      <c r="F144"/>
      <c r="G144"/>
      <c r="H144"/>
      <c r="I144"/>
      <c r="N144" s="16"/>
    </row>
    <row r="145" spans="4:14" ht="15" x14ac:dyDescent="0.25">
      <c r="D145"/>
      <c r="E145"/>
      <c r="F145"/>
      <c r="G145"/>
      <c r="H145"/>
      <c r="I145"/>
      <c r="N145" s="16"/>
    </row>
    <row r="146" spans="4:14" ht="15" x14ac:dyDescent="0.25">
      <c r="D146"/>
      <c r="E146"/>
      <c r="F146"/>
      <c r="G146"/>
      <c r="H146"/>
      <c r="I146"/>
      <c r="N146" s="16"/>
    </row>
    <row r="147" spans="4:14" ht="15" x14ac:dyDescent="0.25">
      <c r="D147"/>
      <c r="E147"/>
      <c r="F147"/>
      <c r="G147"/>
      <c r="H147"/>
      <c r="I147"/>
    </row>
    <row r="148" spans="4:14" ht="15" x14ac:dyDescent="0.25">
      <c r="D148"/>
      <c r="E148"/>
      <c r="F148"/>
      <c r="G148"/>
      <c r="H148"/>
      <c r="I148"/>
    </row>
    <row r="149" spans="4:14" ht="15" x14ac:dyDescent="0.25">
      <c r="D149"/>
      <c r="E149"/>
      <c r="F149"/>
      <c r="G149"/>
      <c r="H149"/>
      <c r="I149"/>
    </row>
    <row r="150" spans="4:14" ht="15" x14ac:dyDescent="0.25">
      <c r="D150"/>
      <c r="E150"/>
      <c r="F150"/>
      <c r="G150"/>
      <c r="H150"/>
      <c r="I150"/>
    </row>
    <row r="151" spans="4:14" ht="15" x14ac:dyDescent="0.25">
      <c r="D151"/>
      <c r="E151"/>
      <c r="F151"/>
      <c r="G151"/>
      <c r="H151"/>
      <c r="I151"/>
    </row>
    <row r="152" spans="4:14" ht="15" x14ac:dyDescent="0.25">
      <c r="D152"/>
      <c r="E152"/>
      <c r="F152"/>
      <c r="G152"/>
      <c r="H152"/>
      <c r="I152"/>
    </row>
    <row r="153" spans="4:14" ht="15" x14ac:dyDescent="0.25">
      <c r="D153"/>
      <c r="E153"/>
      <c r="F153"/>
      <c r="G153"/>
      <c r="H153"/>
      <c r="I153"/>
    </row>
    <row r="154" spans="4:14" ht="15" x14ac:dyDescent="0.25">
      <c r="D154"/>
      <c r="E154"/>
      <c r="F154"/>
      <c r="G154"/>
      <c r="H154"/>
      <c r="I154"/>
    </row>
    <row r="155" spans="4:14" ht="15" x14ac:dyDescent="0.25">
      <c r="D155"/>
      <c r="E155"/>
      <c r="F155"/>
      <c r="G155"/>
      <c r="H155"/>
      <c r="I155"/>
    </row>
    <row r="156" spans="4:14" ht="15" x14ac:dyDescent="0.25">
      <c r="D156"/>
      <c r="E156"/>
      <c r="F156"/>
      <c r="G156"/>
      <c r="H156"/>
      <c r="I156"/>
    </row>
    <row r="157" spans="4:14" ht="15" x14ac:dyDescent="0.25">
      <c r="D157"/>
      <c r="E157"/>
      <c r="F157"/>
      <c r="G157"/>
      <c r="H157"/>
      <c r="I157"/>
    </row>
    <row r="158" spans="4:14" ht="15" x14ac:dyDescent="0.25">
      <c r="D158"/>
      <c r="E158"/>
      <c r="F158"/>
      <c r="G158"/>
      <c r="H158"/>
      <c r="I158"/>
    </row>
    <row r="159" spans="4:14" ht="15" x14ac:dyDescent="0.25">
      <c r="D159"/>
      <c r="E159"/>
      <c r="F159"/>
      <c r="G159"/>
      <c r="H159"/>
      <c r="I159"/>
    </row>
    <row r="160" spans="4:14" ht="15" x14ac:dyDescent="0.25">
      <c r="D160"/>
      <c r="E160"/>
      <c r="F160"/>
      <c r="G160"/>
      <c r="H160"/>
      <c r="I160"/>
    </row>
    <row r="161" spans="4:9" ht="15" x14ac:dyDescent="0.25">
      <c r="D161"/>
      <c r="E161"/>
      <c r="F161"/>
      <c r="G161"/>
      <c r="H161"/>
      <c r="I161"/>
    </row>
    <row r="162" spans="4:9" ht="15" x14ac:dyDescent="0.25">
      <c r="D162"/>
      <c r="E162"/>
      <c r="F162"/>
      <c r="G162"/>
      <c r="H162"/>
      <c r="I162"/>
    </row>
    <row r="163" spans="4:9" ht="15" x14ac:dyDescent="0.25">
      <c r="D163"/>
      <c r="E163"/>
      <c r="F163"/>
      <c r="G163"/>
      <c r="H163"/>
      <c r="I163"/>
    </row>
    <row r="164" spans="4:9" ht="15" x14ac:dyDescent="0.25">
      <c r="D164"/>
      <c r="E164"/>
      <c r="F164"/>
      <c r="G164"/>
      <c r="H164"/>
      <c r="I164"/>
    </row>
    <row r="165" spans="4:9" ht="15" x14ac:dyDescent="0.25">
      <c r="D165"/>
      <c r="E165"/>
      <c r="F165"/>
      <c r="G165"/>
      <c r="H165"/>
      <c r="I165"/>
    </row>
    <row r="166" spans="4:9" ht="15" x14ac:dyDescent="0.25">
      <c r="D166"/>
      <c r="E166"/>
      <c r="F166"/>
      <c r="G166"/>
      <c r="H166"/>
      <c r="I166"/>
    </row>
  </sheetData>
  <phoneticPr fontId="3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4E23-BAEB-4469-AE90-CFC93F903BCA}">
  <sheetPr>
    <tabColor theme="9" tint="-0.499984740745262"/>
    <pageSetUpPr fitToPage="1"/>
  </sheetPr>
  <dimension ref="A1:DI194"/>
  <sheetViews>
    <sheetView showGridLines="0" topLeftCell="A78" zoomScale="80" zoomScaleNormal="80" workbookViewId="0">
      <selection activeCell="M117" sqref="M117:M118"/>
    </sheetView>
  </sheetViews>
  <sheetFormatPr baseColWidth="10" defaultColWidth="10.85546875" defaultRowHeight="14.25" outlineLevelRow="1" outlineLevelCol="1" x14ac:dyDescent="0.2"/>
  <cols>
    <col min="1" max="1" width="13.5703125" style="5" customWidth="1"/>
    <col min="2" max="2" width="25.85546875" style="5" customWidth="1"/>
    <col min="3" max="3" width="4.5703125" style="5" customWidth="1"/>
    <col min="4" max="4" width="17.5703125" style="5" customWidth="1"/>
    <col min="5" max="5" width="8.5703125" style="5" customWidth="1"/>
    <col min="6" max="6" width="29.140625" style="5" bestFit="1" customWidth="1"/>
    <col min="7" max="7" width="16.85546875" style="5" customWidth="1" outlineLevel="1"/>
    <col min="8" max="8" width="15.5703125" style="5" customWidth="1" outlineLevel="1"/>
    <col min="9" max="9" width="15.42578125" style="5" bestFit="1" customWidth="1"/>
    <col min="10" max="10" width="26.42578125" style="4" bestFit="1" customWidth="1"/>
    <col min="11" max="11" width="20.42578125" style="4" customWidth="1"/>
    <col min="12" max="12" width="21.42578125" style="4" bestFit="1" customWidth="1"/>
    <col min="13" max="13" width="13.5703125" style="7" bestFit="1" customWidth="1"/>
    <col min="14" max="14" width="1.42578125" style="7" customWidth="1"/>
    <col min="15" max="15" width="51.42578125" style="8" bestFit="1" customWidth="1"/>
    <col min="16" max="16" width="21.42578125" style="4" bestFit="1" customWidth="1"/>
    <col min="17" max="17" width="15.42578125" style="9" bestFit="1" customWidth="1"/>
    <col min="18" max="18" width="18.140625" style="9" customWidth="1"/>
    <col min="19" max="19" width="25.42578125" style="9" bestFit="1" customWidth="1"/>
    <col min="20" max="20" width="16.85546875" style="9" bestFit="1" customWidth="1"/>
    <col min="21" max="21" width="18.5703125" style="9" customWidth="1"/>
    <col min="22" max="22" width="7.140625" style="9" customWidth="1"/>
    <col min="23" max="23" width="13.140625" style="9" bestFit="1" customWidth="1"/>
    <col min="24" max="24" width="17.85546875" style="9" bestFit="1" customWidth="1"/>
    <col min="25" max="113" width="10.85546875" style="9"/>
    <col min="114" max="16384" width="10.85546875" style="4"/>
  </cols>
  <sheetData>
    <row r="1" spans="1:18" ht="15.75" x14ac:dyDescent="0.25">
      <c r="L1" s="164">
        <v>46022</v>
      </c>
      <c r="Q1" s="20"/>
      <c r="R1" s="20"/>
    </row>
    <row r="2" spans="1:18" x14ac:dyDescent="0.2">
      <c r="Q2" s="20"/>
      <c r="R2" s="20"/>
    </row>
    <row r="3" spans="1:18" x14ac:dyDescent="0.2">
      <c r="Q3" s="20"/>
      <c r="R3" s="20"/>
    </row>
    <row r="4" spans="1:18" x14ac:dyDescent="0.2">
      <c r="Q4" s="20"/>
      <c r="R4" s="20"/>
    </row>
    <row r="5" spans="1:18" x14ac:dyDescent="0.2">
      <c r="Q5" s="20"/>
      <c r="R5" s="20"/>
    </row>
    <row r="6" spans="1:18" s="32" customFormat="1" ht="18" x14ac:dyDescent="0.25">
      <c r="E6" s="154"/>
      <c r="F6" s="154"/>
      <c r="G6" s="154"/>
      <c r="H6" s="154"/>
      <c r="I6" s="154"/>
      <c r="J6" s="155"/>
      <c r="K6" s="156"/>
      <c r="L6" s="157"/>
      <c r="M6" s="92"/>
      <c r="N6" s="92"/>
      <c r="O6" s="92"/>
    </row>
    <row r="7" spans="1:18" s="9" customFormat="1" ht="14.45" customHeight="1" x14ac:dyDescent="0.25">
      <c r="A7" s="16"/>
      <c r="B7" s="16"/>
      <c r="C7" s="16"/>
      <c r="D7" s="158"/>
      <c r="E7" s="158"/>
      <c r="F7" s="158"/>
      <c r="G7" s="158"/>
      <c r="H7" s="158"/>
      <c r="I7" s="158"/>
      <c r="J7" s="158"/>
      <c r="K7" s="158"/>
      <c r="L7" s="158"/>
      <c r="M7" s="16"/>
      <c r="N7" s="16"/>
      <c r="O7" s="16"/>
      <c r="P7" s="16"/>
    </row>
    <row r="8" spans="1:18" ht="15.75" x14ac:dyDescent="0.25">
      <c r="D8" s="545" t="s">
        <v>254</v>
      </c>
      <c r="E8" s="159"/>
      <c r="F8" s="159"/>
      <c r="G8" s="159"/>
      <c r="H8" s="159"/>
      <c r="I8" s="159"/>
      <c r="J8" s="160"/>
      <c r="K8" s="160"/>
      <c r="L8" s="160"/>
      <c r="N8" s="16"/>
    </row>
    <row r="9" spans="1:18" ht="15.75" x14ac:dyDescent="0.2">
      <c r="B9" s="5" t="s">
        <v>25</v>
      </c>
      <c r="D9" s="1" t="s">
        <v>13</v>
      </c>
      <c r="E9" s="2" t="s">
        <v>28</v>
      </c>
      <c r="F9" s="2" t="s">
        <v>29</v>
      </c>
      <c r="G9" s="2" t="s">
        <v>43</v>
      </c>
      <c r="H9" s="2" t="s">
        <v>44</v>
      </c>
      <c r="I9" s="2" t="s">
        <v>34</v>
      </c>
      <c r="J9" s="2" t="s">
        <v>244</v>
      </c>
      <c r="K9" s="2" t="s">
        <v>36</v>
      </c>
      <c r="L9" s="2" t="s">
        <v>35</v>
      </c>
      <c r="M9" s="3" t="s">
        <v>77</v>
      </c>
      <c r="N9" s="16"/>
    </row>
    <row r="10" spans="1:18" ht="3.75" customHeight="1" x14ac:dyDescent="0.2">
      <c r="J10" s="5"/>
      <c r="K10" s="5"/>
      <c r="L10" s="5"/>
      <c r="M10" s="5"/>
      <c r="N10" s="5"/>
    </row>
    <row r="11" spans="1:18" ht="15" x14ac:dyDescent="0.2">
      <c r="D11" s="546" t="s">
        <v>31</v>
      </c>
      <c r="E11" s="547"/>
      <c r="F11" s="548"/>
      <c r="G11" s="548"/>
      <c r="H11" s="549"/>
      <c r="I11" s="550"/>
      <c r="J11" s="548"/>
      <c r="K11" s="548"/>
      <c r="L11" s="548"/>
      <c r="M11" s="548"/>
      <c r="N11" s="16"/>
    </row>
    <row r="12" spans="1:18" ht="6.75" customHeight="1" x14ac:dyDescent="0.2">
      <c r="J12" s="5"/>
      <c r="K12" s="5"/>
      <c r="L12" s="5"/>
      <c r="M12" s="5"/>
      <c r="N12" s="16"/>
      <c r="O12" s="5"/>
    </row>
    <row r="13" spans="1:18" ht="13.5" hidden="1" customHeight="1" outlineLevel="1" x14ac:dyDescent="0.2">
      <c r="A13" s="5" t="s">
        <v>255</v>
      </c>
      <c r="C13" s="7"/>
      <c r="D13" s="7"/>
      <c r="E13" s="7"/>
      <c r="F13" s="7"/>
      <c r="G13" s="7"/>
      <c r="H13" s="7"/>
      <c r="I13" s="7"/>
      <c r="J13" s="7"/>
      <c r="K13" s="7"/>
      <c r="L13" s="7"/>
      <c r="N13" s="16"/>
    </row>
    <row r="14" spans="1:18" ht="15.75" hidden="1" outlineLevel="1" x14ac:dyDescent="0.2">
      <c r="A14" s="5" t="s">
        <v>256</v>
      </c>
      <c r="B14" s="180">
        <v>45230</v>
      </c>
      <c r="D14" s="581">
        <v>45200</v>
      </c>
      <c r="E14" s="581" t="s">
        <v>7</v>
      </c>
      <c r="F14" s="581" t="s">
        <v>30</v>
      </c>
      <c r="G14" s="582">
        <v>45205</v>
      </c>
      <c r="H14" s="581"/>
      <c r="I14" s="161">
        <v>3.7999999999999999E-2</v>
      </c>
      <c r="J14" s="578">
        <v>150000000</v>
      </c>
      <c r="K14" s="578">
        <v>278983.33333333331</v>
      </c>
      <c r="L14" s="578">
        <v>278983.33</v>
      </c>
      <c r="N14" s="16"/>
    </row>
    <row r="15" spans="1:18" ht="15.75" hidden="1" outlineLevel="1" x14ac:dyDescent="0.2">
      <c r="A15" s="5" t="s">
        <v>257</v>
      </c>
      <c r="B15" s="180">
        <v>45260</v>
      </c>
      <c r="D15" s="581">
        <v>45231</v>
      </c>
      <c r="E15" s="581" t="s">
        <v>7</v>
      </c>
      <c r="F15" s="581" t="s">
        <v>30</v>
      </c>
      <c r="G15" s="582">
        <v>45205</v>
      </c>
      <c r="H15" s="581"/>
      <c r="I15" s="161">
        <v>3.7999999999999999E-2</v>
      </c>
      <c r="J15" s="578">
        <v>191300000</v>
      </c>
      <c r="K15" s="578">
        <v>559423.33333333337</v>
      </c>
      <c r="L15" s="578">
        <v>559423.35</v>
      </c>
      <c r="N15" s="16"/>
    </row>
    <row r="16" spans="1:18" ht="15.75" hidden="1" outlineLevel="1" x14ac:dyDescent="0.2">
      <c r="B16" s="180">
        <v>45291</v>
      </c>
      <c r="D16" s="581">
        <v>45261</v>
      </c>
      <c r="E16" s="581" t="s">
        <v>7</v>
      </c>
      <c r="F16" s="581" t="s">
        <v>30</v>
      </c>
      <c r="G16" s="582">
        <v>45205</v>
      </c>
      <c r="H16" s="581"/>
      <c r="I16" s="161">
        <v>3.7999999999999999E-2</v>
      </c>
      <c r="J16" s="578">
        <v>191200000</v>
      </c>
      <c r="K16" s="578">
        <v>663965.55555555585</v>
      </c>
      <c r="L16" s="578">
        <v>623601.11</v>
      </c>
      <c r="N16" s="16"/>
    </row>
    <row r="17" spans="1:16" ht="15.75" hidden="1" outlineLevel="1" x14ac:dyDescent="0.2">
      <c r="A17" s="4"/>
      <c r="B17" s="180"/>
      <c r="D17" s="583" t="s">
        <v>26</v>
      </c>
      <c r="E17" s="583"/>
      <c r="F17" s="583"/>
      <c r="G17" s="584"/>
      <c r="H17" s="583"/>
      <c r="I17" s="583"/>
      <c r="J17" s="579"/>
      <c r="K17" s="580">
        <v>1502372.2222222225</v>
      </c>
      <c r="L17" s="580">
        <v>1462007.79</v>
      </c>
      <c r="N17" s="16"/>
    </row>
    <row r="18" spans="1:16" ht="15.75" hidden="1" outlineLevel="1" x14ac:dyDescent="0.2">
      <c r="B18" s="180"/>
      <c r="C18" s="4"/>
      <c r="D18" s="585"/>
      <c r="E18" s="585"/>
      <c r="F18" s="585"/>
      <c r="G18" s="162"/>
      <c r="H18" s="585"/>
      <c r="I18" s="585"/>
      <c r="J18" s="586"/>
      <c r="K18" s="586"/>
      <c r="L18" s="586"/>
      <c r="M18" s="4"/>
      <c r="N18" s="16"/>
    </row>
    <row r="19" spans="1:16" s="9" customFormat="1" ht="14.25" hidden="1" customHeight="1" outlineLevel="1" x14ac:dyDescent="0.2">
      <c r="A19" s="5" t="s">
        <v>258</v>
      </c>
      <c r="B19" s="180">
        <v>45322</v>
      </c>
      <c r="C19" s="5"/>
      <c r="D19" s="581">
        <v>45292</v>
      </c>
      <c r="E19" s="581" t="s">
        <v>7</v>
      </c>
      <c r="F19" s="581" t="s">
        <v>30</v>
      </c>
      <c r="G19" s="582">
        <v>45205</v>
      </c>
      <c r="H19" s="581"/>
      <c r="I19" s="161">
        <v>3.7999999999999999E-2</v>
      </c>
      <c r="J19" s="578">
        <v>184300000</v>
      </c>
      <c r="K19" s="578">
        <v>614829.44444444438</v>
      </c>
      <c r="L19" s="578">
        <v>655193.9</v>
      </c>
      <c r="M19" s="7"/>
      <c r="N19" s="16"/>
      <c r="O19" s="8"/>
      <c r="P19" s="4"/>
    </row>
    <row r="20" spans="1:16" s="9" customFormat="1" ht="14.25" hidden="1" customHeight="1" outlineLevel="1" x14ac:dyDescent="0.2">
      <c r="A20" s="5" t="s">
        <v>259</v>
      </c>
      <c r="B20" s="180">
        <v>45351</v>
      </c>
      <c r="C20" s="5"/>
      <c r="D20" s="581">
        <v>45323</v>
      </c>
      <c r="E20" s="581" t="s">
        <v>7</v>
      </c>
      <c r="F20" s="581" t="s">
        <v>30</v>
      </c>
      <c r="G20" s="582"/>
      <c r="H20" s="581"/>
      <c r="I20" s="161">
        <v>3.7999999999999999E-2</v>
      </c>
      <c r="J20" s="578">
        <v>179700000</v>
      </c>
      <c r="K20" s="578">
        <v>561355.00000000012</v>
      </c>
      <c r="L20" s="578">
        <v>561355</v>
      </c>
      <c r="M20" s="7"/>
      <c r="N20" s="16"/>
      <c r="O20" s="8"/>
      <c r="P20" s="4"/>
    </row>
    <row r="21" spans="1:16" s="9" customFormat="1" ht="14.25" hidden="1" customHeight="1" outlineLevel="1" x14ac:dyDescent="0.2">
      <c r="A21" s="5" t="s">
        <v>260</v>
      </c>
      <c r="B21" s="180">
        <v>45382</v>
      </c>
      <c r="C21" s="5"/>
      <c r="D21" s="581">
        <v>45352</v>
      </c>
      <c r="E21" s="581" t="s">
        <v>7</v>
      </c>
      <c r="F21" s="581" t="s">
        <v>30</v>
      </c>
      <c r="G21" s="582"/>
      <c r="H21" s="581"/>
      <c r="I21" s="161">
        <v>3.7999999999999999E-2</v>
      </c>
      <c r="J21" s="578">
        <v>168900000</v>
      </c>
      <c r="K21" s="578">
        <v>575024.44444444438</v>
      </c>
      <c r="L21" s="578">
        <v>521528.88</v>
      </c>
      <c r="M21" s="7"/>
      <c r="N21" s="16"/>
      <c r="O21" s="8"/>
      <c r="P21" s="4"/>
    </row>
    <row r="22" spans="1:16" s="9" customFormat="1" ht="14.25" hidden="1" customHeight="1" outlineLevel="1" x14ac:dyDescent="0.2">
      <c r="A22" s="5" t="s">
        <v>261</v>
      </c>
      <c r="B22" s="180">
        <v>45412</v>
      </c>
      <c r="C22" s="5"/>
      <c r="D22" s="581">
        <v>45383</v>
      </c>
      <c r="E22" s="581" t="s">
        <v>7</v>
      </c>
      <c r="F22" s="581" t="s">
        <v>30</v>
      </c>
      <c r="G22" s="582"/>
      <c r="H22" s="581"/>
      <c r="I22" s="161">
        <v>3.7999999999999999E-2</v>
      </c>
      <c r="J22" s="578">
        <v>175300000</v>
      </c>
      <c r="K22" s="578">
        <v>557987.77777777775</v>
      </c>
      <c r="L22" s="578">
        <v>611472.77</v>
      </c>
      <c r="M22" s="7"/>
      <c r="N22" s="16"/>
      <c r="O22" s="8"/>
      <c r="P22" s="4"/>
    </row>
    <row r="23" spans="1:16" s="9" customFormat="1" ht="14.25" hidden="1" customHeight="1" outlineLevel="1" x14ac:dyDescent="0.2">
      <c r="A23" s="5" t="s">
        <v>262</v>
      </c>
      <c r="B23" s="180">
        <v>45443</v>
      </c>
      <c r="C23" s="5"/>
      <c r="D23" s="581">
        <v>45413</v>
      </c>
      <c r="E23" s="581" t="s">
        <v>7</v>
      </c>
      <c r="F23" s="581" t="s">
        <v>30</v>
      </c>
      <c r="G23" s="582"/>
      <c r="H23" s="581"/>
      <c r="I23" s="161">
        <v>3.7999999999999999E-2</v>
      </c>
      <c r="J23" s="578">
        <v>153100000</v>
      </c>
      <c r="K23" s="578">
        <v>536845.00000000012</v>
      </c>
      <c r="L23" s="578">
        <v>539061.67000000004</v>
      </c>
      <c r="M23" s="7"/>
      <c r="N23" s="16"/>
      <c r="O23" s="8"/>
      <c r="P23" s="4"/>
    </row>
    <row r="24" spans="1:16" s="9" customFormat="1" ht="14.25" hidden="1" customHeight="1" outlineLevel="1" x14ac:dyDescent="0.2">
      <c r="A24" s="5" t="s">
        <v>263</v>
      </c>
      <c r="B24" s="180">
        <v>45473</v>
      </c>
      <c r="C24" s="5"/>
      <c r="D24" s="581">
        <v>45444</v>
      </c>
      <c r="E24" s="581" t="s">
        <v>7</v>
      </c>
      <c r="F24" s="581" t="s">
        <v>30</v>
      </c>
      <c r="G24" s="582"/>
      <c r="H24" s="581"/>
      <c r="I24" s="161">
        <v>3.5499999999999997E-2</v>
      </c>
      <c r="J24" s="578">
        <v>169500000</v>
      </c>
      <c r="K24" s="578">
        <v>471724.44444444444</v>
      </c>
      <c r="L24" s="578">
        <v>438295.27</v>
      </c>
      <c r="M24" s="7"/>
      <c r="N24" s="16"/>
      <c r="O24" s="8"/>
      <c r="P24" s="4"/>
    </row>
    <row r="25" spans="1:16" s="9" customFormat="1" ht="15.75" hidden="1" outlineLevel="1" x14ac:dyDescent="0.2">
      <c r="A25" s="5" t="s">
        <v>264</v>
      </c>
      <c r="B25" s="180">
        <v>45504</v>
      </c>
      <c r="C25" s="5"/>
      <c r="D25" s="581">
        <v>45474</v>
      </c>
      <c r="E25" s="581" t="s">
        <v>7</v>
      </c>
      <c r="F25" s="581" t="s">
        <v>30</v>
      </c>
      <c r="G25" s="582"/>
      <c r="H25" s="581"/>
      <c r="I25" s="161">
        <v>3.5499999999999997E-2</v>
      </c>
      <c r="J25" s="578">
        <v>159950000</v>
      </c>
      <c r="K25" s="578">
        <v>509306.66666666651</v>
      </c>
      <c r="L25" s="578">
        <v>542735.84000000008</v>
      </c>
      <c r="M25" s="7"/>
      <c r="N25" s="16"/>
      <c r="O25" s="8"/>
      <c r="P25" s="4"/>
    </row>
    <row r="26" spans="1:16" s="9" customFormat="1" ht="15.75" hidden="1" outlineLevel="1" x14ac:dyDescent="0.2">
      <c r="A26" s="5" t="s">
        <v>265</v>
      </c>
      <c r="B26" s="180">
        <v>45535</v>
      </c>
      <c r="C26" s="5"/>
      <c r="D26" s="581">
        <v>45505</v>
      </c>
      <c r="E26" s="581" t="s">
        <v>7</v>
      </c>
      <c r="F26" s="581" t="s">
        <v>30</v>
      </c>
      <c r="G26" s="582"/>
      <c r="H26" s="581"/>
      <c r="I26" s="161">
        <v>3.5499999999999997E-2</v>
      </c>
      <c r="J26" s="578">
        <v>142700000</v>
      </c>
      <c r="K26" s="578">
        <v>462777.01388888893</v>
      </c>
      <c r="L26" s="578">
        <v>448705.21</v>
      </c>
      <c r="M26" s="7"/>
      <c r="N26" s="16"/>
      <c r="O26" s="8"/>
      <c r="P26" s="4"/>
    </row>
    <row r="27" spans="1:16" s="9" customFormat="1" ht="15.75" hidden="1" outlineLevel="1" x14ac:dyDescent="0.2">
      <c r="A27" s="5" t="s">
        <v>266</v>
      </c>
      <c r="B27" s="180">
        <v>45565</v>
      </c>
      <c r="C27" s="5"/>
      <c r="D27" s="581">
        <v>45536</v>
      </c>
      <c r="E27" s="581" t="s">
        <v>7</v>
      </c>
      <c r="F27" s="581" t="s">
        <v>30</v>
      </c>
      <c r="G27" s="582"/>
      <c r="H27" s="581"/>
      <c r="I27" s="161">
        <v>3.3000000000000002E-2</v>
      </c>
      <c r="J27" s="578">
        <v>134800000</v>
      </c>
      <c r="K27" s="578">
        <v>405311.38888888888</v>
      </c>
      <c r="L27" s="578">
        <v>419383.18999999994</v>
      </c>
      <c r="M27" s="7"/>
      <c r="N27" s="16"/>
      <c r="O27" s="8"/>
      <c r="P27" s="4"/>
    </row>
    <row r="28" spans="1:16" s="9" customFormat="1" ht="15.75" hidden="1" outlineLevel="1" x14ac:dyDescent="0.2">
      <c r="A28" s="5" t="s">
        <v>267</v>
      </c>
      <c r="B28" s="180">
        <v>45596</v>
      </c>
      <c r="C28" s="5"/>
      <c r="D28" s="581">
        <v>45566</v>
      </c>
      <c r="E28" s="581" t="s">
        <v>7</v>
      </c>
      <c r="F28" s="581" t="s">
        <v>30</v>
      </c>
      <c r="G28" s="582"/>
      <c r="H28" s="581"/>
      <c r="I28" s="161">
        <v>3.0499999999999999E-2</v>
      </c>
      <c r="J28" s="578">
        <v>61250000</v>
      </c>
      <c r="K28" s="578">
        <v>234960.33333333334</v>
      </c>
      <c r="L28" s="578">
        <v>234960.33333333334</v>
      </c>
      <c r="M28" s="7"/>
      <c r="N28" s="16"/>
      <c r="O28" s="8"/>
      <c r="P28" s="4"/>
    </row>
    <row r="29" spans="1:16" s="9" customFormat="1" ht="15.75" hidden="1" outlineLevel="1" x14ac:dyDescent="0.2">
      <c r="A29" s="5" t="s">
        <v>268</v>
      </c>
      <c r="B29" s="180">
        <v>45626</v>
      </c>
      <c r="C29" s="5"/>
      <c r="D29" s="581">
        <v>45597</v>
      </c>
      <c r="E29" s="581" t="s">
        <v>7</v>
      </c>
      <c r="F29" s="581" t="s">
        <v>30</v>
      </c>
      <c r="G29" s="582"/>
      <c r="H29" s="581"/>
      <c r="I29" s="161">
        <v>3.0499999999999999E-2</v>
      </c>
      <c r="J29" s="578">
        <v>61800000</v>
      </c>
      <c r="K29" s="578">
        <v>181072.56944444447</v>
      </c>
      <c r="L29" s="578">
        <v>175836.75</v>
      </c>
      <c r="M29" s="7"/>
      <c r="N29" s="16"/>
      <c r="O29" s="8"/>
      <c r="P29" s="4"/>
    </row>
    <row r="30" spans="1:16" s="9" customFormat="1" ht="15.75" hidden="1" outlineLevel="1" x14ac:dyDescent="0.2">
      <c r="A30" s="5" t="s">
        <v>269</v>
      </c>
      <c r="B30" s="180">
        <v>45657</v>
      </c>
      <c r="C30" s="5"/>
      <c r="D30" s="581">
        <v>45627</v>
      </c>
      <c r="E30" s="581" t="s">
        <v>7</v>
      </c>
      <c r="F30" s="581" t="s">
        <v>30</v>
      </c>
      <c r="G30" s="582"/>
      <c r="H30" s="581"/>
      <c r="I30" s="161">
        <v>2.75E-2</v>
      </c>
      <c r="J30" s="578">
        <v>31100000</v>
      </c>
      <c r="K30" s="578">
        <v>120009.99999999996</v>
      </c>
      <c r="L30" s="578">
        <v>125245.84</v>
      </c>
      <c r="M30" s="7"/>
      <c r="N30" s="16"/>
      <c r="O30" s="8"/>
      <c r="P30" s="4"/>
    </row>
    <row r="31" spans="1:16" s="9" customFormat="1" ht="15.75" hidden="1" outlineLevel="1" x14ac:dyDescent="0.2">
      <c r="A31" s="4"/>
      <c r="B31" s="180"/>
      <c r="C31" s="5"/>
      <c r="D31" s="583" t="s">
        <v>38</v>
      </c>
      <c r="E31" s="583"/>
      <c r="F31" s="583"/>
      <c r="G31" s="584"/>
      <c r="H31" s="583"/>
      <c r="I31" s="583"/>
      <c r="J31" s="579"/>
      <c r="K31" s="580">
        <v>5231204.083333333</v>
      </c>
      <c r="L31" s="580">
        <v>5273774.6533333333</v>
      </c>
      <c r="M31" s="7"/>
      <c r="N31" s="16"/>
      <c r="O31" s="8"/>
      <c r="P31" s="4"/>
    </row>
    <row r="32" spans="1:16" s="9" customFormat="1" ht="6" hidden="1" customHeight="1" outlineLevel="1" x14ac:dyDescent="0.2">
      <c r="A32" s="5"/>
      <c r="B32" s="180"/>
      <c r="C32" s="5"/>
      <c r="D32" s="163"/>
      <c r="E32" s="163"/>
      <c r="F32" s="163"/>
      <c r="G32" s="162"/>
      <c r="H32" s="163"/>
      <c r="I32" s="163"/>
      <c r="J32" s="163"/>
      <c r="K32" s="163"/>
      <c r="L32" s="163"/>
      <c r="M32" s="7"/>
      <c r="N32" s="16"/>
      <c r="O32" s="8"/>
      <c r="P32" s="4"/>
    </row>
    <row r="33" spans="1:16" s="9" customFormat="1" ht="6" hidden="1" customHeight="1" outlineLevel="1" x14ac:dyDescent="0.2">
      <c r="A33" s="5"/>
      <c r="B33" s="180"/>
      <c r="C33" s="5"/>
      <c r="D33" s="163"/>
      <c r="E33" s="163"/>
      <c r="F33" s="163"/>
      <c r="G33" s="162"/>
      <c r="H33" s="163"/>
      <c r="I33" s="163"/>
      <c r="J33" s="163"/>
      <c r="K33" s="163"/>
      <c r="L33" s="163"/>
      <c r="M33" s="7"/>
      <c r="N33" s="16"/>
      <c r="O33" s="8"/>
      <c r="P33" s="4"/>
    </row>
    <row r="34" spans="1:16" s="9" customFormat="1" ht="6" hidden="1" customHeight="1" outlineLevel="1" x14ac:dyDescent="0.2">
      <c r="A34" s="5"/>
      <c r="B34" s="180"/>
      <c r="C34" s="5"/>
      <c r="D34" s="163"/>
      <c r="E34" s="163"/>
      <c r="F34" s="163"/>
      <c r="G34" s="162"/>
      <c r="H34" s="163"/>
      <c r="I34" s="163"/>
      <c r="J34" s="163"/>
      <c r="K34" s="163"/>
      <c r="L34" s="163"/>
      <c r="M34" s="7"/>
      <c r="N34" s="16"/>
      <c r="O34" s="8"/>
      <c r="P34" s="4"/>
    </row>
    <row r="35" spans="1:16" s="9" customFormat="1" ht="14.25" customHeight="1" collapsed="1" x14ac:dyDescent="0.2">
      <c r="A35" s="5" t="s">
        <v>250</v>
      </c>
      <c r="B35" s="180">
        <v>45688</v>
      </c>
      <c r="C35" s="5"/>
      <c r="D35" s="557">
        <v>45688</v>
      </c>
      <c r="E35" s="512" t="s">
        <v>7</v>
      </c>
      <c r="F35" s="513" t="s">
        <v>30</v>
      </c>
      <c r="G35" s="514">
        <v>45205</v>
      </c>
      <c r="H35" s="515"/>
      <c r="I35" s="516">
        <v>2.75E-2</v>
      </c>
      <c r="J35" s="513">
        <v>12000000</v>
      </c>
      <c r="K35" s="513">
        <v>54071.875000000015</v>
      </c>
      <c r="L35" s="513">
        <v>54071.89</v>
      </c>
      <c r="M35" s="513">
        <v>0</v>
      </c>
      <c r="N35" s="16"/>
      <c r="O35" s="8"/>
      <c r="P35" s="4"/>
    </row>
    <row r="36" spans="1:16" s="9" customFormat="1" ht="14.25" customHeight="1" x14ac:dyDescent="0.2">
      <c r="A36" s="5" t="s">
        <v>270</v>
      </c>
      <c r="B36" s="180">
        <v>45716</v>
      </c>
      <c r="C36" s="5"/>
      <c r="D36" s="557">
        <v>45716</v>
      </c>
      <c r="E36" s="512" t="s">
        <v>7</v>
      </c>
      <c r="F36" s="513" t="s">
        <v>30</v>
      </c>
      <c r="G36" s="514"/>
      <c r="H36" s="515"/>
      <c r="I36" s="516">
        <v>2.5000000000000001E-2</v>
      </c>
      <c r="J36" s="513">
        <v>24350000</v>
      </c>
      <c r="K36" s="513">
        <v>49647.638888888876</v>
      </c>
      <c r="L36" s="513">
        <v>49647.63</v>
      </c>
      <c r="M36" s="513">
        <v>0</v>
      </c>
      <c r="N36" s="16"/>
      <c r="O36" s="8"/>
      <c r="P36" s="4"/>
    </row>
    <row r="37" spans="1:16" s="9" customFormat="1" ht="14.25" customHeight="1" x14ac:dyDescent="0.2">
      <c r="A37" s="5" t="s">
        <v>271</v>
      </c>
      <c r="B37" s="180">
        <v>45747</v>
      </c>
      <c r="C37" s="5"/>
      <c r="D37" s="557">
        <v>45747</v>
      </c>
      <c r="E37" s="512" t="s">
        <v>7</v>
      </c>
      <c r="F37" s="513" t="s">
        <v>30</v>
      </c>
      <c r="G37" s="514"/>
      <c r="H37" s="515"/>
      <c r="I37" s="516">
        <v>2.2499999999999999E-2</v>
      </c>
      <c r="J37" s="513">
        <v>21820000</v>
      </c>
      <c r="K37" s="513">
        <v>56474.861111111109</v>
      </c>
      <c r="L37" s="513">
        <v>56474.87</v>
      </c>
      <c r="M37" s="513">
        <v>0</v>
      </c>
      <c r="N37" s="16"/>
      <c r="O37" s="8"/>
      <c r="P37" s="4"/>
    </row>
    <row r="38" spans="1:16" s="9" customFormat="1" ht="14.25" customHeight="1" x14ac:dyDescent="0.2">
      <c r="A38" s="5" t="s">
        <v>272</v>
      </c>
      <c r="B38" s="180">
        <v>45777</v>
      </c>
      <c r="C38" s="5"/>
      <c r="D38" s="557">
        <v>45777</v>
      </c>
      <c r="E38" s="512" t="s">
        <v>7</v>
      </c>
      <c r="F38" s="513" t="s">
        <v>30</v>
      </c>
      <c r="G38" s="514"/>
      <c r="H38" s="515"/>
      <c r="I38" s="516">
        <v>0.02</v>
      </c>
      <c r="J38" s="513">
        <v>11690000</v>
      </c>
      <c r="K38" s="513">
        <v>29334.236111111109</v>
      </c>
      <c r="L38" s="513">
        <v>29334.240000000002</v>
      </c>
      <c r="M38" s="513">
        <v>0</v>
      </c>
      <c r="N38" s="16"/>
      <c r="O38" s="8"/>
      <c r="P38" s="4"/>
    </row>
    <row r="39" spans="1:16" s="9" customFormat="1" ht="14.25" customHeight="1" x14ac:dyDescent="0.2">
      <c r="A39" s="5" t="s">
        <v>273</v>
      </c>
      <c r="B39" s="180">
        <v>45808</v>
      </c>
      <c r="C39" s="5"/>
      <c r="D39" s="557">
        <v>45808</v>
      </c>
      <c r="E39" s="512" t="s">
        <v>7</v>
      </c>
      <c r="F39" s="513" t="s">
        <v>30</v>
      </c>
      <c r="G39" s="514"/>
      <c r="H39" s="515"/>
      <c r="I39" s="516">
        <v>0.02</v>
      </c>
      <c r="J39" s="513">
        <v>6430000</v>
      </c>
      <c r="K39" s="513">
        <v>15132.777777777777</v>
      </c>
      <c r="L39" s="513">
        <v>14775.55</v>
      </c>
      <c r="M39" s="513">
        <v>0</v>
      </c>
      <c r="N39" s="16"/>
      <c r="O39" s="271"/>
      <c r="P39" s="4"/>
    </row>
    <row r="40" spans="1:16" s="9" customFormat="1" ht="14.25" customHeight="1" x14ac:dyDescent="0.2">
      <c r="A40" s="5" t="s">
        <v>274</v>
      </c>
      <c r="B40" s="180">
        <v>45838</v>
      </c>
      <c r="C40" s="5"/>
      <c r="D40" s="557">
        <v>45838</v>
      </c>
      <c r="E40" s="512" t="s">
        <v>7</v>
      </c>
      <c r="F40" s="513" t="s">
        <v>30</v>
      </c>
      <c r="G40" s="514"/>
      <c r="H40" s="515"/>
      <c r="I40" s="516">
        <v>1.7500000000000002E-2</v>
      </c>
      <c r="J40" s="513">
        <v>11530000</v>
      </c>
      <c r="K40" s="513">
        <v>14464.444444444445</v>
      </c>
      <c r="L40" s="513">
        <v>14821.66</v>
      </c>
      <c r="M40" s="513">
        <v>0</v>
      </c>
      <c r="N40" s="16"/>
      <c r="O40" s="8"/>
      <c r="P40" s="4"/>
    </row>
    <row r="41" spans="1:16" s="9" customFormat="1" ht="14.25" customHeight="1" x14ac:dyDescent="0.2">
      <c r="A41" s="5" t="s">
        <v>275</v>
      </c>
      <c r="B41" s="180">
        <v>45869</v>
      </c>
      <c r="C41" s="5"/>
      <c r="D41" s="557">
        <v>45869</v>
      </c>
      <c r="E41" s="512" t="s">
        <v>7</v>
      </c>
      <c r="F41" s="513" t="s">
        <v>30</v>
      </c>
      <c r="G41" s="514"/>
      <c r="H41" s="515"/>
      <c r="I41" s="516">
        <v>1.7500000000000002E-2</v>
      </c>
      <c r="J41" s="513">
        <v>6120000</v>
      </c>
      <c r="K41" s="513">
        <v>14420.486111111111</v>
      </c>
      <c r="L41" s="513">
        <v>14420.49</v>
      </c>
      <c r="M41" s="513">
        <v>0</v>
      </c>
      <c r="N41" s="16"/>
      <c r="O41" s="8"/>
      <c r="P41" s="4"/>
    </row>
    <row r="42" spans="1:16" s="9" customFormat="1" ht="14.25" customHeight="1" x14ac:dyDescent="0.2">
      <c r="A42" s="5" t="s">
        <v>276</v>
      </c>
      <c r="B42" s="180">
        <v>45900</v>
      </c>
      <c r="C42" s="5"/>
      <c r="D42" s="557">
        <v>45900</v>
      </c>
      <c r="E42" s="512" t="s">
        <v>7</v>
      </c>
      <c r="F42" s="513" t="s">
        <v>30</v>
      </c>
      <c r="G42" s="514"/>
      <c r="H42" s="515"/>
      <c r="I42" s="516">
        <v>1.7500000000000002E-2</v>
      </c>
      <c r="J42" s="513">
        <v>15800000</v>
      </c>
      <c r="K42" s="513">
        <v>88886.875</v>
      </c>
      <c r="L42" s="513">
        <v>87350.77</v>
      </c>
      <c r="M42" s="513">
        <v>0</v>
      </c>
      <c r="N42" s="16"/>
      <c r="O42" s="8"/>
      <c r="P42" s="4"/>
    </row>
    <row r="43" spans="1:16" s="9" customFormat="1" ht="14.25" customHeight="1" x14ac:dyDescent="0.2">
      <c r="A43" s="5" t="s">
        <v>137</v>
      </c>
      <c r="B43" s="180">
        <v>45930</v>
      </c>
      <c r="C43" s="5"/>
      <c r="D43" s="557">
        <v>45930</v>
      </c>
      <c r="E43" s="512" t="s">
        <v>7</v>
      </c>
      <c r="F43" s="513" t="s">
        <v>30</v>
      </c>
      <c r="G43" s="514"/>
      <c r="H43" s="515"/>
      <c r="I43" s="516">
        <v>1.7500000000000002E-2</v>
      </c>
      <c r="J43" s="513">
        <v>9445000</v>
      </c>
      <c r="K43" s="513">
        <v>28973.194444444431</v>
      </c>
      <c r="L43" s="513">
        <v>30509.31</v>
      </c>
      <c r="M43" s="513">
        <v>0</v>
      </c>
      <c r="N43" s="16"/>
      <c r="O43" s="8" t="s">
        <v>153</v>
      </c>
      <c r="P43" s="4"/>
    </row>
    <row r="44" spans="1:16" s="9" customFormat="1" ht="14.25" customHeight="1" x14ac:dyDescent="0.2">
      <c r="A44" s="5" t="s">
        <v>277</v>
      </c>
      <c r="B44" s="180">
        <v>45961</v>
      </c>
      <c r="C44" s="5"/>
      <c r="D44" s="557">
        <v>45961</v>
      </c>
      <c r="E44" s="512" t="s">
        <v>7</v>
      </c>
      <c r="F44" s="513" t="s">
        <v>30</v>
      </c>
      <c r="G44" s="514"/>
      <c r="H44" s="515"/>
      <c r="I44" s="516">
        <v>1.7500000000000002E-2</v>
      </c>
      <c r="J44" s="513">
        <v>11244000</v>
      </c>
      <c r="K44" s="513">
        <v>33940.180555555555</v>
      </c>
      <c r="L44" s="513">
        <v>33940.17</v>
      </c>
      <c r="M44" s="513">
        <v>0</v>
      </c>
      <c r="N44" s="16"/>
      <c r="O44" s="8" t="s">
        <v>161</v>
      </c>
      <c r="P44" s="4"/>
    </row>
    <row r="45" spans="1:16" s="9" customFormat="1" ht="14.25" customHeight="1" x14ac:dyDescent="0.2">
      <c r="A45" s="5" t="s">
        <v>278</v>
      </c>
      <c r="B45" s="180">
        <v>45991</v>
      </c>
      <c r="C45" s="5"/>
      <c r="D45" s="557">
        <v>45991</v>
      </c>
      <c r="E45" s="512" t="s">
        <v>7</v>
      </c>
      <c r="F45" s="513" t="s">
        <v>30</v>
      </c>
      <c r="G45" s="514"/>
      <c r="H45" s="515"/>
      <c r="I45" s="516">
        <v>1.7500000000000002E-2</v>
      </c>
      <c r="J45" s="513">
        <v>9710000</v>
      </c>
      <c r="K45" s="513">
        <v>18029.861111111117</v>
      </c>
      <c r="L45" s="513">
        <v>17085.84</v>
      </c>
      <c r="M45" s="513">
        <v>0</v>
      </c>
      <c r="N45" s="16"/>
      <c r="O45" s="8" t="s">
        <v>186</v>
      </c>
      <c r="P45" s="4"/>
    </row>
    <row r="46" spans="1:16" s="9" customFormat="1" ht="14.25" customHeight="1" x14ac:dyDescent="0.2">
      <c r="A46" s="5" t="s">
        <v>279</v>
      </c>
      <c r="B46" s="180">
        <v>46022</v>
      </c>
      <c r="C46" s="5"/>
      <c r="D46" s="558">
        <v>46022</v>
      </c>
      <c r="E46" s="517" t="s">
        <v>7</v>
      </c>
      <c r="F46" s="518" t="s">
        <v>30</v>
      </c>
      <c r="G46" s="519"/>
      <c r="H46" s="520"/>
      <c r="I46" s="608">
        <v>1.7500000000000002E-2</v>
      </c>
      <c r="J46" s="518">
        <v>3940000</v>
      </c>
      <c r="K46" s="518">
        <v>14341.736111111109</v>
      </c>
      <c r="L46" s="518">
        <v>15285.77</v>
      </c>
      <c r="M46" s="513">
        <v>0</v>
      </c>
      <c r="N46" s="16"/>
      <c r="O46" s="8" t="s">
        <v>220</v>
      </c>
      <c r="P46" s="4"/>
    </row>
    <row r="47" spans="1:16" s="9" customFormat="1" ht="15" x14ac:dyDescent="0.2">
      <c r="A47" s="4"/>
      <c r="B47" s="180"/>
      <c r="C47" s="5"/>
      <c r="D47" s="507" t="s">
        <v>66</v>
      </c>
      <c r="E47" s="508"/>
      <c r="F47" s="509"/>
      <c r="G47" s="509"/>
      <c r="H47" s="510"/>
      <c r="I47" s="511">
        <v>1.9791666666666676E-2</v>
      </c>
      <c r="J47" s="509"/>
      <c r="K47" s="509">
        <v>417718.16666666674</v>
      </c>
      <c r="L47" s="509">
        <v>417718.19</v>
      </c>
      <c r="M47" s="509">
        <v>0</v>
      </c>
      <c r="N47" s="16"/>
      <c r="O47" s="8"/>
      <c r="P47" s="4"/>
    </row>
    <row r="48" spans="1:16" s="9" customFormat="1" ht="9.75" customHeight="1" x14ac:dyDescent="0.2">
      <c r="A48" s="4"/>
      <c r="B48" s="180"/>
      <c r="C48" s="5"/>
      <c r="D48" s="180"/>
      <c r="E48" s="5"/>
      <c r="F48" s="180"/>
      <c r="G48" s="5"/>
      <c r="H48" s="180"/>
      <c r="I48" s="5"/>
      <c r="J48" s="180"/>
      <c r="K48" s="5"/>
      <c r="L48" s="180"/>
      <c r="M48" s="5"/>
      <c r="N48" s="16"/>
      <c r="O48" s="5"/>
      <c r="P48" s="4"/>
    </row>
    <row r="49" spans="1:17" s="9" customFormat="1" ht="15.75" hidden="1" outlineLevel="1" x14ac:dyDescent="0.2">
      <c r="A49" s="5" t="s">
        <v>258</v>
      </c>
      <c r="B49" s="180">
        <v>45565</v>
      </c>
      <c r="C49" s="5"/>
      <c r="D49" s="595">
        <v>45292</v>
      </c>
      <c r="E49" s="595" t="s">
        <v>7</v>
      </c>
      <c r="F49" s="595" t="s">
        <v>45</v>
      </c>
      <c r="G49" s="596">
        <v>45288</v>
      </c>
      <c r="H49" s="596">
        <v>45320</v>
      </c>
      <c r="I49" s="597">
        <v>0.08</v>
      </c>
      <c r="J49" s="598">
        <v>9160025.6480718162</v>
      </c>
      <c r="K49" s="598">
        <v>65137.96192818322</v>
      </c>
      <c r="L49" s="598">
        <v>65137.96192818322</v>
      </c>
      <c r="M49" s="598"/>
      <c r="N49" s="16"/>
      <c r="O49" s="8"/>
      <c r="P49" s="4"/>
    </row>
    <row r="50" spans="1:17" s="9" customFormat="1" ht="15.75" hidden="1" outlineLevel="1" x14ac:dyDescent="0.2">
      <c r="A50" s="5" t="s">
        <v>267</v>
      </c>
      <c r="B50" s="180">
        <v>45596</v>
      </c>
      <c r="C50" s="5"/>
      <c r="D50" s="595">
        <v>45566</v>
      </c>
      <c r="E50" s="595" t="s">
        <v>7</v>
      </c>
      <c r="F50" s="595" t="s">
        <v>33</v>
      </c>
      <c r="G50" s="596">
        <v>45567</v>
      </c>
      <c r="H50" s="596">
        <v>45598</v>
      </c>
      <c r="I50" s="597">
        <v>3.3534246575342465E-2</v>
      </c>
      <c r="J50" s="598">
        <v>12000000</v>
      </c>
      <c r="K50" s="598">
        <v>32416.438356164377</v>
      </c>
      <c r="L50" s="598">
        <v>0</v>
      </c>
      <c r="M50" s="598"/>
      <c r="N50" s="16"/>
      <c r="O50" s="8"/>
      <c r="P50" s="4"/>
    </row>
    <row r="51" spans="1:17" s="9" customFormat="1" ht="15.75" hidden="1" outlineLevel="1" x14ac:dyDescent="0.2">
      <c r="A51" s="5" t="s">
        <v>267</v>
      </c>
      <c r="B51" s="180">
        <v>45596</v>
      </c>
      <c r="C51" s="5"/>
      <c r="D51" s="595">
        <v>45566</v>
      </c>
      <c r="E51" s="595" t="s">
        <v>7</v>
      </c>
      <c r="F51" s="595" t="s">
        <v>47</v>
      </c>
      <c r="G51" s="596">
        <v>45575</v>
      </c>
      <c r="H51" s="596">
        <v>45606</v>
      </c>
      <c r="I51" s="597">
        <v>3.5268164383561638E-2</v>
      </c>
      <c r="J51" s="598">
        <v>45000000</v>
      </c>
      <c r="K51" s="598">
        <v>92578.931506849302</v>
      </c>
      <c r="L51" s="598">
        <v>0</v>
      </c>
      <c r="M51" s="598"/>
      <c r="N51" s="16"/>
      <c r="O51" s="8"/>
      <c r="P51" s="101" t="s">
        <v>41</v>
      </c>
    </row>
    <row r="52" spans="1:17" s="9" customFormat="1" ht="15.75" hidden="1" outlineLevel="1" x14ac:dyDescent="0.2">
      <c r="A52" s="5" t="s">
        <v>268</v>
      </c>
      <c r="B52" s="180">
        <v>45626</v>
      </c>
      <c r="C52" s="5"/>
      <c r="D52" s="595">
        <v>45597</v>
      </c>
      <c r="E52" s="595" t="s">
        <v>7</v>
      </c>
      <c r="F52" s="595" t="s">
        <v>33</v>
      </c>
      <c r="G52" s="596">
        <v>45598</v>
      </c>
      <c r="H52" s="596">
        <v>45628</v>
      </c>
      <c r="I52" s="597">
        <v>3.3534246575342465E-2</v>
      </c>
      <c r="J52" s="598">
        <v>12000000</v>
      </c>
      <c r="K52" s="598">
        <v>33534.246575342448</v>
      </c>
      <c r="L52" s="598">
        <v>34652.050000000003</v>
      </c>
      <c r="M52" s="598"/>
      <c r="N52" s="16"/>
      <c r="O52" s="8"/>
      <c r="P52" s="4"/>
    </row>
    <row r="53" spans="1:17" s="9" customFormat="1" ht="15.75" hidden="1" outlineLevel="1" x14ac:dyDescent="0.2">
      <c r="A53" s="5" t="s">
        <v>268</v>
      </c>
      <c r="B53" s="180">
        <v>45626</v>
      </c>
      <c r="C53" s="5"/>
      <c r="D53" s="595">
        <v>45597</v>
      </c>
      <c r="E53" s="595" t="s">
        <v>7</v>
      </c>
      <c r="F53" s="595" t="s">
        <v>42</v>
      </c>
      <c r="G53" s="596">
        <v>45606</v>
      </c>
      <c r="H53" s="596">
        <v>45636</v>
      </c>
      <c r="I53" s="597">
        <v>3.4148712328767122E-2</v>
      </c>
      <c r="J53" s="598">
        <v>45136664.130000003</v>
      </c>
      <c r="K53" s="598">
        <v>129716.25874920494</v>
      </c>
      <c r="L53" s="598">
        <v>136664.13</v>
      </c>
      <c r="M53" s="598"/>
      <c r="N53" s="16"/>
      <c r="O53" s="8"/>
      <c r="P53" s="4"/>
    </row>
    <row r="54" spans="1:17" s="9" customFormat="1" ht="15.75" hidden="1" outlineLevel="1" x14ac:dyDescent="0.2">
      <c r="A54" s="5" t="s">
        <v>269</v>
      </c>
      <c r="B54" s="180">
        <v>45657</v>
      </c>
      <c r="C54" s="5"/>
      <c r="D54" s="595">
        <v>45627</v>
      </c>
      <c r="E54" s="595" t="s">
        <v>7</v>
      </c>
      <c r="F54" s="595" t="s">
        <v>33</v>
      </c>
      <c r="G54" s="596">
        <v>45628</v>
      </c>
      <c r="H54" s="596">
        <v>45659</v>
      </c>
      <c r="I54" s="597">
        <v>2.8602739726027396E-2</v>
      </c>
      <c r="J54" s="598">
        <v>12000000</v>
      </c>
      <c r="K54" s="598">
        <v>29884.931506849327</v>
      </c>
      <c r="L54" s="598">
        <v>33534.25</v>
      </c>
      <c r="M54" s="598"/>
      <c r="N54" s="16"/>
      <c r="O54" s="8"/>
      <c r="P54" s="4"/>
    </row>
    <row r="55" spans="1:17" s="9" customFormat="1" ht="15.75" hidden="1" outlineLevel="1" x14ac:dyDescent="0.2">
      <c r="A55" s="5" t="s">
        <v>269</v>
      </c>
      <c r="B55" s="180">
        <v>45657</v>
      </c>
      <c r="C55" s="5"/>
      <c r="D55" s="595">
        <v>45627</v>
      </c>
      <c r="E55" s="595" t="s">
        <v>7</v>
      </c>
      <c r="F55" s="595" t="s">
        <v>42</v>
      </c>
      <c r="G55" s="596">
        <v>45636</v>
      </c>
      <c r="H55" s="596">
        <v>45667</v>
      </c>
      <c r="I55" s="597">
        <v>3.2374356164383562E-2</v>
      </c>
      <c r="J55" s="598">
        <v>45265110.719999999</v>
      </c>
      <c r="K55" s="598">
        <v>128298.87425059937</v>
      </c>
      <c r="L55" s="598">
        <v>128446.59</v>
      </c>
      <c r="M55" s="598"/>
      <c r="N55" s="16"/>
      <c r="O55" s="8"/>
      <c r="P55" s="4"/>
    </row>
    <row r="56" spans="1:17" s="9" customFormat="1" ht="15.75" hidden="1" outlineLevel="1" x14ac:dyDescent="0.2">
      <c r="A56" s="5" t="s">
        <v>269</v>
      </c>
      <c r="B56" s="180">
        <v>45657</v>
      </c>
      <c r="C56" s="5"/>
      <c r="D56" s="595">
        <v>45627</v>
      </c>
      <c r="E56" s="595" t="s">
        <v>52</v>
      </c>
      <c r="F56" s="595" t="s">
        <v>53</v>
      </c>
      <c r="G56" s="596">
        <v>45642</v>
      </c>
      <c r="H56" s="596">
        <v>45367</v>
      </c>
      <c r="I56" s="597">
        <v>3.236E-2</v>
      </c>
      <c r="J56" s="598">
        <v>30000000</v>
      </c>
      <c r="K56" s="598">
        <v>40450</v>
      </c>
      <c r="L56" s="598">
        <v>0</v>
      </c>
      <c r="M56" s="598"/>
      <c r="N56" s="16"/>
      <c r="O56" s="8"/>
      <c r="P56" s="4"/>
    </row>
    <row r="57" spans="1:17" s="9" customFormat="1" ht="15.75" hidden="1" outlineLevel="1" x14ac:dyDescent="0.2">
      <c r="A57" s="4"/>
      <c r="B57" s="180"/>
      <c r="C57" s="5"/>
      <c r="D57" s="590" t="s">
        <v>39</v>
      </c>
      <c r="E57" s="590"/>
      <c r="F57" s="590"/>
      <c r="G57" s="590"/>
      <c r="H57" s="590"/>
      <c r="I57" s="590"/>
      <c r="J57" s="591"/>
      <c r="K57" s="592">
        <v>552017.6428731929</v>
      </c>
      <c r="L57" s="592">
        <v>398434.98192818323</v>
      </c>
      <c r="M57" s="592"/>
      <c r="N57" s="16"/>
      <c r="O57" s="8"/>
      <c r="P57" s="4"/>
    </row>
    <row r="58" spans="1:17" s="9" customFormat="1" ht="15.75" hidden="1" outlineLevel="1" x14ac:dyDescent="0.2">
      <c r="A58" s="5"/>
      <c r="B58" s="180"/>
      <c r="C58" s="5"/>
      <c r="D58" s="221"/>
      <c r="E58" s="221"/>
      <c r="F58" s="221"/>
      <c r="G58" s="221"/>
      <c r="H58" s="221"/>
      <c r="I58" s="221"/>
      <c r="J58" s="599"/>
      <c r="K58" s="599"/>
      <c r="L58" s="599"/>
      <c r="M58" s="599"/>
      <c r="N58" s="16"/>
      <c r="O58" s="8"/>
      <c r="P58" s="4"/>
    </row>
    <row r="59" spans="1:17" s="9" customFormat="1" collapsed="1" x14ac:dyDescent="0.2">
      <c r="A59" s="5" t="s">
        <v>250</v>
      </c>
      <c r="B59" s="180">
        <v>45688</v>
      </c>
      <c r="C59" s="5"/>
      <c r="D59" s="557">
        <v>45688</v>
      </c>
      <c r="E59" s="512" t="s">
        <v>7</v>
      </c>
      <c r="F59" s="513" t="s">
        <v>33</v>
      </c>
      <c r="G59" s="514">
        <v>45659</v>
      </c>
      <c r="H59" s="515">
        <v>45690</v>
      </c>
      <c r="I59" s="516">
        <v>2.8602739726027396E-2</v>
      </c>
      <c r="J59" s="513">
        <v>12000000</v>
      </c>
      <c r="K59" s="513">
        <v>29556.164383561652</v>
      </c>
      <c r="L59" s="513">
        <v>29556.16</v>
      </c>
      <c r="M59" s="513">
        <v>1139.4977168949767</v>
      </c>
      <c r="N59" s="16"/>
      <c r="O59" s="8"/>
      <c r="P59" s="4"/>
    </row>
    <row r="60" spans="1:17" s="9" customFormat="1" x14ac:dyDescent="0.2">
      <c r="A60" s="5" t="s">
        <v>270</v>
      </c>
      <c r="B60" s="180">
        <v>45716</v>
      </c>
      <c r="C60" s="5"/>
      <c r="D60" s="557">
        <v>45716</v>
      </c>
      <c r="E60" s="512" t="s">
        <v>7</v>
      </c>
      <c r="F60" s="513" t="s">
        <v>33</v>
      </c>
      <c r="G60" s="514">
        <v>45659</v>
      </c>
      <c r="H60" s="515">
        <v>45690</v>
      </c>
      <c r="I60" s="516" t="s">
        <v>75</v>
      </c>
      <c r="J60" s="513">
        <v>0</v>
      </c>
      <c r="K60" s="513">
        <v>2860.2739726027394</v>
      </c>
      <c r="L60" s="513">
        <v>30509.59</v>
      </c>
      <c r="M60" s="513">
        <v>110.27397260273972</v>
      </c>
      <c r="N60" s="16"/>
      <c r="O60" s="603">
        <v>128252.05479452055</v>
      </c>
      <c r="P60" s="603">
        <v>128252.05</v>
      </c>
      <c r="Q60" s="9" t="s">
        <v>83</v>
      </c>
    </row>
    <row r="61" spans="1:17" s="9" customFormat="1" x14ac:dyDescent="0.2">
      <c r="A61" s="5" t="s">
        <v>276</v>
      </c>
      <c r="B61" s="180">
        <v>45900</v>
      </c>
      <c r="C61" s="5"/>
      <c r="D61" s="557">
        <v>45900</v>
      </c>
      <c r="E61" s="512" t="s">
        <v>7</v>
      </c>
      <c r="F61" s="513" t="s">
        <v>33</v>
      </c>
      <c r="G61" s="514">
        <v>45874</v>
      </c>
      <c r="H61" s="515">
        <v>45905</v>
      </c>
      <c r="I61" s="516">
        <v>2.1698630136986304E-2</v>
      </c>
      <c r="J61" s="513">
        <v>12000000</v>
      </c>
      <c r="K61" s="513">
        <v>18805.479452054791</v>
      </c>
      <c r="L61" s="513"/>
      <c r="M61" s="513">
        <v>3638.8127853881324</v>
      </c>
      <c r="N61" s="16"/>
      <c r="O61" s="8"/>
      <c r="P61" s="8"/>
    </row>
    <row r="62" spans="1:17" s="9" customFormat="1" x14ac:dyDescent="0.2">
      <c r="A62" s="5" t="s">
        <v>137</v>
      </c>
      <c r="B62" s="180">
        <v>45930</v>
      </c>
      <c r="C62" s="5"/>
      <c r="D62" s="557">
        <v>45930</v>
      </c>
      <c r="E62" s="512" t="s">
        <v>7</v>
      </c>
      <c r="F62" s="513" t="s">
        <v>33</v>
      </c>
      <c r="G62" s="514">
        <v>45905</v>
      </c>
      <c r="H62" s="515">
        <v>45935</v>
      </c>
      <c r="I62" s="516">
        <v>2.1698630136986304E-2</v>
      </c>
      <c r="J62" s="513">
        <v>12000000</v>
      </c>
      <c r="K62" s="513">
        <v>21698.630136986296</v>
      </c>
      <c r="L62" s="513">
        <v>22421.919999999998</v>
      </c>
      <c r="M62" s="513">
        <v>4198.6301369863068</v>
      </c>
      <c r="N62" s="16"/>
      <c r="O62" s="8"/>
      <c r="P62" s="8"/>
    </row>
    <row r="63" spans="1:17" s="9" customFormat="1" x14ac:dyDescent="0.2">
      <c r="A63" s="5" t="s">
        <v>277</v>
      </c>
      <c r="B63" s="180">
        <v>45961</v>
      </c>
      <c r="C63" s="5"/>
      <c r="D63" s="557">
        <v>45961</v>
      </c>
      <c r="E63" s="512" t="s">
        <v>7</v>
      </c>
      <c r="F63" s="513" t="s">
        <v>33</v>
      </c>
      <c r="G63" s="514">
        <v>45935</v>
      </c>
      <c r="H63" s="515">
        <v>45966</v>
      </c>
      <c r="I63" s="516">
        <v>2.1698630136986304E-2</v>
      </c>
      <c r="J63" s="513">
        <v>12000000</v>
      </c>
      <c r="K63" s="513">
        <v>22421.917808219172</v>
      </c>
      <c r="L63" s="513">
        <v>21698.63</v>
      </c>
      <c r="M63" s="513">
        <v>4338.5844748858499</v>
      </c>
      <c r="N63" s="16"/>
      <c r="O63" s="8" t="s">
        <v>167</v>
      </c>
      <c r="P63" s="8"/>
    </row>
    <row r="64" spans="1:17" s="9" customFormat="1" x14ac:dyDescent="0.2">
      <c r="A64" s="5" t="s">
        <v>278</v>
      </c>
      <c r="B64" s="180">
        <v>45991</v>
      </c>
      <c r="C64" s="5"/>
      <c r="D64" s="557">
        <v>45991</v>
      </c>
      <c r="E64" s="512" t="s">
        <v>7</v>
      </c>
      <c r="F64" s="513" t="s">
        <v>33</v>
      </c>
      <c r="G64" s="514">
        <v>45966</v>
      </c>
      <c r="H64" s="515">
        <v>45996</v>
      </c>
      <c r="I64" s="516">
        <v>2.1698630136986304E-2</v>
      </c>
      <c r="J64" s="513">
        <v>12000000</v>
      </c>
      <c r="K64" s="513">
        <v>21698.630136986296</v>
      </c>
      <c r="L64" s="513">
        <v>22421.919999999998</v>
      </c>
      <c r="M64" s="513">
        <v>4198.6301369863068</v>
      </c>
      <c r="N64" s="16"/>
      <c r="O64" s="8" t="s">
        <v>190</v>
      </c>
      <c r="P64" s="8"/>
    </row>
    <row r="65" spans="1:17" s="9" customFormat="1" x14ac:dyDescent="0.2">
      <c r="A65" s="5" t="s">
        <v>279</v>
      </c>
      <c r="B65" s="180">
        <v>46022</v>
      </c>
      <c r="C65" s="5"/>
      <c r="D65" s="558">
        <v>46022</v>
      </c>
      <c r="E65" s="517" t="s">
        <v>7</v>
      </c>
      <c r="F65" s="518" t="s">
        <v>33</v>
      </c>
      <c r="G65" s="519">
        <v>45996</v>
      </c>
      <c r="H65" s="520">
        <v>46027</v>
      </c>
      <c r="I65" s="608">
        <v>2.1698630136986304E-2</v>
      </c>
      <c r="J65" s="518">
        <v>12000000</v>
      </c>
      <c r="K65" s="518">
        <v>22421.917808219172</v>
      </c>
      <c r="L65" s="518">
        <v>21698.63</v>
      </c>
      <c r="M65" s="518">
        <v>4338.5844748858499</v>
      </c>
      <c r="N65" s="16"/>
      <c r="O65" s="8" t="s">
        <v>218</v>
      </c>
      <c r="P65" s="8"/>
    </row>
    <row r="66" spans="1:17" s="9" customFormat="1" ht="15" x14ac:dyDescent="0.2">
      <c r="A66" s="5"/>
      <c r="B66" s="180"/>
      <c r="C66" s="5"/>
      <c r="D66" s="521" t="s">
        <v>228</v>
      </c>
      <c r="E66" s="522"/>
      <c r="F66" s="523"/>
      <c r="G66" s="523"/>
      <c r="H66" s="510"/>
      <c r="I66" s="511">
        <v>2.2849315068493154E-2</v>
      </c>
      <c r="J66" s="509"/>
      <c r="K66" s="509">
        <v>139463.01369863012</v>
      </c>
      <c r="L66" s="509">
        <v>148306.85</v>
      </c>
      <c r="M66" s="509">
        <v>17074.429223744315</v>
      </c>
      <c r="N66" s="16"/>
      <c r="O66" s="8"/>
      <c r="P66" s="8"/>
    </row>
    <row r="67" spans="1:17" s="9" customFormat="1" x14ac:dyDescent="0.2">
      <c r="A67" s="5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8"/>
    </row>
    <row r="68" spans="1:17" s="9" customFormat="1" x14ac:dyDescent="0.2">
      <c r="A68" s="5" t="s">
        <v>137</v>
      </c>
      <c r="B68" s="180">
        <v>45930</v>
      </c>
      <c r="C68" s="5"/>
      <c r="D68" s="557">
        <v>45930</v>
      </c>
      <c r="E68" s="512" t="s">
        <v>7</v>
      </c>
      <c r="F68" s="513" t="s">
        <v>128</v>
      </c>
      <c r="G68" s="514">
        <v>45911</v>
      </c>
      <c r="H68" s="515">
        <v>45941</v>
      </c>
      <c r="I68" s="516">
        <v>2.1205479452054792E-2</v>
      </c>
      <c r="J68" s="513">
        <v>20000000</v>
      </c>
      <c r="K68" s="513">
        <v>22383.561643835612</v>
      </c>
      <c r="L68" s="513"/>
      <c r="M68" s="513">
        <v>3911.3394216133897</v>
      </c>
      <c r="N68" s="16"/>
      <c r="O68" s="8"/>
      <c r="P68" s="8"/>
    </row>
    <row r="69" spans="1:17" s="9" customFormat="1" x14ac:dyDescent="0.2">
      <c r="A69" s="5" t="s">
        <v>277</v>
      </c>
      <c r="B69" s="180">
        <v>45961</v>
      </c>
      <c r="C69" s="5"/>
      <c r="D69" s="557">
        <v>45961</v>
      </c>
      <c r="E69" s="512" t="s">
        <v>7</v>
      </c>
      <c r="F69" s="513" t="s">
        <v>128</v>
      </c>
      <c r="G69" s="514">
        <v>45941</v>
      </c>
      <c r="H69" s="515">
        <v>45972</v>
      </c>
      <c r="I69" s="516">
        <v>2.1205479452054792E-2</v>
      </c>
      <c r="J69" s="513">
        <v>20035342.469999999</v>
      </c>
      <c r="K69" s="513">
        <v>36562.18427972604</v>
      </c>
      <c r="L69" s="513">
        <v>35342.47</v>
      </c>
      <c r="M69" s="513">
        <v>6388.9346561149141</v>
      </c>
      <c r="N69" s="16"/>
      <c r="O69" s="8"/>
      <c r="P69" s="8"/>
    </row>
    <row r="70" spans="1:17" s="9" customFormat="1" x14ac:dyDescent="0.2">
      <c r="A70" s="5" t="s">
        <v>278</v>
      </c>
      <c r="B70" s="180">
        <v>45991</v>
      </c>
      <c r="C70" s="5"/>
      <c r="D70" s="557">
        <v>45991</v>
      </c>
      <c r="E70" s="512" t="s">
        <v>7</v>
      </c>
      <c r="F70" s="513" t="s">
        <v>128</v>
      </c>
      <c r="G70" s="514">
        <v>45972</v>
      </c>
      <c r="H70" s="515">
        <v>46002</v>
      </c>
      <c r="I70" s="516">
        <v>2.1205479452054792E-2</v>
      </c>
      <c r="J70" s="513">
        <v>20071927.550000001</v>
      </c>
      <c r="K70" s="513">
        <v>35445.865474876678</v>
      </c>
      <c r="L70" s="513">
        <v>36585.08</v>
      </c>
      <c r="M70" s="513">
        <v>6193.8673197378139</v>
      </c>
      <c r="N70" s="16"/>
      <c r="O70" s="8" t="s">
        <v>191</v>
      </c>
      <c r="P70" s="8"/>
    </row>
    <row r="71" spans="1:17" s="9" customFormat="1" ht="16.5" x14ac:dyDescent="0.3">
      <c r="A71" s="5" t="s">
        <v>279</v>
      </c>
      <c r="B71" s="180">
        <v>46022</v>
      </c>
      <c r="C71" s="5"/>
      <c r="D71" s="558">
        <v>46022</v>
      </c>
      <c r="E71" s="517" t="s">
        <v>7</v>
      </c>
      <c r="F71" s="518" t="s">
        <v>128</v>
      </c>
      <c r="G71" s="519">
        <v>46002</v>
      </c>
      <c r="H71" s="520">
        <v>46033</v>
      </c>
      <c r="I71" s="608">
        <v>2.1205479452054792E-2</v>
      </c>
      <c r="J71" s="518">
        <v>6000000</v>
      </c>
      <c r="K71" s="518">
        <v>20074.002371438361</v>
      </c>
      <c r="L71" s="518">
        <v>35469.57</v>
      </c>
      <c r="M71" s="518">
        <v>3507.7633342855743</v>
      </c>
      <c r="N71" s="16"/>
      <c r="O71" s="9" t="s">
        <v>219</v>
      </c>
      <c r="P71" s="8">
        <v>107397.12061919176</v>
      </c>
      <c r="Q71" s="604">
        <v>107397.12</v>
      </c>
    </row>
    <row r="72" spans="1:17" s="9" customFormat="1" ht="15" x14ac:dyDescent="0.2">
      <c r="A72" s="5"/>
      <c r="B72" s="180"/>
      <c r="C72" s="5"/>
      <c r="D72" s="521" t="s">
        <v>230</v>
      </c>
      <c r="E72" s="522"/>
      <c r="F72" s="523"/>
      <c r="G72" s="509"/>
      <c r="H72" s="510"/>
      <c r="I72" s="511">
        <v>2.1205479452054792E-2</v>
      </c>
      <c r="J72" s="509"/>
      <c r="K72" s="509">
        <v>114465.6137698767</v>
      </c>
      <c r="L72" s="509">
        <v>107397.12</v>
      </c>
      <c r="M72" s="509">
        <v>20001.904731751692</v>
      </c>
      <c r="N72" s="16"/>
      <c r="O72" s="8"/>
      <c r="P72" s="8"/>
    </row>
    <row r="73" spans="1:17" s="9" customFormat="1" x14ac:dyDescent="0.2">
      <c r="A73" s="5"/>
      <c r="B73" s="18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8"/>
      <c r="P73" s="4"/>
    </row>
    <row r="74" spans="1:17" s="9" customFormat="1" x14ac:dyDescent="0.2">
      <c r="A74" s="5" t="s">
        <v>250</v>
      </c>
      <c r="B74" s="180">
        <v>45688</v>
      </c>
      <c r="C74" s="5"/>
      <c r="D74" s="557">
        <v>45688</v>
      </c>
      <c r="E74" s="512" t="s">
        <v>7</v>
      </c>
      <c r="F74" s="513" t="s">
        <v>42</v>
      </c>
      <c r="G74" s="514">
        <v>45667</v>
      </c>
      <c r="H74" s="515">
        <v>45698</v>
      </c>
      <c r="I74" s="516">
        <v>3.1366356164383567E-2</v>
      </c>
      <c r="J74" s="513">
        <v>45391300.410000004</v>
      </c>
      <c r="K74" s="513">
        <v>123759.00490725489</v>
      </c>
      <c r="L74" s="513">
        <v>126189.69</v>
      </c>
      <c r="M74" s="513">
        <v>16366.278699546527</v>
      </c>
      <c r="N74" s="16"/>
      <c r="O74" s="8"/>
      <c r="P74" s="4"/>
    </row>
    <row r="75" spans="1:17" s="9" customFormat="1" x14ac:dyDescent="0.2">
      <c r="A75" s="5" t="s">
        <v>270</v>
      </c>
      <c r="B75" s="180">
        <v>45716</v>
      </c>
      <c r="C75" s="5"/>
      <c r="D75" s="557">
        <v>45716</v>
      </c>
      <c r="E75" s="512" t="s">
        <v>7</v>
      </c>
      <c r="F75" s="513" t="s">
        <v>79</v>
      </c>
      <c r="G75" s="514">
        <v>45667</v>
      </c>
      <c r="H75" s="515">
        <v>45698</v>
      </c>
      <c r="I75" s="516">
        <v>2.8647123287671234E-2</v>
      </c>
      <c r="J75" s="513">
        <v>40342601.299999997</v>
      </c>
      <c r="K75" s="513">
        <v>97333.85408778413</v>
      </c>
      <c r="L75" s="513">
        <v>122601.54000000001</v>
      </c>
      <c r="M75" s="513">
        <v>13807.779247159113</v>
      </c>
      <c r="N75" s="16"/>
      <c r="O75" s="577"/>
      <c r="P75" s="577"/>
    </row>
    <row r="76" spans="1:17" s="9" customFormat="1" x14ac:dyDescent="0.2">
      <c r="A76" s="5" t="s">
        <v>271</v>
      </c>
      <c r="B76" s="180">
        <v>45747</v>
      </c>
      <c r="C76" s="5"/>
      <c r="D76" s="557">
        <v>45747</v>
      </c>
      <c r="E76" s="512" t="s">
        <v>7</v>
      </c>
      <c r="F76" s="513" t="s">
        <v>79</v>
      </c>
      <c r="G76" s="514">
        <v>45698</v>
      </c>
      <c r="H76" s="515">
        <v>45726</v>
      </c>
      <c r="I76" s="516">
        <v>2.8647123287671234E-2</v>
      </c>
      <c r="J76" s="513">
        <v>0</v>
      </c>
      <c r="K76" s="513">
        <v>32102.763144068489</v>
      </c>
      <c r="L76" s="513">
        <v>89887.739999999991</v>
      </c>
      <c r="M76" s="513">
        <v>4087.0677968462724</v>
      </c>
      <c r="N76" s="16"/>
      <c r="O76" s="603">
        <v>603789.68664576113</v>
      </c>
      <c r="P76" s="603">
        <v>603789.68999999994</v>
      </c>
      <c r="Q76" s="9" t="s">
        <v>83</v>
      </c>
    </row>
    <row r="77" spans="1:17" s="9" customFormat="1" x14ac:dyDescent="0.2">
      <c r="A77" s="5" t="s">
        <v>276</v>
      </c>
      <c r="B77" s="180">
        <v>45900</v>
      </c>
      <c r="C77" s="5"/>
      <c r="D77" s="557">
        <v>45900</v>
      </c>
      <c r="E77" s="512" t="s">
        <v>7</v>
      </c>
      <c r="F77" s="513" t="s">
        <v>79</v>
      </c>
      <c r="G77" s="514">
        <v>45874</v>
      </c>
      <c r="H77" s="515">
        <v>45905</v>
      </c>
      <c r="I77" s="516">
        <v>2.1236054794520547E-2</v>
      </c>
      <c r="J77" s="513">
        <v>100000000</v>
      </c>
      <c r="K77" s="513">
        <v>153371.50684931505</v>
      </c>
      <c r="L77" s="513"/>
      <c r="M77" s="513">
        <v>26982.617960426171</v>
      </c>
      <c r="N77" s="16"/>
      <c r="O77" s="8"/>
      <c r="P77" s="8"/>
    </row>
    <row r="78" spans="1:17" s="9" customFormat="1" x14ac:dyDescent="0.2">
      <c r="A78" s="5" t="s">
        <v>137</v>
      </c>
      <c r="B78" s="180">
        <v>45930</v>
      </c>
      <c r="C78" s="5"/>
      <c r="D78" s="557">
        <v>45930</v>
      </c>
      <c r="E78" s="512" t="s">
        <v>7</v>
      </c>
      <c r="F78" s="513" t="s">
        <v>79</v>
      </c>
      <c r="G78" s="514">
        <v>45905</v>
      </c>
      <c r="H78" s="515">
        <v>45935</v>
      </c>
      <c r="I78" s="516">
        <v>2.124690410958904E-2</v>
      </c>
      <c r="J78" s="513">
        <v>100000000</v>
      </c>
      <c r="K78" s="513">
        <v>177042.46575342468</v>
      </c>
      <c r="L78" s="513">
        <v>182866.03</v>
      </c>
      <c r="M78" s="513">
        <v>31209.132420091304</v>
      </c>
      <c r="N78" s="16"/>
      <c r="O78" s="8"/>
      <c r="P78" s="8"/>
    </row>
    <row r="79" spans="1:17" s="9" customFormat="1" x14ac:dyDescent="0.2">
      <c r="A79" s="5" t="s">
        <v>277</v>
      </c>
      <c r="B79" s="180">
        <v>45961</v>
      </c>
      <c r="C79" s="5"/>
      <c r="D79" s="557">
        <v>45961</v>
      </c>
      <c r="E79" s="512" t="s">
        <v>7</v>
      </c>
      <c r="F79" s="513" t="s">
        <v>79</v>
      </c>
      <c r="G79" s="514">
        <v>45935</v>
      </c>
      <c r="H79" s="515">
        <v>45966</v>
      </c>
      <c r="I79" s="516">
        <v>2.1265643835616438E-2</v>
      </c>
      <c r="J79" s="513">
        <v>5000000</v>
      </c>
      <c r="K79" s="513">
        <v>37188.849315068503</v>
      </c>
      <c r="L79" s="513">
        <v>177057.53</v>
      </c>
      <c r="M79" s="513">
        <v>6563.8493150684935</v>
      </c>
      <c r="N79" s="16"/>
      <c r="O79" s="8"/>
      <c r="P79" s="8"/>
    </row>
    <row r="80" spans="1:17" s="9" customFormat="1" x14ac:dyDescent="0.2">
      <c r="A80" s="5" t="s">
        <v>278</v>
      </c>
      <c r="B80" s="180">
        <v>45991</v>
      </c>
      <c r="C80" s="5"/>
      <c r="D80" s="557">
        <v>45991</v>
      </c>
      <c r="E80" s="512" t="s">
        <v>7</v>
      </c>
      <c r="F80" s="513" t="s">
        <v>79</v>
      </c>
      <c r="G80" s="514">
        <v>45966</v>
      </c>
      <c r="H80" s="515">
        <v>45966</v>
      </c>
      <c r="I80" s="516">
        <v>2.1265643835616438E-2</v>
      </c>
      <c r="J80" s="513">
        <v>0</v>
      </c>
      <c r="K80" s="513">
        <v>1476.7808219178082</v>
      </c>
      <c r="L80" s="513">
        <v>9156.0400000000009</v>
      </c>
      <c r="M80" s="513">
        <v>261.50304414003017</v>
      </c>
      <c r="N80" s="16"/>
      <c r="O80" s="101" t="s">
        <v>200</v>
      </c>
      <c r="P80" s="101"/>
    </row>
    <row r="81" spans="1:17" s="9" customFormat="1" ht="15" x14ac:dyDescent="0.2">
      <c r="A81" s="5"/>
      <c r="B81" s="180"/>
      <c r="C81" s="5"/>
      <c r="D81" s="521" t="s">
        <v>229</v>
      </c>
      <c r="E81" s="522"/>
      <c r="F81" s="523"/>
      <c r="G81" s="509"/>
      <c r="H81" s="510"/>
      <c r="I81" s="511">
        <v>2.48106927592955E-2</v>
      </c>
      <c r="J81" s="509"/>
      <c r="K81" s="509">
        <v>622275.22487883351</v>
      </c>
      <c r="L81" s="509">
        <v>707758.57000000007</v>
      </c>
      <c r="M81" s="509">
        <v>99278.228483277911</v>
      </c>
      <c r="N81" s="16"/>
      <c r="O81" s="8"/>
      <c r="P81" s="8"/>
    </row>
    <row r="83" spans="1:17" s="9" customFormat="1" x14ac:dyDescent="0.2">
      <c r="A83" s="5" t="s">
        <v>276</v>
      </c>
      <c r="B83" s="180">
        <v>45900</v>
      </c>
      <c r="C83" s="5"/>
      <c r="D83" s="557">
        <v>45900</v>
      </c>
      <c r="E83" s="512" t="s">
        <v>7</v>
      </c>
      <c r="F83" s="513" t="s">
        <v>119</v>
      </c>
      <c r="G83" s="514">
        <v>45880</v>
      </c>
      <c r="H83" s="515">
        <v>45911</v>
      </c>
      <c r="I83" s="516">
        <v>1.8443835616438357E-2</v>
      </c>
      <c r="J83" s="513">
        <v>90000000</v>
      </c>
      <c r="K83" s="513">
        <v>92219.178082191793</v>
      </c>
      <c r="L83" s="513"/>
      <c r="M83" s="513">
        <v>4719.1780821917746</v>
      </c>
      <c r="N83" s="16"/>
      <c r="O83" s="8"/>
      <c r="P83" s="8"/>
    </row>
    <row r="84" spans="1:17" s="9" customFormat="1" x14ac:dyDescent="0.2">
      <c r="A84" s="5" t="s">
        <v>137</v>
      </c>
      <c r="B84" s="180">
        <v>45930</v>
      </c>
      <c r="C84" s="5"/>
      <c r="D84" s="557">
        <v>45930</v>
      </c>
      <c r="E84" s="512" t="s">
        <v>7</v>
      </c>
      <c r="F84" s="513" t="s">
        <v>119</v>
      </c>
      <c r="G84" s="514">
        <v>45880</v>
      </c>
      <c r="H84" s="515">
        <v>45911</v>
      </c>
      <c r="I84" s="516">
        <v>1.8443835616438357E-2</v>
      </c>
      <c r="J84" s="513">
        <v>0</v>
      </c>
      <c r="K84" s="513">
        <v>50720.547945205486</v>
      </c>
      <c r="L84" s="513">
        <v>142939.73000000001</v>
      </c>
      <c r="M84" s="513">
        <v>2595.547945205476</v>
      </c>
      <c r="N84" s="16"/>
      <c r="O84" s="101"/>
      <c r="P84" s="8"/>
    </row>
    <row r="85" spans="1:17" s="9" customFormat="1" ht="15" x14ac:dyDescent="0.2">
      <c r="A85" s="5"/>
      <c r="B85" s="180"/>
      <c r="C85" s="5"/>
      <c r="D85" s="521" t="s">
        <v>231</v>
      </c>
      <c r="E85" s="522"/>
      <c r="F85" s="523"/>
      <c r="G85" s="509"/>
      <c r="H85" s="510"/>
      <c r="I85" s="511">
        <v>1.8443835616438357E-2</v>
      </c>
      <c r="J85" s="509"/>
      <c r="K85" s="509">
        <v>142939.72602739726</v>
      </c>
      <c r="L85" s="509">
        <v>142939.73000000001</v>
      </c>
      <c r="M85" s="509">
        <v>7314.7260273972506</v>
      </c>
      <c r="N85" s="16"/>
      <c r="O85" s="8"/>
      <c r="P85" s="8"/>
    </row>
    <row r="86" spans="1:17" s="9" customFormat="1" ht="16.5" x14ac:dyDescent="0.3">
      <c r="A86" s="5"/>
      <c r="B86" s="180"/>
      <c r="C86" s="5"/>
      <c r="D86" s="605"/>
      <c r="E86" s="605"/>
      <c r="F86" s="483"/>
      <c r="G86" s="606"/>
      <c r="H86" s="606"/>
      <c r="I86" s="607"/>
      <c r="J86" s="599"/>
      <c r="K86" s="599"/>
      <c r="L86" s="599"/>
      <c r="M86" s="599"/>
      <c r="N86" s="16"/>
      <c r="P86" s="8"/>
      <c r="Q86" s="604"/>
    </row>
    <row r="87" spans="1:17" s="9" customFormat="1" x14ac:dyDescent="0.2">
      <c r="A87" s="5" t="s">
        <v>250</v>
      </c>
      <c r="B87" s="180">
        <v>45688</v>
      </c>
      <c r="C87" s="5"/>
      <c r="D87" s="557">
        <v>45688</v>
      </c>
      <c r="E87" s="512" t="s">
        <v>52</v>
      </c>
      <c r="F87" s="513" t="s">
        <v>53</v>
      </c>
      <c r="G87" s="514">
        <v>45642</v>
      </c>
      <c r="H87" s="515">
        <v>45732</v>
      </c>
      <c r="I87" s="516">
        <v>3.236E-2</v>
      </c>
      <c r="J87" s="513">
        <v>30000000</v>
      </c>
      <c r="K87" s="513">
        <v>83596.666666666672</v>
      </c>
      <c r="L87" s="513">
        <v>0</v>
      </c>
      <c r="M87" s="513">
        <v>12555</v>
      </c>
      <c r="N87" s="16"/>
      <c r="O87" s="601" t="s">
        <v>85</v>
      </c>
      <c r="P87" s="602"/>
    </row>
    <row r="88" spans="1:17" s="9" customFormat="1" x14ac:dyDescent="0.2">
      <c r="A88" s="5" t="s">
        <v>270</v>
      </c>
      <c r="B88" s="180">
        <v>45716</v>
      </c>
      <c r="C88" s="5"/>
      <c r="D88" s="557">
        <v>45716</v>
      </c>
      <c r="E88" s="512" t="s">
        <v>52</v>
      </c>
      <c r="F88" s="513" t="s">
        <v>53</v>
      </c>
      <c r="G88" s="514">
        <v>45642</v>
      </c>
      <c r="H88" s="515">
        <v>45732</v>
      </c>
      <c r="I88" s="516">
        <v>3.236E-2</v>
      </c>
      <c r="J88" s="513">
        <v>30000000</v>
      </c>
      <c r="K88" s="513">
        <v>75506.666666666657</v>
      </c>
      <c r="L88" s="513">
        <v>0</v>
      </c>
      <c r="M88" s="513">
        <v>16131.66666666665</v>
      </c>
      <c r="N88" s="16"/>
      <c r="O88" s="603"/>
      <c r="P88" s="602"/>
    </row>
    <row r="89" spans="1:17" s="9" customFormat="1" x14ac:dyDescent="0.2">
      <c r="A89" s="5" t="s">
        <v>271</v>
      </c>
      <c r="B89" s="180">
        <v>45747</v>
      </c>
      <c r="C89" s="5"/>
      <c r="D89" s="557">
        <v>45747</v>
      </c>
      <c r="E89" s="512" t="s">
        <v>52</v>
      </c>
      <c r="F89" s="513" t="s">
        <v>53</v>
      </c>
      <c r="G89" s="514">
        <v>45642</v>
      </c>
      <c r="H89" s="515">
        <v>45732</v>
      </c>
      <c r="I89" s="516">
        <v>3.236E-2</v>
      </c>
      <c r="J89" s="513">
        <v>0</v>
      </c>
      <c r="K89" s="513">
        <v>43146.666666666664</v>
      </c>
      <c r="L89" s="513">
        <v>242700</v>
      </c>
      <c r="M89" s="513">
        <v>10646.666666666661</v>
      </c>
      <c r="N89" s="16"/>
      <c r="O89" s="603">
        <v>242699.99999999997</v>
      </c>
      <c r="P89" s="603">
        <v>242700</v>
      </c>
      <c r="Q89" s="9" t="s">
        <v>83</v>
      </c>
    </row>
    <row r="90" spans="1:17" s="9" customFormat="1" ht="15" x14ac:dyDescent="0.2">
      <c r="A90" s="5"/>
      <c r="B90" s="180"/>
      <c r="C90" s="5"/>
      <c r="D90" s="521" t="s">
        <v>232</v>
      </c>
      <c r="E90" s="522"/>
      <c r="F90" s="523"/>
      <c r="G90" s="509"/>
      <c r="H90" s="510"/>
      <c r="I90" s="511">
        <v>3.236E-2</v>
      </c>
      <c r="J90" s="509"/>
      <c r="K90" s="509">
        <v>202249.99999999997</v>
      </c>
      <c r="L90" s="509">
        <v>242700</v>
      </c>
      <c r="M90" s="509">
        <v>39333.333333333314</v>
      </c>
      <c r="N90" s="16"/>
      <c r="O90" s="8"/>
      <c r="P90" s="8"/>
    </row>
    <row r="92" spans="1:17" s="9" customFormat="1" x14ac:dyDescent="0.2">
      <c r="A92" s="5" t="s">
        <v>278</v>
      </c>
      <c r="B92" s="180">
        <v>45991</v>
      </c>
      <c r="C92" s="5"/>
      <c r="D92" s="557">
        <v>45991</v>
      </c>
      <c r="E92" s="512" t="s">
        <v>7</v>
      </c>
      <c r="F92" s="513" t="s">
        <v>187</v>
      </c>
      <c r="G92" s="514">
        <v>45966</v>
      </c>
      <c r="H92" s="515">
        <v>46361</v>
      </c>
      <c r="I92" s="516">
        <v>2.579E-2</v>
      </c>
      <c r="J92" s="513">
        <v>15000000</v>
      </c>
      <c r="K92" s="513">
        <v>26864.583333333325</v>
      </c>
      <c r="L92" s="513"/>
      <c r="M92" s="513">
        <v>8635.4166666666679</v>
      </c>
      <c r="N92" s="16"/>
      <c r="O92" s="8"/>
      <c r="P92" s="8"/>
    </row>
    <row r="93" spans="1:17" s="9" customFormat="1" ht="16.5" x14ac:dyDescent="0.3">
      <c r="A93" s="5" t="s">
        <v>279</v>
      </c>
      <c r="B93" s="180">
        <v>46022</v>
      </c>
      <c r="C93" s="5"/>
      <c r="D93" s="557">
        <v>46022</v>
      </c>
      <c r="E93" s="512" t="s">
        <v>7</v>
      </c>
      <c r="F93" s="513" t="s">
        <v>187</v>
      </c>
      <c r="G93" s="514">
        <v>46361</v>
      </c>
      <c r="H93" s="515">
        <v>46027</v>
      </c>
      <c r="I93" s="516">
        <v>2.579E-2</v>
      </c>
      <c r="J93" s="513">
        <v>15000000</v>
      </c>
      <c r="K93" s="513">
        <v>33312.083333333321</v>
      </c>
      <c r="L93" s="513"/>
      <c r="M93" s="513">
        <v>10707.916666666664</v>
      </c>
      <c r="N93" s="16"/>
      <c r="O93" s="336"/>
      <c r="P93" s="8"/>
    </row>
    <row r="94" spans="1:17" s="9" customFormat="1" ht="15" x14ac:dyDescent="0.2">
      <c r="A94" s="4"/>
      <c r="B94" s="180"/>
      <c r="C94" s="5"/>
      <c r="D94" s="521" t="s">
        <v>233</v>
      </c>
      <c r="E94" s="522"/>
      <c r="F94" s="523"/>
      <c r="G94" s="509"/>
      <c r="H94" s="510"/>
      <c r="I94" s="511">
        <v>2.579E-2</v>
      </c>
      <c r="J94" s="509"/>
      <c r="K94" s="509">
        <v>60176.666666666642</v>
      </c>
      <c r="L94" s="509">
        <v>0</v>
      </c>
      <c r="M94" s="509">
        <v>19343.333333333332</v>
      </c>
      <c r="N94" s="16"/>
      <c r="O94" s="8"/>
      <c r="P94" s="4"/>
    </row>
    <row r="95" spans="1:17" s="9" customFormat="1" ht="8.25" customHeight="1" x14ac:dyDescent="0.3">
      <c r="A95" s="5"/>
      <c r="B95" s="18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336"/>
      <c r="P95" s="8"/>
    </row>
    <row r="96" spans="1:17" s="9" customFormat="1" ht="15" x14ac:dyDescent="0.2">
      <c r="A96" s="4"/>
      <c r="B96" s="180"/>
      <c r="C96" s="5"/>
      <c r="D96" s="610" t="s">
        <v>67</v>
      </c>
      <c r="E96" s="611"/>
      <c r="F96" s="612"/>
      <c r="G96" s="612"/>
      <c r="H96" s="613"/>
      <c r="I96" s="614"/>
      <c r="J96" s="615"/>
      <c r="K96" s="609">
        <v>1281570.2450414044</v>
      </c>
      <c r="L96" s="609">
        <v>1349102.27</v>
      </c>
      <c r="M96" s="609">
        <v>202345.95513283784</v>
      </c>
      <c r="N96" s="16"/>
      <c r="O96" s="8"/>
      <c r="P96" s="4"/>
    </row>
    <row r="97" spans="1:16" s="9" customFormat="1" x14ac:dyDescent="0.2">
      <c r="A97" s="4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8"/>
      <c r="P97" s="4"/>
    </row>
    <row r="98" spans="1:16" s="9" customFormat="1" x14ac:dyDescent="0.2">
      <c r="A98" s="4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8"/>
      <c r="P98" s="4"/>
    </row>
    <row r="99" spans="1:16" s="9" customFormat="1" ht="15" x14ac:dyDescent="0.2">
      <c r="A99" s="4"/>
      <c r="B99" s="180"/>
      <c r="C99" s="5"/>
      <c r="D99" s="524" t="s">
        <v>234</v>
      </c>
      <c r="E99" s="525"/>
      <c r="F99" s="526"/>
      <c r="G99" s="526"/>
      <c r="H99" s="527"/>
      <c r="I99" s="528"/>
      <c r="J99" s="526"/>
      <c r="K99" s="526"/>
      <c r="L99" s="526"/>
      <c r="M99" s="529"/>
      <c r="N99" s="5"/>
      <c r="O99" s="5"/>
      <c r="P99" s="5"/>
    </row>
    <row r="100" spans="1:16" s="9" customFormat="1" x14ac:dyDescent="0.2">
      <c r="A100" s="4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8"/>
      <c r="P100" s="4"/>
    </row>
    <row r="101" spans="1:16" s="9" customFormat="1" x14ac:dyDescent="0.2">
      <c r="A101" s="5" t="s">
        <v>277</v>
      </c>
      <c r="B101" s="180">
        <v>45961</v>
      </c>
      <c r="C101" s="5"/>
      <c r="D101" s="557">
        <v>45961</v>
      </c>
      <c r="E101" s="512" t="s">
        <v>7</v>
      </c>
      <c r="F101" s="513" t="s">
        <v>156</v>
      </c>
      <c r="G101" s="514">
        <v>45940</v>
      </c>
      <c r="H101" s="515"/>
      <c r="I101" s="516">
        <v>2.0776281006125479E-2</v>
      </c>
      <c r="J101" s="513">
        <v>51915240.899999999</v>
      </c>
      <c r="K101" s="513">
        <v>106697.4999999851</v>
      </c>
      <c r="L101" s="513">
        <v>106697.4999999851</v>
      </c>
      <c r="M101" s="513">
        <v>16053.304222210296</v>
      </c>
      <c r="N101" s="180"/>
      <c r="O101" s="408" t="s">
        <v>181</v>
      </c>
      <c r="P101" s="4"/>
    </row>
    <row r="102" spans="1:16" s="9" customFormat="1" x14ac:dyDescent="0.2">
      <c r="A102" s="5" t="s">
        <v>278</v>
      </c>
      <c r="B102" s="180">
        <v>45991</v>
      </c>
      <c r="C102" s="5"/>
      <c r="D102" s="557">
        <v>45991</v>
      </c>
      <c r="E102" s="512" t="s">
        <v>7</v>
      </c>
      <c r="F102" s="513" t="s">
        <v>156</v>
      </c>
      <c r="G102" s="514"/>
      <c r="H102" s="515"/>
      <c r="I102" s="516">
        <v>2.0810420625438919E-2</v>
      </c>
      <c r="J102" s="513">
        <v>36896168.399999999</v>
      </c>
      <c r="K102" s="513">
        <v>63988.89999999851</v>
      </c>
      <c r="L102" s="513">
        <v>63988.89999999851</v>
      </c>
      <c r="M102" s="513">
        <v>9234.1189777733216</v>
      </c>
      <c r="N102" s="180"/>
      <c r="O102" s="5"/>
      <c r="P102" s="4"/>
    </row>
    <row r="103" spans="1:16" s="9" customFormat="1" x14ac:dyDescent="0.2">
      <c r="A103" s="5" t="s">
        <v>279</v>
      </c>
      <c r="B103" s="180">
        <v>46022</v>
      </c>
      <c r="C103" s="5"/>
      <c r="D103" s="557">
        <v>46022</v>
      </c>
      <c r="E103" s="512" t="s">
        <v>7</v>
      </c>
      <c r="F103" s="513" t="s">
        <v>156</v>
      </c>
      <c r="G103" s="514"/>
      <c r="H103" s="515"/>
      <c r="I103" s="516">
        <v>2.0814459915079263E-2</v>
      </c>
      <c r="J103" s="513">
        <v>67027290</v>
      </c>
      <c r="K103" s="513">
        <v>91236</v>
      </c>
      <c r="L103" s="513">
        <v>91236</v>
      </c>
      <c r="M103" s="513">
        <v>15835.573127777792</v>
      </c>
      <c r="N103" s="5"/>
      <c r="O103" s="5"/>
      <c r="P103" s="5"/>
    </row>
    <row r="104" spans="1:16" s="9" customFormat="1" ht="15" x14ac:dyDescent="0.2">
      <c r="A104" s="4"/>
      <c r="B104" s="180"/>
      <c r="C104" s="5"/>
      <c r="D104" s="521" t="s">
        <v>166</v>
      </c>
      <c r="E104" s="522"/>
      <c r="F104" s="523"/>
      <c r="G104" s="509"/>
      <c r="H104" s="510"/>
      <c r="I104" s="511">
        <v>2.0800387182214556E-2</v>
      </c>
      <c r="J104" s="509"/>
      <c r="K104" s="509">
        <v>261922.39999998361</v>
      </c>
      <c r="L104" s="509">
        <v>261922.39999998361</v>
      </c>
      <c r="M104" s="509">
        <v>41122.996327761415</v>
      </c>
      <c r="N104" s="5"/>
      <c r="O104" s="5"/>
      <c r="P104" s="5"/>
    </row>
    <row r="105" spans="1:16" s="9" customFormat="1" ht="15.75" x14ac:dyDescent="0.2">
      <c r="A105" s="5"/>
      <c r="B105" s="180"/>
      <c r="C105" s="5"/>
      <c r="D105" s="593"/>
      <c r="E105" s="593"/>
      <c r="F105" s="593"/>
      <c r="G105" s="594"/>
      <c r="H105" s="593"/>
      <c r="I105" s="593"/>
      <c r="J105" s="593"/>
      <c r="K105" s="593"/>
      <c r="L105" s="593"/>
      <c r="M105" s="593"/>
      <c r="N105" s="16"/>
      <c r="O105" s="8"/>
      <c r="P105" s="4"/>
    </row>
    <row r="106" spans="1:16" s="9" customFormat="1" x14ac:dyDescent="0.2">
      <c r="A106" s="5" t="s">
        <v>271</v>
      </c>
      <c r="B106" s="180">
        <v>45747</v>
      </c>
      <c r="C106" s="5"/>
      <c r="D106" s="557">
        <v>45747</v>
      </c>
      <c r="E106" s="512" t="s">
        <v>82</v>
      </c>
      <c r="F106" s="513" t="s">
        <v>96</v>
      </c>
      <c r="G106" s="514">
        <v>45726</v>
      </c>
      <c r="H106" s="515"/>
      <c r="I106" s="516">
        <v>2.7519978527620177E-2</v>
      </c>
      <c r="J106" s="513">
        <v>65087622.218981996</v>
      </c>
      <c r="K106" s="513">
        <v>87622.218981996179</v>
      </c>
      <c r="L106" s="513">
        <v>0</v>
      </c>
      <c r="M106" s="513">
        <v>3280.443116992712</v>
      </c>
      <c r="N106" s="16"/>
      <c r="O106" s="101"/>
      <c r="P106" s="4"/>
    </row>
    <row r="107" spans="1:16" s="9" customFormat="1" x14ac:dyDescent="0.2">
      <c r="A107" s="5" t="s">
        <v>272</v>
      </c>
      <c r="B107" s="180">
        <v>45777</v>
      </c>
      <c r="C107" s="5"/>
      <c r="D107" s="557">
        <v>45777</v>
      </c>
      <c r="E107" s="512" t="s">
        <v>82</v>
      </c>
      <c r="F107" s="513" t="s">
        <v>96</v>
      </c>
      <c r="G107" s="514"/>
      <c r="H107" s="515"/>
      <c r="I107" s="516">
        <v>2.6410448262585783E-2</v>
      </c>
      <c r="J107" s="513">
        <v>65245196.602903999</v>
      </c>
      <c r="K107" s="513">
        <v>157574.38392200321</v>
      </c>
      <c r="L107" s="513">
        <v>0</v>
      </c>
      <c r="M107" s="513">
        <v>36669.678660219754</v>
      </c>
      <c r="N107" s="16"/>
      <c r="O107" s="101"/>
      <c r="P107" s="4"/>
    </row>
    <row r="108" spans="1:16" s="9" customFormat="1" x14ac:dyDescent="0.2">
      <c r="A108" s="5" t="s">
        <v>273</v>
      </c>
      <c r="B108" s="180">
        <v>45807</v>
      </c>
      <c r="C108" s="5"/>
      <c r="D108" s="557">
        <v>45807</v>
      </c>
      <c r="E108" s="512" t="s">
        <v>82</v>
      </c>
      <c r="F108" s="513" t="s">
        <v>96</v>
      </c>
      <c r="G108" s="514"/>
      <c r="H108" s="515"/>
      <c r="I108" s="516">
        <v>2.4442774842360539E-2</v>
      </c>
      <c r="J108" s="513">
        <v>65373664.480273992</v>
      </c>
      <c r="K108" s="513">
        <v>128467.87736999243</v>
      </c>
      <c r="L108" s="513">
        <v>0</v>
      </c>
      <c r="M108" s="513">
        <v>25345.537787552512</v>
      </c>
      <c r="N108" s="16"/>
      <c r="O108" s="101"/>
      <c r="P108" s="93"/>
    </row>
    <row r="109" spans="1:16" s="9" customFormat="1" x14ac:dyDescent="0.2">
      <c r="A109" s="5" t="s">
        <v>274</v>
      </c>
      <c r="B109" s="180">
        <v>45838</v>
      </c>
      <c r="C109" s="5"/>
      <c r="D109" s="557">
        <v>45838</v>
      </c>
      <c r="E109" s="512" t="s">
        <v>82</v>
      </c>
      <c r="F109" s="513" t="s">
        <v>96</v>
      </c>
      <c r="G109" s="514"/>
      <c r="H109" s="515"/>
      <c r="I109" s="516">
        <v>2.3098579857164677E-2</v>
      </c>
      <c r="J109" s="513">
        <v>40462399.983359993</v>
      </c>
      <c r="K109" s="513">
        <v>88735.50308599975</v>
      </c>
      <c r="L109" s="513">
        <v>162785.96</v>
      </c>
      <c r="M109" s="513">
        <v>16047.338531557531</v>
      </c>
      <c r="N109" s="16"/>
      <c r="O109" s="101"/>
      <c r="P109" s="93"/>
    </row>
    <row r="110" spans="1:16" s="9" customFormat="1" x14ac:dyDescent="0.2">
      <c r="A110" s="5" t="s">
        <v>275</v>
      </c>
      <c r="B110" s="180">
        <v>45869</v>
      </c>
      <c r="C110" s="5"/>
      <c r="D110" s="557">
        <v>45869</v>
      </c>
      <c r="E110" s="512" t="s">
        <v>82</v>
      </c>
      <c r="F110" s="513" t="s">
        <v>96</v>
      </c>
      <c r="G110" s="514"/>
      <c r="H110" s="515"/>
      <c r="I110" s="516">
        <v>2.1955729583783456E-2</v>
      </c>
      <c r="J110" s="513">
        <v>20514570.973324999</v>
      </c>
      <c r="K110" s="513">
        <v>52170.989965006127</v>
      </c>
      <c r="L110" s="513">
        <v>161843.39000000001</v>
      </c>
      <c r="M110" s="513">
        <v>16102.919253123509</v>
      </c>
      <c r="N110" s="16"/>
      <c r="O110" s="101"/>
      <c r="P110" s="93"/>
    </row>
    <row r="111" spans="1:16" s="9" customFormat="1" x14ac:dyDescent="0.2">
      <c r="A111" s="5" t="s">
        <v>276</v>
      </c>
      <c r="B111" s="600">
        <v>45898</v>
      </c>
      <c r="C111" s="5"/>
      <c r="D111" s="557">
        <v>45900</v>
      </c>
      <c r="E111" s="512" t="s">
        <v>82</v>
      </c>
      <c r="F111" s="513" t="s">
        <v>96</v>
      </c>
      <c r="G111" s="514"/>
      <c r="H111" s="515"/>
      <c r="I111" s="516">
        <v>2.1974010075818347E-2</v>
      </c>
      <c r="J111" s="513">
        <v>20550884.401904996</v>
      </c>
      <c r="K111" s="513">
        <v>36313.428579997271</v>
      </c>
      <c r="L111" s="513"/>
      <c r="M111" s="513">
        <v>6913.234390627571</v>
      </c>
      <c r="N111" s="16"/>
      <c r="O111" s="101"/>
      <c r="P111" s="93"/>
    </row>
    <row r="112" spans="1:16" s="9" customFormat="1" x14ac:dyDescent="0.2">
      <c r="A112" s="5" t="s">
        <v>137</v>
      </c>
      <c r="B112" s="180">
        <v>45930</v>
      </c>
      <c r="C112" s="5"/>
      <c r="D112" s="557">
        <v>45930</v>
      </c>
      <c r="E112" s="512" t="s">
        <v>82</v>
      </c>
      <c r="F112" s="513" t="s">
        <v>96</v>
      </c>
      <c r="G112" s="514"/>
      <c r="H112" s="515"/>
      <c r="I112" s="516">
        <v>2.1956257915507038E-2</v>
      </c>
      <c r="J112" s="513">
        <v>63643588.711851992</v>
      </c>
      <c r="K112" s="513">
        <v>92704.309946995229</v>
      </c>
      <c r="L112" s="513"/>
      <c r="M112" s="513">
        <v>18815.475301252947</v>
      </c>
      <c r="N112" s="16"/>
      <c r="O112" s="101"/>
    </row>
    <row r="113" spans="1:19" s="9" customFormat="1" x14ac:dyDescent="0.2">
      <c r="A113" s="5" t="s">
        <v>277</v>
      </c>
      <c r="B113" s="180">
        <v>45961</v>
      </c>
      <c r="C113" s="5"/>
      <c r="D113" s="557">
        <v>45961</v>
      </c>
      <c r="E113" s="512" t="s">
        <v>82</v>
      </c>
      <c r="F113" s="513" t="s">
        <v>96</v>
      </c>
      <c r="G113" s="514"/>
      <c r="H113" s="515"/>
      <c r="I113" s="516">
        <v>2.1967942649240634E-2</v>
      </c>
      <c r="J113" s="513">
        <v>0</v>
      </c>
      <c r="K113" s="513">
        <v>112626.22916000336</v>
      </c>
      <c r="L113" s="513">
        <v>431585.58999999613</v>
      </c>
      <c r="M113" s="513">
        <v>24915.360828515935</v>
      </c>
      <c r="N113" s="16"/>
      <c r="O113" s="101"/>
    </row>
    <row r="114" spans="1:19" s="9" customFormat="1" ht="15" x14ac:dyDescent="0.2">
      <c r="A114" s="4"/>
      <c r="B114" s="180"/>
      <c r="C114" s="5"/>
      <c r="D114" s="521" t="s">
        <v>171</v>
      </c>
      <c r="E114" s="522"/>
      <c r="F114" s="523"/>
      <c r="G114" s="509"/>
      <c r="H114" s="510"/>
      <c r="I114" s="511">
        <v>2.3665715214260082E-2</v>
      </c>
      <c r="J114" s="509"/>
      <c r="K114" s="509">
        <v>756214.94101199356</v>
      </c>
      <c r="L114" s="509">
        <v>756214.9399999961</v>
      </c>
      <c r="M114" s="509">
        <v>148089.98786984244</v>
      </c>
      <c r="N114" s="16"/>
      <c r="O114" s="101" t="s">
        <v>173</v>
      </c>
    </row>
    <row r="115" spans="1:19" s="9" customForma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01"/>
      <c r="P115" s="4"/>
    </row>
    <row r="116" spans="1:19" s="9" customFormat="1" x14ac:dyDescent="0.2">
      <c r="A116" s="5" t="s">
        <v>277</v>
      </c>
      <c r="B116" s="180">
        <v>45961</v>
      </c>
      <c r="C116" s="5"/>
      <c r="D116" s="557">
        <v>45961</v>
      </c>
      <c r="E116" s="512" t="s">
        <v>162</v>
      </c>
      <c r="F116" s="513" t="s">
        <v>163</v>
      </c>
      <c r="G116" s="514"/>
      <c r="H116" s="515"/>
      <c r="I116" s="516">
        <v>2.2461114297369633E-2</v>
      </c>
      <c r="J116" s="513">
        <v>100024956.45994648</v>
      </c>
      <c r="K116" s="513">
        <v>24956.459946483374</v>
      </c>
      <c r="L116" s="513"/>
      <c r="M116" s="513">
        <v>0</v>
      </c>
      <c r="N116" s="16"/>
      <c r="O116" s="101"/>
    </row>
    <row r="117" spans="1:19" s="9" customFormat="1" x14ac:dyDescent="0.2">
      <c r="A117" s="5" t="s">
        <v>278</v>
      </c>
      <c r="B117" s="180">
        <v>45991</v>
      </c>
      <c r="C117" s="5"/>
      <c r="D117" s="557">
        <v>45991</v>
      </c>
      <c r="E117" s="512" t="s">
        <v>162</v>
      </c>
      <c r="F117" s="513" t="s">
        <v>163</v>
      </c>
      <c r="G117" s="514"/>
      <c r="H117" s="515"/>
      <c r="I117" s="516">
        <v>2.2425954265440362E-2</v>
      </c>
      <c r="J117" s="513">
        <v>100174500.13321139</v>
      </c>
      <c r="K117" s="513">
        <v>149543.67326490581</v>
      </c>
      <c r="L117" s="513"/>
      <c r="M117" s="513">
        <v>33527.91098916698</v>
      </c>
      <c r="N117" s="16"/>
      <c r="O117" s="101"/>
    </row>
    <row r="118" spans="1:19" s="9" customFormat="1" x14ac:dyDescent="0.2">
      <c r="A118" s="5" t="s">
        <v>279</v>
      </c>
      <c r="B118" s="180">
        <v>46022</v>
      </c>
      <c r="C118" s="5"/>
      <c r="D118" s="557">
        <v>46022</v>
      </c>
      <c r="E118" s="512" t="s">
        <v>162</v>
      </c>
      <c r="F118" s="513" t="s">
        <v>163</v>
      </c>
      <c r="G118" s="514"/>
      <c r="H118" s="515"/>
      <c r="I118" s="516">
        <v>2.2419458246552892E-2</v>
      </c>
      <c r="J118" s="513">
        <v>100392847.44101334</v>
      </c>
      <c r="K118" s="513">
        <v>218347.307801947</v>
      </c>
      <c r="L118" s="513"/>
      <c r="M118" s="513">
        <v>42696.069777015211</v>
      </c>
      <c r="N118" s="16"/>
      <c r="O118" s="101"/>
    </row>
    <row r="119" spans="1:19" s="9" customFormat="1" ht="15" x14ac:dyDescent="0.2">
      <c r="A119" s="5"/>
      <c r="B119" s="180"/>
      <c r="C119" s="5"/>
      <c r="D119" s="521" t="s">
        <v>172</v>
      </c>
      <c r="E119" s="522"/>
      <c r="F119" s="523"/>
      <c r="G119" s="509"/>
      <c r="H119" s="510"/>
      <c r="I119" s="511">
        <v>2.2435508936454296E-2</v>
      </c>
      <c r="J119" s="509"/>
      <c r="K119" s="509">
        <v>392847.44101333618</v>
      </c>
      <c r="L119" s="509">
        <v>0</v>
      </c>
      <c r="M119" s="509">
        <v>76223.980766182183</v>
      </c>
      <c r="N119" s="16"/>
      <c r="O119" s="101" t="s">
        <v>182</v>
      </c>
    </row>
    <row r="120" spans="1:19" s="9" customFormat="1" ht="15.75" x14ac:dyDescent="0.2">
      <c r="A120" s="4"/>
      <c r="B120" s="180"/>
      <c r="C120" s="4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16"/>
      <c r="O120" s="101"/>
      <c r="P120" s="4"/>
      <c r="Q120" s="4"/>
      <c r="R120" s="4"/>
      <c r="S120" s="4"/>
    </row>
    <row r="121" spans="1:19" s="9" customFormat="1" ht="14.25" hidden="1" customHeight="1" outlineLevel="1" x14ac:dyDescent="0.2">
      <c r="A121" s="5" t="s">
        <v>258</v>
      </c>
      <c r="B121" s="180">
        <v>45322</v>
      </c>
      <c r="C121" s="5"/>
      <c r="D121" s="587">
        <v>45292</v>
      </c>
      <c r="E121" s="587" t="s">
        <v>37</v>
      </c>
      <c r="F121" s="587"/>
      <c r="G121" s="587"/>
      <c r="H121" s="587"/>
      <c r="I121" s="588"/>
      <c r="J121" s="589"/>
      <c r="K121" s="589">
        <v>679967.40637262759</v>
      </c>
      <c r="L121" s="589">
        <v>720331.86192818324</v>
      </c>
      <c r="M121" s="589"/>
      <c r="N121" s="16"/>
      <c r="O121" s="4"/>
      <c r="P121" s="4"/>
      <c r="Q121" s="4"/>
    </row>
    <row r="122" spans="1:19" s="9" customFormat="1" ht="14.25" hidden="1" customHeight="1" outlineLevel="1" x14ac:dyDescent="0.2">
      <c r="A122" s="5" t="s">
        <v>259</v>
      </c>
      <c r="B122" s="180">
        <v>45351</v>
      </c>
      <c r="C122" s="5"/>
      <c r="D122" s="587">
        <v>45323</v>
      </c>
      <c r="E122" s="587" t="s">
        <v>37</v>
      </c>
      <c r="F122" s="587"/>
      <c r="G122" s="587"/>
      <c r="H122" s="587"/>
      <c r="I122" s="588"/>
      <c r="J122" s="589"/>
      <c r="K122" s="589">
        <v>561355.00000000012</v>
      </c>
      <c r="L122" s="589">
        <v>561355</v>
      </c>
      <c r="M122" s="589"/>
      <c r="N122" s="16"/>
      <c r="O122" s="4"/>
      <c r="P122" s="4"/>
      <c r="Q122" s="4"/>
    </row>
    <row r="123" spans="1:19" s="9" customFormat="1" ht="14.25" hidden="1" customHeight="1" outlineLevel="1" x14ac:dyDescent="0.2">
      <c r="A123" s="5" t="s">
        <v>260</v>
      </c>
      <c r="B123" s="180">
        <v>45382</v>
      </c>
      <c r="C123" s="5"/>
      <c r="D123" s="587">
        <v>45352</v>
      </c>
      <c r="E123" s="587" t="s">
        <v>37</v>
      </c>
      <c r="F123" s="587"/>
      <c r="G123" s="587"/>
      <c r="H123" s="587"/>
      <c r="I123" s="588"/>
      <c r="J123" s="589"/>
      <c r="K123" s="589">
        <v>575024.44444444438</v>
      </c>
      <c r="L123" s="589">
        <v>521528.88</v>
      </c>
      <c r="M123" s="589"/>
      <c r="N123" s="16"/>
      <c r="O123" s="4"/>
      <c r="P123" s="4"/>
      <c r="Q123" s="4"/>
    </row>
    <row r="124" spans="1:19" s="9" customFormat="1" ht="14.25" hidden="1" customHeight="1" outlineLevel="1" x14ac:dyDescent="0.2">
      <c r="A124" s="5" t="s">
        <v>261</v>
      </c>
      <c r="B124" s="180">
        <v>45412</v>
      </c>
      <c r="C124" s="5"/>
      <c r="D124" s="587">
        <v>45383</v>
      </c>
      <c r="E124" s="587" t="s">
        <v>37</v>
      </c>
      <c r="F124" s="587"/>
      <c r="G124" s="587"/>
      <c r="H124" s="587"/>
      <c r="I124" s="588"/>
      <c r="J124" s="589"/>
      <c r="K124" s="589">
        <v>557987.77777777775</v>
      </c>
      <c r="L124" s="589">
        <v>611472.77</v>
      </c>
      <c r="M124" s="589"/>
      <c r="N124" s="16"/>
      <c r="O124" s="4"/>
      <c r="P124" s="4"/>
      <c r="Q124" s="4"/>
    </row>
    <row r="125" spans="1:19" s="9" customFormat="1" ht="14.25" hidden="1" customHeight="1" outlineLevel="1" x14ac:dyDescent="0.2">
      <c r="A125" s="5" t="s">
        <v>262</v>
      </c>
      <c r="B125" s="180">
        <v>45443</v>
      </c>
      <c r="C125" s="5"/>
      <c r="D125" s="587">
        <v>45413</v>
      </c>
      <c r="E125" s="587" t="s">
        <v>37</v>
      </c>
      <c r="F125" s="587"/>
      <c r="G125" s="587"/>
      <c r="H125" s="587"/>
      <c r="I125" s="588"/>
      <c r="J125" s="589"/>
      <c r="K125" s="589">
        <v>536845.00000000012</v>
      </c>
      <c r="L125" s="589">
        <v>539061.67000000004</v>
      </c>
      <c r="M125" s="589"/>
      <c r="N125" s="16"/>
      <c r="O125" s="4"/>
      <c r="P125" s="4"/>
      <c r="Q125" s="4"/>
    </row>
    <row r="126" spans="1:19" s="9" customFormat="1" ht="14.25" hidden="1" customHeight="1" outlineLevel="1" x14ac:dyDescent="0.2">
      <c r="A126" s="5" t="s">
        <v>263</v>
      </c>
      <c r="B126" s="180">
        <v>45473</v>
      </c>
      <c r="C126" s="5"/>
      <c r="D126" s="587">
        <v>45444</v>
      </c>
      <c r="E126" s="587" t="s">
        <v>37</v>
      </c>
      <c r="F126" s="587"/>
      <c r="G126" s="587"/>
      <c r="H126" s="587"/>
      <c r="I126" s="588"/>
      <c r="J126" s="589"/>
      <c r="K126" s="589">
        <v>471724.44444444444</v>
      </c>
      <c r="L126" s="589">
        <v>438295.27</v>
      </c>
      <c r="M126" s="589"/>
      <c r="N126" s="16"/>
      <c r="O126" s="4"/>
      <c r="P126" s="4"/>
      <c r="Q126" s="4"/>
    </row>
    <row r="127" spans="1:19" s="9" customFormat="1" ht="15.75" hidden="1" outlineLevel="1" x14ac:dyDescent="0.2">
      <c r="A127" s="5" t="s">
        <v>264</v>
      </c>
      <c r="B127" s="180">
        <v>45504</v>
      </c>
      <c r="C127" s="5"/>
      <c r="D127" s="587">
        <v>45474</v>
      </c>
      <c r="E127" s="587" t="s">
        <v>37</v>
      </c>
      <c r="F127" s="587"/>
      <c r="G127" s="587"/>
      <c r="H127" s="587"/>
      <c r="I127" s="588"/>
      <c r="J127" s="589"/>
      <c r="K127" s="589">
        <v>509306.66666666651</v>
      </c>
      <c r="L127" s="589">
        <v>542735.84000000008</v>
      </c>
      <c r="M127" s="589"/>
      <c r="N127" s="16"/>
      <c r="O127" s="4"/>
      <c r="P127" s="4"/>
      <c r="Q127" s="4"/>
    </row>
    <row r="128" spans="1:19" s="9" customFormat="1" ht="15.75" hidden="1" outlineLevel="1" x14ac:dyDescent="0.2">
      <c r="A128" s="5" t="s">
        <v>265</v>
      </c>
      <c r="B128" s="180">
        <v>45535</v>
      </c>
      <c r="C128" s="5"/>
      <c r="D128" s="587">
        <v>45505</v>
      </c>
      <c r="E128" s="587" t="s">
        <v>37</v>
      </c>
      <c r="F128" s="587"/>
      <c r="G128" s="587"/>
      <c r="H128" s="587"/>
      <c r="I128" s="588"/>
      <c r="J128" s="589"/>
      <c r="K128" s="589">
        <v>462777.01388888893</v>
      </c>
      <c r="L128" s="589">
        <v>448705.21</v>
      </c>
      <c r="M128" s="589"/>
      <c r="N128" s="16"/>
      <c r="O128" s="4"/>
      <c r="P128" s="4"/>
      <c r="Q128" s="4"/>
    </row>
    <row r="129" spans="1:18" s="9" customFormat="1" ht="15.75" hidden="1" outlineLevel="1" x14ac:dyDescent="0.2">
      <c r="A129" s="5" t="s">
        <v>266</v>
      </c>
      <c r="B129" s="180">
        <v>45565</v>
      </c>
      <c r="C129" s="5"/>
      <c r="D129" s="587">
        <v>45536</v>
      </c>
      <c r="E129" s="587" t="s">
        <v>37</v>
      </c>
      <c r="F129" s="587"/>
      <c r="G129" s="587"/>
      <c r="H129" s="587"/>
      <c r="I129" s="588"/>
      <c r="J129" s="589"/>
      <c r="K129" s="589">
        <v>405311.38888888888</v>
      </c>
      <c r="L129" s="589">
        <v>419383.18999999994</v>
      </c>
      <c r="M129" s="589"/>
      <c r="N129" s="16"/>
      <c r="O129" s="4"/>
      <c r="P129" s="4"/>
      <c r="Q129" s="4"/>
    </row>
    <row r="130" spans="1:18" s="9" customFormat="1" ht="15.75" hidden="1" outlineLevel="1" x14ac:dyDescent="0.2">
      <c r="A130" s="5" t="s">
        <v>267</v>
      </c>
      <c r="B130" s="180">
        <v>45596</v>
      </c>
      <c r="C130" s="5"/>
      <c r="D130" s="587">
        <v>45566</v>
      </c>
      <c r="E130" s="587" t="s">
        <v>37</v>
      </c>
      <c r="F130" s="587"/>
      <c r="G130" s="587"/>
      <c r="H130" s="587"/>
      <c r="I130" s="588"/>
      <c r="J130" s="589"/>
      <c r="K130" s="589">
        <v>359955.70319634705</v>
      </c>
      <c r="L130" s="589">
        <v>234960.33333333334</v>
      </c>
      <c r="M130" s="589"/>
      <c r="N130" s="16"/>
      <c r="O130" s="4"/>
      <c r="P130" s="4"/>
      <c r="Q130" s="4"/>
    </row>
    <row r="131" spans="1:18" s="9" customFormat="1" ht="15.75" hidden="1" outlineLevel="1" x14ac:dyDescent="0.2">
      <c r="A131" s="5" t="s">
        <v>268</v>
      </c>
      <c r="B131" s="180">
        <v>45626</v>
      </c>
      <c r="C131" s="5"/>
      <c r="D131" s="587">
        <v>45597</v>
      </c>
      <c r="E131" s="587" t="s">
        <v>37</v>
      </c>
      <c r="F131" s="587"/>
      <c r="G131" s="587"/>
      <c r="H131" s="587"/>
      <c r="I131" s="588"/>
      <c r="J131" s="589"/>
      <c r="K131" s="589">
        <v>344323.07476899185</v>
      </c>
      <c r="L131" s="589">
        <v>347152.93</v>
      </c>
      <c r="M131" s="589"/>
      <c r="N131" s="16"/>
      <c r="O131" s="4"/>
      <c r="P131" s="4"/>
      <c r="Q131" s="4"/>
    </row>
    <row r="132" spans="1:18" s="9" customFormat="1" ht="15.75" hidden="1" outlineLevel="1" x14ac:dyDescent="0.2">
      <c r="A132" s="5" t="s">
        <v>269</v>
      </c>
      <c r="B132" s="180">
        <v>45657</v>
      </c>
      <c r="C132" s="5"/>
      <c r="D132" s="587">
        <v>45627</v>
      </c>
      <c r="E132" s="587" t="s">
        <v>37</v>
      </c>
      <c r="F132" s="587"/>
      <c r="G132" s="587"/>
      <c r="H132" s="587"/>
      <c r="I132" s="588"/>
      <c r="J132" s="589"/>
      <c r="K132" s="589">
        <v>318643.80575744866</v>
      </c>
      <c r="L132" s="589">
        <v>287226.68</v>
      </c>
      <c r="M132" s="589"/>
      <c r="N132" s="16"/>
      <c r="O132" s="4"/>
      <c r="P132" s="4"/>
      <c r="Q132" s="4"/>
    </row>
    <row r="133" spans="1:18" s="9" customFormat="1" ht="15" hidden="1" customHeight="1" outlineLevel="1" x14ac:dyDescent="0.2">
      <c r="A133" s="5"/>
      <c r="B133" s="5"/>
      <c r="C133" s="5"/>
      <c r="D133" s="590" t="s">
        <v>27</v>
      </c>
      <c r="E133" s="590"/>
      <c r="F133" s="590"/>
      <c r="G133" s="590"/>
      <c r="H133" s="590"/>
      <c r="I133" s="590"/>
      <c r="J133" s="591"/>
      <c r="K133" s="592">
        <v>5783221.7262065271</v>
      </c>
      <c r="L133" s="592">
        <v>5672209.6352615161</v>
      </c>
      <c r="M133" s="592"/>
      <c r="N133" s="16"/>
      <c r="O133" s="4"/>
      <c r="P133" s="4"/>
      <c r="Q133" s="4"/>
    </row>
    <row r="134" spans="1:18" s="9" customFormat="1" ht="15" hidden="1" customHeight="1" outlineLevel="1" x14ac:dyDescent="0.2">
      <c r="A134" s="5"/>
      <c r="B134" s="5"/>
      <c r="C134" s="5"/>
      <c r="D134" s="593"/>
      <c r="E134" s="593"/>
      <c r="F134" s="593"/>
      <c r="G134" s="593"/>
      <c r="H134" s="593"/>
      <c r="I134" s="593"/>
      <c r="J134" s="593"/>
      <c r="K134" s="593"/>
      <c r="L134" s="593"/>
      <c r="M134" s="593"/>
      <c r="N134" s="16"/>
      <c r="O134" s="4"/>
      <c r="P134" s="4"/>
      <c r="Q134" s="4"/>
      <c r="R134" s="5"/>
    </row>
    <row r="135" spans="1:18" s="9" customFormat="1" ht="14.25" customHeight="1" collapsed="1" x14ac:dyDescent="0.2">
      <c r="A135" s="5" t="s">
        <v>250</v>
      </c>
      <c r="B135" s="104">
        <v>45688</v>
      </c>
      <c r="C135" s="5"/>
      <c r="D135" s="559">
        <v>45688</v>
      </c>
      <c r="E135" s="531" t="s">
        <v>37</v>
      </c>
      <c r="F135" s="531"/>
      <c r="G135" s="531"/>
      <c r="H135" s="531"/>
      <c r="I135" s="497">
        <v>3.0670470058771437E-2</v>
      </c>
      <c r="J135" s="532">
        <v>99391300.409999996</v>
      </c>
      <c r="K135" s="532">
        <v>290983.71095748321</v>
      </c>
      <c r="L135" s="498">
        <v>209817.74</v>
      </c>
      <c r="M135" s="498">
        <v>30060.776416441502</v>
      </c>
      <c r="N135" s="16"/>
      <c r="O135" s="4"/>
      <c r="P135" s="222"/>
      <c r="Q135" s="4"/>
    </row>
    <row r="136" spans="1:18" s="9" customFormat="1" ht="14.25" customHeight="1" x14ac:dyDescent="0.2">
      <c r="A136" s="5" t="s">
        <v>270</v>
      </c>
      <c r="B136" s="104">
        <v>45716</v>
      </c>
      <c r="C136" s="5"/>
      <c r="D136" s="559">
        <v>45716</v>
      </c>
      <c r="E136" s="531" t="s">
        <v>37</v>
      </c>
      <c r="F136" s="531"/>
      <c r="G136" s="531"/>
      <c r="H136" s="531"/>
      <c r="I136" s="497">
        <v>2.9359111685427517E-2</v>
      </c>
      <c r="J136" s="532">
        <v>94692601.299999997</v>
      </c>
      <c r="K136" s="532">
        <v>225348.4336159424</v>
      </c>
      <c r="L136" s="498">
        <v>202758.76</v>
      </c>
      <c r="M136" s="530">
        <v>30049.719886428502</v>
      </c>
      <c r="N136" s="16"/>
      <c r="O136" s="4"/>
      <c r="P136" s="222"/>
      <c r="Q136" s="4"/>
    </row>
    <row r="137" spans="1:18" s="9" customFormat="1" ht="14.25" customHeight="1" x14ac:dyDescent="0.2">
      <c r="A137" s="5" t="s">
        <v>271</v>
      </c>
      <c r="B137" s="104">
        <v>45747</v>
      </c>
      <c r="C137" s="5"/>
      <c r="D137" s="559">
        <v>45747</v>
      </c>
      <c r="E137" s="531" t="s">
        <v>37</v>
      </c>
      <c r="F137" s="531"/>
      <c r="G137" s="531"/>
      <c r="H137" s="531"/>
      <c r="I137" s="497">
        <v>2.695135836228087E-2</v>
      </c>
      <c r="J137" s="532">
        <v>86907622.218981996</v>
      </c>
      <c r="K137" s="532">
        <v>219346.50990384244</v>
      </c>
      <c r="L137" s="498">
        <v>389062.61</v>
      </c>
      <c r="M137" s="530">
        <v>18014.177580505646</v>
      </c>
      <c r="N137" s="16"/>
      <c r="O137" s="4"/>
      <c r="P137" s="4"/>
      <c r="Q137" s="4"/>
    </row>
    <row r="138" spans="1:18" s="9" customFormat="1" ht="14.25" customHeight="1" x14ac:dyDescent="0.2">
      <c r="A138" s="5" t="s">
        <v>272</v>
      </c>
      <c r="B138" s="104">
        <v>45777</v>
      </c>
      <c r="C138" s="5"/>
      <c r="D138" s="559">
        <v>45777</v>
      </c>
      <c r="E138" s="531" t="s">
        <v>37</v>
      </c>
      <c r="F138" s="531"/>
      <c r="G138" s="531"/>
      <c r="H138" s="531"/>
      <c r="I138" s="497">
        <v>2.5633495130478277E-2</v>
      </c>
      <c r="J138" s="532">
        <v>76935196.602903992</v>
      </c>
      <c r="K138" s="532">
        <v>186908.62003311433</v>
      </c>
      <c r="L138" s="498">
        <v>29334.240000000002</v>
      </c>
      <c r="M138" s="530">
        <v>36669.678660219754</v>
      </c>
      <c r="N138" s="16"/>
      <c r="O138" s="4"/>
      <c r="P138" s="4"/>
      <c r="Q138" s="4"/>
    </row>
    <row r="139" spans="1:18" s="9" customFormat="1" ht="14.25" customHeight="1" x14ac:dyDescent="0.2">
      <c r="A139" s="5" t="s">
        <v>273</v>
      </c>
      <c r="B139" s="104">
        <v>45808</v>
      </c>
      <c r="C139" s="5"/>
      <c r="D139" s="559">
        <v>45808</v>
      </c>
      <c r="E139" s="531" t="s">
        <v>37</v>
      </c>
      <c r="F139" s="531"/>
      <c r="G139" s="531"/>
      <c r="H139" s="531"/>
      <c r="I139" s="497">
        <v>2.4246870561434836E-2</v>
      </c>
      <c r="J139" s="532">
        <v>71803664.480273992</v>
      </c>
      <c r="K139" s="532">
        <v>143600.65514777022</v>
      </c>
      <c r="L139" s="498">
        <v>14775.55</v>
      </c>
      <c r="M139" s="530">
        <v>25345.537787552512</v>
      </c>
      <c r="N139" s="16"/>
      <c r="O139" s="4"/>
      <c r="P139" s="4"/>
      <c r="Q139" s="4"/>
    </row>
    <row r="140" spans="1:18" s="9" customFormat="1" ht="14.25" customHeight="1" x14ac:dyDescent="0.2">
      <c r="A140" s="5" t="s">
        <v>274</v>
      </c>
      <c r="B140" s="104">
        <v>45838</v>
      </c>
      <c r="C140" s="5"/>
      <c r="D140" s="559">
        <v>45838</v>
      </c>
      <c r="E140" s="531" t="s">
        <v>37</v>
      </c>
      <c r="F140" s="531"/>
      <c r="G140" s="531"/>
      <c r="H140" s="531"/>
      <c r="I140" s="497">
        <v>2.2360338580231589E-2</v>
      </c>
      <c r="J140" s="532">
        <v>51992399.983359993</v>
      </c>
      <c r="K140" s="532">
        <v>103199.94753044419</v>
      </c>
      <c r="L140" s="498">
        <v>177607.62</v>
      </c>
      <c r="M140" s="530">
        <v>16047.338531557531</v>
      </c>
      <c r="N140" s="16"/>
      <c r="O140" s="4"/>
      <c r="P140" s="4"/>
      <c r="Q140" s="4"/>
    </row>
    <row r="141" spans="1:18" s="9" customFormat="1" ht="14.25" customHeight="1" x14ac:dyDescent="0.2">
      <c r="A141" s="5" t="s">
        <v>275</v>
      </c>
      <c r="B141" s="104">
        <v>45869</v>
      </c>
      <c r="C141" s="5"/>
      <c r="D141" s="559">
        <v>45869</v>
      </c>
      <c r="E141" s="531" t="s">
        <v>37</v>
      </c>
      <c r="F141" s="531"/>
      <c r="G141" s="531"/>
      <c r="H141" s="531"/>
      <c r="I141" s="497">
        <v>2.0839183977488664E-2</v>
      </c>
      <c r="J141" s="532">
        <v>26634570.973324999</v>
      </c>
      <c r="K141" s="532">
        <v>66591.476076117237</v>
      </c>
      <c r="L141" s="498">
        <v>176263.88</v>
      </c>
      <c r="M141" s="530">
        <v>16102.919253123509</v>
      </c>
      <c r="N141" s="16"/>
      <c r="O141" s="4"/>
      <c r="P141" s="4"/>
      <c r="Q141" s="4"/>
    </row>
    <row r="142" spans="1:18" s="9" customFormat="1" ht="14.25" customHeight="1" x14ac:dyDescent="0.2">
      <c r="A142" s="5" t="s">
        <v>276</v>
      </c>
      <c r="B142" s="104">
        <v>45900</v>
      </c>
      <c r="C142" s="5"/>
      <c r="D142" s="559">
        <v>45900</v>
      </c>
      <c r="E142" s="531" t="s">
        <v>37</v>
      </c>
      <c r="F142" s="531"/>
      <c r="G142" s="531"/>
      <c r="H142" s="531"/>
      <c r="I142" s="497">
        <v>1.9708300443468565E-2</v>
      </c>
      <c r="J142" s="532">
        <v>238350884.401905</v>
      </c>
      <c r="K142" s="532">
        <v>389596.46796355891</v>
      </c>
      <c r="L142" s="498">
        <v>87350.77</v>
      </c>
      <c r="M142" s="530">
        <v>42253.84321863365</v>
      </c>
      <c r="N142" s="16"/>
      <c r="O142" s="4"/>
      <c r="P142" s="4"/>
      <c r="Q142" s="4"/>
    </row>
    <row r="143" spans="1:18" s="9" customFormat="1" ht="14.25" customHeight="1" x14ac:dyDescent="0.2">
      <c r="A143" s="5" t="s">
        <v>137</v>
      </c>
      <c r="B143" s="104">
        <v>45930</v>
      </c>
      <c r="C143" s="5"/>
      <c r="D143" s="559">
        <v>45930</v>
      </c>
      <c r="E143" s="531" t="s">
        <v>37</v>
      </c>
      <c r="F143" s="531"/>
      <c r="G143" s="531"/>
      <c r="H143" s="531"/>
      <c r="I143" s="497">
        <v>2.0504862685320528E-2</v>
      </c>
      <c r="J143" s="532">
        <v>205088588.71185198</v>
      </c>
      <c r="K143" s="532">
        <v>393522.7098708917</v>
      </c>
      <c r="L143" s="498">
        <v>378736.99</v>
      </c>
      <c r="M143" s="530">
        <v>60730.12522514943</v>
      </c>
      <c r="N143" s="16"/>
      <c r="O143" s="4"/>
      <c r="P143" s="4"/>
      <c r="Q143" s="4"/>
    </row>
    <row r="144" spans="1:18" s="9" customFormat="1" ht="14.25" customHeight="1" x14ac:dyDescent="0.2">
      <c r="A144" s="5" t="s">
        <v>277</v>
      </c>
      <c r="B144" s="104">
        <v>45961</v>
      </c>
      <c r="C144" s="5"/>
      <c r="D144" s="559">
        <v>45961</v>
      </c>
      <c r="E144" s="531" t="s">
        <v>37</v>
      </c>
      <c r="F144" s="531"/>
      <c r="G144" s="531"/>
      <c r="H144" s="531"/>
      <c r="I144" s="497">
        <v>2.0943687604958305E-2</v>
      </c>
      <c r="J144" s="532">
        <v>200219539.82994649</v>
      </c>
      <c r="K144" s="532">
        <v>374393.32106504112</v>
      </c>
      <c r="L144" s="498">
        <v>806321.88999998127</v>
      </c>
      <c r="M144" s="530">
        <v>58260.033496795491</v>
      </c>
      <c r="N144" s="16"/>
      <c r="O144" s="93"/>
      <c r="P144" s="93">
        <v>268038.80000000005</v>
      </c>
      <c r="Q144" s="4"/>
    </row>
    <row r="145" spans="1:17" s="9" customFormat="1" ht="14.25" customHeight="1" x14ac:dyDescent="0.2">
      <c r="A145" s="5" t="s">
        <v>278</v>
      </c>
      <c r="B145" s="104">
        <v>45991</v>
      </c>
      <c r="C145" s="5"/>
      <c r="D145" s="559">
        <v>45991</v>
      </c>
      <c r="E145" s="531" t="s">
        <v>37</v>
      </c>
      <c r="F145" s="531"/>
      <c r="G145" s="531"/>
      <c r="H145" s="531"/>
      <c r="I145" s="497">
        <v>2.1841427660601001E-2</v>
      </c>
      <c r="J145" s="532">
        <v>193852596.08321136</v>
      </c>
      <c r="K145" s="532">
        <v>317048.29414312955</v>
      </c>
      <c r="L145" s="498">
        <v>149237.77999999851</v>
      </c>
      <c r="M145" s="530">
        <v>62051.44713447112</v>
      </c>
      <c r="N145" s="16"/>
      <c r="O145" s="93"/>
      <c r="P145" s="93">
        <v>85248.88</v>
      </c>
      <c r="Q145" s="4"/>
    </row>
    <row r="146" spans="1:17" s="9" customFormat="1" ht="14.25" customHeight="1" x14ac:dyDescent="0.2">
      <c r="A146" s="5" t="s">
        <v>279</v>
      </c>
      <c r="B146" s="104">
        <v>46022</v>
      </c>
      <c r="C146" s="5"/>
      <c r="D146" s="559">
        <v>46022</v>
      </c>
      <c r="E146" s="534" t="s">
        <v>37</v>
      </c>
      <c r="F146" s="534"/>
      <c r="G146" s="534"/>
      <c r="H146" s="534"/>
      <c r="I146" s="535">
        <v>2.1930607998997886E-2</v>
      </c>
      <c r="J146" s="536">
        <v>204360137.44101334</v>
      </c>
      <c r="K146" s="536">
        <v>399733.04742604896</v>
      </c>
      <c r="L146" s="537">
        <v>163689.97</v>
      </c>
      <c r="M146" s="538">
        <v>77085.907380631092</v>
      </c>
      <c r="N146" s="16"/>
      <c r="O146" s="4"/>
      <c r="P146" s="93">
        <v>72453.97</v>
      </c>
      <c r="Q146" s="4"/>
    </row>
    <row r="147" spans="1:17" s="9" customFormat="1" ht="15" customHeight="1" x14ac:dyDescent="0.2">
      <c r="A147" s="5"/>
      <c r="B147" s="5"/>
      <c r="C147" s="5"/>
      <c r="D147" s="507" t="s">
        <v>69</v>
      </c>
      <c r="E147" s="508"/>
      <c r="F147" s="509"/>
      <c r="G147" s="509"/>
      <c r="H147" s="510"/>
      <c r="I147" s="511">
        <v>2.3749142895788288E-2</v>
      </c>
      <c r="J147" s="533"/>
      <c r="K147" s="533">
        <v>3110273.1937333844</v>
      </c>
      <c r="L147" s="533">
        <v>2784957.7999999798</v>
      </c>
      <c r="M147" s="533">
        <v>472671.50457150978</v>
      </c>
      <c r="N147" s="16"/>
      <c r="O147" s="4"/>
      <c r="P147" s="4"/>
      <c r="Q147" s="4"/>
    </row>
    <row r="148" spans="1:17" s="9" customFormat="1" ht="15" customHeight="1" x14ac:dyDescent="0.25">
      <c r="A148" s="5"/>
      <c r="B148" s="5"/>
      <c r="C148" s="5"/>
      <c r="D148" s="555" t="s">
        <v>247</v>
      </c>
      <c r="E148"/>
      <c r="F148"/>
      <c r="G148"/>
      <c r="H148"/>
      <c r="I148"/>
      <c r="J148" s="4"/>
      <c r="K148" s="4"/>
      <c r="L148" s="4"/>
      <c r="M148" s="7"/>
      <c r="N148" s="16"/>
      <c r="O148" s="4"/>
      <c r="P148" s="4"/>
      <c r="Q148" s="4"/>
    </row>
    <row r="149" spans="1:17" s="9" customFormat="1" ht="15" customHeight="1" x14ac:dyDescent="0.25">
      <c r="A149" s="5"/>
      <c r="B149" s="5"/>
      <c r="C149" s="5"/>
      <c r="D149" s="555" t="s">
        <v>90</v>
      </c>
      <c r="E149"/>
      <c r="F149"/>
      <c r="G149"/>
      <c r="H149"/>
      <c r="I149"/>
      <c r="J149" s="4"/>
      <c r="K149" s="4"/>
      <c r="L149" s="222"/>
      <c r="M149" s="7"/>
      <c r="N149" s="16"/>
      <c r="O149" s="4"/>
      <c r="P149" s="4"/>
      <c r="Q149" s="4"/>
    </row>
    <row r="150" spans="1:17" s="9" customFormat="1" ht="15" customHeight="1" x14ac:dyDescent="0.25">
      <c r="A150" s="5"/>
      <c r="B150" s="5"/>
      <c r="C150" s="5"/>
      <c r="D150" s="555" t="s">
        <v>103</v>
      </c>
      <c r="E150"/>
      <c r="F150"/>
      <c r="G150"/>
      <c r="H150"/>
      <c r="I150" s="299"/>
      <c r="J150" s="4"/>
      <c r="K150" s="222"/>
      <c r="L150" s="4"/>
      <c r="M150" s="7"/>
      <c r="N150" s="16"/>
      <c r="O150" s="4"/>
      <c r="P150" s="4"/>
      <c r="Q150" s="4"/>
    </row>
    <row r="151" spans="1:17" s="9" customFormat="1" ht="15" customHeight="1" x14ac:dyDescent="0.25">
      <c r="A151" s="5"/>
      <c r="B151" s="5"/>
      <c r="C151" s="5"/>
      <c r="D151"/>
      <c r="E151"/>
      <c r="F151"/>
      <c r="G151"/>
      <c r="H151"/>
      <c r="I151" s="300"/>
      <c r="J151" s="4"/>
      <c r="K151" s="4"/>
      <c r="L151" s="4"/>
      <c r="M151" s="7"/>
      <c r="N151" s="16"/>
      <c r="O151" s="8"/>
      <c r="P151" s="4"/>
    </row>
    <row r="152" spans="1:17" s="9" customFormat="1" ht="15" customHeight="1" x14ac:dyDescent="0.25">
      <c r="A152" s="5"/>
      <c r="B152" s="5"/>
      <c r="C152" s="5"/>
      <c r="D152"/>
      <c r="E152"/>
      <c r="F152"/>
      <c r="G152"/>
      <c r="H152"/>
      <c r="I152"/>
      <c r="J152" s="4"/>
      <c r="K152" s="4"/>
      <c r="L152" s="4"/>
      <c r="M152" s="7"/>
      <c r="N152" s="16"/>
      <c r="O152" s="8"/>
      <c r="P152" s="4"/>
    </row>
    <row r="153" spans="1:17" s="9" customFormat="1" ht="15" x14ac:dyDescent="0.25">
      <c r="A153" s="5"/>
      <c r="B153" s="5"/>
      <c r="C153" s="5"/>
      <c r="D153"/>
      <c r="E153"/>
      <c r="F153"/>
      <c r="G153"/>
      <c r="H153"/>
      <c r="I153"/>
      <c r="J153" s="4"/>
      <c r="K153" s="4"/>
      <c r="L153" s="4"/>
      <c r="M153" s="7"/>
      <c r="N153" s="16"/>
      <c r="O153" s="8"/>
      <c r="P153" s="4"/>
    </row>
    <row r="154" spans="1:17" s="9" customFormat="1" ht="15" x14ac:dyDescent="0.25">
      <c r="A154" s="5"/>
      <c r="B154" s="5"/>
      <c r="C154" s="5"/>
      <c r="D154"/>
      <c r="E154"/>
      <c r="F154"/>
      <c r="G154"/>
      <c r="H154"/>
      <c r="I154"/>
      <c r="J154" s="4"/>
      <c r="K154" s="4"/>
      <c r="L154" s="4"/>
      <c r="M154" s="7"/>
      <c r="N154" s="16"/>
      <c r="O154" s="8"/>
      <c r="P154" s="4"/>
    </row>
    <row r="155" spans="1:17" s="9" customFormat="1" ht="15" x14ac:dyDescent="0.25">
      <c r="A155" s="5"/>
      <c r="B155" s="5"/>
      <c r="C155" s="5"/>
      <c r="D155" t="s">
        <v>48</v>
      </c>
      <c r="E155" t="s">
        <v>50</v>
      </c>
      <c r="F155"/>
      <c r="G155"/>
      <c r="H155"/>
      <c r="I155"/>
      <c r="J155" s="4"/>
      <c r="K155" s="4"/>
      <c r="L155" s="4"/>
      <c r="M155" s="7"/>
      <c r="N155" s="16"/>
      <c r="O155" s="8"/>
      <c r="P155" s="4"/>
    </row>
    <row r="156" spans="1:17" s="9" customFormat="1" ht="15" x14ac:dyDescent="0.25">
      <c r="A156" s="5"/>
      <c r="B156" s="5"/>
      <c r="C156" s="5"/>
      <c r="D156" t="s">
        <v>49</v>
      </c>
      <c r="E156" t="s">
        <v>50</v>
      </c>
      <c r="F156"/>
      <c r="G156"/>
      <c r="H156"/>
      <c r="I156"/>
      <c r="J156" s="4"/>
      <c r="K156" s="4"/>
      <c r="L156" s="4"/>
      <c r="M156" s="7"/>
      <c r="N156" s="16"/>
      <c r="O156" s="8"/>
      <c r="P156" s="4"/>
    </row>
    <row r="157" spans="1:17" s="9" customFormat="1" ht="15" x14ac:dyDescent="0.25">
      <c r="A157" s="5"/>
      <c r="B157" s="5"/>
      <c r="C157" s="5"/>
      <c r="D157" t="s">
        <v>76</v>
      </c>
      <c r="E157"/>
      <c r="F157"/>
      <c r="G157"/>
      <c r="H157"/>
      <c r="I157"/>
      <c r="J157" s="4"/>
      <c r="K157" s="4"/>
      <c r="L157" s="4"/>
      <c r="M157" s="7"/>
      <c r="N157" s="16"/>
      <c r="O157" s="8"/>
      <c r="P157" s="4"/>
    </row>
    <row r="158" spans="1:17" s="9" customFormat="1" ht="15" x14ac:dyDescent="0.25">
      <c r="A158" s="5"/>
      <c r="B158" s="5"/>
      <c r="C158" s="5"/>
      <c r="D158"/>
      <c r="E158"/>
      <c r="F158"/>
      <c r="G158"/>
      <c r="H158"/>
      <c r="I158"/>
      <c r="J158" s="4"/>
      <c r="K158" s="4"/>
      <c r="L158" s="4"/>
      <c r="M158" s="7"/>
      <c r="N158" s="16"/>
      <c r="O158" s="8"/>
      <c r="P158" s="4"/>
    </row>
    <row r="159" spans="1:17" s="9" customFormat="1" ht="15" x14ac:dyDescent="0.25">
      <c r="A159" s="5"/>
      <c r="B159" s="5"/>
      <c r="C159" s="5"/>
      <c r="D159"/>
      <c r="E159"/>
      <c r="F159"/>
      <c r="G159"/>
      <c r="H159"/>
      <c r="I159"/>
      <c r="J159" s="4"/>
      <c r="K159" s="4"/>
      <c r="L159" s="4"/>
      <c r="M159" s="7"/>
      <c r="N159" s="16"/>
      <c r="O159" s="8"/>
      <c r="P159" s="4"/>
    </row>
    <row r="160" spans="1:17" ht="15" x14ac:dyDescent="0.25">
      <c r="D160"/>
      <c r="E160"/>
      <c r="F160"/>
      <c r="G160"/>
      <c r="H160"/>
      <c r="I160"/>
      <c r="N160" s="16"/>
    </row>
    <row r="161" spans="4:14" ht="15" x14ac:dyDescent="0.25">
      <c r="D161"/>
      <c r="E161"/>
      <c r="F161"/>
      <c r="G161"/>
      <c r="H161"/>
      <c r="I161"/>
      <c r="N161" s="16"/>
    </row>
    <row r="162" spans="4:14" ht="15" x14ac:dyDescent="0.25">
      <c r="D162"/>
      <c r="E162"/>
      <c r="F162"/>
      <c r="G162"/>
      <c r="H162"/>
      <c r="I162"/>
      <c r="N162" s="16"/>
    </row>
    <row r="163" spans="4:14" ht="15" x14ac:dyDescent="0.25">
      <c r="D163"/>
      <c r="E163"/>
      <c r="F163"/>
      <c r="G163"/>
      <c r="H163"/>
      <c r="I163"/>
      <c r="N163" s="16"/>
    </row>
    <row r="164" spans="4:14" ht="15" x14ac:dyDescent="0.25">
      <c r="D164"/>
      <c r="E164"/>
      <c r="F164"/>
      <c r="G164"/>
      <c r="H164"/>
      <c r="I164"/>
      <c r="N164" s="16"/>
    </row>
    <row r="165" spans="4:14" ht="15" x14ac:dyDescent="0.25">
      <c r="D165"/>
      <c r="E165"/>
      <c r="F165"/>
      <c r="G165"/>
      <c r="H165"/>
      <c r="I165"/>
      <c r="N165" s="16"/>
    </row>
    <row r="166" spans="4:14" ht="15" x14ac:dyDescent="0.25">
      <c r="D166"/>
      <c r="E166"/>
      <c r="F166"/>
      <c r="G166"/>
      <c r="H166"/>
      <c r="I166"/>
      <c r="N166" s="16"/>
    </row>
    <row r="167" spans="4:14" ht="15" x14ac:dyDescent="0.25">
      <c r="D167"/>
      <c r="E167"/>
      <c r="F167"/>
      <c r="G167"/>
      <c r="H167"/>
      <c r="I167"/>
      <c r="N167" s="16"/>
    </row>
    <row r="168" spans="4:14" ht="15" x14ac:dyDescent="0.25">
      <c r="D168"/>
      <c r="E168"/>
      <c r="F168"/>
      <c r="G168"/>
      <c r="H168"/>
      <c r="I168"/>
      <c r="N168" s="16"/>
    </row>
    <row r="169" spans="4:14" ht="15" x14ac:dyDescent="0.25">
      <c r="D169"/>
      <c r="E169"/>
      <c r="F169"/>
      <c r="G169"/>
      <c r="H169"/>
      <c r="I169"/>
      <c r="N169" s="16"/>
    </row>
    <row r="170" spans="4:14" ht="15" x14ac:dyDescent="0.25">
      <c r="D170"/>
      <c r="E170"/>
      <c r="F170"/>
      <c r="G170"/>
      <c r="H170"/>
      <c r="I170"/>
      <c r="N170" s="16"/>
    </row>
    <row r="171" spans="4:14" ht="15" x14ac:dyDescent="0.25">
      <c r="D171"/>
      <c r="E171"/>
      <c r="F171"/>
      <c r="G171"/>
      <c r="H171"/>
      <c r="I171"/>
      <c r="N171" s="16"/>
    </row>
    <row r="172" spans="4:14" ht="15" x14ac:dyDescent="0.25">
      <c r="D172"/>
      <c r="E172"/>
      <c r="F172"/>
      <c r="G172"/>
      <c r="H172"/>
      <c r="I172"/>
      <c r="N172" s="16"/>
    </row>
    <row r="173" spans="4:14" ht="15" x14ac:dyDescent="0.25">
      <c r="D173"/>
      <c r="E173"/>
      <c r="F173"/>
      <c r="G173"/>
      <c r="H173"/>
      <c r="I173"/>
      <c r="N173" s="16"/>
    </row>
    <row r="174" spans="4:14" ht="15" x14ac:dyDescent="0.25">
      <c r="D174"/>
      <c r="E174"/>
      <c r="F174"/>
      <c r="G174"/>
      <c r="H174"/>
      <c r="I174"/>
      <c r="N174" s="16"/>
    </row>
    <row r="175" spans="4:14" ht="15" x14ac:dyDescent="0.25">
      <c r="D175"/>
      <c r="E175"/>
      <c r="F175"/>
      <c r="G175"/>
      <c r="H175"/>
      <c r="I175"/>
    </row>
    <row r="176" spans="4:14" ht="15" x14ac:dyDescent="0.25">
      <c r="D176"/>
      <c r="E176"/>
      <c r="F176"/>
      <c r="G176"/>
      <c r="H176"/>
      <c r="I176"/>
    </row>
    <row r="177" spans="4:9" ht="15" x14ac:dyDescent="0.25">
      <c r="D177"/>
      <c r="E177"/>
      <c r="F177"/>
      <c r="G177"/>
      <c r="H177"/>
      <c r="I177"/>
    </row>
    <row r="178" spans="4:9" ht="15" x14ac:dyDescent="0.25">
      <c r="D178"/>
      <c r="E178"/>
      <c r="F178"/>
      <c r="G178"/>
      <c r="H178"/>
      <c r="I178"/>
    </row>
    <row r="179" spans="4:9" ht="15" x14ac:dyDescent="0.25">
      <c r="D179"/>
      <c r="E179"/>
      <c r="F179"/>
      <c r="G179"/>
      <c r="H179"/>
      <c r="I179"/>
    </row>
    <row r="180" spans="4:9" ht="15" x14ac:dyDescent="0.25">
      <c r="D180"/>
      <c r="E180"/>
      <c r="F180"/>
      <c r="G180"/>
      <c r="H180"/>
      <c r="I180"/>
    </row>
    <row r="181" spans="4:9" ht="15" x14ac:dyDescent="0.25">
      <c r="D181"/>
      <c r="E181"/>
      <c r="F181"/>
      <c r="G181"/>
      <c r="H181"/>
      <c r="I181"/>
    </row>
    <row r="182" spans="4:9" ht="15" x14ac:dyDescent="0.25">
      <c r="D182"/>
      <c r="E182"/>
      <c r="F182"/>
      <c r="G182"/>
      <c r="H182"/>
      <c r="I182"/>
    </row>
    <row r="183" spans="4:9" ht="15" x14ac:dyDescent="0.25">
      <c r="D183"/>
      <c r="E183"/>
      <c r="F183"/>
      <c r="G183"/>
      <c r="H183"/>
      <c r="I183"/>
    </row>
    <row r="184" spans="4:9" ht="15" x14ac:dyDescent="0.25">
      <c r="D184"/>
      <c r="E184"/>
      <c r="F184"/>
      <c r="G184"/>
      <c r="H184"/>
      <c r="I184"/>
    </row>
    <row r="185" spans="4:9" ht="15" x14ac:dyDescent="0.25">
      <c r="D185"/>
      <c r="E185"/>
      <c r="F185"/>
      <c r="G185"/>
      <c r="H185"/>
      <c r="I185"/>
    </row>
    <row r="186" spans="4:9" ht="15" x14ac:dyDescent="0.25">
      <c r="D186"/>
      <c r="E186"/>
      <c r="F186"/>
      <c r="G186"/>
      <c r="H186"/>
      <c r="I186"/>
    </row>
    <row r="187" spans="4:9" ht="15" x14ac:dyDescent="0.25">
      <c r="D187"/>
      <c r="E187"/>
      <c r="F187"/>
      <c r="G187"/>
      <c r="H187"/>
      <c r="I187"/>
    </row>
    <row r="188" spans="4:9" ht="15" x14ac:dyDescent="0.25">
      <c r="D188"/>
      <c r="E188"/>
      <c r="F188"/>
      <c r="G188"/>
      <c r="H188"/>
      <c r="I188"/>
    </row>
    <row r="189" spans="4:9" ht="15" x14ac:dyDescent="0.25">
      <c r="D189"/>
      <c r="E189"/>
      <c r="F189"/>
      <c r="G189"/>
      <c r="H189"/>
      <c r="I189"/>
    </row>
    <row r="190" spans="4:9" ht="15" x14ac:dyDescent="0.25">
      <c r="D190"/>
      <c r="E190"/>
      <c r="F190"/>
      <c r="G190"/>
      <c r="H190"/>
      <c r="I190"/>
    </row>
    <row r="191" spans="4:9" ht="15" x14ac:dyDescent="0.25">
      <c r="D191"/>
      <c r="E191"/>
      <c r="F191"/>
      <c r="G191"/>
      <c r="H191"/>
      <c r="I191"/>
    </row>
    <row r="192" spans="4:9" ht="15" x14ac:dyDescent="0.25">
      <c r="D192"/>
      <c r="E192"/>
      <c r="F192"/>
      <c r="G192"/>
      <c r="H192"/>
      <c r="I192"/>
    </row>
    <row r="193" spans="4:9" ht="15" x14ac:dyDescent="0.25">
      <c r="D193"/>
      <c r="E193"/>
      <c r="F193"/>
      <c r="G193"/>
      <c r="H193"/>
      <c r="I193"/>
    </row>
    <row r="194" spans="4:9" ht="15" x14ac:dyDescent="0.25">
      <c r="D194"/>
      <c r="E194"/>
      <c r="F194"/>
      <c r="G194"/>
      <c r="H194"/>
      <c r="I194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3F33-93D3-4CE3-9944-3CC300D7639F}">
  <sheetPr>
    <tabColor theme="9" tint="0.39997558519241921"/>
  </sheetPr>
  <dimension ref="A1:AX741"/>
  <sheetViews>
    <sheetView showGridLines="0" zoomScale="80" zoomScaleNormal="80" workbookViewId="0">
      <pane xSplit="6" ySplit="3" topLeftCell="G422" activePane="bottomRight" state="frozen"/>
      <selection activeCell="G99" sqref="G99"/>
      <selection pane="topRight" activeCell="G99" sqref="G99"/>
      <selection pane="bottomLeft" activeCell="G99" sqref="G99"/>
      <selection pane="bottomRight" activeCell="A437" sqref="A437:XFD437"/>
    </sheetView>
  </sheetViews>
  <sheetFormatPr baseColWidth="10" defaultColWidth="10.85546875" defaultRowHeight="15" x14ac:dyDescent="0.25"/>
  <cols>
    <col min="1" max="1" width="11.140625" style="9" customWidth="1"/>
    <col min="2" max="2" width="12.42578125" style="9" bestFit="1" customWidth="1"/>
    <col min="3" max="3" width="35" style="20" bestFit="1" customWidth="1"/>
    <col min="4" max="4" width="38.5703125" style="20" bestFit="1" customWidth="1"/>
    <col min="5" max="5" width="4.28515625" style="9" bestFit="1" customWidth="1"/>
    <col min="6" max="6" width="2.42578125" style="9" customWidth="1"/>
    <col min="7" max="7" width="10.42578125" style="9" bestFit="1" customWidth="1"/>
    <col min="8" max="8" width="23.140625" style="21" bestFit="1" customWidth="1"/>
    <col min="9" max="9" width="8.5703125" style="22" customWidth="1"/>
    <col min="10" max="10" width="16.140625" style="19" customWidth="1"/>
    <col min="11" max="11" width="20.42578125" style="9" customWidth="1"/>
    <col min="12" max="12" width="7.140625" style="9" customWidth="1"/>
    <col min="13" max="13" width="8.85546875" style="9" customWidth="1"/>
    <col min="14" max="14" width="22.5703125" style="99" customWidth="1"/>
    <col min="15" max="15" width="17.42578125" style="100" customWidth="1"/>
    <col min="16" max="16" width="16.140625" style="19" customWidth="1"/>
    <col min="17" max="18" width="19.5703125" style="9" customWidth="1"/>
    <col min="19" max="19" width="13.140625" style="9" customWidth="1"/>
    <col min="20" max="20" width="8.85546875" style="9" customWidth="1"/>
    <col min="21" max="21" width="22.5703125" style="99" customWidth="1"/>
    <col min="22" max="22" width="17.42578125" style="100" customWidth="1"/>
    <col min="23" max="23" width="16.140625" style="19" customWidth="1"/>
    <col min="24" max="25" width="19.5703125" style="9" customWidth="1"/>
    <col min="26" max="26" width="15.140625" style="9" bestFit="1" customWidth="1"/>
    <col min="27" max="27" width="10.5703125" style="9" bestFit="1" customWidth="1"/>
    <col min="28" max="28" width="22.5703125" style="99" customWidth="1"/>
    <col min="29" max="29" width="10.42578125" style="100" customWidth="1"/>
    <col min="30" max="30" width="16.140625" style="19" customWidth="1"/>
    <col min="31" max="32" width="19.5703125" style="9" customWidth="1"/>
    <col min="33" max="33" width="15.85546875" customWidth="1"/>
    <col min="34" max="36" width="22.5703125" style="99" customWidth="1"/>
    <col min="37" max="37" width="19.5703125" style="9" bestFit="1" customWidth="1"/>
    <col min="38" max="38" width="19.5703125" style="9" customWidth="1"/>
    <col min="39" max="41" width="22.5703125" style="99" customWidth="1"/>
    <col min="42" max="42" width="19.5703125" style="9" bestFit="1" customWidth="1"/>
    <col min="43" max="43" width="19.5703125" style="9" customWidth="1"/>
    <col min="44" max="44" width="23.140625" style="99" bestFit="1" customWidth="1"/>
    <col min="45" max="46" width="22.5703125" style="99" customWidth="1"/>
    <col min="47" max="47" width="22.5703125" style="99" bestFit="1" customWidth="1"/>
    <col min="48" max="48" width="24.5703125" style="99" bestFit="1" customWidth="1"/>
    <col min="49" max="49" width="35.85546875" style="9" bestFit="1" customWidth="1"/>
    <col min="50" max="50" width="24.42578125" style="9" bestFit="1" customWidth="1"/>
    <col min="51" max="16384" width="10.85546875" style="9"/>
  </cols>
  <sheetData>
    <row r="1" spans="2:49" x14ac:dyDescent="0.25">
      <c r="C1" s="169" t="s">
        <v>0</v>
      </c>
      <c r="E1" s="20"/>
      <c r="F1" s="20"/>
      <c r="G1" s="20"/>
      <c r="H1" s="20"/>
      <c r="I1" s="20"/>
      <c r="J1" s="20"/>
      <c r="K1" s="20"/>
      <c r="L1" s="20"/>
      <c r="M1" s="28" t="s">
        <v>11</v>
      </c>
      <c r="N1" s="9"/>
      <c r="O1" s="9"/>
      <c r="P1" s="9"/>
      <c r="T1" s="28" t="s">
        <v>11</v>
      </c>
      <c r="U1" s="9"/>
      <c r="V1" s="9"/>
      <c r="W1" s="9"/>
      <c r="AA1" s="28"/>
      <c r="AB1" s="9"/>
      <c r="AC1" s="9"/>
      <c r="AD1" s="9"/>
      <c r="AH1" s="9"/>
      <c r="AI1" s="9"/>
      <c r="AJ1" s="9"/>
      <c r="AM1" s="9"/>
      <c r="AN1" s="9"/>
      <c r="AO1" s="9"/>
      <c r="AR1" s="9"/>
      <c r="AS1" s="9"/>
      <c r="AT1" s="9"/>
      <c r="AU1" s="9"/>
      <c r="AV1" s="9"/>
    </row>
    <row r="2" spans="2:49" ht="26.25" x14ac:dyDescent="0.25">
      <c r="C2" s="176" t="s">
        <v>70</v>
      </c>
      <c r="D2" s="176" t="s">
        <v>71</v>
      </c>
      <c r="G2" s="714" t="s">
        <v>10</v>
      </c>
      <c r="H2" s="714"/>
      <c r="I2" s="714"/>
      <c r="J2" s="714"/>
      <c r="K2" s="714"/>
      <c r="L2" s="20"/>
      <c r="M2" s="715" t="s">
        <v>118</v>
      </c>
      <c r="N2" s="716"/>
      <c r="O2" s="716"/>
      <c r="P2" s="716"/>
      <c r="Q2" s="716"/>
      <c r="R2" s="717"/>
      <c r="T2" s="715" t="s">
        <v>125</v>
      </c>
      <c r="U2" s="716"/>
      <c r="V2" s="716"/>
      <c r="W2" s="716"/>
      <c r="X2" s="716"/>
      <c r="Y2" s="717"/>
      <c r="AA2" s="715" t="s">
        <v>188</v>
      </c>
      <c r="AB2" s="716"/>
      <c r="AC2" s="716"/>
      <c r="AD2" s="716"/>
      <c r="AE2" s="716"/>
      <c r="AF2" s="717"/>
      <c r="AH2" s="208" t="s">
        <v>170</v>
      </c>
      <c r="AI2" s="208"/>
      <c r="AJ2" s="208"/>
      <c r="AK2" s="209"/>
      <c r="AM2" s="208" t="s">
        <v>154</v>
      </c>
      <c r="AN2" s="208"/>
      <c r="AO2" s="208"/>
      <c r="AP2" s="209"/>
      <c r="AR2" s="9"/>
      <c r="AS2" s="9"/>
      <c r="AT2" s="9"/>
      <c r="AU2" s="9"/>
      <c r="AV2" s="9"/>
    </row>
    <row r="3" spans="2:49" ht="25.5" x14ac:dyDescent="0.25">
      <c r="B3" s="10" t="s">
        <v>74</v>
      </c>
      <c r="C3" s="10" t="s">
        <v>1</v>
      </c>
      <c r="D3" s="10" t="s">
        <v>2</v>
      </c>
      <c r="E3" s="11" t="s">
        <v>3</v>
      </c>
      <c r="G3" s="11" t="s">
        <v>4</v>
      </c>
      <c r="H3" s="12" t="s">
        <v>5</v>
      </c>
      <c r="I3" s="29" t="s">
        <v>6</v>
      </c>
      <c r="J3" s="13" t="s">
        <v>8</v>
      </c>
      <c r="K3" s="11" t="s">
        <v>9</v>
      </c>
      <c r="L3" s="20"/>
      <c r="M3" s="11" t="s">
        <v>4</v>
      </c>
      <c r="N3" s="12" t="s">
        <v>5</v>
      </c>
      <c r="O3" s="29" t="s">
        <v>6</v>
      </c>
      <c r="P3" s="13" t="s">
        <v>8</v>
      </c>
      <c r="Q3" s="11" t="s">
        <v>9</v>
      </c>
      <c r="R3" s="11" t="s">
        <v>58</v>
      </c>
      <c r="T3" s="11" t="s">
        <v>4</v>
      </c>
      <c r="U3" s="12" t="s">
        <v>5</v>
      </c>
      <c r="V3" s="29" t="s">
        <v>6</v>
      </c>
      <c r="W3" s="13" t="s">
        <v>8</v>
      </c>
      <c r="X3" s="11" t="s">
        <v>9</v>
      </c>
      <c r="Y3" s="11" t="s">
        <v>58</v>
      </c>
      <c r="AA3" s="11" t="s">
        <v>4</v>
      </c>
      <c r="AB3" s="12" t="s">
        <v>5</v>
      </c>
      <c r="AC3" s="29" t="s">
        <v>6</v>
      </c>
      <c r="AD3" s="13" t="s">
        <v>8</v>
      </c>
      <c r="AE3" s="11" t="s">
        <v>9</v>
      </c>
      <c r="AF3" s="11" t="s">
        <v>58</v>
      </c>
      <c r="AH3" s="232" t="s">
        <v>86</v>
      </c>
      <c r="AI3" s="233" t="s">
        <v>98</v>
      </c>
      <c r="AJ3" s="238" t="s">
        <v>93</v>
      </c>
      <c r="AK3" s="239" t="s">
        <v>60</v>
      </c>
      <c r="AM3" s="232" t="s">
        <v>86</v>
      </c>
      <c r="AN3" s="346" t="s">
        <v>165</v>
      </c>
      <c r="AO3" s="238" t="s">
        <v>93</v>
      </c>
      <c r="AP3" s="239" t="s">
        <v>60</v>
      </c>
      <c r="AR3" s="12" t="s">
        <v>54</v>
      </c>
      <c r="AS3" s="12" t="s">
        <v>57</v>
      </c>
      <c r="AT3" s="12" t="s">
        <v>55</v>
      </c>
      <c r="AU3" s="12" t="s">
        <v>56</v>
      </c>
      <c r="AV3" s="12" t="s">
        <v>59</v>
      </c>
    </row>
    <row r="4" spans="2:49" x14ac:dyDescent="0.25">
      <c r="U4" s="9"/>
      <c r="V4" s="9"/>
      <c r="W4" s="9"/>
      <c r="AB4" s="9"/>
      <c r="AC4" s="9"/>
      <c r="AH4"/>
      <c r="AI4"/>
      <c r="AJ4"/>
      <c r="AK4"/>
      <c r="AL4"/>
      <c r="AM4"/>
      <c r="AN4"/>
      <c r="AO4"/>
      <c r="AP4"/>
      <c r="AQ4"/>
      <c r="AW4" s="99"/>
    </row>
    <row r="5" spans="2:49" x14ac:dyDescent="0.25">
      <c r="B5" s="9" t="s">
        <v>250</v>
      </c>
      <c r="C5" s="88">
        <v>45657</v>
      </c>
      <c r="D5" s="88">
        <v>45658</v>
      </c>
      <c r="E5" s="89">
        <v>1</v>
      </c>
      <c r="G5" s="11" t="s">
        <v>7</v>
      </c>
      <c r="H5" s="12">
        <v>31100000</v>
      </c>
      <c r="I5" s="14">
        <v>2.75E-2</v>
      </c>
      <c r="J5" s="13">
        <f>+H5*I5*E5/360</f>
        <v>2375.6944444444443</v>
      </c>
      <c r="K5" s="13">
        <f>J5</f>
        <v>2375.6944444444443</v>
      </c>
      <c r="M5" s="11" t="s">
        <v>7</v>
      </c>
      <c r="N5" s="12">
        <v>12000000</v>
      </c>
      <c r="O5" s="97">
        <f t="shared" ref="O5:O10" si="0">2.9%*360/365</f>
        <v>2.8602739726027396E-2</v>
      </c>
      <c r="P5" s="183">
        <f t="shared" ref="P5:P38" si="1">+N5*O5*$E5/360</f>
        <v>953.42465753424653</v>
      </c>
      <c r="Q5" s="13">
        <f>P5</f>
        <v>953.42465753424653</v>
      </c>
      <c r="R5" s="13">
        <f t="shared" ref="R5:R38" si="2">P5-(+N5*I5*$E5/360)</f>
        <v>36.757990867579906</v>
      </c>
      <c r="T5" s="11"/>
      <c r="U5" s="12"/>
      <c r="V5" s="97"/>
      <c r="W5" s="13"/>
      <c r="X5" s="13"/>
      <c r="Y5" s="13"/>
      <c r="AA5" s="11"/>
      <c r="AB5" s="98"/>
      <c r="AC5" s="97"/>
      <c r="AD5" s="13"/>
      <c r="AE5" s="13"/>
      <c r="AF5" s="13"/>
      <c r="AH5" s="235"/>
      <c r="AI5" s="235"/>
      <c r="AJ5" s="90"/>
      <c r="AK5" s="91"/>
      <c r="AM5" s="235"/>
      <c r="AN5" s="235"/>
      <c r="AO5" s="90"/>
      <c r="AP5" s="91"/>
      <c r="AR5" s="106">
        <v>118365110.72</v>
      </c>
      <c r="AS5" s="565">
        <v>0.03</v>
      </c>
      <c r="AT5" s="565">
        <v>3.0700000000000002E-2</v>
      </c>
      <c r="AU5" s="106">
        <v>10096.42</v>
      </c>
      <c r="AV5" s="106">
        <v>1054.6400000000001</v>
      </c>
      <c r="AW5" s="19"/>
    </row>
    <row r="6" spans="2:49" x14ac:dyDescent="0.25">
      <c r="B6" s="9" t="str">
        <f t="shared" ref="B6:B69" si="3">CONCATENATE(MONTH(D6)," ",YEAR(D6))</f>
        <v>1 2025</v>
      </c>
      <c r="C6" s="88">
        <f>D5</f>
        <v>45658</v>
      </c>
      <c r="D6" s="88">
        <f>C6+1</f>
        <v>45659</v>
      </c>
      <c r="E6" s="89">
        <f t="shared" ref="E6:E69" si="4">D6-C6</f>
        <v>1</v>
      </c>
      <c r="G6" s="11" t="s">
        <v>7</v>
      </c>
      <c r="H6" s="12">
        <f>H5</f>
        <v>31100000</v>
      </c>
      <c r="I6" s="14">
        <f>I5</f>
        <v>2.75E-2</v>
      </c>
      <c r="J6" s="13">
        <f>+H6*I6*E6/360</f>
        <v>2375.6944444444443</v>
      </c>
      <c r="K6" s="13">
        <f>J6+K5</f>
        <v>4751.3888888888887</v>
      </c>
      <c r="M6" s="11" t="s">
        <v>7</v>
      </c>
      <c r="N6" s="12">
        <f>N5</f>
        <v>12000000</v>
      </c>
      <c r="O6" s="97">
        <f t="shared" si="0"/>
        <v>2.8602739726027396E-2</v>
      </c>
      <c r="P6" s="183">
        <f t="shared" si="1"/>
        <v>953.42465753424653</v>
      </c>
      <c r="Q6" s="13">
        <f>Q5+P6</f>
        <v>1906.8493150684931</v>
      </c>
      <c r="R6" s="13">
        <f t="shared" si="2"/>
        <v>36.757990867579906</v>
      </c>
      <c r="T6" s="11"/>
      <c r="U6" s="12"/>
      <c r="V6" s="97"/>
      <c r="W6" s="13"/>
      <c r="X6" s="13"/>
      <c r="Y6" s="13"/>
      <c r="AA6" s="11"/>
      <c r="AB6" s="98"/>
      <c r="AC6" s="97"/>
      <c r="AD6" s="13"/>
      <c r="AE6" s="13"/>
      <c r="AF6" s="13"/>
      <c r="AH6" s="235"/>
      <c r="AI6" s="235"/>
      <c r="AJ6" s="90"/>
      <c r="AK6" s="91"/>
      <c r="AM6" s="235"/>
      <c r="AN6" s="235"/>
      <c r="AO6" s="90"/>
      <c r="AP6" s="91"/>
      <c r="AR6" s="106">
        <v>118365110.72</v>
      </c>
      <c r="AS6" s="565">
        <v>0.03</v>
      </c>
      <c r="AT6" s="565">
        <v>3.0700000000000002E-2</v>
      </c>
      <c r="AU6" s="106">
        <v>10096.42</v>
      </c>
      <c r="AV6" s="106">
        <v>1054.6400000000001</v>
      </c>
      <c r="AW6" s="19"/>
    </row>
    <row r="7" spans="2:49" x14ac:dyDescent="0.25">
      <c r="B7" s="9" t="str">
        <f t="shared" si="3"/>
        <v>1 2025</v>
      </c>
      <c r="C7" s="88">
        <f>D6</f>
        <v>45659</v>
      </c>
      <c r="D7" s="88">
        <f>D6+1</f>
        <v>45660</v>
      </c>
      <c r="E7" s="89">
        <f t="shared" si="4"/>
        <v>1</v>
      </c>
      <c r="G7" s="11" t="s">
        <v>7</v>
      </c>
      <c r="H7" s="106">
        <f>H6-4900000</f>
        <v>26200000</v>
      </c>
      <c r="I7" s="14">
        <f>I6</f>
        <v>2.75E-2</v>
      </c>
      <c r="J7" s="13">
        <f>+H7*I7*E7/360</f>
        <v>2001.3888888888889</v>
      </c>
      <c r="K7" s="13">
        <f>K6+J7</f>
        <v>6752.7777777777774</v>
      </c>
      <c r="M7" s="11" t="s">
        <v>7</v>
      </c>
      <c r="N7" s="12">
        <f>N6</f>
        <v>12000000</v>
      </c>
      <c r="O7" s="97">
        <f t="shared" si="0"/>
        <v>2.8602739726027396E-2</v>
      </c>
      <c r="P7" s="112">
        <f t="shared" si="1"/>
        <v>953.42465753424653</v>
      </c>
      <c r="Q7" s="13">
        <f>Q6+P7</f>
        <v>2860.2739726027394</v>
      </c>
      <c r="R7" s="13">
        <f t="shared" si="2"/>
        <v>36.757990867579906</v>
      </c>
      <c r="T7" s="11"/>
      <c r="U7" s="12"/>
      <c r="V7" s="97"/>
      <c r="W7" s="13"/>
      <c r="X7" s="13"/>
      <c r="Y7" s="13"/>
      <c r="AA7" s="11"/>
      <c r="AB7" s="98"/>
      <c r="AC7" s="97"/>
      <c r="AD7" s="13"/>
      <c r="AE7" s="13"/>
      <c r="AF7" s="13"/>
      <c r="AH7" s="235"/>
      <c r="AI7" s="235"/>
      <c r="AJ7" s="90"/>
      <c r="AK7" s="91"/>
      <c r="AM7" s="235"/>
      <c r="AN7" s="235"/>
      <c r="AO7" s="90"/>
      <c r="AP7" s="91"/>
      <c r="AR7" s="106">
        <v>113465110.72</v>
      </c>
      <c r="AS7" s="565">
        <v>0.03</v>
      </c>
      <c r="AT7" s="565">
        <v>3.0800000000000001E-2</v>
      </c>
      <c r="AU7" s="106">
        <v>9722.1200000000008</v>
      </c>
      <c r="AV7" s="106">
        <v>1054.6400000000001</v>
      </c>
      <c r="AW7" s="19"/>
    </row>
    <row r="8" spans="2:49" x14ac:dyDescent="0.25">
      <c r="B8" s="9" t="str">
        <f t="shared" si="3"/>
        <v>1 2025</v>
      </c>
      <c r="C8" s="88">
        <f t="shared" ref="C8:C71" si="5">D7</f>
        <v>45660</v>
      </c>
      <c r="D8" s="88">
        <f t="shared" ref="D8:D71" si="6">D7+1</f>
        <v>45661</v>
      </c>
      <c r="E8" s="89">
        <f t="shared" si="4"/>
        <v>1</v>
      </c>
      <c r="G8" s="11" t="s">
        <v>7</v>
      </c>
      <c r="H8" s="106">
        <f>H7-100000</f>
        <v>26100000</v>
      </c>
      <c r="I8" s="14">
        <f t="shared" ref="I8:I71" si="7">I7</f>
        <v>2.75E-2</v>
      </c>
      <c r="J8" s="13">
        <f t="shared" ref="J8:J71" si="8">+H8*I8*E8/360</f>
        <v>1993.75</v>
      </c>
      <c r="K8" s="13">
        <f t="shared" ref="K8:K71" si="9">K7+J8</f>
        <v>8746.5277777777774</v>
      </c>
      <c r="M8" s="11" t="s">
        <v>7</v>
      </c>
      <c r="N8" s="12">
        <f t="shared" ref="N8:N38" si="10">N7</f>
        <v>12000000</v>
      </c>
      <c r="O8" s="97">
        <f t="shared" si="0"/>
        <v>2.8602739726027396E-2</v>
      </c>
      <c r="P8" s="112">
        <f t="shared" si="1"/>
        <v>953.42465753424653</v>
      </c>
      <c r="Q8" s="13">
        <f t="shared" ref="Q8:Q37" si="11">Q7+P8</f>
        <v>3813.6986301369861</v>
      </c>
      <c r="R8" s="13">
        <f t="shared" si="2"/>
        <v>36.757990867579906</v>
      </c>
      <c r="T8" s="11"/>
      <c r="U8" s="12"/>
      <c r="V8" s="97"/>
      <c r="W8" s="13"/>
      <c r="X8" s="13"/>
      <c r="Y8" s="13"/>
      <c r="AA8" s="11"/>
      <c r="AB8" s="98"/>
      <c r="AC8" s="97"/>
      <c r="AD8" s="13"/>
      <c r="AE8" s="13"/>
      <c r="AF8" s="13"/>
      <c r="AH8" s="235"/>
      <c r="AI8" s="235"/>
      <c r="AJ8" s="90"/>
      <c r="AK8" s="91"/>
      <c r="AM8" s="235"/>
      <c r="AN8" s="235"/>
      <c r="AO8" s="90"/>
      <c r="AP8" s="91"/>
      <c r="AR8" s="106">
        <v>113365110.72</v>
      </c>
      <c r="AS8" s="565">
        <v>0.03</v>
      </c>
      <c r="AT8" s="565">
        <v>3.0800000000000001E-2</v>
      </c>
      <c r="AU8" s="106">
        <v>9714.48</v>
      </c>
      <c r="AV8" s="106">
        <v>1054.6400000000001</v>
      </c>
      <c r="AW8" s="19"/>
    </row>
    <row r="9" spans="2:49" x14ac:dyDescent="0.25">
      <c r="B9" s="9" t="str">
        <f t="shared" si="3"/>
        <v>1 2025</v>
      </c>
      <c r="C9" s="88">
        <f t="shared" si="5"/>
        <v>45661</v>
      </c>
      <c r="D9" s="88">
        <f t="shared" si="6"/>
        <v>45662</v>
      </c>
      <c r="E9" s="89">
        <f t="shared" si="4"/>
        <v>1</v>
      </c>
      <c r="G9" s="11" t="s">
        <v>7</v>
      </c>
      <c r="H9" s="12">
        <f t="shared" ref="H9:H71" si="12">H8</f>
        <v>26100000</v>
      </c>
      <c r="I9" s="14">
        <f t="shared" si="7"/>
        <v>2.75E-2</v>
      </c>
      <c r="J9" s="13">
        <f t="shared" si="8"/>
        <v>1993.75</v>
      </c>
      <c r="K9" s="13">
        <f t="shared" si="9"/>
        <v>10740.277777777777</v>
      </c>
      <c r="M9" s="11" t="s">
        <v>7</v>
      </c>
      <c r="N9" s="12">
        <f t="shared" si="10"/>
        <v>12000000</v>
      </c>
      <c r="O9" s="97">
        <f t="shared" si="0"/>
        <v>2.8602739726027396E-2</v>
      </c>
      <c r="P9" s="112">
        <f t="shared" si="1"/>
        <v>953.42465753424653</v>
      </c>
      <c r="Q9" s="13">
        <f t="shared" si="11"/>
        <v>4767.1232876712329</v>
      </c>
      <c r="R9" s="13">
        <f t="shared" si="2"/>
        <v>36.757990867579906</v>
      </c>
      <c r="T9" s="11"/>
      <c r="U9" s="12"/>
      <c r="V9" s="97"/>
      <c r="W9" s="13"/>
      <c r="X9" s="13"/>
      <c r="Y9" s="13"/>
      <c r="AA9" s="11"/>
      <c r="AB9" s="98"/>
      <c r="AC9" s="97"/>
      <c r="AD9" s="13"/>
      <c r="AE9" s="13"/>
      <c r="AF9" s="13"/>
      <c r="AH9" s="235"/>
      <c r="AI9" s="235"/>
      <c r="AJ9" s="90"/>
      <c r="AK9" s="91"/>
      <c r="AM9" s="235"/>
      <c r="AN9" s="235"/>
      <c r="AO9" s="90"/>
      <c r="AP9" s="91"/>
      <c r="AR9" s="106">
        <v>113365110.72</v>
      </c>
      <c r="AS9" s="565">
        <v>0.03</v>
      </c>
      <c r="AT9" s="565">
        <v>3.0800000000000001E-2</v>
      </c>
      <c r="AU9" s="106">
        <v>9714.48</v>
      </c>
      <c r="AV9" s="106">
        <v>1054.6400000000001</v>
      </c>
      <c r="AW9" s="19"/>
    </row>
    <row r="10" spans="2:49" x14ac:dyDescent="0.25">
      <c r="B10" s="9" t="str">
        <f t="shared" si="3"/>
        <v>1 2025</v>
      </c>
      <c r="C10" s="88">
        <f t="shared" si="5"/>
        <v>45662</v>
      </c>
      <c r="D10" s="88">
        <f t="shared" si="6"/>
        <v>45663</v>
      </c>
      <c r="E10" s="89">
        <f t="shared" si="4"/>
        <v>1</v>
      </c>
      <c r="G10" s="11" t="s">
        <v>7</v>
      </c>
      <c r="H10" s="12">
        <f t="shared" si="12"/>
        <v>26100000</v>
      </c>
      <c r="I10" s="14">
        <f t="shared" si="7"/>
        <v>2.75E-2</v>
      </c>
      <c r="J10" s="13">
        <f t="shared" si="8"/>
        <v>1993.75</v>
      </c>
      <c r="K10" s="13">
        <f t="shared" si="9"/>
        <v>12734.027777777777</v>
      </c>
      <c r="M10" s="11" t="s">
        <v>7</v>
      </c>
      <c r="N10" s="12">
        <f t="shared" si="10"/>
        <v>12000000</v>
      </c>
      <c r="O10" s="97">
        <f t="shared" si="0"/>
        <v>2.8602739726027396E-2</v>
      </c>
      <c r="P10" s="112">
        <f t="shared" si="1"/>
        <v>953.42465753424653</v>
      </c>
      <c r="Q10" s="13">
        <f t="shared" si="11"/>
        <v>5720.5479452054797</v>
      </c>
      <c r="R10" s="13">
        <f t="shared" si="2"/>
        <v>36.757990867579906</v>
      </c>
      <c r="T10" s="11"/>
      <c r="U10" s="12"/>
      <c r="V10" s="97"/>
      <c r="W10" s="13"/>
      <c r="X10" s="13"/>
      <c r="Y10" s="13"/>
      <c r="AA10" s="11"/>
      <c r="AB10" s="98"/>
      <c r="AC10" s="97"/>
      <c r="AD10" s="13"/>
      <c r="AE10" s="13"/>
      <c r="AF10" s="13"/>
      <c r="AH10" s="235"/>
      <c r="AI10" s="235"/>
      <c r="AJ10" s="90"/>
      <c r="AK10" s="91"/>
      <c r="AM10" s="235"/>
      <c r="AN10" s="235"/>
      <c r="AO10" s="90"/>
      <c r="AP10" s="91"/>
      <c r="AR10" s="106">
        <v>113365110.72</v>
      </c>
      <c r="AS10" s="565">
        <v>0.03</v>
      </c>
      <c r="AT10" s="565">
        <v>3.0800000000000001E-2</v>
      </c>
      <c r="AU10" s="106">
        <v>9714.48</v>
      </c>
      <c r="AV10" s="106">
        <v>1054.6400000000001</v>
      </c>
      <c r="AW10" s="19"/>
    </row>
    <row r="11" spans="2:49" x14ac:dyDescent="0.25">
      <c r="B11" s="9" t="str">
        <f t="shared" si="3"/>
        <v>1 2025</v>
      </c>
      <c r="C11" s="88">
        <f t="shared" si="5"/>
        <v>45663</v>
      </c>
      <c r="D11" s="88">
        <f t="shared" si="6"/>
        <v>45664</v>
      </c>
      <c r="E11" s="89">
        <f t="shared" si="4"/>
        <v>1</v>
      </c>
      <c r="G11" s="11" t="s">
        <v>7</v>
      </c>
      <c r="H11" s="12">
        <f t="shared" si="12"/>
        <v>26100000</v>
      </c>
      <c r="I11" s="14">
        <f t="shared" si="7"/>
        <v>2.75E-2</v>
      </c>
      <c r="J11" s="13">
        <f t="shared" si="8"/>
        <v>1993.75</v>
      </c>
      <c r="K11" s="13">
        <f t="shared" si="9"/>
        <v>14727.777777777777</v>
      </c>
      <c r="M11" s="11" t="s">
        <v>7</v>
      </c>
      <c r="N11" s="12">
        <f t="shared" si="10"/>
        <v>12000000</v>
      </c>
      <c r="O11" s="97">
        <f t="shared" ref="O11:O38" si="13">O10</f>
        <v>2.8602739726027396E-2</v>
      </c>
      <c r="P11" s="112">
        <f t="shared" si="1"/>
        <v>953.42465753424653</v>
      </c>
      <c r="Q11" s="13">
        <f t="shared" si="11"/>
        <v>6673.9726027397264</v>
      </c>
      <c r="R11" s="13">
        <f t="shared" si="2"/>
        <v>36.757990867579906</v>
      </c>
      <c r="T11" s="11"/>
      <c r="U11" s="12"/>
      <c r="V11" s="97"/>
      <c r="W11" s="13"/>
      <c r="X11" s="13"/>
      <c r="Y11" s="13"/>
      <c r="AA11" s="11"/>
      <c r="AB11" s="98"/>
      <c r="AC11" s="97"/>
      <c r="AD11" s="13"/>
      <c r="AE11" s="13"/>
      <c r="AF11" s="13"/>
      <c r="AH11" s="235"/>
      <c r="AI11" s="235"/>
      <c r="AJ11" s="90"/>
      <c r="AK11" s="91"/>
      <c r="AM11" s="235"/>
      <c r="AN11" s="235"/>
      <c r="AO11" s="90"/>
      <c r="AP11" s="91"/>
      <c r="AR11" s="106">
        <v>113365110.72</v>
      </c>
      <c r="AS11" s="565">
        <v>0.03</v>
      </c>
      <c r="AT11" s="565">
        <v>3.0800000000000001E-2</v>
      </c>
      <c r="AU11" s="106">
        <v>9714.48</v>
      </c>
      <c r="AV11" s="106">
        <v>1054.6400000000001</v>
      </c>
      <c r="AW11" s="19"/>
    </row>
    <row r="12" spans="2:49" x14ac:dyDescent="0.25">
      <c r="B12" s="9" t="str">
        <f t="shared" si="3"/>
        <v>1 2025</v>
      </c>
      <c r="C12" s="88">
        <f t="shared" si="5"/>
        <v>45664</v>
      </c>
      <c r="D12" s="88">
        <f t="shared" si="6"/>
        <v>45665</v>
      </c>
      <c r="E12" s="89">
        <f t="shared" si="4"/>
        <v>1</v>
      </c>
      <c r="G12" s="11" t="s">
        <v>7</v>
      </c>
      <c r="H12" s="12">
        <f t="shared" si="12"/>
        <v>26100000</v>
      </c>
      <c r="I12" s="14">
        <f t="shared" si="7"/>
        <v>2.75E-2</v>
      </c>
      <c r="J12" s="13">
        <f t="shared" si="8"/>
        <v>1993.75</v>
      </c>
      <c r="K12" s="13">
        <f t="shared" si="9"/>
        <v>16721.527777777777</v>
      </c>
      <c r="M12" s="11" t="s">
        <v>7</v>
      </c>
      <c r="N12" s="12">
        <f t="shared" si="10"/>
        <v>12000000</v>
      </c>
      <c r="O12" s="97">
        <f t="shared" si="13"/>
        <v>2.8602739726027396E-2</v>
      </c>
      <c r="P12" s="112">
        <f t="shared" si="1"/>
        <v>953.42465753424653</v>
      </c>
      <c r="Q12" s="13">
        <f t="shared" si="11"/>
        <v>7627.3972602739732</v>
      </c>
      <c r="R12" s="13">
        <f t="shared" si="2"/>
        <v>36.757990867579906</v>
      </c>
      <c r="T12" s="11"/>
      <c r="U12" s="12"/>
      <c r="V12" s="97"/>
      <c r="W12" s="13"/>
      <c r="X12" s="13"/>
      <c r="Y12" s="13"/>
      <c r="AA12" s="11"/>
      <c r="AB12" s="98"/>
      <c r="AC12" s="97"/>
      <c r="AD12" s="13"/>
      <c r="AE12" s="13"/>
      <c r="AF12" s="13"/>
      <c r="AH12" s="235"/>
      <c r="AI12" s="235"/>
      <c r="AJ12" s="90"/>
      <c r="AK12" s="91"/>
      <c r="AM12" s="235"/>
      <c r="AN12" s="235"/>
      <c r="AO12" s="90"/>
      <c r="AP12" s="91"/>
      <c r="AR12" s="106">
        <v>113365110.72</v>
      </c>
      <c r="AS12" s="565">
        <v>0.03</v>
      </c>
      <c r="AT12" s="565">
        <v>3.0800000000000001E-2</v>
      </c>
      <c r="AU12" s="106">
        <v>9714.48</v>
      </c>
      <c r="AV12" s="106">
        <v>1054.6400000000001</v>
      </c>
      <c r="AW12" s="19"/>
    </row>
    <row r="13" spans="2:49" x14ac:dyDescent="0.25">
      <c r="B13" s="9" t="str">
        <f t="shared" si="3"/>
        <v>1 2025</v>
      </c>
      <c r="C13" s="88">
        <f t="shared" si="5"/>
        <v>45665</v>
      </c>
      <c r="D13" s="88">
        <f t="shared" si="6"/>
        <v>45666</v>
      </c>
      <c r="E13" s="89">
        <f t="shared" si="4"/>
        <v>1</v>
      </c>
      <c r="G13" s="11" t="s">
        <v>7</v>
      </c>
      <c r="H13" s="98">
        <f>H12</f>
        <v>26100000</v>
      </c>
      <c r="I13" s="14">
        <f t="shared" si="7"/>
        <v>2.75E-2</v>
      </c>
      <c r="J13" s="13">
        <f t="shared" si="8"/>
        <v>1993.75</v>
      </c>
      <c r="K13" s="13">
        <f t="shared" si="9"/>
        <v>18715.277777777777</v>
      </c>
      <c r="M13" s="11" t="s">
        <v>7</v>
      </c>
      <c r="N13" s="12">
        <f t="shared" si="10"/>
        <v>12000000</v>
      </c>
      <c r="O13" s="97">
        <f t="shared" si="13"/>
        <v>2.8602739726027396E-2</v>
      </c>
      <c r="P13" s="112">
        <f t="shared" si="1"/>
        <v>953.42465753424653</v>
      </c>
      <c r="Q13" s="13">
        <f t="shared" si="11"/>
        <v>8580.82191780822</v>
      </c>
      <c r="R13" s="13">
        <f t="shared" si="2"/>
        <v>36.757990867579906</v>
      </c>
      <c r="T13" s="11"/>
      <c r="U13" s="12"/>
      <c r="V13" s="97"/>
      <c r="W13" s="13"/>
      <c r="X13" s="13"/>
      <c r="Y13" s="13"/>
      <c r="AA13" s="11"/>
      <c r="AB13" s="98"/>
      <c r="AC13" s="97"/>
      <c r="AD13" s="13"/>
      <c r="AE13" s="13"/>
      <c r="AF13" s="13"/>
      <c r="AH13" s="235"/>
      <c r="AI13" s="235"/>
      <c r="AJ13" s="90"/>
      <c r="AK13" s="91"/>
      <c r="AM13" s="235"/>
      <c r="AN13" s="235"/>
      <c r="AO13" s="90"/>
      <c r="AP13" s="91"/>
      <c r="AR13" s="106">
        <v>113365110.72</v>
      </c>
      <c r="AS13" s="565">
        <v>0.03</v>
      </c>
      <c r="AT13" s="565">
        <v>3.0800000000000001E-2</v>
      </c>
      <c r="AU13" s="106">
        <v>9714.48</v>
      </c>
      <c r="AV13" s="106">
        <v>1054.6400000000001</v>
      </c>
      <c r="AW13" s="19"/>
    </row>
    <row r="14" spans="2:49" x14ac:dyDescent="0.25">
      <c r="B14" s="9" t="str">
        <f t="shared" si="3"/>
        <v>1 2025</v>
      </c>
      <c r="C14" s="88">
        <f t="shared" si="5"/>
        <v>45666</v>
      </c>
      <c r="D14" s="88">
        <f t="shared" si="6"/>
        <v>45667</v>
      </c>
      <c r="E14" s="89">
        <f t="shared" si="4"/>
        <v>1</v>
      </c>
      <c r="G14" s="11" t="s">
        <v>7</v>
      </c>
      <c r="H14" s="106">
        <f>H13+300000</f>
        <v>26400000</v>
      </c>
      <c r="I14" s="14">
        <f t="shared" si="7"/>
        <v>2.75E-2</v>
      </c>
      <c r="J14" s="13">
        <f t="shared" si="8"/>
        <v>2016.6666666666667</v>
      </c>
      <c r="K14" s="13">
        <f t="shared" si="9"/>
        <v>20731.944444444445</v>
      </c>
      <c r="M14" s="11" t="s">
        <v>7</v>
      </c>
      <c r="N14" s="12">
        <f t="shared" si="10"/>
        <v>12000000</v>
      </c>
      <c r="O14" s="97">
        <f t="shared" si="13"/>
        <v>2.8602739726027396E-2</v>
      </c>
      <c r="P14" s="112">
        <f t="shared" si="1"/>
        <v>953.42465753424653</v>
      </c>
      <c r="Q14" s="13">
        <f t="shared" si="11"/>
        <v>9534.2465753424658</v>
      </c>
      <c r="R14" s="13">
        <f t="shared" si="2"/>
        <v>36.757990867579906</v>
      </c>
      <c r="T14" s="11"/>
      <c r="U14" s="12"/>
      <c r="V14" s="97"/>
      <c r="W14" s="13"/>
      <c r="X14" s="13"/>
      <c r="Y14" s="13"/>
      <c r="AA14" s="11"/>
      <c r="AB14" s="98"/>
      <c r="AC14" s="97"/>
      <c r="AD14" s="13"/>
      <c r="AE14" s="13"/>
      <c r="AF14" s="13"/>
      <c r="AH14" s="235"/>
      <c r="AI14" s="235"/>
      <c r="AJ14" s="90"/>
      <c r="AK14" s="91"/>
      <c r="AM14" s="235"/>
      <c r="AN14" s="235"/>
      <c r="AO14" s="90"/>
      <c r="AP14" s="91"/>
      <c r="AR14" s="106">
        <v>113665110.72</v>
      </c>
      <c r="AS14" s="565">
        <v>0.03</v>
      </c>
      <c r="AT14" s="565">
        <v>3.0800000000000001E-2</v>
      </c>
      <c r="AU14" s="106">
        <v>9737.39</v>
      </c>
      <c r="AV14" s="106">
        <v>1054.6400000000001</v>
      </c>
      <c r="AW14" s="19"/>
    </row>
    <row r="15" spans="2:49" x14ac:dyDescent="0.25">
      <c r="B15" s="9" t="str">
        <f t="shared" si="3"/>
        <v>1 2025</v>
      </c>
      <c r="C15" s="88">
        <f t="shared" si="5"/>
        <v>45667</v>
      </c>
      <c r="D15" s="88">
        <f t="shared" si="6"/>
        <v>45668</v>
      </c>
      <c r="E15" s="89">
        <f t="shared" si="4"/>
        <v>1</v>
      </c>
      <c r="G15" s="11" t="s">
        <v>7</v>
      </c>
      <c r="H15" s="12">
        <f t="shared" si="12"/>
        <v>26400000</v>
      </c>
      <c r="I15" s="14">
        <f t="shared" si="7"/>
        <v>2.75E-2</v>
      </c>
      <c r="J15" s="13">
        <f t="shared" si="8"/>
        <v>2016.6666666666667</v>
      </c>
      <c r="K15" s="13">
        <f t="shared" si="9"/>
        <v>22748.611111111113</v>
      </c>
      <c r="M15" s="11" t="s">
        <v>7</v>
      </c>
      <c r="N15" s="12">
        <f t="shared" si="10"/>
        <v>12000000</v>
      </c>
      <c r="O15" s="97">
        <f t="shared" si="13"/>
        <v>2.8602739726027396E-2</v>
      </c>
      <c r="P15" s="112">
        <f t="shared" si="1"/>
        <v>953.42465753424653</v>
      </c>
      <c r="Q15" s="13">
        <f t="shared" si="11"/>
        <v>10487.671232876712</v>
      </c>
      <c r="R15" s="13">
        <f t="shared" si="2"/>
        <v>36.757990867579906</v>
      </c>
      <c r="T15" s="11"/>
      <c r="U15" s="12"/>
      <c r="V15" s="97"/>
      <c r="W15" s="13"/>
      <c r="X15" s="13"/>
      <c r="Y15" s="13"/>
      <c r="AA15" s="11"/>
      <c r="AB15" s="98"/>
      <c r="AC15" s="97"/>
      <c r="AD15" s="13"/>
      <c r="AE15" s="13"/>
      <c r="AF15" s="13"/>
      <c r="AH15" s="235"/>
      <c r="AI15" s="235"/>
      <c r="AJ15" s="90"/>
      <c r="AK15" s="91"/>
      <c r="AM15" s="235"/>
      <c r="AN15" s="235"/>
      <c r="AO15" s="90"/>
      <c r="AP15" s="91"/>
      <c r="AR15" s="106">
        <v>113791300.41</v>
      </c>
      <c r="AS15" s="565">
        <v>0.03</v>
      </c>
      <c r="AT15" s="565">
        <v>3.04E-2</v>
      </c>
      <c r="AU15" s="106">
        <v>9621.65</v>
      </c>
      <c r="AV15" s="106">
        <v>929.26</v>
      </c>
      <c r="AW15" s="19"/>
    </row>
    <row r="16" spans="2:49" x14ac:dyDescent="0.25">
      <c r="B16" s="9" t="str">
        <f t="shared" si="3"/>
        <v>1 2025</v>
      </c>
      <c r="C16" s="88">
        <f t="shared" si="5"/>
        <v>45668</v>
      </c>
      <c r="D16" s="88">
        <f t="shared" si="6"/>
        <v>45669</v>
      </c>
      <c r="E16" s="89">
        <f t="shared" si="4"/>
        <v>1</v>
      </c>
      <c r="G16" s="11" t="s">
        <v>7</v>
      </c>
      <c r="H16" s="12">
        <f t="shared" si="12"/>
        <v>26400000</v>
      </c>
      <c r="I16" s="14">
        <f t="shared" si="7"/>
        <v>2.75E-2</v>
      </c>
      <c r="J16" s="13">
        <f t="shared" si="8"/>
        <v>2016.6666666666667</v>
      </c>
      <c r="K16" s="13">
        <f t="shared" si="9"/>
        <v>24765.277777777781</v>
      </c>
      <c r="M16" s="11" t="s">
        <v>7</v>
      </c>
      <c r="N16" s="12">
        <f t="shared" si="10"/>
        <v>12000000</v>
      </c>
      <c r="O16" s="97">
        <f t="shared" si="13"/>
        <v>2.8602739726027396E-2</v>
      </c>
      <c r="P16" s="112">
        <f t="shared" si="1"/>
        <v>953.42465753424653</v>
      </c>
      <c r="Q16" s="13">
        <f t="shared" si="11"/>
        <v>11441.095890410958</v>
      </c>
      <c r="R16" s="13">
        <f t="shared" si="2"/>
        <v>36.757990867579906</v>
      </c>
      <c r="T16" s="11"/>
      <c r="U16" s="12"/>
      <c r="V16" s="97"/>
      <c r="W16" s="13"/>
      <c r="X16" s="13"/>
      <c r="Y16" s="13"/>
      <c r="AA16" s="11"/>
      <c r="AB16" s="98"/>
      <c r="AC16" s="97"/>
      <c r="AD16" s="13"/>
      <c r="AE16" s="13"/>
      <c r="AF16" s="13"/>
      <c r="AH16" s="235"/>
      <c r="AI16" s="235"/>
      <c r="AJ16" s="90"/>
      <c r="AK16" s="91"/>
      <c r="AM16" s="235"/>
      <c r="AN16" s="235"/>
      <c r="AO16" s="90"/>
      <c r="AP16" s="91"/>
      <c r="AR16" s="106">
        <v>113791300.41</v>
      </c>
      <c r="AS16" s="565">
        <v>0.03</v>
      </c>
      <c r="AT16" s="565">
        <v>3.04E-2</v>
      </c>
      <c r="AU16" s="106">
        <v>9621.65</v>
      </c>
      <c r="AV16" s="106">
        <v>929.26</v>
      </c>
      <c r="AW16" s="19"/>
    </row>
    <row r="17" spans="2:49" x14ac:dyDescent="0.25">
      <c r="B17" s="9" t="str">
        <f t="shared" si="3"/>
        <v>1 2025</v>
      </c>
      <c r="C17" s="88">
        <f t="shared" si="5"/>
        <v>45669</v>
      </c>
      <c r="D17" s="88">
        <f t="shared" si="6"/>
        <v>45670</v>
      </c>
      <c r="E17" s="89">
        <f t="shared" si="4"/>
        <v>1</v>
      </c>
      <c r="G17" s="11" t="s">
        <v>7</v>
      </c>
      <c r="H17" s="12">
        <f t="shared" si="12"/>
        <v>26400000</v>
      </c>
      <c r="I17" s="14">
        <f t="shared" si="7"/>
        <v>2.75E-2</v>
      </c>
      <c r="J17" s="13">
        <f t="shared" si="8"/>
        <v>2016.6666666666667</v>
      </c>
      <c r="K17" s="13">
        <f t="shared" si="9"/>
        <v>26781.944444444449</v>
      </c>
      <c r="M17" s="11" t="s">
        <v>7</v>
      </c>
      <c r="N17" s="12">
        <f t="shared" si="10"/>
        <v>12000000</v>
      </c>
      <c r="O17" s="97">
        <f t="shared" si="13"/>
        <v>2.8602739726027396E-2</v>
      </c>
      <c r="P17" s="112">
        <f t="shared" si="1"/>
        <v>953.42465753424653</v>
      </c>
      <c r="Q17" s="13">
        <f t="shared" si="11"/>
        <v>12394.520547945203</v>
      </c>
      <c r="R17" s="13">
        <f t="shared" si="2"/>
        <v>36.757990867579906</v>
      </c>
      <c r="T17" s="11"/>
      <c r="U17" s="12"/>
      <c r="V17" s="97"/>
      <c r="W17" s="13"/>
      <c r="X17" s="13"/>
      <c r="Y17" s="13"/>
      <c r="AA17" s="11"/>
      <c r="AB17" s="98"/>
      <c r="AC17" s="97"/>
      <c r="AD17" s="13"/>
      <c r="AE17" s="13"/>
      <c r="AF17" s="13"/>
      <c r="AH17" s="235"/>
      <c r="AI17" s="235"/>
      <c r="AJ17" s="90"/>
      <c r="AK17" s="91"/>
      <c r="AM17" s="235"/>
      <c r="AN17" s="235"/>
      <c r="AO17" s="90"/>
      <c r="AP17" s="91"/>
      <c r="AR17" s="106">
        <v>113791300.41</v>
      </c>
      <c r="AS17" s="565">
        <v>0.03</v>
      </c>
      <c r="AT17" s="565">
        <v>3.04E-2</v>
      </c>
      <c r="AU17" s="106">
        <v>9621.65</v>
      </c>
      <c r="AV17" s="106">
        <v>929.26</v>
      </c>
      <c r="AW17" s="19"/>
    </row>
    <row r="18" spans="2:49" x14ac:dyDescent="0.25">
      <c r="B18" s="9" t="str">
        <f t="shared" si="3"/>
        <v>1 2025</v>
      </c>
      <c r="C18" s="88">
        <f t="shared" si="5"/>
        <v>45670</v>
      </c>
      <c r="D18" s="88">
        <f t="shared" si="6"/>
        <v>45671</v>
      </c>
      <c r="E18" s="89">
        <f t="shared" si="4"/>
        <v>1</v>
      </c>
      <c r="G18" s="11" t="s">
        <v>7</v>
      </c>
      <c r="H18" s="106">
        <f>H17-1700000</f>
        <v>24700000</v>
      </c>
      <c r="I18" s="14">
        <f t="shared" si="7"/>
        <v>2.75E-2</v>
      </c>
      <c r="J18" s="13">
        <f t="shared" si="8"/>
        <v>1886.8055555555557</v>
      </c>
      <c r="K18" s="13">
        <f t="shared" si="9"/>
        <v>28668.750000000004</v>
      </c>
      <c r="M18" s="11" t="s">
        <v>7</v>
      </c>
      <c r="N18" s="12">
        <f t="shared" si="10"/>
        <v>12000000</v>
      </c>
      <c r="O18" s="97">
        <f t="shared" si="13"/>
        <v>2.8602739726027396E-2</v>
      </c>
      <c r="P18" s="112">
        <f t="shared" si="1"/>
        <v>953.42465753424653</v>
      </c>
      <c r="Q18" s="13">
        <f t="shared" si="11"/>
        <v>13347.945205479449</v>
      </c>
      <c r="R18" s="13">
        <f t="shared" si="2"/>
        <v>36.757990867579906</v>
      </c>
      <c r="T18" s="11"/>
      <c r="U18" s="12"/>
      <c r="V18" s="97"/>
      <c r="W18" s="13"/>
      <c r="X18" s="13"/>
      <c r="Y18" s="13"/>
      <c r="AA18" s="11"/>
      <c r="AB18" s="98"/>
      <c r="AC18" s="97"/>
      <c r="AD18" s="13"/>
      <c r="AE18" s="13"/>
      <c r="AF18" s="13"/>
      <c r="AH18" s="235"/>
      <c r="AI18" s="235"/>
      <c r="AJ18" s="90"/>
      <c r="AK18" s="91"/>
      <c r="AM18" s="235"/>
      <c r="AN18" s="235"/>
      <c r="AO18" s="90"/>
      <c r="AP18" s="91"/>
      <c r="AR18" s="106">
        <v>112091300.41</v>
      </c>
      <c r="AS18" s="565">
        <v>0.03</v>
      </c>
      <c r="AT18" s="565">
        <v>3.0499999999999999E-2</v>
      </c>
      <c r="AU18" s="106">
        <v>9491.7800000000007</v>
      </c>
      <c r="AV18" s="106">
        <v>929.26</v>
      </c>
      <c r="AW18" s="19"/>
    </row>
    <row r="19" spans="2:49" x14ac:dyDescent="0.25">
      <c r="B19" s="9" t="str">
        <f t="shared" si="3"/>
        <v>1 2025</v>
      </c>
      <c r="C19" s="88">
        <f t="shared" si="5"/>
        <v>45671</v>
      </c>
      <c r="D19" s="88">
        <f t="shared" si="6"/>
        <v>45672</v>
      </c>
      <c r="E19" s="89">
        <f t="shared" si="4"/>
        <v>1</v>
      </c>
      <c r="G19" s="11" t="s">
        <v>7</v>
      </c>
      <c r="H19" s="12">
        <f t="shared" si="12"/>
        <v>24700000</v>
      </c>
      <c r="I19" s="14">
        <f t="shared" si="7"/>
        <v>2.75E-2</v>
      </c>
      <c r="J19" s="13">
        <f t="shared" si="8"/>
        <v>1886.8055555555557</v>
      </c>
      <c r="K19" s="13">
        <f t="shared" si="9"/>
        <v>30555.555555555558</v>
      </c>
      <c r="M19" s="11" t="s">
        <v>7</v>
      </c>
      <c r="N19" s="12">
        <f t="shared" si="10"/>
        <v>12000000</v>
      </c>
      <c r="O19" s="97">
        <f t="shared" si="13"/>
        <v>2.8602739726027396E-2</v>
      </c>
      <c r="P19" s="112">
        <f t="shared" si="1"/>
        <v>953.42465753424653</v>
      </c>
      <c r="Q19" s="13">
        <f t="shared" si="11"/>
        <v>14301.369863013695</v>
      </c>
      <c r="R19" s="13">
        <f t="shared" si="2"/>
        <v>36.757990867579906</v>
      </c>
      <c r="T19" s="11"/>
      <c r="U19" s="12"/>
      <c r="V19" s="97"/>
      <c r="W19" s="13"/>
      <c r="X19" s="13"/>
      <c r="Y19" s="13"/>
      <c r="AA19" s="11"/>
      <c r="AB19" s="98"/>
      <c r="AC19" s="97"/>
      <c r="AD19" s="13"/>
      <c r="AE19" s="13"/>
      <c r="AF19" s="13"/>
      <c r="AH19" s="235"/>
      <c r="AI19" s="235"/>
      <c r="AJ19" s="90"/>
      <c r="AK19" s="91"/>
      <c r="AM19" s="235"/>
      <c r="AN19" s="235"/>
      <c r="AO19" s="90"/>
      <c r="AP19" s="91"/>
      <c r="AR19" s="106">
        <v>112091300.41</v>
      </c>
      <c r="AS19" s="565">
        <v>0.03</v>
      </c>
      <c r="AT19" s="565">
        <v>3.0499999999999999E-2</v>
      </c>
      <c r="AU19" s="106">
        <v>9491.7800000000007</v>
      </c>
      <c r="AV19" s="106">
        <v>929.26</v>
      </c>
      <c r="AW19" s="19"/>
    </row>
    <row r="20" spans="2:49" x14ac:dyDescent="0.25">
      <c r="B20" s="9" t="str">
        <f t="shared" si="3"/>
        <v>1 2025</v>
      </c>
      <c r="C20" s="88">
        <f t="shared" si="5"/>
        <v>45672</v>
      </c>
      <c r="D20" s="88">
        <f t="shared" si="6"/>
        <v>45673</v>
      </c>
      <c r="E20" s="89">
        <f t="shared" si="4"/>
        <v>1</v>
      </c>
      <c r="G20" s="11" t="s">
        <v>7</v>
      </c>
      <c r="H20" s="12">
        <f t="shared" si="12"/>
        <v>24700000</v>
      </c>
      <c r="I20" s="14">
        <f t="shared" si="7"/>
        <v>2.75E-2</v>
      </c>
      <c r="J20" s="13">
        <f t="shared" si="8"/>
        <v>1886.8055555555557</v>
      </c>
      <c r="K20" s="13">
        <f t="shared" si="9"/>
        <v>32442.361111111113</v>
      </c>
      <c r="M20" s="11" t="s">
        <v>7</v>
      </c>
      <c r="N20" s="12">
        <f t="shared" si="10"/>
        <v>12000000</v>
      </c>
      <c r="O20" s="97">
        <f t="shared" si="13"/>
        <v>2.8602739726027396E-2</v>
      </c>
      <c r="P20" s="112">
        <f t="shared" si="1"/>
        <v>953.42465753424653</v>
      </c>
      <c r="Q20" s="13">
        <f t="shared" si="11"/>
        <v>15254.794520547941</v>
      </c>
      <c r="R20" s="13">
        <f t="shared" si="2"/>
        <v>36.757990867579906</v>
      </c>
      <c r="T20" s="11"/>
      <c r="U20" s="12"/>
      <c r="V20" s="97"/>
      <c r="W20" s="13"/>
      <c r="X20" s="13"/>
      <c r="Y20" s="13"/>
      <c r="AA20" s="11"/>
      <c r="AB20" s="98"/>
      <c r="AC20" s="97"/>
      <c r="AD20" s="13"/>
      <c r="AE20" s="13"/>
      <c r="AF20" s="13"/>
      <c r="AH20" s="235"/>
      <c r="AI20" s="235"/>
      <c r="AJ20" s="90"/>
      <c r="AK20" s="91"/>
      <c r="AM20" s="235"/>
      <c r="AN20" s="235"/>
      <c r="AO20" s="90"/>
      <c r="AP20" s="91"/>
      <c r="AR20" s="106">
        <v>112091300.41</v>
      </c>
      <c r="AS20" s="565">
        <v>0.03</v>
      </c>
      <c r="AT20" s="565">
        <v>3.0499999999999999E-2</v>
      </c>
      <c r="AU20" s="106">
        <v>9491.7800000000007</v>
      </c>
      <c r="AV20" s="106">
        <v>929.26</v>
      </c>
      <c r="AW20" s="19"/>
    </row>
    <row r="21" spans="2:49" x14ac:dyDescent="0.25">
      <c r="B21" s="9" t="str">
        <f t="shared" si="3"/>
        <v>1 2025</v>
      </c>
      <c r="C21" s="88">
        <f t="shared" si="5"/>
        <v>45673</v>
      </c>
      <c r="D21" s="88">
        <f t="shared" si="6"/>
        <v>45674</v>
      </c>
      <c r="E21" s="89">
        <f t="shared" si="4"/>
        <v>1</v>
      </c>
      <c r="G21" s="11" t="s">
        <v>7</v>
      </c>
      <c r="H21" s="106">
        <f>H20-450000</f>
        <v>24250000</v>
      </c>
      <c r="I21" s="14">
        <f t="shared" si="7"/>
        <v>2.75E-2</v>
      </c>
      <c r="J21" s="13">
        <f t="shared" si="8"/>
        <v>1852.4305555555557</v>
      </c>
      <c r="K21" s="13">
        <f t="shared" si="9"/>
        <v>34294.791666666672</v>
      </c>
      <c r="M21" s="11" t="s">
        <v>7</v>
      </c>
      <c r="N21" s="12">
        <f t="shared" si="10"/>
        <v>12000000</v>
      </c>
      <c r="O21" s="97">
        <f t="shared" si="13"/>
        <v>2.8602739726027396E-2</v>
      </c>
      <c r="P21" s="112">
        <f t="shared" si="1"/>
        <v>953.42465753424653</v>
      </c>
      <c r="Q21" s="13">
        <f t="shared" si="11"/>
        <v>16208.219178082187</v>
      </c>
      <c r="R21" s="13">
        <f t="shared" si="2"/>
        <v>36.757990867579906</v>
      </c>
      <c r="T21" s="11"/>
      <c r="U21" s="12"/>
      <c r="V21" s="97"/>
      <c r="W21" s="13"/>
      <c r="X21" s="13"/>
      <c r="Y21" s="13"/>
      <c r="AA21" s="11"/>
      <c r="AB21" s="98"/>
      <c r="AC21" s="97"/>
      <c r="AD21" s="13"/>
      <c r="AE21" s="13"/>
      <c r="AF21" s="13"/>
      <c r="AH21" s="235"/>
      <c r="AI21" s="235"/>
      <c r="AJ21" s="90"/>
      <c r="AK21" s="91"/>
      <c r="AM21" s="235"/>
      <c r="AN21" s="235"/>
      <c r="AO21" s="90"/>
      <c r="AP21" s="91"/>
      <c r="AR21" s="106">
        <v>111641300.41</v>
      </c>
      <c r="AS21" s="565">
        <v>0.03</v>
      </c>
      <c r="AT21" s="565">
        <v>3.0499999999999999E-2</v>
      </c>
      <c r="AU21" s="106">
        <v>9457.41</v>
      </c>
      <c r="AV21" s="106">
        <v>929.26</v>
      </c>
      <c r="AW21" s="19"/>
    </row>
    <row r="22" spans="2:49" x14ac:dyDescent="0.25">
      <c r="B22" s="9" t="str">
        <f t="shared" si="3"/>
        <v>1 2025</v>
      </c>
      <c r="C22" s="88">
        <f t="shared" si="5"/>
        <v>45674</v>
      </c>
      <c r="D22" s="88">
        <f t="shared" si="6"/>
        <v>45675</v>
      </c>
      <c r="E22" s="89">
        <f t="shared" si="4"/>
        <v>1</v>
      </c>
      <c r="G22" s="11" t="s">
        <v>7</v>
      </c>
      <c r="H22" s="106">
        <f>H21+50000</f>
        <v>24300000</v>
      </c>
      <c r="I22" s="14">
        <f t="shared" si="7"/>
        <v>2.75E-2</v>
      </c>
      <c r="J22" s="13">
        <f t="shared" si="8"/>
        <v>1856.25</v>
      </c>
      <c r="K22" s="13">
        <f t="shared" si="9"/>
        <v>36151.041666666672</v>
      </c>
      <c r="M22" s="11" t="s">
        <v>7</v>
      </c>
      <c r="N22" s="12">
        <f t="shared" si="10"/>
        <v>12000000</v>
      </c>
      <c r="O22" s="97">
        <f t="shared" si="13"/>
        <v>2.8602739726027396E-2</v>
      </c>
      <c r="P22" s="112">
        <f t="shared" si="1"/>
        <v>953.42465753424653</v>
      </c>
      <c r="Q22" s="13">
        <f t="shared" si="11"/>
        <v>17161.643835616433</v>
      </c>
      <c r="R22" s="13">
        <f t="shared" si="2"/>
        <v>36.757990867579906</v>
      </c>
      <c r="T22" s="11"/>
      <c r="U22" s="12"/>
      <c r="V22" s="97"/>
      <c r="W22" s="13"/>
      <c r="X22" s="13"/>
      <c r="Y22" s="13"/>
      <c r="AA22" s="11"/>
      <c r="AB22" s="98"/>
      <c r="AC22" s="97"/>
      <c r="AD22" s="13"/>
      <c r="AE22" s="13"/>
      <c r="AF22" s="13"/>
      <c r="AH22" s="235"/>
      <c r="AI22" s="235"/>
      <c r="AJ22" s="90"/>
      <c r="AK22" s="91"/>
      <c r="AM22" s="235"/>
      <c r="AN22" s="235"/>
      <c r="AO22" s="90"/>
      <c r="AP22" s="91"/>
      <c r="AR22" s="106">
        <v>111691300.41</v>
      </c>
      <c r="AS22" s="565">
        <v>0.03</v>
      </c>
      <c r="AT22" s="565">
        <v>3.0499999999999999E-2</v>
      </c>
      <c r="AU22" s="106">
        <v>9461.23</v>
      </c>
      <c r="AV22" s="106">
        <v>929.26</v>
      </c>
      <c r="AW22" s="19"/>
    </row>
    <row r="23" spans="2:49" x14ac:dyDescent="0.25">
      <c r="B23" s="9" t="str">
        <f t="shared" si="3"/>
        <v>1 2025</v>
      </c>
      <c r="C23" s="88">
        <f t="shared" si="5"/>
        <v>45675</v>
      </c>
      <c r="D23" s="88">
        <f t="shared" si="6"/>
        <v>45676</v>
      </c>
      <c r="E23" s="89">
        <f t="shared" si="4"/>
        <v>1</v>
      </c>
      <c r="G23" s="11" t="s">
        <v>7</v>
      </c>
      <c r="H23" s="12">
        <f t="shared" si="12"/>
        <v>24300000</v>
      </c>
      <c r="I23" s="14">
        <f t="shared" si="7"/>
        <v>2.75E-2</v>
      </c>
      <c r="J23" s="13">
        <f t="shared" si="8"/>
        <v>1856.25</v>
      </c>
      <c r="K23" s="13">
        <f t="shared" si="9"/>
        <v>38007.291666666672</v>
      </c>
      <c r="M23" s="11" t="s">
        <v>7</v>
      </c>
      <c r="N23" s="12">
        <f t="shared" si="10"/>
        <v>12000000</v>
      </c>
      <c r="O23" s="97">
        <f t="shared" si="13"/>
        <v>2.8602739726027396E-2</v>
      </c>
      <c r="P23" s="112">
        <f t="shared" si="1"/>
        <v>953.42465753424653</v>
      </c>
      <c r="Q23" s="13">
        <f t="shared" si="11"/>
        <v>18115.06849315068</v>
      </c>
      <c r="R23" s="13">
        <f t="shared" si="2"/>
        <v>36.757990867579906</v>
      </c>
      <c r="T23" s="11"/>
      <c r="U23" s="12"/>
      <c r="V23" s="97"/>
      <c r="W23" s="13"/>
      <c r="X23" s="13"/>
      <c r="Y23" s="13"/>
      <c r="AA23" s="11"/>
      <c r="AB23" s="98"/>
      <c r="AC23" s="97"/>
      <c r="AD23" s="13"/>
      <c r="AE23" s="13"/>
      <c r="AF23" s="13"/>
      <c r="AH23" s="235"/>
      <c r="AI23" s="235"/>
      <c r="AJ23" s="90"/>
      <c r="AK23" s="91"/>
      <c r="AM23" s="235"/>
      <c r="AN23" s="235"/>
      <c r="AO23" s="90"/>
      <c r="AP23" s="91"/>
      <c r="AR23" s="106">
        <v>111691300.41</v>
      </c>
      <c r="AS23" s="565">
        <v>0.03</v>
      </c>
      <c r="AT23" s="565">
        <v>3.0499999999999999E-2</v>
      </c>
      <c r="AU23" s="106">
        <v>9461.23</v>
      </c>
      <c r="AV23" s="106">
        <v>929.26</v>
      </c>
      <c r="AW23" s="19"/>
    </row>
    <row r="24" spans="2:49" x14ac:dyDescent="0.25">
      <c r="B24" s="9" t="str">
        <f t="shared" si="3"/>
        <v>1 2025</v>
      </c>
      <c r="C24" s="88">
        <f t="shared" si="5"/>
        <v>45676</v>
      </c>
      <c r="D24" s="88">
        <f t="shared" si="6"/>
        <v>45677</v>
      </c>
      <c r="E24" s="89">
        <f t="shared" si="4"/>
        <v>1</v>
      </c>
      <c r="G24" s="11" t="s">
        <v>7</v>
      </c>
      <c r="H24" s="12">
        <f t="shared" si="12"/>
        <v>24300000</v>
      </c>
      <c r="I24" s="14">
        <f t="shared" si="7"/>
        <v>2.75E-2</v>
      </c>
      <c r="J24" s="13">
        <f t="shared" si="8"/>
        <v>1856.25</v>
      </c>
      <c r="K24" s="13">
        <f t="shared" si="9"/>
        <v>39863.541666666672</v>
      </c>
      <c r="M24" s="11" t="s">
        <v>7</v>
      </c>
      <c r="N24" s="12">
        <f t="shared" si="10"/>
        <v>12000000</v>
      </c>
      <c r="O24" s="97">
        <f t="shared" si="13"/>
        <v>2.8602739726027396E-2</v>
      </c>
      <c r="P24" s="112">
        <f t="shared" si="1"/>
        <v>953.42465753424653</v>
      </c>
      <c r="Q24" s="13">
        <f t="shared" si="11"/>
        <v>19068.493150684928</v>
      </c>
      <c r="R24" s="13">
        <f t="shared" si="2"/>
        <v>36.757990867579906</v>
      </c>
      <c r="T24" s="11"/>
      <c r="U24" s="12"/>
      <c r="V24" s="97"/>
      <c r="W24" s="13"/>
      <c r="X24" s="13"/>
      <c r="Y24" s="13"/>
      <c r="AA24" s="11"/>
      <c r="AB24" s="98"/>
      <c r="AC24" s="97"/>
      <c r="AD24" s="13"/>
      <c r="AE24" s="13"/>
      <c r="AF24" s="13"/>
      <c r="AH24" s="235"/>
      <c r="AI24" s="235"/>
      <c r="AJ24" s="90"/>
      <c r="AK24" s="91"/>
      <c r="AM24" s="235"/>
      <c r="AN24" s="235"/>
      <c r="AO24" s="90"/>
      <c r="AP24" s="91"/>
      <c r="AR24" s="106">
        <v>111691300.41</v>
      </c>
      <c r="AS24" s="565">
        <v>0.03</v>
      </c>
      <c r="AT24" s="565">
        <v>3.0499999999999999E-2</v>
      </c>
      <c r="AU24" s="106">
        <v>9461.23</v>
      </c>
      <c r="AV24" s="106">
        <v>929.26</v>
      </c>
      <c r="AW24" s="19"/>
    </row>
    <row r="25" spans="2:49" x14ac:dyDescent="0.25">
      <c r="B25" s="9" t="str">
        <f t="shared" si="3"/>
        <v>1 2025</v>
      </c>
      <c r="C25" s="88">
        <f t="shared" si="5"/>
        <v>45677</v>
      </c>
      <c r="D25" s="88">
        <f t="shared" si="6"/>
        <v>45678</v>
      </c>
      <c r="E25" s="89">
        <f t="shared" si="4"/>
        <v>1</v>
      </c>
      <c r="G25" s="11" t="s">
        <v>7</v>
      </c>
      <c r="H25" s="12">
        <f t="shared" si="12"/>
        <v>24300000</v>
      </c>
      <c r="I25" s="14">
        <f t="shared" si="7"/>
        <v>2.75E-2</v>
      </c>
      <c r="J25" s="13">
        <f t="shared" si="8"/>
        <v>1856.25</v>
      </c>
      <c r="K25" s="13">
        <f t="shared" si="9"/>
        <v>41719.791666666672</v>
      </c>
      <c r="M25" s="11" t="s">
        <v>7</v>
      </c>
      <c r="N25" s="12">
        <f t="shared" si="10"/>
        <v>12000000</v>
      </c>
      <c r="O25" s="97">
        <f t="shared" si="13"/>
        <v>2.8602739726027396E-2</v>
      </c>
      <c r="P25" s="112">
        <f t="shared" si="1"/>
        <v>953.42465753424653</v>
      </c>
      <c r="Q25" s="13">
        <f t="shared" si="11"/>
        <v>20021.917808219176</v>
      </c>
      <c r="R25" s="13">
        <f t="shared" si="2"/>
        <v>36.757990867579906</v>
      </c>
      <c r="T25" s="11"/>
      <c r="U25" s="12"/>
      <c r="V25" s="97"/>
      <c r="W25" s="13"/>
      <c r="X25" s="13"/>
      <c r="Y25" s="13"/>
      <c r="AA25" s="11"/>
      <c r="AB25" s="98"/>
      <c r="AC25" s="97"/>
      <c r="AD25" s="13"/>
      <c r="AE25" s="13"/>
      <c r="AF25" s="13"/>
      <c r="AH25" s="235"/>
      <c r="AI25" s="235"/>
      <c r="AJ25" s="90"/>
      <c r="AK25" s="91"/>
      <c r="AM25" s="235"/>
      <c r="AN25" s="235"/>
      <c r="AO25" s="90"/>
      <c r="AP25" s="91"/>
      <c r="AR25" s="106">
        <v>111691300.41</v>
      </c>
      <c r="AS25" s="565">
        <v>0.03</v>
      </c>
      <c r="AT25" s="565">
        <v>3.0499999999999999E-2</v>
      </c>
      <c r="AU25" s="106">
        <v>9461.23</v>
      </c>
      <c r="AV25" s="106">
        <v>929.26</v>
      </c>
      <c r="AW25" s="19"/>
    </row>
    <row r="26" spans="2:49" x14ac:dyDescent="0.25">
      <c r="B26" s="9" t="str">
        <f t="shared" si="3"/>
        <v>1 2025</v>
      </c>
      <c r="C26" s="88">
        <f t="shared" si="5"/>
        <v>45678</v>
      </c>
      <c r="D26" s="88">
        <f t="shared" si="6"/>
        <v>45679</v>
      </c>
      <c r="E26" s="89">
        <f t="shared" si="4"/>
        <v>1</v>
      </c>
      <c r="G26" s="11" t="s">
        <v>7</v>
      </c>
      <c r="H26" s="106">
        <f>H25-5350000</f>
        <v>18950000</v>
      </c>
      <c r="I26" s="14">
        <f t="shared" si="7"/>
        <v>2.75E-2</v>
      </c>
      <c r="J26" s="13">
        <f t="shared" si="8"/>
        <v>1447.5694444444443</v>
      </c>
      <c r="K26" s="13">
        <f t="shared" si="9"/>
        <v>43167.361111111117</v>
      </c>
      <c r="M26" s="11" t="s">
        <v>7</v>
      </c>
      <c r="N26" s="12">
        <f t="shared" si="10"/>
        <v>12000000</v>
      </c>
      <c r="O26" s="97">
        <f t="shared" si="13"/>
        <v>2.8602739726027396E-2</v>
      </c>
      <c r="P26" s="112">
        <f t="shared" si="1"/>
        <v>953.42465753424653</v>
      </c>
      <c r="Q26" s="13">
        <f t="shared" si="11"/>
        <v>20975.342465753423</v>
      </c>
      <c r="R26" s="13">
        <f t="shared" si="2"/>
        <v>36.757990867579906</v>
      </c>
      <c r="T26" s="11"/>
      <c r="U26" s="12"/>
      <c r="V26" s="97"/>
      <c r="W26" s="13"/>
      <c r="X26" s="13"/>
      <c r="Y26" s="13"/>
      <c r="AA26" s="11"/>
      <c r="AB26" s="98"/>
      <c r="AC26" s="97"/>
      <c r="AD26" s="13"/>
      <c r="AE26" s="13"/>
      <c r="AF26" s="13"/>
      <c r="AH26" s="235"/>
      <c r="AI26" s="235"/>
      <c r="AJ26" s="90"/>
      <c r="AK26" s="91"/>
      <c r="AM26" s="235"/>
      <c r="AN26" s="235"/>
      <c r="AO26" s="90"/>
      <c r="AP26" s="91"/>
      <c r="AR26" s="106">
        <v>106341300.41</v>
      </c>
      <c r="AS26" s="565">
        <v>0.03</v>
      </c>
      <c r="AT26" s="565">
        <v>3.0599999999999999E-2</v>
      </c>
      <c r="AU26" s="106">
        <v>9052.5499999999993</v>
      </c>
      <c r="AV26" s="106">
        <v>929.26</v>
      </c>
      <c r="AW26" s="19"/>
    </row>
    <row r="27" spans="2:49" x14ac:dyDescent="0.25">
      <c r="B27" s="9" t="str">
        <f t="shared" si="3"/>
        <v>1 2025</v>
      </c>
      <c r="C27" s="88">
        <f t="shared" si="5"/>
        <v>45679</v>
      </c>
      <c r="D27" s="88">
        <f t="shared" si="6"/>
        <v>45680</v>
      </c>
      <c r="E27" s="89">
        <f t="shared" si="4"/>
        <v>1</v>
      </c>
      <c r="G27" s="11" t="s">
        <v>7</v>
      </c>
      <c r="H27" s="12">
        <f t="shared" si="12"/>
        <v>18950000</v>
      </c>
      <c r="I27" s="14">
        <f t="shared" si="7"/>
        <v>2.75E-2</v>
      </c>
      <c r="J27" s="13">
        <f t="shared" si="8"/>
        <v>1447.5694444444443</v>
      </c>
      <c r="K27" s="13">
        <f t="shared" si="9"/>
        <v>44614.930555555562</v>
      </c>
      <c r="M27" s="11" t="s">
        <v>7</v>
      </c>
      <c r="N27" s="12">
        <f t="shared" si="10"/>
        <v>12000000</v>
      </c>
      <c r="O27" s="97">
        <f t="shared" si="13"/>
        <v>2.8602739726027396E-2</v>
      </c>
      <c r="P27" s="112">
        <f t="shared" si="1"/>
        <v>953.42465753424653</v>
      </c>
      <c r="Q27" s="13">
        <f t="shared" si="11"/>
        <v>21928.767123287671</v>
      </c>
      <c r="R27" s="13">
        <f t="shared" si="2"/>
        <v>36.757990867579906</v>
      </c>
      <c r="T27" s="11"/>
      <c r="U27" s="12"/>
      <c r="V27" s="97"/>
      <c r="W27" s="13"/>
      <c r="X27" s="13"/>
      <c r="Y27" s="13"/>
      <c r="AA27" s="11"/>
      <c r="AB27" s="98"/>
      <c r="AC27" s="97"/>
      <c r="AD27" s="13"/>
      <c r="AE27" s="13"/>
      <c r="AF27" s="13"/>
      <c r="AH27" s="235"/>
      <c r="AI27" s="235"/>
      <c r="AJ27" s="90"/>
      <c r="AK27" s="91"/>
      <c r="AM27" s="235"/>
      <c r="AN27" s="235"/>
      <c r="AO27" s="90"/>
      <c r="AP27" s="91"/>
      <c r="AR27" s="106">
        <v>106341300.41</v>
      </c>
      <c r="AS27" s="565">
        <v>0.03</v>
      </c>
      <c r="AT27" s="565">
        <v>3.0599999999999999E-2</v>
      </c>
      <c r="AU27" s="106">
        <v>9052.5499999999993</v>
      </c>
      <c r="AV27" s="106">
        <v>929.26</v>
      </c>
      <c r="AW27" s="19"/>
    </row>
    <row r="28" spans="2:49" x14ac:dyDescent="0.25">
      <c r="B28" s="9" t="str">
        <f t="shared" si="3"/>
        <v>1 2025</v>
      </c>
      <c r="C28" s="88">
        <f t="shared" si="5"/>
        <v>45680</v>
      </c>
      <c r="D28" s="88">
        <f t="shared" si="6"/>
        <v>45681</v>
      </c>
      <c r="E28" s="89">
        <f t="shared" si="4"/>
        <v>1</v>
      </c>
      <c r="G28" s="11" t="s">
        <v>7</v>
      </c>
      <c r="H28" s="12">
        <f t="shared" si="12"/>
        <v>18950000</v>
      </c>
      <c r="I28" s="14">
        <f t="shared" si="7"/>
        <v>2.75E-2</v>
      </c>
      <c r="J28" s="13">
        <f t="shared" si="8"/>
        <v>1447.5694444444443</v>
      </c>
      <c r="K28" s="13">
        <f t="shared" si="9"/>
        <v>46062.500000000007</v>
      </c>
      <c r="M28" s="11" t="s">
        <v>7</v>
      </c>
      <c r="N28" s="12">
        <f t="shared" si="10"/>
        <v>12000000</v>
      </c>
      <c r="O28" s="97">
        <f t="shared" si="13"/>
        <v>2.8602739726027396E-2</v>
      </c>
      <c r="P28" s="112">
        <f t="shared" si="1"/>
        <v>953.42465753424653</v>
      </c>
      <c r="Q28" s="13">
        <f t="shared" si="11"/>
        <v>22882.191780821919</v>
      </c>
      <c r="R28" s="13">
        <f t="shared" si="2"/>
        <v>36.757990867579906</v>
      </c>
      <c r="T28" s="11"/>
      <c r="U28" s="12"/>
      <c r="V28" s="97"/>
      <c r="W28" s="13"/>
      <c r="X28" s="13"/>
      <c r="Y28" s="13"/>
      <c r="AA28" s="11"/>
      <c r="AB28" s="98"/>
      <c r="AC28" s="97"/>
      <c r="AD28" s="13"/>
      <c r="AE28" s="13"/>
      <c r="AF28" s="13"/>
      <c r="AH28" s="235"/>
      <c r="AI28" s="235"/>
      <c r="AJ28" s="90"/>
      <c r="AK28" s="91"/>
      <c r="AM28" s="235"/>
      <c r="AN28" s="235"/>
      <c r="AO28" s="90"/>
      <c r="AP28" s="91"/>
      <c r="AR28" s="106">
        <v>106341300.41</v>
      </c>
      <c r="AS28" s="565">
        <v>0.03</v>
      </c>
      <c r="AT28" s="565">
        <v>3.0599999999999999E-2</v>
      </c>
      <c r="AU28" s="106">
        <v>9052.5499999999993</v>
      </c>
      <c r="AV28" s="106">
        <v>929.26</v>
      </c>
      <c r="AW28" s="19"/>
    </row>
    <row r="29" spans="2:49" x14ac:dyDescent="0.25">
      <c r="B29" s="9" t="str">
        <f t="shared" si="3"/>
        <v>1 2025</v>
      </c>
      <c r="C29" s="88">
        <f t="shared" si="5"/>
        <v>45681</v>
      </c>
      <c r="D29" s="88">
        <f t="shared" si="6"/>
        <v>45682</v>
      </c>
      <c r="E29" s="89">
        <f t="shared" si="4"/>
        <v>1</v>
      </c>
      <c r="G29" s="11" t="s">
        <v>7</v>
      </c>
      <c r="H29" s="12">
        <f t="shared" si="12"/>
        <v>18950000</v>
      </c>
      <c r="I29" s="14">
        <f t="shared" si="7"/>
        <v>2.75E-2</v>
      </c>
      <c r="J29" s="13">
        <f t="shared" si="8"/>
        <v>1447.5694444444443</v>
      </c>
      <c r="K29" s="13">
        <f t="shared" si="9"/>
        <v>47510.069444444453</v>
      </c>
      <c r="M29" s="11" t="s">
        <v>7</v>
      </c>
      <c r="N29" s="12">
        <f t="shared" si="10"/>
        <v>12000000</v>
      </c>
      <c r="O29" s="97">
        <f t="shared" si="13"/>
        <v>2.8602739726027396E-2</v>
      </c>
      <c r="P29" s="112">
        <f t="shared" si="1"/>
        <v>953.42465753424653</v>
      </c>
      <c r="Q29" s="13">
        <f t="shared" si="11"/>
        <v>23835.616438356166</v>
      </c>
      <c r="R29" s="13">
        <f t="shared" si="2"/>
        <v>36.757990867579906</v>
      </c>
      <c r="T29" s="11"/>
      <c r="U29" s="12"/>
      <c r="V29" s="97"/>
      <c r="W29" s="13"/>
      <c r="X29" s="13"/>
      <c r="Y29" s="13"/>
      <c r="AA29" s="11"/>
      <c r="AB29" s="98"/>
      <c r="AC29" s="97"/>
      <c r="AD29" s="13"/>
      <c r="AE29" s="13"/>
      <c r="AF29" s="13"/>
      <c r="AH29" s="235"/>
      <c r="AI29" s="235"/>
      <c r="AJ29" s="90"/>
      <c r="AK29" s="91"/>
      <c r="AM29" s="235"/>
      <c r="AN29" s="235"/>
      <c r="AO29" s="90"/>
      <c r="AP29" s="91"/>
      <c r="AR29" s="106">
        <v>106341300.41</v>
      </c>
      <c r="AS29" s="565">
        <v>0.03</v>
      </c>
      <c r="AT29" s="565">
        <v>3.0599999999999999E-2</v>
      </c>
      <c r="AU29" s="106">
        <v>9052.5499999999993</v>
      </c>
      <c r="AV29" s="106">
        <v>929.26</v>
      </c>
      <c r="AW29" s="19"/>
    </row>
    <row r="30" spans="2:49" x14ac:dyDescent="0.25">
      <c r="B30" s="9" t="str">
        <f t="shared" si="3"/>
        <v>1 2025</v>
      </c>
      <c r="C30" s="88">
        <f t="shared" si="5"/>
        <v>45682</v>
      </c>
      <c r="D30" s="88">
        <f t="shared" si="6"/>
        <v>45683</v>
      </c>
      <c r="E30" s="89">
        <f t="shared" si="4"/>
        <v>1</v>
      </c>
      <c r="G30" s="11" t="s">
        <v>7</v>
      </c>
      <c r="H30" s="12">
        <f t="shared" si="12"/>
        <v>18950000</v>
      </c>
      <c r="I30" s="14">
        <f t="shared" si="7"/>
        <v>2.75E-2</v>
      </c>
      <c r="J30" s="13">
        <f t="shared" si="8"/>
        <v>1447.5694444444443</v>
      </c>
      <c r="K30" s="13">
        <f t="shared" si="9"/>
        <v>48957.638888888898</v>
      </c>
      <c r="M30" s="11" t="s">
        <v>7</v>
      </c>
      <c r="N30" s="12">
        <f t="shared" si="10"/>
        <v>12000000</v>
      </c>
      <c r="O30" s="97">
        <f t="shared" si="13"/>
        <v>2.8602739726027396E-2</v>
      </c>
      <c r="P30" s="112">
        <f t="shared" si="1"/>
        <v>953.42465753424653</v>
      </c>
      <c r="Q30" s="13">
        <f t="shared" si="11"/>
        <v>24789.041095890414</v>
      </c>
      <c r="R30" s="13">
        <f t="shared" si="2"/>
        <v>36.757990867579906</v>
      </c>
      <c r="T30" s="11"/>
      <c r="U30" s="12"/>
      <c r="V30" s="97"/>
      <c r="W30" s="13"/>
      <c r="X30" s="13"/>
      <c r="Y30" s="13"/>
      <c r="AA30" s="11"/>
      <c r="AB30" s="98"/>
      <c r="AC30" s="97"/>
      <c r="AD30" s="13"/>
      <c r="AE30" s="13"/>
      <c r="AF30" s="13"/>
      <c r="AH30" s="235"/>
      <c r="AI30" s="235"/>
      <c r="AJ30" s="90"/>
      <c r="AK30" s="91"/>
      <c r="AM30" s="235"/>
      <c r="AN30" s="235"/>
      <c r="AO30" s="90"/>
      <c r="AP30" s="91"/>
      <c r="AR30" s="106">
        <v>106341300.41</v>
      </c>
      <c r="AS30" s="565">
        <v>0.03</v>
      </c>
      <c r="AT30" s="565">
        <v>3.0599999999999999E-2</v>
      </c>
      <c r="AU30" s="106">
        <v>9052.5499999999993</v>
      </c>
      <c r="AV30" s="106">
        <v>929.26</v>
      </c>
      <c r="AW30" s="19"/>
    </row>
    <row r="31" spans="2:49" x14ac:dyDescent="0.25">
      <c r="B31" s="9" t="str">
        <f t="shared" si="3"/>
        <v>1 2025</v>
      </c>
      <c r="C31" s="88">
        <f t="shared" si="5"/>
        <v>45683</v>
      </c>
      <c r="D31" s="88">
        <f t="shared" si="6"/>
        <v>45684</v>
      </c>
      <c r="E31" s="89">
        <f t="shared" si="4"/>
        <v>1</v>
      </c>
      <c r="G31" s="11" t="s">
        <v>7</v>
      </c>
      <c r="H31" s="12">
        <f t="shared" si="12"/>
        <v>18950000</v>
      </c>
      <c r="I31" s="14">
        <f t="shared" si="7"/>
        <v>2.75E-2</v>
      </c>
      <c r="J31" s="13">
        <f t="shared" si="8"/>
        <v>1447.5694444444443</v>
      </c>
      <c r="K31" s="13">
        <f t="shared" si="9"/>
        <v>50405.208333333343</v>
      </c>
      <c r="M31" s="11" t="s">
        <v>7</v>
      </c>
      <c r="N31" s="12">
        <f t="shared" si="10"/>
        <v>12000000</v>
      </c>
      <c r="O31" s="97">
        <f t="shared" si="13"/>
        <v>2.8602739726027396E-2</v>
      </c>
      <c r="P31" s="112">
        <f t="shared" si="1"/>
        <v>953.42465753424653</v>
      </c>
      <c r="Q31" s="13">
        <f t="shared" si="11"/>
        <v>25742.465753424662</v>
      </c>
      <c r="R31" s="13">
        <f t="shared" si="2"/>
        <v>36.757990867579906</v>
      </c>
      <c r="T31" s="11"/>
      <c r="U31" s="12"/>
      <c r="V31" s="97"/>
      <c r="W31" s="13"/>
      <c r="X31" s="13"/>
      <c r="Y31" s="13"/>
      <c r="AA31" s="11"/>
      <c r="AB31" s="98"/>
      <c r="AC31" s="97"/>
      <c r="AD31" s="13"/>
      <c r="AE31" s="13"/>
      <c r="AF31" s="13"/>
      <c r="AH31" s="235"/>
      <c r="AI31" s="235"/>
      <c r="AJ31" s="90"/>
      <c r="AK31" s="91"/>
      <c r="AM31" s="235"/>
      <c r="AN31" s="235"/>
      <c r="AO31" s="90"/>
      <c r="AP31" s="91"/>
      <c r="AR31" s="106">
        <v>106341300.41</v>
      </c>
      <c r="AS31" s="565">
        <v>0.03</v>
      </c>
      <c r="AT31" s="565">
        <v>3.0599999999999999E-2</v>
      </c>
      <c r="AU31" s="106">
        <v>9052.5499999999993</v>
      </c>
      <c r="AV31" s="106">
        <v>929.26</v>
      </c>
      <c r="AW31" s="19"/>
    </row>
    <row r="32" spans="2:49" x14ac:dyDescent="0.25">
      <c r="B32" s="9" t="str">
        <f t="shared" si="3"/>
        <v>1 2025</v>
      </c>
      <c r="C32" s="88">
        <f t="shared" si="5"/>
        <v>45684</v>
      </c>
      <c r="D32" s="88">
        <f t="shared" si="6"/>
        <v>45685</v>
      </c>
      <c r="E32" s="89">
        <f t="shared" si="4"/>
        <v>1</v>
      </c>
      <c r="G32" s="11" t="s">
        <v>7</v>
      </c>
      <c r="H32" s="135">
        <f>H31-6700000</f>
        <v>12250000</v>
      </c>
      <c r="I32" s="14">
        <f t="shared" si="7"/>
        <v>2.75E-2</v>
      </c>
      <c r="J32" s="13">
        <f t="shared" si="8"/>
        <v>935.76388888888891</v>
      </c>
      <c r="K32" s="13">
        <f t="shared" si="9"/>
        <v>51340.972222222234</v>
      </c>
      <c r="M32" s="11" t="s">
        <v>7</v>
      </c>
      <c r="N32" s="12">
        <f t="shared" si="10"/>
        <v>12000000</v>
      </c>
      <c r="O32" s="97">
        <f t="shared" si="13"/>
        <v>2.8602739726027396E-2</v>
      </c>
      <c r="P32" s="112">
        <f t="shared" si="1"/>
        <v>953.42465753424653</v>
      </c>
      <c r="Q32" s="13">
        <f t="shared" si="11"/>
        <v>26695.890410958909</v>
      </c>
      <c r="R32" s="13">
        <f t="shared" si="2"/>
        <v>36.757990867579906</v>
      </c>
      <c r="T32" s="11"/>
      <c r="U32" s="12"/>
      <c r="V32" s="97"/>
      <c r="W32" s="13"/>
      <c r="X32" s="13"/>
      <c r="Y32" s="13"/>
      <c r="AA32" s="11"/>
      <c r="AB32" s="98"/>
      <c r="AC32" s="97"/>
      <c r="AD32" s="13"/>
      <c r="AE32" s="13"/>
      <c r="AF32" s="13"/>
      <c r="AH32" s="235"/>
      <c r="AI32" s="235"/>
      <c r="AJ32" s="90"/>
      <c r="AK32" s="91"/>
      <c r="AM32" s="235"/>
      <c r="AN32" s="235"/>
      <c r="AO32" s="90"/>
      <c r="AP32" s="91"/>
      <c r="AR32" s="106">
        <v>99641300.409999996</v>
      </c>
      <c r="AS32" s="565">
        <v>0.03</v>
      </c>
      <c r="AT32" s="565">
        <v>3.09E-2</v>
      </c>
      <c r="AU32" s="106">
        <v>8540.74</v>
      </c>
      <c r="AV32" s="106">
        <v>929.26</v>
      </c>
      <c r="AW32" s="19"/>
    </row>
    <row r="33" spans="2:49" x14ac:dyDescent="0.25">
      <c r="B33" s="9" t="str">
        <f t="shared" si="3"/>
        <v>1 2025</v>
      </c>
      <c r="C33" s="88">
        <f t="shared" si="5"/>
        <v>45685</v>
      </c>
      <c r="D33" s="88">
        <f t="shared" si="6"/>
        <v>45686</v>
      </c>
      <c r="E33" s="89">
        <f t="shared" si="4"/>
        <v>1</v>
      </c>
      <c r="G33" s="11" t="s">
        <v>7</v>
      </c>
      <c r="H33" s="106">
        <f>H32-400000+50000</f>
        <v>11900000</v>
      </c>
      <c r="I33" s="14">
        <f t="shared" si="7"/>
        <v>2.75E-2</v>
      </c>
      <c r="J33" s="13">
        <f t="shared" si="8"/>
        <v>909.02777777777783</v>
      </c>
      <c r="K33" s="13">
        <f t="shared" si="9"/>
        <v>52250.000000000015</v>
      </c>
      <c r="M33" s="11" t="s">
        <v>7</v>
      </c>
      <c r="N33" s="12">
        <f t="shared" si="10"/>
        <v>12000000</v>
      </c>
      <c r="O33" s="97">
        <f t="shared" si="13"/>
        <v>2.8602739726027396E-2</v>
      </c>
      <c r="P33" s="112">
        <f t="shared" si="1"/>
        <v>953.42465753424653</v>
      </c>
      <c r="Q33" s="13">
        <f t="shared" si="11"/>
        <v>27649.315068493157</v>
      </c>
      <c r="R33" s="13">
        <f t="shared" si="2"/>
        <v>36.757990867579906</v>
      </c>
      <c r="T33" s="11"/>
      <c r="U33" s="12"/>
      <c r="V33" s="97"/>
      <c r="W33" s="13"/>
      <c r="X33" s="13"/>
      <c r="Y33" s="13"/>
      <c r="AA33" s="11"/>
      <c r="AB33" s="98"/>
      <c r="AC33" s="97"/>
      <c r="AD33" s="13"/>
      <c r="AE33" s="13"/>
      <c r="AF33" s="13"/>
      <c r="AH33" s="235"/>
      <c r="AI33" s="235"/>
      <c r="AJ33" s="90"/>
      <c r="AK33" s="91"/>
      <c r="AM33" s="235"/>
      <c r="AN33" s="235"/>
      <c r="AO33" s="90"/>
      <c r="AP33" s="91"/>
      <c r="AR33" s="106">
        <v>99291300.409999996</v>
      </c>
      <c r="AS33" s="565">
        <v>0.03</v>
      </c>
      <c r="AT33" s="565">
        <v>3.09E-2</v>
      </c>
      <c r="AU33" s="106">
        <v>8514.01</v>
      </c>
      <c r="AV33" s="106">
        <v>929.26</v>
      </c>
      <c r="AW33" s="19"/>
    </row>
    <row r="34" spans="2:49" x14ac:dyDescent="0.25">
      <c r="B34" s="9" t="str">
        <f t="shared" si="3"/>
        <v>1 2025</v>
      </c>
      <c r="C34" s="88">
        <f t="shared" si="5"/>
        <v>45686</v>
      </c>
      <c r="D34" s="88">
        <f t="shared" si="6"/>
        <v>45687</v>
      </c>
      <c r="E34" s="89">
        <f t="shared" si="4"/>
        <v>1</v>
      </c>
      <c r="G34" s="11" t="s">
        <v>7</v>
      </c>
      <c r="H34" s="12">
        <f t="shared" si="12"/>
        <v>11900000</v>
      </c>
      <c r="I34" s="14">
        <f t="shared" si="7"/>
        <v>2.75E-2</v>
      </c>
      <c r="J34" s="13">
        <f t="shared" si="8"/>
        <v>909.02777777777783</v>
      </c>
      <c r="K34" s="13">
        <f t="shared" si="9"/>
        <v>53159.027777777796</v>
      </c>
      <c r="M34" s="11" t="s">
        <v>7</v>
      </c>
      <c r="N34" s="12">
        <f t="shared" si="10"/>
        <v>12000000</v>
      </c>
      <c r="O34" s="97">
        <f t="shared" si="13"/>
        <v>2.8602739726027396E-2</v>
      </c>
      <c r="P34" s="112">
        <f t="shared" si="1"/>
        <v>953.42465753424653</v>
      </c>
      <c r="Q34" s="13">
        <f t="shared" si="11"/>
        <v>28602.739726027405</v>
      </c>
      <c r="R34" s="13">
        <f t="shared" si="2"/>
        <v>36.757990867579906</v>
      </c>
      <c r="T34" s="11"/>
      <c r="U34" s="12"/>
      <c r="V34" s="97"/>
      <c r="W34" s="13"/>
      <c r="X34" s="13"/>
      <c r="Y34" s="13"/>
      <c r="AA34" s="11"/>
      <c r="AB34" s="98"/>
      <c r="AC34" s="97"/>
      <c r="AD34" s="13"/>
      <c r="AE34" s="13"/>
      <c r="AF34" s="13"/>
      <c r="AH34" s="235"/>
      <c r="AI34" s="235"/>
      <c r="AJ34" s="90"/>
      <c r="AK34" s="91"/>
      <c r="AM34" s="235"/>
      <c r="AN34" s="235"/>
      <c r="AO34" s="90"/>
      <c r="AP34" s="91"/>
      <c r="AR34" s="106">
        <v>99291300.409999996</v>
      </c>
      <c r="AS34" s="565">
        <v>0.03</v>
      </c>
      <c r="AT34" s="565">
        <v>3.09E-2</v>
      </c>
      <c r="AU34" s="106">
        <v>8514.01</v>
      </c>
      <c r="AV34" s="106">
        <v>929.26</v>
      </c>
      <c r="AW34" s="19"/>
    </row>
    <row r="35" spans="2:49" x14ac:dyDescent="0.25">
      <c r="B35" s="9" t="str">
        <f t="shared" si="3"/>
        <v>1 2025</v>
      </c>
      <c r="C35" s="142">
        <f t="shared" si="5"/>
        <v>45687</v>
      </c>
      <c r="D35" s="142">
        <f t="shared" si="6"/>
        <v>45688</v>
      </c>
      <c r="E35" s="143">
        <f t="shared" si="4"/>
        <v>1</v>
      </c>
      <c r="F35" s="17"/>
      <c r="G35" s="143" t="s">
        <v>7</v>
      </c>
      <c r="H35" s="144">
        <f>H34+50000</f>
        <v>11950000</v>
      </c>
      <c r="I35" s="145">
        <f t="shared" si="7"/>
        <v>2.75E-2</v>
      </c>
      <c r="J35" s="146">
        <f>+H35*I35*E35/360</f>
        <v>912.84722222222217</v>
      </c>
      <c r="K35" s="146">
        <f t="shared" si="9"/>
        <v>54071.875000000015</v>
      </c>
      <c r="L35" s="17"/>
      <c r="M35" s="143" t="s">
        <v>7</v>
      </c>
      <c r="N35" s="144">
        <f t="shared" si="10"/>
        <v>12000000</v>
      </c>
      <c r="O35" s="145">
        <f t="shared" si="13"/>
        <v>2.8602739726027396E-2</v>
      </c>
      <c r="P35" s="146">
        <f t="shared" si="1"/>
        <v>953.42465753424653</v>
      </c>
      <c r="Q35" s="146">
        <f t="shared" si="11"/>
        <v>29556.164383561652</v>
      </c>
      <c r="R35" s="146">
        <f t="shared" si="2"/>
        <v>36.757990867579906</v>
      </c>
      <c r="S35" s="17"/>
      <c r="T35" s="11"/>
      <c r="U35" s="12"/>
      <c r="V35" s="97"/>
      <c r="W35" s="13"/>
      <c r="X35" s="13"/>
      <c r="Y35" s="13"/>
      <c r="Z35" s="17"/>
      <c r="AA35" s="143"/>
      <c r="AB35" s="144"/>
      <c r="AC35" s="145"/>
      <c r="AD35" s="146"/>
      <c r="AE35" s="146"/>
      <c r="AF35" s="146"/>
      <c r="AG35" s="141"/>
      <c r="AH35" s="234"/>
      <c r="AI35" s="234"/>
      <c r="AJ35" s="240"/>
      <c r="AK35" s="241"/>
      <c r="AM35" s="234"/>
      <c r="AN35" s="234"/>
      <c r="AO35" s="240"/>
      <c r="AP35" s="241"/>
      <c r="AR35" s="106">
        <v>99341300.409999996</v>
      </c>
      <c r="AS35" s="567">
        <v>0.03</v>
      </c>
      <c r="AT35" s="565">
        <v>3.09E-2</v>
      </c>
      <c r="AU35" s="106">
        <v>8517.83</v>
      </c>
      <c r="AV35" s="106">
        <v>929.26</v>
      </c>
      <c r="AW35" s="19"/>
    </row>
    <row r="36" spans="2:49" x14ac:dyDescent="0.25">
      <c r="B36" s="9" t="str">
        <f t="shared" si="3"/>
        <v>2 2025</v>
      </c>
      <c r="C36" s="10">
        <f t="shared" si="5"/>
        <v>45688</v>
      </c>
      <c r="D36" s="10">
        <f t="shared" si="6"/>
        <v>45689</v>
      </c>
      <c r="E36" s="11">
        <f t="shared" si="4"/>
        <v>1</v>
      </c>
      <c r="G36" s="11" t="s">
        <v>7</v>
      </c>
      <c r="H36" s="135">
        <f>H35+50000</f>
        <v>12000000</v>
      </c>
      <c r="I36" s="14">
        <f t="shared" si="7"/>
        <v>2.75E-2</v>
      </c>
      <c r="J36" s="13">
        <f t="shared" si="8"/>
        <v>916.66666666666663</v>
      </c>
      <c r="K36" s="13">
        <f t="shared" si="9"/>
        <v>54988.541666666679</v>
      </c>
      <c r="M36" s="11" t="s">
        <v>7</v>
      </c>
      <c r="N36" s="12">
        <f t="shared" si="10"/>
        <v>12000000</v>
      </c>
      <c r="O36" s="97">
        <f t="shared" si="13"/>
        <v>2.8602739726027396E-2</v>
      </c>
      <c r="P36" s="112">
        <f t="shared" si="1"/>
        <v>953.42465753424653</v>
      </c>
      <c r="Q36" s="13">
        <f t="shared" si="11"/>
        <v>30509.5890410959</v>
      </c>
      <c r="R36" s="13">
        <f t="shared" si="2"/>
        <v>36.757990867579906</v>
      </c>
      <c r="T36" s="11"/>
      <c r="U36" s="12"/>
      <c r="V36" s="97"/>
      <c r="W36" s="13"/>
      <c r="X36" s="13"/>
      <c r="Y36" s="13"/>
      <c r="AA36" s="11"/>
      <c r="AB36" s="98"/>
      <c r="AC36" s="97"/>
      <c r="AD36" s="13"/>
      <c r="AE36" s="13"/>
      <c r="AF36" s="13"/>
      <c r="AH36" s="235"/>
      <c r="AI36" s="235"/>
      <c r="AJ36" s="90"/>
      <c r="AK36" s="91"/>
      <c r="AM36" s="235"/>
      <c r="AN36" s="235"/>
      <c r="AO36" s="90"/>
      <c r="AP36" s="91"/>
      <c r="AR36" s="106">
        <v>99391300.409999996</v>
      </c>
      <c r="AS36" s="565">
        <v>0.03</v>
      </c>
      <c r="AT36" s="565">
        <v>3.09E-2</v>
      </c>
      <c r="AU36" s="106">
        <v>8521.65</v>
      </c>
      <c r="AV36" s="106">
        <v>929.26</v>
      </c>
      <c r="AW36" s="19"/>
    </row>
    <row r="37" spans="2:49" x14ac:dyDescent="0.25">
      <c r="B37" s="9" t="str">
        <f t="shared" si="3"/>
        <v>2 2025</v>
      </c>
      <c r="C37" s="10">
        <f t="shared" si="5"/>
        <v>45689</v>
      </c>
      <c r="D37" s="10">
        <f t="shared" si="6"/>
        <v>45690</v>
      </c>
      <c r="E37" s="11">
        <f t="shared" si="4"/>
        <v>1</v>
      </c>
      <c r="G37" s="11" t="s">
        <v>7</v>
      </c>
      <c r="H37" s="12">
        <f t="shared" si="12"/>
        <v>12000000</v>
      </c>
      <c r="I37" s="14">
        <f t="shared" si="7"/>
        <v>2.75E-2</v>
      </c>
      <c r="J37" s="13">
        <f t="shared" si="8"/>
        <v>916.66666666666663</v>
      </c>
      <c r="K37" s="13">
        <f t="shared" si="9"/>
        <v>55905.208333333343</v>
      </c>
      <c r="M37" s="11" t="s">
        <v>7</v>
      </c>
      <c r="N37" s="12">
        <f t="shared" si="10"/>
        <v>12000000</v>
      </c>
      <c r="O37" s="97">
        <f t="shared" si="13"/>
        <v>2.8602739726027396E-2</v>
      </c>
      <c r="P37" s="112">
        <f t="shared" si="1"/>
        <v>953.42465753424653</v>
      </c>
      <c r="Q37" s="13">
        <f t="shared" si="11"/>
        <v>31463.013698630148</v>
      </c>
      <c r="R37" s="13">
        <f t="shared" si="2"/>
        <v>36.757990867579906</v>
      </c>
      <c r="T37" s="11"/>
      <c r="U37" s="12"/>
      <c r="V37" s="97"/>
      <c r="W37" s="13"/>
      <c r="X37" s="13"/>
      <c r="Y37" s="13"/>
      <c r="AA37" s="11"/>
      <c r="AB37" s="98"/>
      <c r="AC37" s="97"/>
      <c r="AD37" s="13"/>
      <c r="AE37" s="13"/>
      <c r="AF37" s="13"/>
      <c r="AH37" s="235"/>
      <c r="AI37" s="235"/>
      <c r="AJ37" s="90"/>
      <c r="AK37" s="91"/>
      <c r="AM37" s="235"/>
      <c r="AN37" s="235"/>
      <c r="AO37" s="90"/>
      <c r="AP37" s="91"/>
      <c r="AR37" s="106">
        <v>99391300.409999996</v>
      </c>
      <c r="AS37" s="565">
        <v>0.03</v>
      </c>
      <c r="AT37" s="565">
        <v>3.09E-2</v>
      </c>
      <c r="AU37" s="106">
        <v>8521.65</v>
      </c>
      <c r="AV37" s="106">
        <v>929.26</v>
      </c>
      <c r="AW37" s="19"/>
    </row>
    <row r="38" spans="2:49" x14ac:dyDescent="0.25">
      <c r="B38" s="9" t="str">
        <f t="shared" si="3"/>
        <v>2 2025</v>
      </c>
      <c r="C38" s="10">
        <f t="shared" si="5"/>
        <v>45690</v>
      </c>
      <c r="D38" s="10">
        <f t="shared" si="6"/>
        <v>45691</v>
      </c>
      <c r="E38" s="11">
        <f t="shared" si="4"/>
        <v>1</v>
      </c>
      <c r="G38" s="11" t="s">
        <v>7</v>
      </c>
      <c r="H38" s="12">
        <f t="shared" si="12"/>
        <v>12000000</v>
      </c>
      <c r="I38" s="14">
        <f t="shared" si="7"/>
        <v>2.75E-2</v>
      </c>
      <c r="J38" s="13">
        <f t="shared" si="8"/>
        <v>916.66666666666663</v>
      </c>
      <c r="K38" s="13">
        <f t="shared" si="9"/>
        <v>56821.875000000007</v>
      </c>
      <c r="M38" s="11" t="s">
        <v>7</v>
      </c>
      <c r="N38" s="12">
        <f t="shared" si="10"/>
        <v>12000000</v>
      </c>
      <c r="O38" s="97">
        <f t="shared" si="13"/>
        <v>2.8602739726027396E-2</v>
      </c>
      <c r="P38" s="112">
        <f t="shared" si="1"/>
        <v>953.42465753424653</v>
      </c>
      <c r="Q38" s="13">
        <f t="shared" ref="Q38" si="14">Q37+P38</f>
        <v>32416.438356164395</v>
      </c>
      <c r="R38" s="13">
        <f t="shared" si="2"/>
        <v>36.757990867579906</v>
      </c>
      <c r="T38" s="11"/>
      <c r="U38" s="12"/>
      <c r="V38" s="97"/>
      <c r="W38" s="13"/>
      <c r="X38" s="13"/>
      <c r="Y38" s="13"/>
      <c r="AA38" s="11"/>
      <c r="AB38" s="98"/>
      <c r="AC38" s="97"/>
      <c r="AD38" s="13"/>
      <c r="AE38" s="13"/>
      <c r="AF38" s="13"/>
      <c r="AH38" s="235"/>
      <c r="AI38" s="235"/>
      <c r="AJ38" s="90"/>
      <c r="AK38" s="91"/>
      <c r="AM38" s="235"/>
      <c r="AN38" s="235"/>
      <c r="AO38" s="90"/>
      <c r="AP38" s="91"/>
      <c r="AR38" s="106">
        <v>99391300.409999996</v>
      </c>
      <c r="AS38" s="565">
        <v>0.03</v>
      </c>
      <c r="AT38" s="565">
        <v>3.09E-2</v>
      </c>
      <c r="AU38" s="106">
        <v>8521.65</v>
      </c>
      <c r="AV38" s="106">
        <v>929.26</v>
      </c>
      <c r="AW38" s="19"/>
    </row>
    <row r="39" spans="2:49" x14ac:dyDescent="0.25">
      <c r="B39" s="9" t="str">
        <f t="shared" si="3"/>
        <v>2 2025</v>
      </c>
      <c r="C39" s="10">
        <f t="shared" si="5"/>
        <v>45691</v>
      </c>
      <c r="D39" s="10">
        <f t="shared" si="6"/>
        <v>45692</v>
      </c>
      <c r="E39" s="11">
        <f t="shared" si="4"/>
        <v>1</v>
      </c>
      <c r="G39" s="11" t="s">
        <v>7</v>
      </c>
      <c r="H39" s="135">
        <f>H38+9820000</f>
        <v>21820000</v>
      </c>
      <c r="I39" s="14">
        <f t="shared" si="7"/>
        <v>2.75E-2</v>
      </c>
      <c r="J39" s="13">
        <f t="shared" si="8"/>
        <v>1666.8055555555557</v>
      </c>
      <c r="K39" s="13">
        <f t="shared" si="9"/>
        <v>58488.680555555562</v>
      </c>
      <c r="M39" s="11" t="s">
        <v>7</v>
      </c>
      <c r="N39" s="12"/>
      <c r="O39" s="97"/>
      <c r="P39" s="13"/>
      <c r="Q39" s="13"/>
      <c r="R39" s="13"/>
      <c r="T39" s="11"/>
      <c r="U39" s="12"/>
      <c r="V39" s="97"/>
      <c r="W39" s="13"/>
      <c r="X39" s="13"/>
      <c r="Y39" s="13"/>
      <c r="AA39" s="11"/>
      <c r="AB39" s="98"/>
      <c r="AC39" s="97"/>
      <c r="AD39" s="13"/>
      <c r="AE39" s="13"/>
      <c r="AF39" s="13"/>
      <c r="AH39" s="235"/>
      <c r="AI39" s="235"/>
      <c r="AJ39" s="90"/>
      <c r="AK39" s="91"/>
      <c r="AM39" s="235"/>
      <c r="AN39" s="235"/>
      <c r="AO39" s="90"/>
      <c r="AP39" s="91"/>
      <c r="AR39" s="106">
        <v>97211300.409999996</v>
      </c>
      <c r="AS39" s="565">
        <v>0.03</v>
      </c>
      <c r="AT39" s="565">
        <v>3.0800000000000001E-2</v>
      </c>
      <c r="AU39" s="106">
        <v>8318.36</v>
      </c>
      <c r="AV39" s="106">
        <v>892.5</v>
      </c>
      <c r="AW39" s="19"/>
    </row>
    <row r="40" spans="2:49" x14ac:dyDescent="0.25">
      <c r="B40" s="9" t="str">
        <f t="shared" si="3"/>
        <v>2 2025</v>
      </c>
      <c r="C40" s="10">
        <f t="shared" si="5"/>
        <v>45692</v>
      </c>
      <c r="D40" s="10">
        <f t="shared" si="6"/>
        <v>45693</v>
      </c>
      <c r="E40" s="11">
        <f t="shared" si="4"/>
        <v>1</v>
      </c>
      <c r="G40" s="11" t="s">
        <v>7</v>
      </c>
      <c r="H40" s="135">
        <f>H39+3120000</f>
        <v>24940000</v>
      </c>
      <c r="I40" s="14">
        <f t="shared" si="7"/>
        <v>2.75E-2</v>
      </c>
      <c r="J40" s="13">
        <f t="shared" si="8"/>
        <v>1905.1388888888889</v>
      </c>
      <c r="K40" s="13">
        <f t="shared" si="9"/>
        <v>60393.819444444453</v>
      </c>
      <c r="M40" s="11" t="s">
        <v>7</v>
      </c>
      <c r="N40" s="12"/>
      <c r="O40" s="97"/>
      <c r="P40" s="13"/>
      <c r="Q40" s="13"/>
      <c r="R40" s="13"/>
      <c r="T40" s="11"/>
      <c r="U40" s="12"/>
      <c r="V40" s="97"/>
      <c r="W40" s="13"/>
      <c r="X40" s="13"/>
      <c r="Y40" s="13"/>
      <c r="AA40" s="11"/>
      <c r="AB40" s="98"/>
      <c r="AC40" s="97"/>
      <c r="AD40" s="13"/>
      <c r="AE40" s="13"/>
      <c r="AF40" s="13"/>
      <c r="AH40" s="235"/>
      <c r="AI40" s="235"/>
      <c r="AJ40" s="90"/>
      <c r="AK40" s="91"/>
      <c r="AM40" s="235"/>
      <c r="AN40" s="235"/>
      <c r="AO40" s="90"/>
      <c r="AP40" s="91"/>
      <c r="AR40" s="106">
        <v>100331300.41</v>
      </c>
      <c r="AS40" s="565">
        <v>0.03</v>
      </c>
      <c r="AT40" s="565">
        <v>3.0700000000000002E-2</v>
      </c>
      <c r="AU40" s="106">
        <v>8556.69</v>
      </c>
      <c r="AV40" s="106">
        <v>892.5</v>
      </c>
      <c r="AW40" s="19"/>
    </row>
    <row r="41" spans="2:49" x14ac:dyDescent="0.25">
      <c r="B41" s="9" t="str">
        <f t="shared" si="3"/>
        <v>2 2025</v>
      </c>
      <c r="C41" s="174">
        <f t="shared" si="5"/>
        <v>45693</v>
      </c>
      <c r="D41" s="10">
        <f t="shared" si="6"/>
        <v>45694</v>
      </c>
      <c r="E41" s="11">
        <f t="shared" si="4"/>
        <v>1</v>
      </c>
      <c r="G41" s="11" t="s">
        <v>7</v>
      </c>
      <c r="H41" s="12">
        <f t="shared" si="12"/>
        <v>24940000</v>
      </c>
      <c r="I41" s="175">
        <v>2.5000000000000001E-2</v>
      </c>
      <c r="J41" s="13">
        <f t="shared" si="8"/>
        <v>1731.9444444444443</v>
      </c>
      <c r="K41" s="13">
        <f t="shared" si="9"/>
        <v>62125.763888888898</v>
      </c>
      <c r="M41" s="11" t="s">
        <v>7</v>
      </c>
      <c r="N41" s="12"/>
      <c r="O41" s="97"/>
      <c r="P41" s="13"/>
      <c r="Q41" s="13"/>
      <c r="R41" s="13"/>
      <c r="T41" s="11"/>
      <c r="U41" s="12"/>
      <c r="V41" s="97"/>
      <c r="W41" s="13"/>
      <c r="X41" s="13"/>
      <c r="Y41" s="13"/>
      <c r="AA41" s="11"/>
      <c r="AB41" s="98"/>
      <c r="AC41" s="97"/>
      <c r="AD41" s="13"/>
      <c r="AE41" s="13"/>
      <c r="AF41" s="13"/>
      <c r="AH41" s="235"/>
      <c r="AI41" s="235"/>
      <c r="AJ41" s="90"/>
      <c r="AK41" s="91"/>
      <c r="AM41" s="235"/>
      <c r="AN41" s="235"/>
      <c r="AO41" s="90"/>
      <c r="AP41" s="91"/>
      <c r="AR41" s="106">
        <v>100331300.41</v>
      </c>
      <c r="AS41" s="565">
        <v>2.75E-2</v>
      </c>
      <c r="AT41" s="565">
        <v>3.0099999999999998E-2</v>
      </c>
      <c r="AU41" s="106">
        <v>8383.5</v>
      </c>
      <c r="AV41" s="106">
        <v>1416.05</v>
      </c>
      <c r="AW41" s="19"/>
    </row>
    <row r="42" spans="2:49" x14ac:dyDescent="0.25">
      <c r="B42" s="9" t="str">
        <f t="shared" si="3"/>
        <v>2 2025</v>
      </c>
      <c r="C42" s="10">
        <f t="shared" si="5"/>
        <v>45694</v>
      </c>
      <c r="D42" s="10">
        <f t="shared" si="6"/>
        <v>45695</v>
      </c>
      <c r="E42" s="11">
        <f t="shared" si="4"/>
        <v>1</v>
      </c>
      <c r="G42" s="11" t="s">
        <v>7</v>
      </c>
      <c r="H42" s="12">
        <f t="shared" si="12"/>
        <v>24940000</v>
      </c>
      <c r="I42" s="14">
        <f t="shared" si="7"/>
        <v>2.5000000000000001E-2</v>
      </c>
      <c r="J42" s="13">
        <f t="shared" si="8"/>
        <v>1731.9444444444443</v>
      </c>
      <c r="K42" s="13">
        <f t="shared" si="9"/>
        <v>63857.708333333343</v>
      </c>
      <c r="M42" s="11" t="s">
        <v>7</v>
      </c>
      <c r="N42" s="12"/>
      <c r="O42" s="97"/>
      <c r="P42" s="13"/>
      <c r="Q42" s="13"/>
      <c r="R42" s="13"/>
      <c r="T42" s="11"/>
      <c r="U42" s="12"/>
      <c r="V42" s="97"/>
      <c r="W42" s="13"/>
      <c r="X42" s="13"/>
      <c r="Y42" s="13"/>
      <c r="AA42" s="11"/>
      <c r="AB42" s="98"/>
      <c r="AC42" s="97"/>
      <c r="AD42" s="13"/>
      <c r="AE42" s="13"/>
      <c r="AF42" s="13"/>
      <c r="AH42" s="235"/>
      <c r="AI42" s="235"/>
      <c r="AJ42" s="90"/>
      <c r="AK42" s="91"/>
      <c r="AM42" s="235"/>
      <c r="AN42" s="235"/>
      <c r="AO42" s="90"/>
      <c r="AP42" s="91"/>
      <c r="AR42" s="106">
        <v>100331300.41</v>
      </c>
      <c r="AS42" s="565">
        <v>2.75E-2</v>
      </c>
      <c r="AT42" s="565">
        <v>3.0099999999999998E-2</v>
      </c>
      <c r="AU42" s="106">
        <v>8383.5</v>
      </c>
      <c r="AV42" s="106">
        <v>1416.05</v>
      </c>
      <c r="AW42" s="19"/>
    </row>
    <row r="43" spans="2:49" x14ac:dyDescent="0.25">
      <c r="B43" s="9" t="str">
        <f t="shared" si="3"/>
        <v>2 2025</v>
      </c>
      <c r="C43" s="10">
        <f t="shared" si="5"/>
        <v>45695</v>
      </c>
      <c r="D43" s="10">
        <f t="shared" si="6"/>
        <v>45696</v>
      </c>
      <c r="E43" s="11">
        <f t="shared" si="4"/>
        <v>1</v>
      </c>
      <c r="G43" s="11" t="s">
        <v>7</v>
      </c>
      <c r="H43" s="12">
        <f t="shared" si="12"/>
        <v>24940000</v>
      </c>
      <c r="I43" s="14">
        <f t="shared" si="7"/>
        <v>2.5000000000000001E-2</v>
      </c>
      <c r="J43" s="13">
        <f t="shared" si="8"/>
        <v>1731.9444444444443</v>
      </c>
      <c r="K43" s="13">
        <f t="shared" si="9"/>
        <v>65589.652777777781</v>
      </c>
      <c r="M43" s="11" t="s">
        <v>7</v>
      </c>
      <c r="N43" s="12"/>
      <c r="O43" s="97"/>
      <c r="P43" s="13"/>
      <c r="Q43" s="13"/>
      <c r="R43" s="13"/>
      <c r="T43" s="11"/>
      <c r="U43" s="12"/>
      <c r="V43" s="97"/>
      <c r="W43" s="13"/>
      <c r="X43" s="13"/>
      <c r="Y43" s="13"/>
      <c r="AA43" s="11"/>
      <c r="AB43" s="98"/>
      <c r="AC43" s="97"/>
      <c r="AD43" s="13"/>
      <c r="AE43" s="13"/>
      <c r="AF43" s="13"/>
      <c r="AH43" s="235"/>
      <c r="AI43" s="235"/>
      <c r="AJ43" s="90"/>
      <c r="AK43" s="91"/>
      <c r="AM43" s="235"/>
      <c r="AN43" s="235"/>
      <c r="AO43" s="90"/>
      <c r="AP43" s="91"/>
      <c r="AR43" s="106">
        <v>100331300.41</v>
      </c>
      <c r="AS43" s="565">
        <v>2.75E-2</v>
      </c>
      <c r="AT43" s="565">
        <v>3.0099999999999998E-2</v>
      </c>
      <c r="AU43" s="106">
        <v>8383.5</v>
      </c>
      <c r="AV43" s="106">
        <v>1416.05</v>
      </c>
      <c r="AW43" s="19"/>
    </row>
    <row r="44" spans="2:49" x14ac:dyDescent="0.25">
      <c r="B44" s="9" t="str">
        <f t="shared" si="3"/>
        <v>2 2025</v>
      </c>
      <c r="C44" s="10">
        <f t="shared" si="5"/>
        <v>45696</v>
      </c>
      <c r="D44" s="10">
        <f t="shared" si="6"/>
        <v>45697</v>
      </c>
      <c r="E44" s="11">
        <f t="shared" si="4"/>
        <v>1</v>
      </c>
      <c r="G44" s="11" t="s">
        <v>7</v>
      </c>
      <c r="H44" s="12">
        <f t="shared" si="12"/>
        <v>24940000</v>
      </c>
      <c r="I44" s="14">
        <f t="shared" si="7"/>
        <v>2.5000000000000001E-2</v>
      </c>
      <c r="J44" s="13">
        <f t="shared" si="8"/>
        <v>1731.9444444444443</v>
      </c>
      <c r="K44" s="13">
        <f t="shared" si="9"/>
        <v>67321.597222222219</v>
      </c>
      <c r="M44" s="11" t="s">
        <v>7</v>
      </c>
      <c r="N44" s="12"/>
      <c r="O44" s="97"/>
      <c r="P44" s="13"/>
      <c r="Q44" s="13"/>
      <c r="R44" s="13"/>
      <c r="T44" s="11"/>
      <c r="U44" s="12"/>
      <c r="V44" s="97"/>
      <c r="W44" s="13"/>
      <c r="X44" s="13"/>
      <c r="Y44" s="13"/>
      <c r="AA44" s="11"/>
      <c r="AB44" s="98"/>
      <c r="AC44" s="97"/>
      <c r="AD44" s="13"/>
      <c r="AE44" s="13"/>
      <c r="AF44" s="13"/>
      <c r="AH44" s="235"/>
      <c r="AI44" s="235"/>
      <c r="AJ44" s="90"/>
      <c r="AK44" s="91"/>
      <c r="AM44" s="235"/>
      <c r="AN44" s="235"/>
      <c r="AO44" s="90"/>
      <c r="AP44" s="91"/>
      <c r="AR44" s="106">
        <v>100331300.41</v>
      </c>
      <c r="AS44" s="565">
        <v>2.75E-2</v>
      </c>
      <c r="AT44" s="565">
        <v>3.0099999999999998E-2</v>
      </c>
      <c r="AU44" s="106">
        <v>8383.5</v>
      </c>
      <c r="AV44" s="106">
        <v>1416.05</v>
      </c>
      <c r="AW44" s="19"/>
    </row>
    <row r="45" spans="2:49" x14ac:dyDescent="0.25">
      <c r="B45" s="9" t="str">
        <f t="shared" si="3"/>
        <v>2 2025</v>
      </c>
      <c r="C45" s="10">
        <f t="shared" si="5"/>
        <v>45697</v>
      </c>
      <c r="D45" s="10">
        <f t="shared" si="6"/>
        <v>45698</v>
      </c>
      <c r="E45" s="11">
        <f t="shared" si="4"/>
        <v>1</v>
      </c>
      <c r="G45" s="11" t="s">
        <v>7</v>
      </c>
      <c r="H45" s="12">
        <f t="shared" si="12"/>
        <v>24940000</v>
      </c>
      <c r="I45" s="14">
        <f t="shared" si="7"/>
        <v>2.5000000000000001E-2</v>
      </c>
      <c r="J45" s="13">
        <f t="shared" si="8"/>
        <v>1731.9444444444443</v>
      </c>
      <c r="K45" s="13">
        <f t="shared" si="9"/>
        <v>69053.541666666657</v>
      </c>
      <c r="M45" s="11" t="s">
        <v>7</v>
      </c>
      <c r="N45" s="12"/>
      <c r="O45" s="97"/>
      <c r="P45" s="13"/>
      <c r="Q45" s="13"/>
      <c r="R45" s="13"/>
      <c r="T45" s="11"/>
      <c r="U45" s="12"/>
      <c r="V45" s="97"/>
      <c r="W45" s="13"/>
      <c r="X45" s="13"/>
      <c r="Y45" s="13"/>
      <c r="AA45" s="11"/>
      <c r="AB45" s="98"/>
      <c r="AC45" s="97"/>
      <c r="AD45" s="13"/>
      <c r="AE45" s="13"/>
      <c r="AF45" s="13"/>
      <c r="AH45" s="235"/>
      <c r="AI45" s="235"/>
      <c r="AJ45" s="90"/>
      <c r="AK45" s="91"/>
      <c r="AM45" s="235"/>
      <c r="AN45" s="235"/>
      <c r="AO45" s="90"/>
      <c r="AP45" s="91"/>
      <c r="AR45" s="106">
        <v>100331300.41</v>
      </c>
      <c r="AS45" s="565">
        <v>2.75E-2</v>
      </c>
      <c r="AT45" s="565">
        <v>3.0099999999999998E-2</v>
      </c>
      <c r="AU45" s="106">
        <v>8383.5</v>
      </c>
      <c r="AV45" s="106">
        <v>1416.05</v>
      </c>
      <c r="AW45" s="19"/>
    </row>
    <row r="46" spans="2:49" x14ac:dyDescent="0.25">
      <c r="B46" s="9" t="str">
        <f t="shared" si="3"/>
        <v>2 2025</v>
      </c>
      <c r="C46" s="109">
        <f t="shared" si="5"/>
        <v>45698</v>
      </c>
      <c r="D46" s="109">
        <f t="shared" si="6"/>
        <v>45699</v>
      </c>
      <c r="E46" s="11">
        <f t="shared" si="4"/>
        <v>1</v>
      </c>
      <c r="G46" s="11" t="s">
        <v>7</v>
      </c>
      <c r="H46" s="135">
        <f>H45+5100000</f>
        <v>30040000</v>
      </c>
      <c r="I46" s="14">
        <f t="shared" si="7"/>
        <v>2.5000000000000001E-2</v>
      </c>
      <c r="J46" s="13">
        <f t="shared" si="8"/>
        <v>2086.1111111111113</v>
      </c>
      <c r="K46" s="13">
        <f t="shared" si="9"/>
        <v>71139.652777777766</v>
      </c>
      <c r="M46" s="11" t="s">
        <v>7</v>
      </c>
      <c r="N46" s="12"/>
      <c r="O46" s="97"/>
      <c r="P46" s="13"/>
      <c r="Q46" s="13"/>
      <c r="R46" s="13"/>
      <c r="T46" s="11"/>
      <c r="U46" s="12"/>
      <c r="V46" s="97"/>
      <c r="W46" s="13"/>
      <c r="X46" s="13"/>
      <c r="Y46" s="13"/>
      <c r="AA46" s="11"/>
      <c r="AB46" s="98"/>
      <c r="AC46" s="97"/>
      <c r="AD46" s="13"/>
      <c r="AE46" s="13"/>
      <c r="AF46" s="13"/>
      <c r="AH46" s="235"/>
      <c r="AI46" s="235"/>
      <c r="AJ46" s="90"/>
      <c r="AK46" s="91"/>
      <c r="AM46" s="235"/>
      <c r="AN46" s="235"/>
      <c r="AO46" s="90"/>
      <c r="AP46" s="91"/>
      <c r="AR46" s="106">
        <v>100382601.3</v>
      </c>
      <c r="AS46" s="565">
        <v>2.75E-2</v>
      </c>
      <c r="AT46" s="565">
        <v>2.87E-2</v>
      </c>
      <c r="AU46" s="106">
        <v>7993.05</v>
      </c>
      <c r="AV46" s="106">
        <v>1022.04</v>
      </c>
      <c r="AW46" s="19"/>
    </row>
    <row r="47" spans="2:49" x14ac:dyDescent="0.25">
      <c r="B47" s="9" t="str">
        <f t="shared" si="3"/>
        <v>2 2025</v>
      </c>
      <c r="C47" s="10">
        <f t="shared" si="5"/>
        <v>45699</v>
      </c>
      <c r="D47" s="10">
        <f t="shared" si="6"/>
        <v>45700</v>
      </c>
      <c r="E47" s="11">
        <f t="shared" si="4"/>
        <v>1</v>
      </c>
      <c r="G47" s="11" t="s">
        <v>7</v>
      </c>
      <c r="H47" s="135">
        <f>H46-1800000</f>
        <v>28240000</v>
      </c>
      <c r="I47" s="14">
        <f t="shared" si="7"/>
        <v>2.5000000000000001E-2</v>
      </c>
      <c r="J47" s="13">
        <f t="shared" si="8"/>
        <v>1961.1111111111111</v>
      </c>
      <c r="K47" s="13">
        <f t="shared" si="9"/>
        <v>73100.763888888876</v>
      </c>
      <c r="M47" s="11" t="s">
        <v>7</v>
      </c>
      <c r="N47" s="12"/>
      <c r="O47" s="97"/>
      <c r="P47" s="13"/>
      <c r="Q47" s="13"/>
      <c r="R47" s="13"/>
      <c r="T47" s="11"/>
      <c r="U47" s="12"/>
      <c r="V47" s="97"/>
      <c r="W47" s="13"/>
      <c r="X47" s="13"/>
      <c r="Y47" s="13"/>
      <c r="AA47" s="11"/>
      <c r="AB47" s="98"/>
      <c r="AC47" s="97"/>
      <c r="AD47" s="13"/>
      <c r="AE47" s="13"/>
      <c r="AF47" s="13"/>
      <c r="AH47" s="235"/>
      <c r="AI47" s="235"/>
      <c r="AJ47" s="90"/>
      <c r="AK47" s="91"/>
      <c r="AM47" s="235"/>
      <c r="AN47" s="235"/>
      <c r="AO47" s="90"/>
      <c r="AP47" s="91"/>
      <c r="AR47" s="106">
        <v>98582601.299999997</v>
      </c>
      <c r="AS47" s="565">
        <v>2.75E-2</v>
      </c>
      <c r="AT47" s="565">
        <v>2.87E-2</v>
      </c>
      <c r="AU47" s="106">
        <v>7868.05</v>
      </c>
      <c r="AV47" s="106">
        <v>1022.04</v>
      </c>
      <c r="AW47" s="19"/>
    </row>
    <row r="48" spans="2:49" x14ac:dyDescent="0.25">
      <c r="B48" s="9" t="str">
        <f t="shared" si="3"/>
        <v>2 2025</v>
      </c>
      <c r="C48" s="10">
        <f t="shared" si="5"/>
        <v>45700</v>
      </c>
      <c r="D48" s="10">
        <f t="shared" si="6"/>
        <v>45701</v>
      </c>
      <c r="E48" s="11">
        <f t="shared" si="4"/>
        <v>1</v>
      </c>
      <c r="G48" s="11" t="s">
        <v>7</v>
      </c>
      <c r="H48" s="12">
        <f t="shared" si="12"/>
        <v>28240000</v>
      </c>
      <c r="I48" s="14">
        <f t="shared" si="7"/>
        <v>2.5000000000000001E-2</v>
      </c>
      <c r="J48" s="13">
        <f t="shared" si="8"/>
        <v>1961.1111111111111</v>
      </c>
      <c r="K48" s="13">
        <f t="shared" si="9"/>
        <v>75061.874999999985</v>
      </c>
      <c r="M48" s="11" t="s">
        <v>7</v>
      </c>
      <c r="N48" s="12"/>
      <c r="O48" s="97"/>
      <c r="P48" s="13"/>
      <c r="Q48" s="13"/>
      <c r="R48" s="13"/>
      <c r="T48" s="11"/>
      <c r="U48" s="12"/>
      <c r="V48" s="97"/>
      <c r="W48" s="13"/>
      <c r="X48" s="13"/>
      <c r="Y48" s="13"/>
      <c r="AA48" s="11"/>
      <c r="AB48" s="98"/>
      <c r="AC48" s="97"/>
      <c r="AD48" s="13"/>
      <c r="AE48" s="13"/>
      <c r="AF48" s="13"/>
      <c r="AH48" s="235"/>
      <c r="AI48" s="235"/>
      <c r="AJ48" s="90"/>
      <c r="AK48" s="91"/>
      <c r="AM48" s="235"/>
      <c r="AN48" s="235"/>
      <c r="AO48" s="90"/>
      <c r="AP48" s="91"/>
      <c r="AR48" s="106">
        <v>98582601.299999997</v>
      </c>
      <c r="AS48" s="565">
        <v>2.75E-2</v>
      </c>
      <c r="AT48" s="565">
        <v>2.87E-2</v>
      </c>
      <c r="AU48" s="106">
        <v>7868.05</v>
      </c>
      <c r="AV48" s="106">
        <v>1022.04</v>
      </c>
      <c r="AW48" s="19"/>
    </row>
    <row r="49" spans="2:49" x14ac:dyDescent="0.25">
      <c r="B49" s="9" t="str">
        <f t="shared" si="3"/>
        <v>2 2025</v>
      </c>
      <c r="C49" s="10">
        <f t="shared" si="5"/>
        <v>45701</v>
      </c>
      <c r="D49" s="10">
        <f t="shared" si="6"/>
        <v>45702</v>
      </c>
      <c r="E49" s="11">
        <f t="shared" si="4"/>
        <v>1</v>
      </c>
      <c r="G49" s="11" t="s">
        <v>7</v>
      </c>
      <c r="H49" s="135">
        <f>H48+360000</f>
        <v>28600000</v>
      </c>
      <c r="I49" s="14">
        <f t="shared" si="7"/>
        <v>2.5000000000000001E-2</v>
      </c>
      <c r="J49" s="13">
        <f t="shared" si="8"/>
        <v>1986.1111111111111</v>
      </c>
      <c r="K49" s="13">
        <f t="shared" si="9"/>
        <v>77047.986111111095</v>
      </c>
      <c r="M49" s="11" t="s">
        <v>7</v>
      </c>
      <c r="N49" s="12"/>
      <c r="O49" s="97"/>
      <c r="P49" s="13"/>
      <c r="Q49" s="13"/>
      <c r="R49" s="13"/>
      <c r="T49" s="11"/>
      <c r="U49" s="12"/>
      <c r="V49" s="97"/>
      <c r="W49" s="13"/>
      <c r="X49" s="13"/>
      <c r="Y49" s="13"/>
      <c r="AA49" s="11"/>
      <c r="AB49" s="98"/>
      <c r="AC49" s="97"/>
      <c r="AD49" s="13"/>
      <c r="AE49" s="13"/>
      <c r="AF49" s="13"/>
      <c r="AH49" s="235"/>
      <c r="AI49" s="235"/>
      <c r="AJ49" s="90"/>
      <c r="AK49" s="91"/>
      <c r="AM49" s="235"/>
      <c r="AN49" s="235"/>
      <c r="AO49" s="90"/>
      <c r="AP49" s="91"/>
      <c r="AR49" s="106">
        <v>98942601.299999997</v>
      </c>
      <c r="AS49" s="565">
        <v>2.75E-2</v>
      </c>
      <c r="AT49" s="565">
        <v>2.87E-2</v>
      </c>
      <c r="AU49" s="106">
        <v>7893.05</v>
      </c>
      <c r="AV49" s="106">
        <v>1022.04</v>
      </c>
      <c r="AW49" s="19"/>
    </row>
    <row r="50" spans="2:49" x14ac:dyDescent="0.25">
      <c r="B50" s="9" t="str">
        <f t="shared" si="3"/>
        <v>2 2025</v>
      </c>
      <c r="C50" s="10">
        <f t="shared" si="5"/>
        <v>45702</v>
      </c>
      <c r="D50" s="10">
        <f t="shared" si="6"/>
        <v>45703</v>
      </c>
      <c r="E50" s="11">
        <f t="shared" si="4"/>
        <v>1</v>
      </c>
      <c r="G50" s="11" t="s">
        <v>7</v>
      </c>
      <c r="H50" s="12">
        <f t="shared" si="12"/>
        <v>28600000</v>
      </c>
      <c r="I50" s="14">
        <f t="shared" si="7"/>
        <v>2.5000000000000001E-2</v>
      </c>
      <c r="J50" s="13">
        <f t="shared" si="8"/>
        <v>1986.1111111111111</v>
      </c>
      <c r="K50" s="13">
        <f t="shared" si="9"/>
        <v>79034.097222222204</v>
      </c>
      <c r="M50" s="11" t="s">
        <v>7</v>
      </c>
      <c r="N50" s="12"/>
      <c r="O50" s="97"/>
      <c r="P50" s="13"/>
      <c r="Q50" s="13"/>
      <c r="R50" s="13"/>
      <c r="T50" s="11"/>
      <c r="U50" s="12"/>
      <c r="V50" s="97"/>
      <c r="W50" s="13"/>
      <c r="X50" s="13"/>
      <c r="Y50" s="13"/>
      <c r="AA50" s="11"/>
      <c r="AB50" s="98"/>
      <c r="AC50" s="97"/>
      <c r="AD50" s="13"/>
      <c r="AE50" s="13"/>
      <c r="AF50" s="13"/>
      <c r="AH50" s="235"/>
      <c r="AI50" s="235"/>
      <c r="AJ50" s="90"/>
      <c r="AK50" s="91"/>
      <c r="AM50" s="235"/>
      <c r="AN50" s="235"/>
      <c r="AO50" s="90"/>
      <c r="AP50" s="91"/>
      <c r="AR50" s="106">
        <v>98942601.299999997</v>
      </c>
      <c r="AS50" s="565">
        <v>2.75E-2</v>
      </c>
      <c r="AT50" s="565">
        <v>2.87E-2</v>
      </c>
      <c r="AU50" s="106">
        <v>7893.05</v>
      </c>
      <c r="AV50" s="106">
        <v>1022.04</v>
      </c>
      <c r="AW50" s="19"/>
    </row>
    <row r="51" spans="2:49" x14ac:dyDescent="0.25">
      <c r="B51" s="9" t="str">
        <f t="shared" si="3"/>
        <v>2 2025</v>
      </c>
      <c r="C51" s="10">
        <f t="shared" si="5"/>
        <v>45703</v>
      </c>
      <c r="D51" s="10">
        <f t="shared" si="6"/>
        <v>45704</v>
      </c>
      <c r="E51" s="11">
        <f t="shared" si="4"/>
        <v>1</v>
      </c>
      <c r="G51" s="11" t="s">
        <v>7</v>
      </c>
      <c r="H51" s="12">
        <f t="shared" si="12"/>
        <v>28600000</v>
      </c>
      <c r="I51" s="14">
        <f t="shared" si="7"/>
        <v>2.5000000000000001E-2</v>
      </c>
      <c r="J51" s="13">
        <f t="shared" si="8"/>
        <v>1986.1111111111111</v>
      </c>
      <c r="K51" s="13">
        <f t="shared" si="9"/>
        <v>81020.208333333314</v>
      </c>
      <c r="M51" s="11" t="s">
        <v>7</v>
      </c>
      <c r="N51" s="12"/>
      <c r="O51" s="97"/>
      <c r="P51" s="13"/>
      <c r="Q51" s="13"/>
      <c r="R51" s="13"/>
      <c r="T51" s="11"/>
      <c r="U51" s="12"/>
      <c r="V51" s="97"/>
      <c r="W51" s="13"/>
      <c r="X51" s="13"/>
      <c r="Y51" s="13"/>
      <c r="AA51" s="11"/>
      <c r="AB51" s="98"/>
      <c r="AC51" s="97"/>
      <c r="AD51" s="13"/>
      <c r="AE51" s="13"/>
      <c r="AF51" s="13"/>
      <c r="AH51" s="235"/>
      <c r="AI51" s="235"/>
      <c r="AJ51" s="90"/>
      <c r="AK51" s="91"/>
      <c r="AM51" s="235"/>
      <c r="AN51" s="235"/>
      <c r="AO51" s="90"/>
      <c r="AP51" s="91"/>
      <c r="AR51" s="106">
        <v>98942601.299999997</v>
      </c>
      <c r="AS51" s="565">
        <v>2.75E-2</v>
      </c>
      <c r="AT51" s="565">
        <v>2.87E-2</v>
      </c>
      <c r="AU51" s="106">
        <v>7893.05</v>
      </c>
      <c r="AV51" s="106">
        <v>1022.04</v>
      </c>
      <c r="AW51" s="19"/>
    </row>
    <row r="52" spans="2:49" x14ac:dyDescent="0.25">
      <c r="B52" s="9" t="str">
        <f t="shared" si="3"/>
        <v>2 2025</v>
      </c>
      <c r="C52" s="10">
        <f t="shared" si="5"/>
        <v>45704</v>
      </c>
      <c r="D52" s="10">
        <f t="shared" si="6"/>
        <v>45705</v>
      </c>
      <c r="E52" s="11">
        <f t="shared" si="4"/>
        <v>1</v>
      </c>
      <c r="G52" s="11" t="s">
        <v>7</v>
      </c>
      <c r="H52" s="12">
        <f t="shared" si="12"/>
        <v>28600000</v>
      </c>
      <c r="I52" s="14">
        <f t="shared" si="7"/>
        <v>2.5000000000000001E-2</v>
      </c>
      <c r="J52" s="13">
        <f t="shared" si="8"/>
        <v>1986.1111111111111</v>
      </c>
      <c r="K52" s="13">
        <f t="shared" si="9"/>
        <v>83006.319444444423</v>
      </c>
      <c r="M52" s="11" t="s">
        <v>7</v>
      </c>
      <c r="N52" s="12"/>
      <c r="O52" s="97"/>
      <c r="P52" s="13"/>
      <c r="Q52" s="13"/>
      <c r="R52" s="13"/>
      <c r="T52" s="11"/>
      <c r="U52" s="12"/>
      <c r="V52" s="97"/>
      <c r="W52" s="13"/>
      <c r="X52" s="13"/>
      <c r="Y52" s="13"/>
      <c r="AA52" s="11"/>
      <c r="AB52" s="98"/>
      <c r="AC52" s="97"/>
      <c r="AD52" s="13"/>
      <c r="AE52" s="13"/>
      <c r="AF52" s="13"/>
      <c r="AH52" s="235"/>
      <c r="AI52" s="235"/>
      <c r="AJ52" s="90"/>
      <c r="AK52" s="91"/>
      <c r="AM52" s="235"/>
      <c r="AN52" s="235"/>
      <c r="AO52" s="90"/>
      <c r="AP52" s="91"/>
      <c r="AR52" s="106">
        <v>98942601.299999997</v>
      </c>
      <c r="AS52" s="565">
        <v>2.75E-2</v>
      </c>
      <c r="AT52" s="565">
        <v>2.87E-2</v>
      </c>
      <c r="AU52" s="106">
        <v>7893.05</v>
      </c>
      <c r="AV52" s="106">
        <v>1022.04</v>
      </c>
      <c r="AW52" s="19"/>
    </row>
    <row r="53" spans="2:49" x14ac:dyDescent="0.25">
      <c r="B53" s="9" t="str">
        <f t="shared" si="3"/>
        <v>2 2025</v>
      </c>
      <c r="C53" s="10">
        <f t="shared" si="5"/>
        <v>45705</v>
      </c>
      <c r="D53" s="10">
        <f t="shared" si="6"/>
        <v>45706</v>
      </c>
      <c r="E53" s="11">
        <f t="shared" si="4"/>
        <v>1</v>
      </c>
      <c r="G53" s="11" t="s">
        <v>7</v>
      </c>
      <c r="H53" s="181">
        <f>H52-240000</f>
        <v>28360000</v>
      </c>
      <c r="I53" s="14">
        <f t="shared" si="7"/>
        <v>2.5000000000000001E-2</v>
      </c>
      <c r="J53" s="13">
        <f t="shared" si="8"/>
        <v>1969.4444444444443</v>
      </c>
      <c r="K53" s="13">
        <f t="shared" si="9"/>
        <v>84975.763888888861</v>
      </c>
      <c r="M53" s="11" t="s">
        <v>7</v>
      </c>
      <c r="N53" s="12"/>
      <c r="O53" s="97"/>
      <c r="P53" s="13"/>
      <c r="Q53" s="13"/>
      <c r="R53" s="13"/>
      <c r="T53" s="11"/>
      <c r="U53" s="12"/>
      <c r="V53" s="97"/>
      <c r="W53" s="13"/>
      <c r="X53" s="13"/>
      <c r="Y53" s="13"/>
      <c r="AA53" s="11"/>
      <c r="AB53" s="98"/>
      <c r="AC53" s="97"/>
      <c r="AD53" s="13"/>
      <c r="AE53" s="13"/>
      <c r="AF53" s="13"/>
      <c r="AH53" s="235"/>
      <c r="AI53" s="235"/>
      <c r="AJ53" s="90"/>
      <c r="AK53" s="91"/>
      <c r="AM53" s="235"/>
      <c r="AN53" s="235"/>
      <c r="AO53" s="90"/>
      <c r="AP53" s="91"/>
      <c r="AR53" s="106">
        <v>98702601.299999997</v>
      </c>
      <c r="AS53" s="565">
        <v>2.75E-2</v>
      </c>
      <c r="AT53" s="565">
        <v>2.87E-2</v>
      </c>
      <c r="AU53" s="106">
        <v>7876.39</v>
      </c>
      <c r="AV53" s="106">
        <v>1022.04</v>
      </c>
      <c r="AW53" s="19"/>
    </row>
    <row r="54" spans="2:49" x14ac:dyDescent="0.25">
      <c r="B54" s="9" t="str">
        <f t="shared" si="3"/>
        <v>2 2025</v>
      </c>
      <c r="C54" s="10">
        <f t="shared" si="5"/>
        <v>45706</v>
      </c>
      <c r="D54" s="10">
        <f t="shared" si="6"/>
        <v>45707</v>
      </c>
      <c r="E54" s="11">
        <f t="shared" si="4"/>
        <v>1</v>
      </c>
      <c r="G54" s="11" t="s">
        <v>7</v>
      </c>
      <c r="H54" s="12">
        <f t="shared" si="12"/>
        <v>28360000</v>
      </c>
      <c r="I54" s="14">
        <f t="shared" si="7"/>
        <v>2.5000000000000001E-2</v>
      </c>
      <c r="J54" s="13">
        <f t="shared" si="8"/>
        <v>1969.4444444444443</v>
      </c>
      <c r="K54" s="13">
        <f t="shared" si="9"/>
        <v>86945.208333333299</v>
      </c>
      <c r="M54" s="11" t="s">
        <v>7</v>
      </c>
      <c r="N54" s="12"/>
      <c r="O54" s="97"/>
      <c r="P54" s="13"/>
      <c r="Q54" s="13"/>
      <c r="R54" s="13"/>
      <c r="T54" s="11"/>
      <c r="U54" s="12"/>
      <c r="V54" s="97"/>
      <c r="W54" s="13"/>
      <c r="X54" s="13"/>
      <c r="Y54" s="13"/>
      <c r="AA54" s="11"/>
      <c r="AB54" s="98"/>
      <c r="AC54" s="97"/>
      <c r="AD54" s="13"/>
      <c r="AE54" s="13"/>
      <c r="AF54" s="13"/>
      <c r="AH54" s="235"/>
      <c r="AI54" s="235"/>
      <c r="AJ54" s="90"/>
      <c r="AK54" s="91"/>
      <c r="AM54" s="235"/>
      <c r="AN54" s="235"/>
      <c r="AO54" s="90"/>
      <c r="AP54" s="91"/>
      <c r="AR54" s="106">
        <v>98702601.299999997</v>
      </c>
      <c r="AS54" s="565">
        <v>2.75E-2</v>
      </c>
      <c r="AT54" s="565">
        <v>2.87E-2</v>
      </c>
      <c r="AU54" s="106">
        <v>7876.39</v>
      </c>
      <c r="AV54" s="106">
        <v>1022.04</v>
      </c>
      <c r="AW54" s="19"/>
    </row>
    <row r="55" spans="2:49" x14ac:dyDescent="0.25">
      <c r="B55" s="9" t="str">
        <f t="shared" si="3"/>
        <v>2 2025</v>
      </c>
      <c r="C55" s="10">
        <f t="shared" si="5"/>
        <v>45707</v>
      </c>
      <c r="D55" s="10">
        <f t="shared" si="6"/>
        <v>45708</v>
      </c>
      <c r="E55" s="11">
        <f t="shared" si="4"/>
        <v>1</v>
      </c>
      <c r="G55" s="11" t="s">
        <v>7</v>
      </c>
      <c r="H55" s="12">
        <f t="shared" si="12"/>
        <v>28360000</v>
      </c>
      <c r="I55" s="14">
        <f t="shared" si="7"/>
        <v>2.5000000000000001E-2</v>
      </c>
      <c r="J55" s="13">
        <f t="shared" si="8"/>
        <v>1969.4444444444443</v>
      </c>
      <c r="K55" s="13">
        <f t="shared" si="9"/>
        <v>88914.652777777737</v>
      </c>
      <c r="M55" s="11" t="s">
        <v>7</v>
      </c>
      <c r="N55" s="12"/>
      <c r="O55" s="97"/>
      <c r="P55" s="13"/>
      <c r="Q55" s="13"/>
      <c r="R55" s="13"/>
      <c r="T55" s="11"/>
      <c r="U55" s="12"/>
      <c r="V55" s="97"/>
      <c r="W55" s="13"/>
      <c r="X55" s="13"/>
      <c r="Y55" s="13"/>
      <c r="AA55" s="11"/>
      <c r="AB55" s="98"/>
      <c r="AC55" s="97"/>
      <c r="AD55" s="13"/>
      <c r="AE55" s="13"/>
      <c r="AF55" s="13"/>
      <c r="AH55" s="235"/>
      <c r="AI55" s="235"/>
      <c r="AJ55" s="90"/>
      <c r="AK55" s="91"/>
      <c r="AM55" s="235"/>
      <c r="AN55" s="235"/>
      <c r="AO55" s="90"/>
      <c r="AP55" s="91"/>
      <c r="AR55" s="106">
        <v>98702601.299999997</v>
      </c>
      <c r="AS55" s="565">
        <v>2.75E-2</v>
      </c>
      <c r="AT55" s="565">
        <v>2.87E-2</v>
      </c>
      <c r="AU55" s="106">
        <v>7876.39</v>
      </c>
      <c r="AV55" s="106">
        <v>1022.04</v>
      </c>
      <c r="AW55" s="19"/>
    </row>
    <row r="56" spans="2:49" x14ac:dyDescent="0.25">
      <c r="B56" s="9" t="str">
        <f t="shared" si="3"/>
        <v>2 2025</v>
      </c>
      <c r="C56" s="10">
        <f t="shared" si="5"/>
        <v>45708</v>
      </c>
      <c r="D56" s="10">
        <f t="shared" si="6"/>
        <v>45709</v>
      </c>
      <c r="E56" s="11">
        <f t="shared" si="4"/>
        <v>1</v>
      </c>
      <c r="G56" s="11" t="s">
        <v>7</v>
      </c>
      <c r="H56" s="12">
        <f t="shared" si="12"/>
        <v>28360000</v>
      </c>
      <c r="I56" s="14">
        <f t="shared" si="7"/>
        <v>2.5000000000000001E-2</v>
      </c>
      <c r="J56" s="13">
        <f t="shared" si="8"/>
        <v>1969.4444444444443</v>
      </c>
      <c r="K56" s="13">
        <f t="shared" si="9"/>
        <v>90884.097222222175</v>
      </c>
      <c r="M56" s="11" t="s">
        <v>7</v>
      </c>
      <c r="N56" s="12"/>
      <c r="O56" s="97"/>
      <c r="P56" s="13"/>
      <c r="Q56" s="13"/>
      <c r="R56" s="13"/>
      <c r="T56" s="11"/>
      <c r="U56" s="12"/>
      <c r="V56" s="97"/>
      <c r="W56" s="13"/>
      <c r="X56" s="13"/>
      <c r="Y56" s="13"/>
      <c r="AA56" s="11"/>
      <c r="AB56" s="98"/>
      <c r="AC56" s="97"/>
      <c r="AD56" s="13"/>
      <c r="AE56" s="13"/>
      <c r="AF56" s="13"/>
      <c r="AH56" s="235"/>
      <c r="AI56" s="235"/>
      <c r="AJ56" s="90"/>
      <c r="AK56" s="91"/>
      <c r="AM56" s="235"/>
      <c r="AN56" s="235"/>
      <c r="AO56" s="90"/>
      <c r="AP56" s="91"/>
      <c r="AR56" s="106">
        <v>98702601.299999997</v>
      </c>
      <c r="AS56" s="565">
        <v>2.75E-2</v>
      </c>
      <c r="AT56" s="565">
        <v>2.87E-2</v>
      </c>
      <c r="AU56" s="106">
        <v>7876.39</v>
      </c>
      <c r="AV56" s="106">
        <v>1022.04</v>
      </c>
      <c r="AW56" s="19"/>
    </row>
    <row r="57" spans="2:49" x14ac:dyDescent="0.25">
      <c r="B57" s="9" t="str">
        <f t="shared" si="3"/>
        <v>2 2025</v>
      </c>
      <c r="C57" s="10">
        <f t="shared" si="5"/>
        <v>45709</v>
      </c>
      <c r="D57" s="10">
        <f t="shared" si="6"/>
        <v>45710</v>
      </c>
      <c r="E57" s="11">
        <f t="shared" si="4"/>
        <v>1</v>
      </c>
      <c r="G57" s="11" t="s">
        <v>7</v>
      </c>
      <c r="H57" s="12">
        <f t="shared" si="12"/>
        <v>28360000</v>
      </c>
      <c r="I57" s="14">
        <f t="shared" si="7"/>
        <v>2.5000000000000001E-2</v>
      </c>
      <c r="J57" s="13">
        <f t="shared" si="8"/>
        <v>1969.4444444444443</v>
      </c>
      <c r="K57" s="13">
        <f t="shared" si="9"/>
        <v>92853.541666666613</v>
      </c>
      <c r="M57" s="11" t="s">
        <v>7</v>
      </c>
      <c r="N57" s="12"/>
      <c r="O57" s="97"/>
      <c r="P57" s="13"/>
      <c r="Q57" s="13"/>
      <c r="R57" s="13"/>
      <c r="T57" s="11"/>
      <c r="U57" s="12"/>
      <c r="V57" s="97"/>
      <c r="W57" s="13"/>
      <c r="X57" s="13"/>
      <c r="Y57" s="13"/>
      <c r="AA57" s="11"/>
      <c r="AB57" s="98"/>
      <c r="AC57" s="97"/>
      <c r="AD57" s="13"/>
      <c r="AE57" s="13"/>
      <c r="AF57" s="13"/>
      <c r="AH57" s="235"/>
      <c r="AI57" s="235"/>
      <c r="AJ57" s="90"/>
      <c r="AK57" s="91"/>
      <c r="AM57" s="235"/>
      <c r="AN57" s="235"/>
      <c r="AO57" s="90"/>
      <c r="AP57" s="91"/>
      <c r="AR57" s="106">
        <v>98702601.299999997</v>
      </c>
      <c r="AS57" s="565">
        <v>2.75E-2</v>
      </c>
      <c r="AT57" s="565">
        <v>2.87E-2</v>
      </c>
      <c r="AU57" s="106">
        <v>7876.39</v>
      </c>
      <c r="AV57" s="106">
        <v>1022.04</v>
      </c>
      <c r="AW57" s="19"/>
    </row>
    <row r="58" spans="2:49" x14ac:dyDescent="0.25">
      <c r="B58" s="9" t="str">
        <f t="shared" si="3"/>
        <v>2 2025</v>
      </c>
      <c r="C58" s="10">
        <f t="shared" si="5"/>
        <v>45710</v>
      </c>
      <c r="D58" s="10">
        <f t="shared" si="6"/>
        <v>45711</v>
      </c>
      <c r="E58" s="11">
        <f t="shared" si="4"/>
        <v>1</v>
      </c>
      <c r="G58" s="11" t="s">
        <v>7</v>
      </c>
      <c r="H58" s="12">
        <f t="shared" si="12"/>
        <v>28360000</v>
      </c>
      <c r="I58" s="14">
        <f t="shared" si="7"/>
        <v>2.5000000000000001E-2</v>
      </c>
      <c r="J58" s="13">
        <f t="shared" si="8"/>
        <v>1969.4444444444443</v>
      </c>
      <c r="K58" s="13">
        <f t="shared" si="9"/>
        <v>94822.986111111051</v>
      </c>
      <c r="M58" s="11" t="s">
        <v>7</v>
      </c>
      <c r="N58" s="12"/>
      <c r="O58" s="97"/>
      <c r="P58" s="13"/>
      <c r="Q58" s="13"/>
      <c r="R58" s="13"/>
      <c r="T58" s="11"/>
      <c r="U58" s="12"/>
      <c r="V58" s="97"/>
      <c r="W58" s="13"/>
      <c r="X58" s="13"/>
      <c r="Y58" s="13"/>
      <c r="AA58" s="11"/>
      <c r="AB58" s="98"/>
      <c r="AC58" s="97"/>
      <c r="AD58" s="13"/>
      <c r="AE58" s="13"/>
      <c r="AF58" s="13"/>
      <c r="AH58" s="235"/>
      <c r="AI58" s="235"/>
      <c r="AJ58" s="90"/>
      <c r="AK58" s="91"/>
      <c r="AM58" s="235"/>
      <c r="AN58" s="235"/>
      <c r="AO58" s="90"/>
      <c r="AP58" s="91"/>
      <c r="AR58" s="106">
        <v>98702601.299999997</v>
      </c>
      <c r="AS58" s="565">
        <v>2.75E-2</v>
      </c>
      <c r="AT58" s="565">
        <v>2.87E-2</v>
      </c>
      <c r="AU58" s="106">
        <v>7876.39</v>
      </c>
      <c r="AV58" s="106">
        <v>1022.04</v>
      </c>
      <c r="AW58" s="19"/>
    </row>
    <row r="59" spans="2:49" x14ac:dyDescent="0.25">
      <c r="B59" s="9" t="str">
        <f t="shared" si="3"/>
        <v>2 2025</v>
      </c>
      <c r="C59" s="10">
        <f t="shared" si="5"/>
        <v>45711</v>
      </c>
      <c r="D59" s="10">
        <f t="shared" si="6"/>
        <v>45712</v>
      </c>
      <c r="E59" s="11">
        <f t="shared" si="4"/>
        <v>1</v>
      </c>
      <c r="G59" s="11" t="s">
        <v>7</v>
      </c>
      <c r="H59" s="12">
        <f t="shared" si="12"/>
        <v>28360000</v>
      </c>
      <c r="I59" s="14">
        <f t="shared" si="7"/>
        <v>2.5000000000000001E-2</v>
      </c>
      <c r="J59" s="13">
        <f t="shared" si="8"/>
        <v>1969.4444444444443</v>
      </c>
      <c r="K59" s="13">
        <f t="shared" si="9"/>
        <v>96792.430555555489</v>
      </c>
      <c r="M59" s="11" t="s">
        <v>7</v>
      </c>
      <c r="N59" s="12"/>
      <c r="O59" s="97"/>
      <c r="P59" s="13"/>
      <c r="Q59" s="13"/>
      <c r="R59" s="13"/>
      <c r="T59" s="11"/>
      <c r="U59" s="12"/>
      <c r="V59" s="97"/>
      <c r="W59" s="13"/>
      <c r="X59" s="13"/>
      <c r="Y59" s="13"/>
      <c r="AA59" s="11"/>
      <c r="AB59" s="98"/>
      <c r="AC59" s="97"/>
      <c r="AD59" s="13"/>
      <c r="AE59" s="13"/>
      <c r="AF59" s="13"/>
      <c r="AH59" s="235"/>
      <c r="AI59" s="235"/>
      <c r="AJ59" s="90"/>
      <c r="AK59" s="91"/>
      <c r="AM59" s="235"/>
      <c r="AN59" s="235"/>
      <c r="AO59" s="90"/>
      <c r="AP59" s="91"/>
      <c r="AR59" s="106">
        <v>98702601.299999997</v>
      </c>
      <c r="AS59" s="565">
        <v>2.75E-2</v>
      </c>
      <c r="AT59" s="565">
        <v>2.87E-2</v>
      </c>
      <c r="AU59" s="106">
        <v>7876.39</v>
      </c>
      <c r="AV59" s="106">
        <v>1022.04</v>
      </c>
      <c r="AW59" s="19"/>
    </row>
    <row r="60" spans="2:49" x14ac:dyDescent="0.25">
      <c r="B60" s="9" t="str">
        <f t="shared" si="3"/>
        <v>2 2025</v>
      </c>
      <c r="C60" s="10">
        <f t="shared" si="5"/>
        <v>45712</v>
      </c>
      <c r="D60" s="10">
        <f t="shared" si="6"/>
        <v>45713</v>
      </c>
      <c r="E60" s="11">
        <f t="shared" si="4"/>
        <v>1</v>
      </c>
      <c r="G60" s="11" t="s">
        <v>7</v>
      </c>
      <c r="H60" s="135">
        <f>H59-2650000</f>
        <v>25710000</v>
      </c>
      <c r="I60" s="14">
        <f t="shared" si="7"/>
        <v>2.5000000000000001E-2</v>
      </c>
      <c r="J60" s="13">
        <f t="shared" si="8"/>
        <v>1785.4166666666667</v>
      </c>
      <c r="K60" s="13">
        <f t="shared" si="9"/>
        <v>98577.847222222161</v>
      </c>
      <c r="M60" s="11" t="s">
        <v>7</v>
      </c>
      <c r="N60" s="12"/>
      <c r="O60" s="97"/>
      <c r="P60" s="13"/>
      <c r="Q60" s="13"/>
      <c r="R60" s="13"/>
      <c r="T60" s="11"/>
      <c r="U60" s="12"/>
      <c r="V60" s="97"/>
      <c r="W60" s="13"/>
      <c r="X60" s="13"/>
      <c r="Y60" s="13"/>
      <c r="AA60" s="11"/>
      <c r="AB60" s="98"/>
      <c r="AC60" s="97"/>
      <c r="AD60" s="13"/>
      <c r="AE60" s="13"/>
      <c r="AF60" s="13"/>
      <c r="AH60" s="235"/>
      <c r="AI60" s="235"/>
      <c r="AJ60" s="90"/>
      <c r="AK60" s="91"/>
      <c r="AM60" s="235"/>
      <c r="AN60" s="235"/>
      <c r="AO60" s="90"/>
      <c r="AP60" s="91"/>
      <c r="AR60" s="106">
        <v>96052601.299999997</v>
      </c>
      <c r="AS60" s="565">
        <v>2.75E-2</v>
      </c>
      <c r="AT60" s="565">
        <v>2.8799999999999999E-2</v>
      </c>
      <c r="AU60" s="106">
        <v>7692.36</v>
      </c>
      <c r="AV60" s="106">
        <v>1022.04</v>
      </c>
      <c r="AW60" s="19"/>
    </row>
    <row r="61" spans="2:49" x14ac:dyDescent="0.25">
      <c r="B61" s="9" t="str">
        <f t="shared" si="3"/>
        <v>2 2025</v>
      </c>
      <c r="C61" s="10">
        <f t="shared" si="5"/>
        <v>45713</v>
      </c>
      <c r="D61" s="10">
        <f t="shared" si="6"/>
        <v>45714</v>
      </c>
      <c r="E61" s="11">
        <f t="shared" si="4"/>
        <v>1</v>
      </c>
      <c r="G61" s="11" t="s">
        <v>7</v>
      </c>
      <c r="H61" s="135">
        <f>H60-370000</f>
        <v>25340000</v>
      </c>
      <c r="I61" s="14">
        <f t="shared" si="7"/>
        <v>2.5000000000000001E-2</v>
      </c>
      <c r="J61" s="13">
        <f t="shared" si="8"/>
        <v>1759.7222222222222</v>
      </c>
      <c r="K61" s="13">
        <f t="shared" si="9"/>
        <v>100337.56944444438</v>
      </c>
      <c r="M61" s="11" t="s">
        <v>7</v>
      </c>
      <c r="N61" s="12"/>
      <c r="O61" s="97"/>
      <c r="P61" s="13"/>
      <c r="Q61" s="13"/>
      <c r="R61" s="13"/>
      <c r="T61" s="11"/>
      <c r="U61" s="12"/>
      <c r="V61" s="97"/>
      <c r="W61" s="13"/>
      <c r="X61" s="13"/>
      <c r="Y61" s="13"/>
      <c r="AA61" s="11"/>
      <c r="AB61" s="98"/>
      <c r="AC61" s="97"/>
      <c r="AD61" s="13"/>
      <c r="AE61" s="13"/>
      <c r="AF61" s="13"/>
      <c r="AH61" s="235"/>
      <c r="AI61" s="235"/>
      <c r="AJ61" s="90"/>
      <c r="AK61" s="91"/>
      <c r="AM61" s="235"/>
      <c r="AN61" s="235"/>
      <c r="AO61" s="90"/>
      <c r="AP61" s="91"/>
      <c r="AR61" s="106">
        <v>95682601.299999997</v>
      </c>
      <c r="AS61" s="565">
        <v>2.75E-2</v>
      </c>
      <c r="AT61" s="565">
        <v>2.8799999999999999E-2</v>
      </c>
      <c r="AU61" s="106">
        <v>7666.67</v>
      </c>
      <c r="AV61" s="106">
        <v>1022.04</v>
      </c>
      <c r="AW61" s="19"/>
    </row>
    <row r="62" spans="2:49" ht="15.75" customHeight="1" x14ac:dyDescent="0.25">
      <c r="B62" s="9" t="str">
        <f t="shared" si="3"/>
        <v>2 2025</v>
      </c>
      <c r="C62" s="10">
        <f t="shared" si="5"/>
        <v>45714</v>
      </c>
      <c r="D62" s="10">
        <f t="shared" si="6"/>
        <v>45715</v>
      </c>
      <c r="E62" s="11">
        <f t="shared" si="4"/>
        <v>1</v>
      </c>
      <c r="G62" s="11" t="s">
        <v>7</v>
      </c>
      <c r="H62" s="135">
        <f>H61-990000</f>
        <v>24350000</v>
      </c>
      <c r="I62" s="14">
        <f t="shared" si="7"/>
        <v>2.5000000000000001E-2</v>
      </c>
      <c r="J62" s="13">
        <f t="shared" si="8"/>
        <v>1690.9722222222222</v>
      </c>
      <c r="K62" s="13">
        <f t="shared" si="9"/>
        <v>102028.5416666666</v>
      </c>
      <c r="M62" s="11" t="s">
        <v>7</v>
      </c>
      <c r="N62" s="12"/>
      <c r="O62" s="97"/>
      <c r="P62" s="13"/>
      <c r="Q62" s="13"/>
      <c r="R62" s="13"/>
      <c r="T62" s="11"/>
      <c r="U62" s="12"/>
      <c r="V62" s="97"/>
      <c r="W62" s="13"/>
      <c r="X62" s="13"/>
      <c r="Y62" s="13"/>
      <c r="AA62" s="11"/>
      <c r="AB62" s="98"/>
      <c r="AC62" s="97"/>
      <c r="AD62" s="13"/>
      <c r="AE62" s="13"/>
      <c r="AF62" s="13"/>
      <c r="AH62" s="235"/>
      <c r="AI62" s="235"/>
      <c r="AJ62" s="90"/>
      <c r="AK62" s="91"/>
      <c r="AM62" s="235"/>
      <c r="AN62" s="235"/>
      <c r="AO62" s="90"/>
      <c r="AP62" s="91"/>
      <c r="AR62" s="106">
        <v>94692601.299999997</v>
      </c>
      <c r="AS62" s="565">
        <v>2.75E-2</v>
      </c>
      <c r="AT62" s="565">
        <v>2.8899999999999999E-2</v>
      </c>
      <c r="AU62" s="106">
        <v>7597.92</v>
      </c>
      <c r="AV62" s="106">
        <v>1022.04</v>
      </c>
      <c r="AW62" s="19"/>
    </row>
    <row r="63" spans="2:49" x14ac:dyDescent="0.25">
      <c r="B63" s="9" t="str">
        <f t="shared" si="3"/>
        <v>2 2025</v>
      </c>
      <c r="C63" s="142">
        <f t="shared" si="5"/>
        <v>45715</v>
      </c>
      <c r="D63" s="142">
        <f t="shared" si="6"/>
        <v>45716</v>
      </c>
      <c r="E63" s="143">
        <f t="shared" si="4"/>
        <v>1</v>
      </c>
      <c r="F63" s="17"/>
      <c r="G63" s="143" t="s">
        <v>7</v>
      </c>
      <c r="H63" s="144">
        <f t="shared" si="12"/>
        <v>24350000</v>
      </c>
      <c r="I63" s="145">
        <f t="shared" si="7"/>
        <v>2.5000000000000001E-2</v>
      </c>
      <c r="J63" s="146">
        <f t="shared" si="8"/>
        <v>1690.9722222222222</v>
      </c>
      <c r="K63" s="146">
        <f t="shared" si="9"/>
        <v>103719.51388888882</v>
      </c>
      <c r="L63" s="17"/>
      <c r="M63" s="143" t="s">
        <v>7</v>
      </c>
      <c r="N63" s="144"/>
      <c r="O63" s="145"/>
      <c r="P63" s="146"/>
      <c r="Q63" s="146"/>
      <c r="R63" s="146"/>
      <c r="S63" s="17"/>
      <c r="T63" s="11"/>
      <c r="U63" s="12"/>
      <c r="V63" s="97"/>
      <c r="W63" s="13"/>
      <c r="X63" s="13"/>
      <c r="Y63" s="13"/>
      <c r="Z63" s="17"/>
      <c r="AA63" s="143"/>
      <c r="AB63" s="144"/>
      <c r="AC63" s="145"/>
      <c r="AD63" s="146"/>
      <c r="AE63" s="146"/>
      <c r="AF63" s="146"/>
      <c r="AG63" s="141"/>
      <c r="AH63" s="234"/>
      <c r="AI63" s="234"/>
      <c r="AJ63" s="240"/>
      <c r="AK63" s="241"/>
      <c r="AM63" s="234"/>
      <c r="AN63" s="234"/>
      <c r="AO63" s="240"/>
      <c r="AP63" s="241"/>
      <c r="AR63" s="106">
        <v>94692601.299999997</v>
      </c>
      <c r="AS63" s="567">
        <v>2.75E-2</v>
      </c>
      <c r="AT63" s="565">
        <v>2.8899999999999999E-2</v>
      </c>
      <c r="AU63" s="106">
        <v>7597.92</v>
      </c>
      <c r="AV63" s="106">
        <v>1022.04</v>
      </c>
      <c r="AW63" s="19"/>
    </row>
    <row r="64" spans="2:49" x14ac:dyDescent="0.25">
      <c r="B64" s="9" t="str">
        <f t="shared" si="3"/>
        <v>3 2025</v>
      </c>
      <c r="C64" s="10">
        <f t="shared" si="5"/>
        <v>45716</v>
      </c>
      <c r="D64" s="10">
        <f t="shared" si="6"/>
        <v>45717</v>
      </c>
      <c r="E64" s="11">
        <f t="shared" si="4"/>
        <v>1</v>
      </c>
      <c r="G64" s="11" t="s">
        <v>7</v>
      </c>
      <c r="H64" s="12">
        <f t="shared" si="12"/>
        <v>24350000</v>
      </c>
      <c r="I64" s="14">
        <f t="shared" si="7"/>
        <v>2.5000000000000001E-2</v>
      </c>
      <c r="J64" s="13">
        <f t="shared" si="8"/>
        <v>1690.9722222222222</v>
      </c>
      <c r="K64" s="13">
        <f t="shared" si="9"/>
        <v>105410.48611111104</v>
      </c>
      <c r="M64" s="11" t="s">
        <v>7</v>
      </c>
      <c r="N64" s="12"/>
      <c r="O64" s="97"/>
      <c r="P64" s="13"/>
      <c r="Q64" s="13"/>
      <c r="R64" s="13"/>
      <c r="T64" s="11"/>
      <c r="U64" s="12"/>
      <c r="V64" s="97"/>
      <c r="W64" s="13"/>
      <c r="X64" s="13"/>
      <c r="Y64" s="13"/>
      <c r="AA64" s="11"/>
      <c r="AB64" s="98"/>
      <c r="AC64" s="97"/>
      <c r="AD64" s="13"/>
      <c r="AE64" s="13"/>
      <c r="AF64" s="13"/>
      <c r="AH64" s="235"/>
      <c r="AI64" s="235"/>
      <c r="AJ64" s="90"/>
      <c r="AK64" s="91"/>
      <c r="AM64" s="235"/>
      <c r="AN64" s="235"/>
      <c r="AO64" s="90"/>
      <c r="AP64" s="91"/>
      <c r="AR64" s="106">
        <v>94692601.299999997</v>
      </c>
      <c r="AS64" s="565">
        <v>2.75E-2</v>
      </c>
      <c r="AT64" s="565">
        <v>2.8899999999999999E-2</v>
      </c>
      <c r="AU64" s="106">
        <v>7597.92</v>
      </c>
      <c r="AV64" s="106">
        <v>1022.04</v>
      </c>
      <c r="AW64" s="19"/>
    </row>
    <row r="65" spans="2:49" x14ac:dyDescent="0.25">
      <c r="B65" s="9" t="str">
        <f t="shared" si="3"/>
        <v>3 2025</v>
      </c>
      <c r="C65" s="10">
        <f t="shared" si="5"/>
        <v>45717</v>
      </c>
      <c r="D65" s="10">
        <f t="shared" si="6"/>
        <v>45718</v>
      </c>
      <c r="E65" s="11">
        <f t="shared" si="4"/>
        <v>1</v>
      </c>
      <c r="G65" s="11" t="s">
        <v>7</v>
      </c>
      <c r="H65" s="12">
        <f t="shared" si="12"/>
        <v>24350000</v>
      </c>
      <c r="I65" s="14">
        <f t="shared" si="7"/>
        <v>2.5000000000000001E-2</v>
      </c>
      <c r="J65" s="13">
        <f t="shared" si="8"/>
        <v>1690.9722222222222</v>
      </c>
      <c r="K65" s="13">
        <f t="shared" si="9"/>
        <v>107101.45833333326</v>
      </c>
      <c r="M65" s="11" t="s">
        <v>7</v>
      </c>
      <c r="N65" s="12"/>
      <c r="O65" s="97"/>
      <c r="P65" s="13"/>
      <c r="Q65" s="13"/>
      <c r="R65" s="13"/>
      <c r="T65" s="11"/>
      <c r="U65" s="12"/>
      <c r="V65" s="97"/>
      <c r="W65" s="13"/>
      <c r="X65" s="13"/>
      <c r="Y65" s="13"/>
      <c r="AA65" s="11"/>
      <c r="AB65" s="98"/>
      <c r="AC65" s="97"/>
      <c r="AD65" s="13"/>
      <c r="AE65" s="13"/>
      <c r="AF65" s="13"/>
      <c r="AH65" s="235"/>
      <c r="AI65" s="235"/>
      <c r="AJ65" s="90"/>
      <c r="AK65" s="91"/>
      <c r="AM65" s="235"/>
      <c r="AN65" s="235"/>
      <c r="AO65" s="90"/>
      <c r="AP65" s="91"/>
      <c r="AR65" s="106">
        <v>94692601.299999997</v>
      </c>
      <c r="AS65" s="565">
        <v>2.75E-2</v>
      </c>
      <c r="AT65" s="565">
        <v>2.8899999999999999E-2</v>
      </c>
      <c r="AU65" s="106">
        <v>7597.92</v>
      </c>
      <c r="AV65" s="106">
        <v>1022.04</v>
      </c>
      <c r="AW65" s="19"/>
    </row>
    <row r="66" spans="2:49" x14ac:dyDescent="0.25">
      <c r="B66" s="9" t="str">
        <f t="shared" si="3"/>
        <v>3 2025</v>
      </c>
      <c r="C66" s="10">
        <f t="shared" si="5"/>
        <v>45718</v>
      </c>
      <c r="D66" s="10">
        <f t="shared" si="6"/>
        <v>45719</v>
      </c>
      <c r="E66" s="11">
        <f t="shared" si="4"/>
        <v>1</v>
      </c>
      <c r="G66" s="11" t="s">
        <v>7</v>
      </c>
      <c r="H66" s="12">
        <f t="shared" si="12"/>
        <v>24350000</v>
      </c>
      <c r="I66" s="14">
        <f t="shared" si="7"/>
        <v>2.5000000000000001E-2</v>
      </c>
      <c r="J66" s="13">
        <f t="shared" si="8"/>
        <v>1690.9722222222222</v>
      </c>
      <c r="K66" s="13">
        <f t="shared" si="9"/>
        <v>108792.43055555547</v>
      </c>
      <c r="M66" s="11" t="s">
        <v>7</v>
      </c>
      <c r="N66" s="12"/>
      <c r="O66" s="97"/>
      <c r="P66" s="13"/>
      <c r="Q66" s="13"/>
      <c r="R66" s="13"/>
      <c r="T66" s="11"/>
      <c r="U66" s="12"/>
      <c r="V66" s="97"/>
      <c r="W66" s="13"/>
      <c r="X66" s="13"/>
      <c r="Y66" s="13"/>
      <c r="AA66" s="11"/>
      <c r="AB66" s="98"/>
      <c r="AC66" s="97"/>
      <c r="AD66" s="13"/>
      <c r="AE66" s="13"/>
      <c r="AF66" s="13"/>
      <c r="AH66" s="235"/>
      <c r="AI66" s="235"/>
      <c r="AJ66" s="90"/>
      <c r="AK66" s="91"/>
      <c r="AM66" s="235"/>
      <c r="AN66" s="235"/>
      <c r="AO66" s="90"/>
      <c r="AP66" s="91"/>
      <c r="AR66" s="106">
        <v>94692601.299999997</v>
      </c>
      <c r="AS66" s="565">
        <v>2.75E-2</v>
      </c>
      <c r="AT66" s="565">
        <v>2.8899999999999999E-2</v>
      </c>
      <c r="AU66" s="106">
        <v>7597.92</v>
      </c>
      <c r="AV66" s="106">
        <v>1022.04</v>
      </c>
      <c r="AW66" s="19"/>
    </row>
    <row r="67" spans="2:49" x14ac:dyDescent="0.25">
      <c r="B67" s="9" t="str">
        <f t="shared" si="3"/>
        <v>3 2025</v>
      </c>
      <c r="C67" s="10">
        <f t="shared" si="5"/>
        <v>45719</v>
      </c>
      <c r="D67" s="10">
        <f t="shared" si="6"/>
        <v>45720</v>
      </c>
      <c r="E67" s="11">
        <f t="shared" si="4"/>
        <v>1</v>
      </c>
      <c r="G67" s="11" t="s">
        <v>7</v>
      </c>
      <c r="H67" s="135">
        <f>H66-2080000</f>
        <v>22270000</v>
      </c>
      <c r="I67" s="14">
        <f t="shared" si="7"/>
        <v>2.5000000000000001E-2</v>
      </c>
      <c r="J67" s="13">
        <f t="shared" si="8"/>
        <v>1546.5277777777778</v>
      </c>
      <c r="K67" s="13">
        <f t="shared" si="9"/>
        <v>110338.95833333326</v>
      </c>
      <c r="M67" s="11" t="s">
        <v>7</v>
      </c>
      <c r="N67" s="12"/>
      <c r="O67" s="97"/>
      <c r="P67" s="13"/>
      <c r="Q67" s="13"/>
      <c r="R67" s="13"/>
      <c r="T67" s="11"/>
      <c r="U67" s="12"/>
      <c r="V67" s="97"/>
      <c r="W67" s="13"/>
      <c r="X67" s="13"/>
      <c r="Y67" s="13"/>
      <c r="AA67" s="11"/>
      <c r="AB67" s="98"/>
      <c r="AC67" s="97"/>
      <c r="AD67" s="13"/>
      <c r="AE67" s="13"/>
      <c r="AF67" s="13"/>
      <c r="AH67" s="235"/>
      <c r="AI67" s="235"/>
      <c r="AJ67" s="90"/>
      <c r="AK67" s="91"/>
      <c r="AM67" s="235"/>
      <c r="AN67" s="235"/>
      <c r="AO67" s="90"/>
      <c r="AP67" s="91"/>
      <c r="AR67" s="106">
        <v>92612601.299999997</v>
      </c>
      <c r="AS67" s="565">
        <v>2.75E-2</v>
      </c>
      <c r="AT67" s="565">
        <v>2.9000000000000001E-2</v>
      </c>
      <c r="AU67" s="106">
        <v>7453.47</v>
      </c>
      <c r="AV67" s="106">
        <v>1022.04</v>
      </c>
      <c r="AW67" s="19"/>
    </row>
    <row r="68" spans="2:49" x14ac:dyDescent="0.25">
      <c r="B68" s="9" t="str">
        <f t="shared" si="3"/>
        <v>3 2025</v>
      </c>
      <c r="C68" s="10">
        <f t="shared" si="5"/>
        <v>45720</v>
      </c>
      <c r="D68" s="10">
        <f t="shared" si="6"/>
        <v>45721</v>
      </c>
      <c r="E68" s="11">
        <f t="shared" si="4"/>
        <v>1</v>
      </c>
      <c r="G68" s="11" t="s">
        <v>7</v>
      </c>
      <c r="H68" s="12">
        <f t="shared" si="12"/>
        <v>22270000</v>
      </c>
      <c r="I68" s="14">
        <f t="shared" si="7"/>
        <v>2.5000000000000001E-2</v>
      </c>
      <c r="J68" s="13">
        <f t="shared" si="8"/>
        <v>1546.5277777777778</v>
      </c>
      <c r="K68" s="13">
        <f t="shared" si="9"/>
        <v>111885.48611111104</v>
      </c>
      <c r="M68" s="11" t="s">
        <v>7</v>
      </c>
      <c r="N68" s="12"/>
      <c r="O68" s="97"/>
      <c r="P68" s="13"/>
      <c r="Q68" s="13"/>
      <c r="R68" s="13"/>
      <c r="T68" s="11"/>
      <c r="U68" s="12"/>
      <c r="V68" s="97"/>
      <c r="W68" s="13"/>
      <c r="X68" s="13"/>
      <c r="Y68" s="13"/>
      <c r="AA68" s="11"/>
      <c r="AB68" s="98"/>
      <c r="AC68" s="97"/>
      <c r="AD68" s="13"/>
      <c r="AE68" s="13"/>
      <c r="AF68" s="13"/>
      <c r="AH68" s="235"/>
      <c r="AI68" s="235"/>
      <c r="AJ68" s="90"/>
      <c r="AK68" s="91"/>
      <c r="AM68" s="235"/>
      <c r="AN68" s="235"/>
      <c r="AO68" s="90"/>
      <c r="AP68" s="91"/>
      <c r="AR68" s="106">
        <v>92612601.299999997</v>
      </c>
      <c r="AS68" s="565">
        <v>2.75E-2</v>
      </c>
      <c r="AT68" s="565">
        <v>2.9000000000000001E-2</v>
      </c>
      <c r="AU68" s="106">
        <v>7453.47</v>
      </c>
      <c r="AV68" s="106">
        <v>1022.04</v>
      </c>
      <c r="AW68" s="19"/>
    </row>
    <row r="69" spans="2:49" x14ac:dyDescent="0.25">
      <c r="B69" s="9" t="str">
        <f t="shared" si="3"/>
        <v>3 2025</v>
      </c>
      <c r="C69" s="10">
        <f t="shared" si="5"/>
        <v>45721</v>
      </c>
      <c r="D69" s="10">
        <f t="shared" si="6"/>
        <v>45722</v>
      </c>
      <c r="E69" s="11">
        <f t="shared" si="4"/>
        <v>1</v>
      </c>
      <c r="G69" s="11" t="s">
        <v>7</v>
      </c>
      <c r="H69" s="12">
        <f t="shared" si="12"/>
        <v>22270000</v>
      </c>
      <c r="I69" s="14">
        <f t="shared" si="7"/>
        <v>2.5000000000000001E-2</v>
      </c>
      <c r="J69" s="13">
        <f t="shared" si="8"/>
        <v>1546.5277777777778</v>
      </c>
      <c r="K69" s="13">
        <f t="shared" si="9"/>
        <v>113432.01388888882</v>
      </c>
      <c r="M69" s="11" t="s">
        <v>7</v>
      </c>
      <c r="N69" s="12"/>
      <c r="O69" s="97"/>
      <c r="P69" s="13"/>
      <c r="Q69" s="13"/>
      <c r="R69" s="13"/>
      <c r="T69" s="11"/>
      <c r="U69" s="12"/>
      <c r="V69" s="97"/>
      <c r="W69" s="13"/>
      <c r="X69" s="13"/>
      <c r="Y69" s="13"/>
      <c r="AA69" s="11"/>
      <c r="AB69" s="98"/>
      <c r="AC69" s="97"/>
      <c r="AD69" s="13"/>
      <c r="AE69" s="13"/>
      <c r="AF69" s="13"/>
      <c r="AH69" s="235"/>
      <c r="AI69" s="235"/>
      <c r="AJ69" s="90"/>
      <c r="AK69" s="91"/>
      <c r="AM69" s="235"/>
      <c r="AN69" s="235"/>
      <c r="AO69" s="90"/>
      <c r="AP69" s="91"/>
      <c r="AR69" s="106">
        <v>92612601.299999997</v>
      </c>
      <c r="AS69" s="565">
        <v>2.75E-2</v>
      </c>
      <c r="AT69" s="565">
        <v>2.9000000000000001E-2</v>
      </c>
      <c r="AU69" s="106">
        <v>7453.47</v>
      </c>
      <c r="AV69" s="106">
        <v>1022.04</v>
      </c>
      <c r="AW69" s="19"/>
    </row>
    <row r="70" spans="2:49" x14ac:dyDescent="0.25">
      <c r="B70" s="9" t="str">
        <f t="shared" ref="B70:B133" si="15">CONCATENATE(MONTH(D70)," ",YEAR(D70))</f>
        <v>3 2025</v>
      </c>
      <c r="C70" s="10">
        <f t="shared" si="5"/>
        <v>45722</v>
      </c>
      <c r="D70" s="10">
        <f t="shared" si="6"/>
        <v>45723</v>
      </c>
      <c r="E70" s="11">
        <f t="shared" ref="E70:E133" si="16">D70-C70</f>
        <v>1</v>
      </c>
      <c r="G70" s="11" t="s">
        <v>7</v>
      </c>
      <c r="H70" s="12">
        <f t="shared" si="12"/>
        <v>22270000</v>
      </c>
      <c r="I70" s="14">
        <f t="shared" si="7"/>
        <v>2.5000000000000001E-2</v>
      </c>
      <c r="J70" s="13">
        <f t="shared" si="8"/>
        <v>1546.5277777777778</v>
      </c>
      <c r="K70" s="13">
        <f t="shared" si="9"/>
        <v>114978.5416666666</v>
      </c>
      <c r="M70" s="11" t="s">
        <v>7</v>
      </c>
      <c r="N70" s="12"/>
      <c r="O70" s="97"/>
      <c r="P70" s="13"/>
      <c r="Q70" s="13"/>
      <c r="R70" s="13"/>
      <c r="T70" s="11"/>
      <c r="U70" s="12"/>
      <c r="V70" s="97"/>
      <c r="W70" s="13"/>
      <c r="X70" s="13"/>
      <c r="Y70" s="13"/>
      <c r="AA70" s="11"/>
      <c r="AB70" s="98"/>
      <c r="AC70" s="97"/>
      <c r="AD70" s="13"/>
      <c r="AE70" s="13"/>
      <c r="AF70" s="13"/>
      <c r="AH70" s="235"/>
      <c r="AI70" s="235"/>
      <c r="AJ70" s="90"/>
      <c r="AK70" s="91"/>
      <c r="AM70" s="235"/>
      <c r="AN70" s="235"/>
      <c r="AO70" s="90"/>
      <c r="AP70" s="91"/>
      <c r="AR70" s="106">
        <v>92612601.299999997</v>
      </c>
      <c r="AS70" s="565">
        <v>2.75E-2</v>
      </c>
      <c r="AT70" s="565">
        <v>2.9000000000000001E-2</v>
      </c>
      <c r="AU70" s="106">
        <v>7453.47</v>
      </c>
      <c r="AV70" s="106">
        <v>1022.04</v>
      </c>
      <c r="AW70" s="19"/>
    </row>
    <row r="71" spans="2:49" x14ac:dyDescent="0.25">
      <c r="B71" s="9" t="str">
        <f t="shared" si="15"/>
        <v>3 2025</v>
      </c>
      <c r="C71" s="10">
        <f t="shared" si="5"/>
        <v>45723</v>
      </c>
      <c r="D71" s="10">
        <f t="shared" si="6"/>
        <v>45724</v>
      </c>
      <c r="E71" s="11">
        <f t="shared" si="16"/>
        <v>1</v>
      </c>
      <c r="G71" s="11" t="s">
        <v>7</v>
      </c>
      <c r="H71" s="12">
        <f t="shared" si="12"/>
        <v>22270000</v>
      </c>
      <c r="I71" s="14">
        <f t="shared" si="7"/>
        <v>2.5000000000000001E-2</v>
      </c>
      <c r="J71" s="13">
        <f t="shared" si="8"/>
        <v>1546.5277777777778</v>
      </c>
      <c r="K71" s="13">
        <f t="shared" si="9"/>
        <v>116525.06944444438</v>
      </c>
      <c r="M71" s="11" t="s">
        <v>7</v>
      </c>
      <c r="N71" s="12"/>
      <c r="O71" s="97"/>
      <c r="P71" s="13"/>
      <c r="Q71" s="13"/>
      <c r="R71" s="13"/>
      <c r="T71" s="11"/>
      <c r="U71" s="12"/>
      <c r="V71" s="97"/>
      <c r="W71" s="13"/>
      <c r="X71" s="13"/>
      <c r="Y71" s="13"/>
      <c r="AA71" s="11"/>
      <c r="AB71" s="98"/>
      <c r="AC71" s="97"/>
      <c r="AD71" s="13"/>
      <c r="AE71" s="13"/>
      <c r="AF71" s="13"/>
      <c r="AH71" s="235"/>
      <c r="AI71" s="235"/>
      <c r="AJ71" s="90"/>
      <c r="AK71" s="91"/>
      <c r="AM71" s="235"/>
      <c r="AN71" s="235"/>
      <c r="AO71" s="90"/>
      <c r="AP71" s="91"/>
      <c r="AR71" s="106">
        <v>92612601.299999997</v>
      </c>
      <c r="AS71" s="565">
        <v>2.75E-2</v>
      </c>
      <c r="AT71" s="565">
        <v>2.9000000000000001E-2</v>
      </c>
      <c r="AU71" s="106">
        <v>7453.47</v>
      </c>
      <c r="AV71" s="106">
        <v>1022.04</v>
      </c>
      <c r="AW71" s="19"/>
    </row>
    <row r="72" spans="2:49" x14ac:dyDescent="0.25">
      <c r="B72" s="9" t="str">
        <f t="shared" si="15"/>
        <v>3 2025</v>
      </c>
      <c r="C72" s="10">
        <f t="shared" ref="C72:C135" si="17">D71</f>
        <v>45724</v>
      </c>
      <c r="D72" s="10">
        <f t="shared" ref="D72:D135" si="18">D71+1</f>
        <v>45725</v>
      </c>
      <c r="E72" s="11">
        <f t="shared" si="16"/>
        <v>1</v>
      </c>
      <c r="G72" s="11" t="s">
        <v>7</v>
      </c>
      <c r="H72" s="12">
        <f t="shared" ref="H72:H135" si="19">H71</f>
        <v>22270000</v>
      </c>
      <c r="I72" s="14">
        <f t="shared" ref="I72:I135" si="20">I71</f>
        <v>2.5000000000000001E-2</v>
      </c>
      <c r="J72" s="13">
        <f t="shared" ref="J72:J135" si="21">+H72*I72*E72/360</f>
        <v>1546.5277777777778</v>
      </c>
      <c r="K72" s="13">
        <f t="shared" ref="K72:K135" si="22">K71+J72</f>
        <v>118071.59722222216</v>
      </c>
      <c r="M72" s="11" t="s">
        <v>7</v>
      </c>
      <c r="N72" s="12"/>
      <c r="O72" s="97"/>
      <c r="P72" s="13"/>
      <c r="Q72" s="13"/>
      <c r="R72" s="13"/>
      <c r="T72" s="11"/>
      <c r="U72" s="12"/>
      <c r="V72" s="97"/>
      <c r="W72" s="13"/>
      <c r="X72" s="13"/>
      <c r="Y72" s="13"/>
      <c r="AA72" s="11"/>
      <c r="AB72" s="98"/>
      <c r="AC72" s="97"/>
      <c r="AD72" s="13"/>
      <c r="AE72" s="13"/>
      <c r="AF72" s="13"/>
      <c r="AH72" s="235"/>
      <c r="AI72" s="235"/>
      <c r="AJ72" s="90"/>
      <c r="AK72" s="91"/>
      <c r="AM72" s="235"/>
      <c r="AN72" s="235"/>
      <c r="AO72" s="90"/>
      <c r="AP72" s="91"/>
      <c r="AR72" s="106">
        <v>92612601.299999997</v>
      </c>
      <c r="AS72" s="565">
        <v>2.75E-2</v>
      </c>
      <c r="AT72" s="565">
        <v>2.9000000000000001E-2</v>
      </c>
      <c r="AU72" s="106">
        <v>7453.47</v>
      </c>
      <c r="AV72" s="106">
        <v>1022.04</v>
      </c>
      <c r="AW72" s="19"/>
    </row>
    <row r="73" spans="2:49" x14ac:dyDescent="0.25">
      <c r="B73" s="9" t="str">
        <f t="shared" si="15"/>
        <v>3 2025</v>
      </c>
      <c r="C73" s="10">
        <f t="shared" si="17"/>
        <v>45725</v>
      </c>
      <c r="D73" s="10">
        <f t="shared" si="18"/>
        <v>45726</v>
      </c>
      <c r="E73" s="11">
        <f t="shared" si="16"/>
        <v>1</v>
      </c>
      <c r="G73" s="11" t="s">
        <v>7</v>
      </c>
      <c r="H73" s="12">
        <f t="shared" si="19"/>
        <v>22270000</v>
      </c>
      <c r="I73" s="14">
        <f t="shared" si="20"/>
        <v>2.5000000000000001E-2</v>
      </c>
      <c r="J73" s="13">
        <f t="shared" si="21"/>
        <v>1546.5277777777778</v>
      </c>
      <c r="K73" s="13">
        <f t="shared" si="22"/>
        <v>119618.12499999994</v>
      </c>
      <c r="M73" s="11" t="s">
        <v>7</v>
      </c>
      <c r="N73" s="12"/>
      <c r="O73" s="97"/>
      <c r="P73" s="13"/>
      <c r="Q73" s="13"/>
      <c r="R73" s="13"/>
      <c r="T73" s="11"/>
      <c r="U73" s="12"/>
      <c r="V73" s="97"/>
      <c r="W73" s="13"/>
      <c r="X73" s="13"/>
      <c r="Y73" s="13"/>
      <c r="AA73" s="11"/>
      <c r="AB73" s="98"/>
      <c r="AC73" s="97"/>
      <c r="AD73" s="13"/>
      <c r="AE73" s="13"/>
      <c r="AF73" s="13"/>
      <c r="AH73" s="235"/>
      <c r="AI73" s="235"/>
      <c r="AJ73" s="90"/>
      <c r="AK73" s="91"/>
      <c r="AM73" s="235"/>
      <c r="AN73" s="235"/>
      <c r="AO73" s="90"/>
      <c r="AP73" s="91"/>
      <c r="AR73" s="106">
        <v>92612601.299999997</v>
      </c>
      <c r="AS73" s="565">
        <v>2.75E-2</v>
      </c>
      <c r="AT73" s="565">
        <v>2.9000000000000001E-2</v>
      </c>
      <c r="AU73" s="106">
        <v>7453.47</v>
      </c>
      <c r="AV73" s="106">
        <v>1022.04</v>
      </c>
      <c r="AW73" s="19"/>
    </row>
    <row r="74" spans="2:49" x14ac:dyDescent="0.25">
      <c r="B74" s="9" t="str">
        <f t="shared" si="15"/>
        <v>3 2025</v>
      </c>
      <c r="C74" s="109">
        <f t="shared" si="17"/>
        <v>45726</v>
      </c>
      <c r="D74" s="109">
        <f t="shared" si="18"/>
        <v>45727</v>
      </c>
      <c r="E74" s="11">
        <f t="shared" si="16"/>
        <v>1</v>
      </c>
      <c r="G74" s="11" t="s">
        <v>7</v>
      </c>
      <c r="H74" s="135">
        <f>H73+40430000</f>
        <v>62700000</v>
      </c>
      <c r="I74" s="14">
        <f t="shared" si="20"/>
        <v>2.5000000000000001E-2</v>
      </c>
      <c r="J74" s="13">
        <f t="shared" si="21"/>
        <v>4354.166666666667</v>
      </c>
      <c r="K74" s="13">
        <f t="shared" si="22"/>
        <v>123972.29166666661</v>
      </c>
      <c r="M74" s="11" t="s">
        <v>7</v>
      </c>
      <c r="N74" s="12"/>
      <c r="O74" s="97"/>
      <c r="P74" s="13"/>
      <c r="Q74" s="13"/>
      <c r="R74" s="13"/>
      <c r="T74" s="11"/>
      <c r="U74" s="12"/>
      <c r="V74" s="97"/>
      <c r="W74" s="13"/>
      <c r="X74" s="13"/>
      <c r="Y74" s="13"/>
      <c r="AA74" s="11"/>
      <c r="AB74" s="98"/>
      <c r="AC74" s="97"/>
      <c r="AD74" s="13"/>
      <c r="AE74" s="13"/>
      <c r="AF74" s="13"/>
      <c r="AH74" s="235"/>
      <c r="AI74" s="235"/>
      <c r="AJ74" s="90"/>
      <c r="AK74" s="91"/>
      <c r="AM74" s="235"/>
      <c r="AN74" s="235"/>
      <c r="AO74" s="90"/>
      <c r="AP74" s="91"/>
      <c r="AR74" s="106">
        <v>92700000</v>
      </c>
      <c r="AS74" s="565">
        <v>2.75E-2</v>
      </c>
      <c r="AT74" s="565">
        <v>2.7400000000000001E-2</v>
      </c>
      <c r="AU74" s="106">
        <v>7050.83</v>
      </c>
      <c r="AV74" s="106">
        <v>613.33000000000004</v>
      </c>
      <c r="AW74" s="19"/>
    </row>
    <row r="75" spans="2:49" x14ac:dyDescent="0.25">
      <c r="B75" s="9" t="str">
        <f t="shared" si="15"/>
        <v>3 2025</v>
      </c>
      <c r="C75" s="10">
        <f t="shared" si="17"/>
        <v>45727</v>
      </c>
      <c r="D75" s="10">
        <f t="shared" si="18"/>
        <v>45728</v>
      </c>
      <c r="E75" s="11">
        <f t="shared" si="16"/>
        <v>1</v>
      </c>
      <c r="G75" s="11" t="s">
        <v>7</v>
      </c>
      <c r="H75" s="135">
        <f>H74-3090000</f>
        <v>59610000</v>
      </c>
      <c r="I75" s="14">
        <f t="shared" si="20"/>
        <v>2.5000000000000001E-2</v>
      </c>
      <c r="J75" s="13">
        <f t="shared" si="21"/>
        <v>4139.583333333333</v>
      </c>
      <c r="K75" s="13">
        <f t="shared" si="22"/>
        <v>128111.87499999994</v>
      </c>
      <c r="M75" s="11" t="s">
        <v>7</v>
      </c>
      <c r="N75" s="12"/>
      <c r="O75" s="97"/>
      <c r="P75" s="13"/>
      <c r="Q75" s="13"/>
      <c r="R75" s="13"/>
      <c r="T75" s="11"/>
      <c r="U75" s="12"/>
      <c r="V75" s="97"/>
      <c r="W75" s="13"/>
      <c r="X75" s="13"/>
      <c r="Y75" s="13"/>
      <c r="AA75" s="11"/>
      <c r="AB75" s="98"/>
      <c r="AC75" s="97"/>
      <c r="AD75" s="13"/>
      <c r="AE75" s="13"/>
      <c r="AF75" s="13"/>
      <c r="AH75" s="235"/>
      <c r="AI75" s="235"/>
      <c r="AJ75" s="90"/>
      <c r="AK75" s="91"/>
      <c r="AM75" s="235"/>
      <c r="AN75" s="235"/>
      <c r="AO75" s="90"/>
      <c r="AP75" s="91"/>
      <c r="AR75" s="106">
        <v>89610000</v>
      </c>
      <c r="AS75" s="565">
        <v>2.75E-2</v>
      </c>
      <c r="AT75" s="565">
        <v>2.75E-2</v>
      </c>
      <c r="AU75" s="106">
        <v>6836.25</v>
      </c>
      <c r="AV75" s="106">
        <v>613.33000000000004</v>
      </c>
      <c r="AW75" s="19"/>
    </row>
    <row r="76" spans="2:49" x14ac:dyDescent="0.25">
      <c r="B76" s="9" t="str">
        <f t="shared" si="15"/>
        <v>3 2025</v>
      </c>
      <c r="C76" s="10">
        <f t="shared" si="17"/>
        <v>45728</v>
      </c>
      <c r="D76" s="10">
        <f t="shared" si="18"/>
        <v>45729</v>
      </c>
      <c r="E76" s="11">
        <f t="shared" si="16"/>
        <v>1</v>
      </c>
      <c r="G76" s="11" t="s">
        <v>7</v>
      </c>
      <c r="H76" s="135">
        <f>H75-35000000</f>
        <v>24610000</v>
      </c>
      <c r="I76" s="14">
        <v>2.2499999999999999E-2</v>
      </c>
      <c r="J76" s="13">
        <f t="shared" si="21"/>
        <v>1538.125</v>
      </c>
      <c r="K76" s="13">
        <f t="shared" si="22"/>
        <v>129649.99999999994</v>
      </c>
      <c r="M76" s="11" t="s">
        <v>7</v>
      </c>
      <c r="N76" s="12"/>
      <c r="O76" s="97"/>
      <c r="P76" s="13"/>
      <c r="Q76" s="13"/>
      <c r="R76" s="13"/>
      <c r="T76" s="11"/>
      <c r="U76" s="12"/>
      <c r="V76" s="97"/>
      <c r="W76" s="13"/>
      <c r="X76" s="13"/>
      <c r="Y76" s="13"/>
      <c r="AA76" s="11"/>
      <c r="AB76" s="98"/>
      <c r="AC76" s="97"/>
      <c r="AD76" s="13"/>
      <c r="AE76" s="13"/>
      <c r="AF76" s="13"/>
      <c r="AH76" s="235"/>
      <c r="AI76" s="235"/>
      <c r="AJ76" s="90"/>
      <c r="AK76" s="91"/>
      <c r="AM76" s="235"/>
      <c r="AN76" s="235"/>
      <c r="AO76" s="90"/>
      <c r="AP76" s="91"/>
      <c r="AR76" s="106">
        <v>89610000.489999995</v>
      </c>
      <c r="AS76" s="565">
        <v>2.5000000000000001E-2</v>
      </c>
      <c r="AT76" s="565">
        <v>2.7799999999999998E-2</v>
      </c>
      <c r="AU76" s="106">
        <v>4235.29</v>
      </c>
      <c r="AV76" s="106">
        <v>821.67</v>
      </c>
      <c r="AW76" s="19"/>
    </row>
    <row r="77" spans="2:49" x14ac:dyDescent="0.25">
      <c r="B77" s="9" t="str">
        <f t="shared" si="15"/>
        <v>3 2025</v>
      </c>
      <c r="C77" s="10">
        <f t="shared" si="17"/>
        <v>45729</v>
      </c>
      <c r="D77" s="10">
        <f t="shared" si="18"/>
        <v>45730</v>
      </c>
      <c r="E77" s="11">
        <f t="shared" si="16"/>
        <v>1</v>
      </c>
      <c r="G77" s="11" t="s">
        <v>7</v>
      </c>
      <c r="H77" s="106">
        <f>H76-250000</f>
        <v>24360000</v>
      </c>
      <c r="I77" s="14">
        <f t="shared" si="20"/>
        <v>2.2499999999999999E-2</v>
      </c>
      <c r="J77" s="13">
        <f t="shared" si="21"/>
        <v>1522.5</v>
      </c>
      <c r="K77" s="13">
        <f t="shared" si="22"/>
        <v>131172.49999999994</v>
      </c>
      <c r="M77" s="11" t="s">
        <v>7</v>
      </c>
      <c r="N77" s="12"/>
      <c r="O77" s="97"/>
      <c r="P77" s="13"/>
      <c r="Q77" s="13"/>
      <c r="R77" s="13"/>
      <c r="T77" s="11"/>
      <c r="U77" s="12"/>
      <c r="V77" s="97"/>
      <c r="W77" s="13"/>
      <c r="X77" s="13"/>
      <c r="Y77" s="13"/>
      <c r="AA77" s="11"/>
      <c r="AB77" s="98"/>
      <c r="AC77" s="97"/>
      <c r="AD77" s="13"/>
      <c r="AE77" s="13"/>
      <c r="AF77" s="13"/>
      <c r="AH77" s="235"/>
      <c r="AI77" s="236"/>
      <c r="AJ77" s="90"/>
      <c r="AK77" s="91"/>
      <c r="AM77" s="235"/>
      <c r="AN77" s="236"/>
      <c r="AO77" s="90"/>
      <c r="AP77" s="91"/>
      <c r="AR77" s="106">
        <v>89362844.510000005</v>
      </c>
      <c r="AS77" s="565">
        <v>2.5000000000000001E-2</v>
      </c>
      <c r="AT77" s="565">
        <v>2.7799999999999998E-2</v>
      </c>
      <c r="AU77" s="106">
        <v>7063.18</v>
      </c>
      <c r="AV77" s="106">
        <v>1478.18</v>
      </c>
      <c r="AW77" s="19"/>
    </row>
    <row r="78" spans="2:49" x14ac:dyDescent="0.25">
      <c r="B78" s="9" t="str">
        <f t="shared" si="15"/>
        <v>3 2025</v>
      </c>
      <c r="C78" s="10">
        <f t="shared" si="17"/>
        <v>45730</v>
      </c>
      <c r="D78" s="10">
        <f t="shared" si="18"/>
        <v>45731</v>
      </c>
      <c r="E78" s="11">
        <f t="shared" si="16"/>
        <v>1</v>
      </c>
      <c r="G78" s="11" t="s">
        <v>7</v>
      </c>
      <c r="H78" s="12">
        <f t="shared" si="19"/>
        <v>24360000</v>
      </c>
      <c r="I78" s="14">
        <f t="shared" si="20"/>
        <v>2.2499999999999999E-2</v>
      </c>
      <c r="J78" s="13">
        <f t="shared" si="21"/>
        <v>1522.5</v>
      </c>
      <c r="K78" s="13">
        <f t="shared" si="22"/>
        <v>132694.99999999994</v>
      </c>
      <c r="M78" s="11" t="s">
        <v>7</v>
      </c>
      <c r="N78" s="12"/>
      <c r="O78" s="97"/>
      <c r="P78" s="13"/>
      <c r="Q78" s="13"/>
      <c r="R78" s="13"/>
      <c r="T78" s="11"/>
      <c r="U78" s="12"/>
      <c r="V78" s="97"/>
      <c r="W78" s="13"/>
      <c r="X78" s="13"/>
      <c r="Y78" s="13"/>
      <c r="AA78" s="11"/>
      <c r="AB78" s="98"/>
      <c r="AC78" s="97"/>
      <c r="AD78" s="13"/>
      <c r="AE78" s="13"/>
      <c r="AF78" s="13"/>
      <c r="AH78" s="235"/>
      <c r="AI78" s="236"/>
      <c r="AJ78" s="90"/>
      <c r="AK78" s="91"/>
      <c r="AM78" s="235"/>
      <c r="AN78" s="236"/>
      <c r="AO78" s="90"/>
      <c r="AP78" s="91"/>
      <c r="AR78" s="106">
        <v>89365688.519999996</v>
      </c>
      <c r="AS78" s="565">
        <v>2.5000000000000001E-2</v>
      </c>
      <c r="AT78" s="565">
        <v>2.7799999999999998E-2</v>
      </c>
      <c r="AU78" s="106">
        <v>7063.18</v>
      </c>
      <c r="AV78" s="106">
        <v>1478.18</v>
      </c>
      <c r="AW78" s="19"/>
    </row>
    <row r="79" spans="2:49" x14ac:dyDescent="0.25">
      <c r="B79" s="9" t="str">
        <f t="shared" si="15"/>
        <v>3 2025</v>
      </c>
      <c r="C79" s="10">
        <f t="shared" si="17"/>
        <v>45731</v>
      </c>
      <c r="D79" s="10">
        <f t="shared" si="18"/>
        <v>45732</v>
      </c>
      <c r="E79" s="11">
        <f t="shared" si="16"/>
        <v>1</v>
      </c>
      <c r="G79" s="11" t="s">
        <v>7</v>
      </c>
      <c r="H79" s="12">
        <f t="shared" si="19"/>
        <v>24360000</v>
      </c>
      <c r="I79" s="14">
        <f t="shared" si="20"/>
        <v>2.2499999999999999E-2</v>
      </c>
      <c r="J79" s="13">
        <f t="shared" si="21"/>
        <v>1522.5</v>
      </c>
      <c r="K79" s="13">
        <f t="shared" si="22"/>
        <v>134217.49999999994</v>
      </c>
      <c r="M79" s="11" t="s">
        <v>7</v>
      </c>
      <c r="N79" s="12"/>
      <c r="O79" s="97"/>
      <c r="P79" s="13"/>
      <c r="Q79" s="13"/>
      <c r="R79" s="13"/>
      <c r="T79" s="11"/>
      <c r="U79" s="12"/>
      <c r="V79" s="97"/>
      <c r="W79" s="13"/>
      <c r="X79" s="13"/>
      <c r="Y79" s="13"/>
      <c r="AA79" s="11"/>
      <c r="AB79" s="98"/>
      <c r="AC79" s="97"/>
      <c r="AD79" s="13"/>
      <c r="AE79" s="13"/>
      <c r="AF79" s="13"/>
      <c r="AH79" s="235"/>
      <c r="AI79" s="236"/>
      <c r="AJ79" s="90"/>
      <c r="AK79" s="91"/>
      <c r="AM79" s="235"/>
      <c r="AN79" s="236"/>
      <c r="AO79" s="90"/>
      <c r="AP79" s="91"/>
      <c r="AR79" s="106">
        <v>89365688.519999996</v>
      </c>
      <c r="AS79" s="565">
        <v>2.5000000000000001E-2</v>
      </c>
      <c r="AT79" s="565">
        <v>2.7799999999999998E-2</v>
      </c>
      <c r="AU79" s="106">
        <v>4219.17</v>
      </c>
      <c r="AV79" s="106">
        <v>-1365.83</v>
      </c>
      <c r="AW79" s="19"/>
    </row>
    <row r="80" spans="2:49" x14ac:dyDescent="0.25">
      <c r="B80" s="9" t="str">
        <f t="shared" si="15"/>
        <v>3 2025</v>
      </c>
      <c r="C80" s="10">
        <f t="shared" si="17"/>
        <v>45732</v>
      </c>
      <c r="D80" s="10">
        <f t="shared" si="18"/>
        <v>45733</v>
      </c>
      <c r="E80" s="11">
        <f t="shared" si="16"/>
        <v>1</v>
      </c>
      <c r="G80" s="11" t="s">
        <v>7</v>
      </c>
      <c r="H80" s="12">
        <f t="shared" si="19"/>
        <v>24360000</v>
      </c>
      <c r="I80" s="14">
        <f t="shared" si="20"/>
        <v>2.2499999999999999E-2</v>
      </c>
      <c r="J80" s="13">
        <f t="shared" si="21"/>
        <v>1522.5</v>
      </c>
      <c r="K80" s="13">
        <f t="shared" si="22"/>
        <v>135739.99999999994</v>
      </c>
      <c r="M80" s="11" t="s">
        <v>7</v>
      </c>
      <c r="N80" s="12"/>
      <c r="O80" s="97"/>
      <c r="P80" s="13"/>
      <c r="Q80" s="13"/>
      <c r="R80" s="13"/>
      <c r="T80" s="11"/>
      <c r="U80" s="12"/>
      <c r="V80" s="97"/>
      <c r="W80" s="13"/>
      <c r="X80" s="13"/>
      <c r="Y80" s="13"/>
      <c r="AA80" s="11"/>
      <c r="AB80" s="98"/>
      <c r="AC80" s="97"/>
      <c r="AD80" s="13"/>
      <c r="AE80" s="13"/>
      <c r="AF80" s="13"/>
      <c r="AH80" s="235"/>
      <c r="AI80" s="236"/>
      <c r="AJ80" s="90"/>
      <c r="AK80" s="91"/>
      <c r="AM80" s="235"/>
      <c r="AN80" s="236"/>
      <c r="AO80" s="90"/>
      <c r="AP80" s="91"/>
      <c r="AR80" s="106">
        <v>89365688.519999996</v>
      </c>
      <c r="AS80" s="565">
        <v>2.5000000000000001E-2</v>
      </c>
      <c r="AT80" s="565">
        <v>1.6899999999999998E-2</v>
      </c>
      <c r="AU80" s="106">
        <v>1522.5</v>
      </c>
      <c r="AV80" s="106">
        <v>-2187.5</v>
      </c>
      <c r="AW80" s="19"/>
    </row>
    <row r="81" spans="2:49" x14ac:dyDescent="0.25">
      <c r="B81" s="9" t="str">
        <f t="shared" si="15"/>
        <v>3 2025</v>
      </c>
      <c r="C81" s="10">
        <f t="shared" si="17"/>
        <v>45733</v>
      </c>
      <c r="D81" s="10">
        <f t="shared" si="18"/>
        <v>45734</v>
      </c>
      <c r="E81" s="11">
        <f t="shared" si="16"/>
        <v>1</v>
      </c>
      <c r="G81" s="11" t="s">
        <v>7</v>
      </c>
      <c r="H81" s="106">
        <f>H80+30220000</f>
        <v>54580000</v>
      </c>
      <c r="I81" s="14">
        <f t="shared" si="20"/>
        <v>2.2499999999999999E-2</v>
      </c>
      <c r="J81" s="13">
        <f t="shared" si="21"/>
        <v>3411.25</v>
      </c>
      <c r="K81" s="13">
        <f t="shared" si="22"/>
        <v>139151.24999999994</v>
      </c>
      <c r="M81" s="11" t="s">
        <v>7</v>
      </c>
      <c r="N81" s="12"/>
      <c r="O81" s="97"/>
      <c r="P81" s="13"/>
      <c r="Q81" s="13"/>
      <c r="R81" s="13"/>
      <c r="T81" s="11"/>
      <c r="U81" s="12"/>
      <c r="V81" s="97"/>
      <c r="W81" s="13"/>
      <c r="X81" s="13"/>
      <c r="Y81" s="13"/>
      <c r="AA81" s="11"/>
      <c r="AB81" s="98"/>
      <c r="AC81" s="97"/>
      <c r="AD81" s="13"/>
      <c r="AE81" s="13"/>
      <c r="AF81" s="13"/>
      <c r="AH81" s="235"/>
      <c r="AI81" s="236"/>
      <c r="AJ81" s="90"/>
      <c r="AK81" s="91"/>
      <c r="AM81" s="235"/>
      <c r="AN81" s="236"/>
      <c r="AO81" s="90"/>
      <c r="AP81" s="91"/>
      <c r="AR81" s="106">
        <v>89594289.930000007</v>
      </c>
      <c r="AS81" s="565">
        <v>2.5000000000000001E-2</v>
      </c>
      <c r="AT81" s="565">
        <v>2.4500000000000001E-2</v>
      </c>
      <c r="AU81" s="106">
        <v>12012.66</v>
      </c>
      <c r="AV81" s="106">
        <v>6413.91</v>
      </c>
      <c r="AW81" s="19"/>
    </row>
    <row r="82" spans="2:49" x14ac:dyDescent="0.25">
      <c r="B82" s="9" t="str">
        <f t="shared" si="15"/>
        <v>3 2025</v>
      </c>
      <c r="C82" s="10">
        <f t="shared" si="17"/>
        <v>45734</v>
      </c>
      <c r="D82" s="10">
        <f t="shared" si="18"/>
        <v>45735</v>
      </c>
      <c r="E82" s="11">
        <f t="shared" si="16"/>
        <v>1</v>
      </c>
      <c r="G82" s="11" t="s">
        <v>7</v>
      </c>
      <c r="H82" s="106">
        <f>H81-180000</f>
        <v>54400000</v>
      </c>
      <c r="I82" s="14">
        <f t="shared" si="20"/>
        <v>2.2499999999999999E-2</v>
      </c>
      <c r="J82" s="13">
        <f t="shared" si="21"/>
        <v>3400</v>
      </c>
      <c r="K82" s="13">
        <f t="shared" si="22"/>
        <v>142551.24999999994</v>
      </c>
      <c r="M82" s="11" t="s">
        <v>7</v>
      </c>
      <c r="N82" s="12"/>
      <c r="O82" s="97"/>
      <c r="P82" s="13"/>
      <c r="Q82" s="13"/>
      <c r="R82" s="13"/>
      <c r="T82" s="11"/>
      <c r="U82" s="12"/>
      <c r="V82" s="97"/>
      <c r="W82" s="13"/>
      <c r="X82" s="13"/>
      <c r="Y82" s="13"/>
      <c r="AA82" s="11"/>
      <c r="AB82" s="98"/>
      <c r="AC82" s="97"/>
      <c r="AD82" s="13"/>
      <c r="AE82" s="13"/>
      <c r="AF82" s="13"/>
      <c r="AH82" s="235"/>
      <c r="AI82" s="236"/>
      <c r="AJ82" s="90"/>
      <c r="AK82" s="91"/>
      <c r="AM82" s="235"/>
      <c r="AN82" s="236"/>
      <c r="AO82" s="90"/>
      <c r="AP82" s="91"/>
      <c r="AR82" s="106">
        <v>89416891.159999996</v>
      </c>
      <c r="AS82" s="565">
        <v>2.5000000000000001E-2</v>
      </c>
      <c r="AT82" s="565">
        <v>2.4500000000000001E-2</v>
      </c>
      <c r="AU82" s="106">
        <v>6001.23</v>
      </c>
      <c r="AV82" s="106">
        <v>413.73</v>
      </c>
      <c r="AW82" s="19"/>
    </row>
    <row r="83" spans="2:49" x14ac:dyDescent="0.25">
      <c r="B83" s="9" t="str">
        <f t="shared" si="15"/>
        <v>3 2025</v>
      </c>
      <c r="C83" s="10">
        <f t="shared" si="17"/>
        <v>45735</v>
      </c>
      <c r="D83" s="10">
        <f t="shared" si="18"/>
        <v>45736</v>
      </c>
      <c r="E83" s="11">
        <f t="shared" si="16"/>
        <v>1</v>
      </c>
      <c r="G83" s="11" t="s">
        <v>7</v>
      </c>
      <c r="H83" s="106">
        <f>H82-30000000</f>
        <v>24400000</v>
      </c>
      <c r="I83" s="14">
        <f t="shared" si="20"/>
        <v>2.2499999999999999E-2</v>
      </c>
      <c r="J83" s="13">
        <f t="shared" si="21"/>
        <v>1525</v>
      </c>
      <c r="K83" s="13">
        <f t="shared" si="22"/>
        <v>144076.24999999994</v>
      </c>
      <c r="M83" s="11" t="s">
        <v>7</v>
      </c>
      <c r="N83" s="12"/>
      <c r="O83" s="97"/>
      <c r="P83" s="13"/>
      <c r="Q83" s="13"/>
      <c r="R83" s="13"/>
      <c r="T83" s="11"/>
      <c r="U83" s="12"/>
      <c r="V83" s="97"/>
      <c r="W83" s="13"/>
      <c r="X83" s="13"/>
      <c r="Y83" s="13"/>
      <c r="AA83" s="11"/>
      <c r="AB83" s="98"/>
      <c r="AC83" s="97"/>
      <c r="AD83" s="13"/>
      <c r="AE83" s="13"/>
      <c r="AF83" s="13"/>
      <c r="AH83" s="235"/>
      <c r="AI83" s="236"/>
      <c r="AJ83" s="90"/>
      <c r="AK83" s="91"/>
      <c r="AM83" s="235"/>
      <c r="AN83" s="236"/>
      <c r="AO83" s="90"/>
      <c r="AP83" s="91"/>
      <c r="AR83" s="106">
        <v>89419492.390000001</v>
      </c>
      <c r="AS83" s="565">
        <v>2.5000000000000001E-2</v>
      </c>
      <c r="AT83" s="565">
        <v>2.6200000000000001E-2</v>
      </c>
      <c r="AU83" s="106">
        <v>4126.22</v>
      </c>
      <c r="AV83" s="106">
        <v>413.72</v>
      </c>
      <c r="AW83" s="19"/>
    </row>
    <row r="84" spans="2:49" x14ac:dyDescent="0.25">
      <c r="B84" s="9" t="str">
        <f t="shared" si="15"/>
        <v>3 2025</v>
      </c>
      <c r="C84" s="10">
        <f t="shared" si="17"/>
        <v>45736</v>
      </c>
      <c r="D84" s="10">
        <f t="shared" si="18"/>
        <v>45737</v>
      </c>
      <c r="E84" s="11">
        <f t="shared" si="16"/>
        <v>1</v>
      </c>
      <c r="G84" s="11" t="s">
        <v>7</v>
      </c>
      <c r="H84" s="12">
        <f t="shared" si="19"/>
        <v>24400000</v>
      </c>
      <c r="I84" s="14">
        <f t="shared" si="20"/>
        <v>2.2499999999999999E-2</v>
      </c>
      <c r="J84" s="13">
        <f t="shared" si="21"/>
        <v>1525</v>
      </c>
      <c r="K84" s="13">
        <f t="shared" si="22"/>
        <v>145601.24999999994</v>
      </c>
      <c r="M84" s="11" t="s">
        <v>7</v>
      </c>
      <c r="N84" s="12"/>
      <c r="O84" s="97"/>
      <c r="P84" s="13"/>
      <c r="Q84" s="13"/>
      <c r="R84" s="13"/>
      <c r="T84" s="11"/>
      <c r="U84" s="12"/>
      <c r="V84" s="97"/>
      <c r="W84" s="13"/>
      <c r="X84" s="13"/>
      <c r="Y84" s="13"/>
      <c r="AA84" s="11"/>
      <c r="AB84" s="98"/>
      <c r="AC84" s="97"/>
      <c r="AD84" s="13"/>
      <c r="AE84" s="13"/>
      <c r="AF84" s="13"/>
      <c r="AH84" s="235"/>
      <c r="AI84" s="236"/>
      <c r="AJ84" s="90"/>
      <c r="AK84" s="91"/>
      <c r="AM84" s="235"/>
      <c r="AN84" s="236"/>
      <c r="AO84" s="90"/>
      <c r="AP84" s="91"/>
      <c r="AR84" s="106">
        <v>89424386.400000006</v>
      </c>
      <c r="AS84" s="565">
        <v>2.5000000000000001E-2</v>
      </c>
      <c r="AT84" s="565">
        <v>2.6200000000000001E-2</v>
      </c>
      <c r="AU84" s="106">
        <v>6419.01</v>
      </c>
      <c r="AV84" s="106">
        <v>831.51</v>
      </c>
      <c r="AW84" s="19"/>
    </row>
    <row r="85" spans="2:49" x14ac:dyDescent="0.25">
      <c r="B85" s="9" t="str">
        <f t="shared" si="15"/>
        <v>3 2025</v>
      </c>
      <c r="C85" s="10">
        <f t="shared" si="17"/>
        <v>45737</v>
      </c>
      <c r="D85" s="10">
        <f t="shared" si="18"/>
        <v>45738</v>
      </c>
      <c r="E85" s="11">
        <f t="shared" si="16"/>
        <v>1</v>
      </c>
      <c r="G85" s="11" t="s">
        <v>7</v>
      </c>
      <c r="H85" s="12">
        <f t="shared" si="19"/>
        <v>24400000</v>
      </c>
      <c r="I85" s="14">
        <f t="shared" si="20"/>
        <v>2.2499999999999999E-2</v>
      </c>
      <c r="J85" s="13">
        <f t="shared" si="21"/>
        <v>1525</v>
      </c>
      <c r="K85" s="13">
        <f t="shared" si="22"/>
        <v>147126.24999999994</v>
      </c>
      <c r="M85" s="11" t="s">
        <v>7</v>
      </c>
      <c r="N85" s="12"/>
      <c r="O85" s="97"/>
      <c r="P85" s="13"/>
      <c r="Q85" s="13"/>
      <c r="R85" s="13"/>
      <c r="T85" s="11"/>
      <c r="U85" s="12"/>
      <c r="V85" s="97"/>
      <c r="W85" s="13"/>
      <c r="X85" s="13"/>
      <c r="Y85" s="13"/>
      <c r="AA85" s="11"/>
      <c r="AB85" s="98"/>
      <c r="AC85" s="97"/>
      <c r="AD85" s="13"/>
      <c r="AE85" s="13"/>
      <c r="AF85" s="13"/>
      <c r="AH85" s="235"/>
      <c r="AI85" s="236"/>
      <c r="AJ85" s="90"/>
      <c r="AK85" s="91"/>
      <c r="AM85" s="235"/>
      <c r="AN85" s="236"/>
      <c r="AO85" s="90"/>
      <c r="AP85" s="91"/>
      <c r="AR85" s="106">
        <v>89429216.019999996</v>
      </c>
      <c r="AS85" s="565">
        <v>2.5000000000000001E-2</v>
      </c>
      <c r="AT85" s="565">
        <v>2.6200000000000001E-2</v>
      </c>
      <c r="AU85" s="106">
        <v>6354.62</v>
      </c>
      <c r="AV85" s="106">
        <v>767.12</v>
      </c>
      <c r="AW85" s="19"/>
    </row>
    <row r="86" spans="2:49" x14ac:dyDescent="0.25">
      <c r="B86" s="9" t="str">
        <f t="shared" si="15"/>
        <v>3 2025</v>
      </c>
      <c r="C86" s="10">
        <f t="shared" si="17"/>
        <v>45738</v>
      </c>
      <c r="D86" s="10">
        <f t="shared" si="18"/>
        <v>45739</v>
      </c>
      <c r="E86" s="11">
        <f t="shared" si="16"/>
        <v>1</v>
      </c>
      <c r="G86" s="11" t="s">
        <v>7</v>
      </c>
      <c r="H86" s="12">
        <f t="shared" si="19"/>
        <v>24400000</v>
      </c>
      <c r="I86" s="14">
        <f t="shared" si="20"/>
        <v>2.2499999999999999E-2</v>
      </c>
      <c r="J86" s="13">
        <f t="shared" si="21"/>
        <v>1525</v>
      </c>
      <c r="K86" s="13">
        <f t="shared" si="22"/>
        <v>148651.24999999994</v>
      </c>
      <c r="M86" s="11" t="s">
        <v>7</v>
      </c>
      <c r="N86" s="12"/>
      <c r="O86" s="97"/>
      <c r="P86" s="13"/>
      <c r="Q86" s="13"/>
      <c r="R86" s="13"/>
      <c r="T86" s="11"/>
      <c r="U86" s="12"/>
      <c r="V86" s="97"/>
      <c r="W86" s="13"/>
      <c r="X86" s="13"/>
      <c r="Y86" s="13"/>
      <c r="AA86" s="11"/>
      <c r="AB86" s="98"/>
      <c r="AC86" s="97"/>
      <c r="AD86" s="13"/>
      <c r="AE86" s="13"/>
      <c r="AF86" s="13"/>
      <c r="AH86" s="235"/>
      <c r="AI86" s="236"/>
      <c r="AJ86" s="90"/>
      <c r="AK86" s="91"/>
      <c r="AM86" s="235"/>
      <c r="AN86" s="236"/>
      <c r="AO86" s="90"/>
      <c r="AP86" s="91"/>
      <c r="AR86" s="106">
        <v>89429216.019999996</v>
      </c>
      <c r="AS86" s="565">
        <v>2.5000000000000001E-2</v>
      </c>
      <c r="AT86" s="565">
        <v>2.6200000000000001E-2</v>
      </c>
      <c r="AU86" s="106">
        <v>1525</v>
      </c>
      <c r="AV86" s="106">
        <v>-4062.5</v>
      </c>
      <c r="AW86" s="19"/>
    </row>
    <row r="87" spans="2:49" x14ac:dyDescent="0.25">
      <c r="B87" s="9" t="str">
        <f t="shared" si="15"/>
        <v>3 2025</v>
      </c>
      <c r="C87" s="10">
        <f t="shared" si="17"/>
        <v>45739</v>
      </c>
      <c r="D87" s="10">
        <f t="shared" si="18"/>
        <v>45740</v>
      </c>
      <c r="E87" s="11">
        <f t="shared" si="16"/>
        <v>1</v>
      </c>
      <c r="G87" s="11" t="s">
        <v>7</v>
      </c>
      <c r="H87" s="12">
        <f t="shared" si="19"/>
        <v>24400000</v>
      </c>
      <c r="I87" s="14">
        <f t="shared" si="20"/>
        <v>2.2499999999999999E-2</v>
      </c>
      <c r="J87" s="13">
        <f t="shared" si="21"/>
        <v>1525</v>
      </c>
      <c r="K87" s="13">
        <f t="shared" si="22"/>
        <v>150176.24999999994</v>
      </c>
      <c r="M87" s="11" t="s">
        <v>7</v>
      </c>
      <c r="N87" s="12"/>
      <c r="O87" s="97"/>
      <c r="P87" s="13"/>
      <c r="Q87" s="13"/>
      <c r="R87" s="13"/>
      <c r="T87" s="11"/>
      <c r="U87" s="12"/>
      <c r="V87" s="97"/>
      <c r="W87" s="13"/>
      <c r="X87" s="13"/>
      <c r="Y87" s="13"/>
      <c r="AA87" s="11"/>
      <c r="AB87" s="98"/>
      <c r="AC87" s="97"/>
      <c r="AD87" s="13"/>
      <c r="AE87" s="13"/>
      <c r="AF87" s="13"/>
      <c r="AH87" s="235"/>
      <c r="AI87" s="236"/>
      <c r="AJ87" s="90"/>
      <c r="AK87" s="91"/>
      <c r="AM87" s="235"/>
      <c r="AN87" s="236"/>
      <c r="AO87" s="90"/>
      <c r="AP87" s="91"/>
      <c r="AR87" s="106">
        <v>89429216.019999996</v>
      </c>
      <c r="AS87" s="565">
        <v>2.5000000000000001E-2</v>
      </c>
      <c r="AT87" s="565">
        <v>2.6200000000000001E-2</v>
      </c>
      <c r="AU87" s="106">
        <v>1525</v>
      </c>
      <c r="AV87" s="106">
        <v>-4062.5</v>
      </c>
      <c r="AW87" s="19"/>
    </row>
    <row r="88" spans="2:49" x14ac:dyDescent="0.25">
      <c r="B88" s="9" t="str">
        <f t="shared" si="15"/>
        <v>3 2025</v>
      </c>
      <c r="C88" s="10">
        <f t="shared" si="17"/>
        <v>45740</v>
      </c>
      <c r="D88" s="10">
        <f t="shared" si="18"/>
        <v>45741</v>
      </c>
      <c r="E88" s="11">
        <f t="shared" si="16"/>
        <v>1</v>
      </c>
      <c r="G88" s="11" t="s">
        <v>7</v>
      </c>
      <c r="H88" s="12">
        <f t="shared" si="19"/>
        <v>24400000</v>
      </c>
      <c r="I88" s="14">
        <f t="shared" si="20"/>
        <v>2.2499999999999999E-2</v>
      </c>
      <c r="J88" s="13">
        <f t="shared" si="21"/>
        <v>1525</v>
      </c>
      <c r="K88" s="13">
        <f t="shared" si="22"/>
        <v>151701.24999999994</v>
      </c>
      <c r="M88" s="11" t="s">
        <v>7</v>
      </c>
      <c r="N88" s="12"/>
      <c r="O88" s="97"/>
      <c r="P88" s="13"/>
      <c r="Q88" s="13"/>
      <c r="R88" s="13"/>
      <c r="T88" s="11"/>
      <c r="U88" s="12"/>
      <c r="V88" s="97"/>
      <c r="W88" s="13"/>
      <c r="X88" s="13"/>
      <c r="Y88" s="13"/>
      <c r="AA88" s="11"/>
      <c r="AB88" s="98"/>
      <c r="AC88" s="97"/>
      <c r="AD88" s="13"/>
      <c r="AE88" s="13"/>
      <c r="AF88" s="13"/>
      <c r="AH88" s="235"/>
      <c r="AI88" s="236"/>
      <c r="AJ88" s="90"/>
      <c r="AK88" s="91"/>
      <c r="AM88" s="235"/>
      <c r="AN88" s="236"/>
      <c r="AO88" s="90"/>
      <c r="AP88" s="91"/>
      <c r="AR88" s="106">
        <v>89443833.670000002</v>
      </c>
      <c r="AS88" s="565">
        <v>2.5000000000000001E-2</v>
      </c>
      <c r="AT88" s="565">
        <v>2.6200000000000001E-2</v>
      </c>
      <c r="AU88" s="106">
        <v>16142.65</v>
      </c>
      <c r="AV88" s="106">
        <v>10555.15</v>
      </c>
      <c r="AW88" s="19"/>
    </row>
    <row r="89" spans="2:49" x14ac:dyDescent="0.25">
      <c r="B89" s="9" t="str">
        <f t="shared" si="15"/>
        <v>3 2025</v>
      </c>
      <c r="C89" s="10">
        <f t="shared" si="17"/>
        <v>45741</v>
      </c>
      <c r="D89" s="10">
        <f t="shared" si="18"/>
        <v>45742</v>
      </c>
      <c r="E89" s="11">
        <f t="shared" si="16"/>
        <v>1</v>
      </c>
      <c r="G89" s="11" t="s">
        <v>7</v>
      </c>
      <c r="H89" s="106">
        <f>H88-80000</f>
        <v>24320000</v>
      </c>
      <c r="I89" s="14">
        <f t="shared" si="20"/>
        <v>2.2499999999999999E-2</v>
      </c>
      <c r="J89" s="13">
        <f t="shared" si="21"/>
        <v>1520</v>
      </c>
      <c r="K89" s="13">
        <f t="shared" si="22"/>
        <v>153221.24999999994</v>
      </c>
      <c r="M89" s="11" t="s">
        <v>7</v>
      </c>
      <c r="N89" s="12"/>
      <c r="O89" s="97"/>
      <c r="P89" s="13"/>
      <c r="Q89" s="13"/>
      <c r="R89" s="13"/>
      <c r="T89" s="11"/>
      <c r="U89" s="12"/>
      <c r="V89" s="97"/>
      <c r="W89" s="13"/>
      <c r="X89" s="13"/>
      <c r="Y89" s="13"/>
      <c r="AA89" s="11"/>
      <c r="AB89" s="98"/>
      <c r="AC89" s="97"/>
      <c r="AD89" s="13"/>
      <c r="AE89" s="13"/>
      <c r="AF89" s="13"/>
      <c r="AH89" s="235"/>
      <c r="AI89" s="236"/>
      <c r="AJ89" s="90"/>
      <c r="AK89" s="91"/>
      <c r="AM89" s="235"/>
      <c r="AN89" s="236"/>
      <c r="AO89" s="90"/>
      <c r="AP89" s="91"/>
      <c r="AR89" s="106">
        <v>89368663.290000007</v>
      </c>
      <c r="AS89" s="565">
        <v>2.5000000000000001E-2</v>
      </c>
      <c r="AT89" s="565">
        <v>2.6200000000000001E-2</v>
      </c>
      <c r="AU89" s="106">
        <v>6349.62</v>
      </c>
      <c r="AV89" s="106">
        <v>767.12</v>
      </c>
      <c r="AW89" s="19"/>
    </row>
    <row r="90" spans="2:49" x14ac:dyDescent="0.25">
      <c r="B90" s="9" t="str">
        <f t="shared" si="15"/>
        <v>3 2025</v>
      </c>
      <c r="C90" s="10">
        <f t="shared" si="17"/>
        <v>45742</v>
      </c>
      <c r="D90" s="10">
        <f t="shared" si="18"/>
        <v>45743</v>
      </c>
      <c r="E90" s="11">
        <f t="shared" si="16"/>
        <v>1</v>
      </c>
      <c r="G90" s="11" t="s">
        <v>7</v>
      </c>
      <c r="H90" s="135">
        <f>H89-30000</f>
        <v>24290000</v>
      </c>
      <c r="I90" s="14">
        <f t="shared" si="20"/>
        <v>2.2499999999999999E-2</v>
      </c>
      <c r="J90" s="13">
        <f t="shared" si="21"/>
        <v>1518.125</v>
      </c>
      <c r="K90" s="13">
        <f t="shared" si="22"/>
        <v>154739.37499999994</v>
      </c>
      <c r="M90" s="11" t="s">
        <v>7</v>
      </c>
      <c r="N90" s="12"/>
      <c r="O90" s="97"/>
      <c r="P90" s="13"/>
      <c r="Q90" s="13"/>
      <c r="R90" s="13"/>
      <c r="T90" s="11"/>
      <c r="U90" s="12"/>
      <c r="V90" s="97"/>
      <c r="W90" s="13"/>
      <c r="X90" s="13"/>
      <c r="Y90" s="13"/>
      <c r="AA90" s="11"/>
      <c r="AB90" s="98"/>
      <c r="AC90" s="97"/>
      <c r="AD90" s="13"/>
      <c r="AE90" s="13"/>
      <c r="AF90" s="13"/>
      <c r="AH90" s="235"/>
      <c r="AI90" s="236"/>
      <c r="AJ90" s="90"/>
      <c r="AK90" s="91"/>
      <c r="AM90" s="235"/>
      <c r="AN90" s="236"/>
      <c r="AO90" s="90"/>
      <c r="AP90" s="91"/>
      <c r="AR90" s="106">
        <v>89343557.299999997</v>
      </c>
      <c r="AS90" s="565">
        <v>2.5000000000000001E-2</v>
      </c>
      <c r="AT90" s="565">
        <v>2.6200000000000001E-2</v>
      </c>
      <c r="AU90" s="106">
        <v>6412.14</v>
      </c>
      <c r="AV90" s="106">
        <v>831.51</v>
      </c>
      <c r="AW90" s="19"/>
    </row>
    <row r="91" spans="2:49" x14ac:dyDescent="0.25">
      <c r="B91" s="9" t="str">
        <f t="shared" si="15"/>
        <v>3 2025</v>
      </c>
      <c r="C91" s="10">
        <f t="shared" si="17"/>
        <v>45743</v>
      </c>
      <c r="D91" s="10">
        <f t="shared" si="18"/>
        <v>45744</v>
      </c>
      <c r="E91" s="11">
        <f t="shared" si="16"/>
        <v>1</v>
      </c>
      <c r="G91" s="11" t="s">
        <v>7</v>
      </c>
      <c r="H91" s="106">
        <f>H90-2470000</f>
        <v>21820000</v>
      </c>
      <c r="I91" s="14">
        <f t="shared" si="20"/>
        <v>2.2499999999999999E-2</v>
      </c>
      <c r="J91" s="13">
        <f t="shared" si="21"/>
        <v>1363.75</v>
      </c>
      <c r="K91" s="13">
        <f t="shared" si="22"/>
        <v>156103.12499999994</v>
      </c>
      <c r="M91" s="11" t="s">
        <v>7</v>
      </c>
      <c r="N91" s="12"/>
      <c r="O91" s="97"/>
      <c r="P91" s="13"/>
      <c r="Q91" s="13"/>
      <c r="R91" s="13"/>
      <c r="T91" s="11"/>
      <c r="U91" s="12"/>
      <c r="V91" s="97"/>
      <c r="W91" s="13"/>
      <c r="X91" s="13"/>
      <c r="Y91" s="13"/>
      <c r="AA91" s="11"/>
      <c r="AB91" s="98"/>
      <c r="AC91" s="97"/>
      <c r="AD91" s="13"/>
      <c r="AE91" s="13"/>
      <c r="AF91" s="13"/>
      <c r="AH91" s="235"/>
      <c r="AI91" s="236"/>
      <c r="AJ91" s="90"/>
      <c r="AK91" s="91"/>
      <c r="AM91" s="235"/>
      <c r="AN91" s="236"/>
      <c r="AO91" s="90"/>
      <c r="AP91" s="91"/>
      <c r="AR91" s="106">
        <v>86878386.920000002</v>
      </c>
      <c r="AS91" s="565">
        <v>2.5000000000000001E-2</v>
      </c>
      <c r="AT91" s="565">
        <v>2.63E-2</v>
      </c>
      <c r="AU91" s="106">
        <v>6193.37</v>
      </c>
      <c r="AV91" s="106">
        <v>767.12</v>
      </c>
      <c r="AW91" s="19"/>
    </row>
    <row r="92" spans="2:49" x14ac:dyDescent="0.25">
      <c r="B92" s="9" t="str">
        <f t="shared" si="15"/>
        <v>3 2025</v>
      </c>
      <c r="C92" s="10">
        <f t="shared" si="17"/>
        <v>45744</v>
      </c>
      <c r="D92" s="10">
        <f t="shared" si="18"/>
        <v>45745</v>
      </c>
      <c r="E92" s="11">
        <f t="shared" si="16"/>
        <v>1</v>
      </c>
      <c r="G92" s="11" t="s">
        <v>7</v>
      </c>
      <c r="H92" s="12">
        <f t="shared" si="19"/>
        <v>21820000</v>
      </c>
      <c r="I92" s="14">
        <f t="shared" si="20"/>
        <v>2.2499999999999999E-2</v>
      </c>
      <c r="J92" s="13">
        <f t="shared" si="21"/>
        <v>1363.75</v>
      </c>
      <c r="K92" s="13">
        <f t="shared" si="22"/>
        <v>157466.87499999994</v>
      </c>
      <c r="M92" s="11" t="s">
        <v>7</v>
      </c>
      <c r="N92" s="12"/>
      <c r="O92" s="97"/>
      <c r="P92" s="13"/>
      <c r="Q92" s="13"/>
      <c r="R92" s="13"/>
      <c r="T92" s="11"/>
      <c r="U92" s="12"/>
      <c r="V92" s="97"/>
      <c r="W92" s="13"/>
      <c r="X92" s="13"/>
      <c r="Y92" s="13"/>
      <c r="AA92" s="11"/>
      <c r="AB92" s="98"/>
      <c r="AC92" s="97"/>
      <c r="AD92" s="13"/>
      <c r="AE92" s="13"/>
      <c r="AF92" s="13"/>
      <c r="AH92" s="235"/>
      <c r="AI92" s="236"/>
      <c r="AJ92" s="90"/>
      <c r="AK92" s="91"/>
      <c r="AM92" s="235"/>
      <c r="AN92" s="236"/>
      <c r="AO92" s="90"/>
      <c r="AP92" s="91"/>
      <c r="AR92" s="106">
        <v>86883280.939999998</v>
      </c>
      <c r="AS92" s="565">
        <v>2.5000000000000001E-2</v>
      </c>
      <c r="AT92" s="565">
        <v>2.63E-2</v>
      </c>
      <c r="AU92" s="106">
        <v>6257.76</v>
      </c>
      <c r="AV92" s="106">
        <v>831.51</v>
      </c>
      <c r="AW92" s="19"/>
    </row>
    <row r="93" spans="2:49" x14ac:dyDescent="0.25">
      <c r="B93" s="9" t="str">
        <f t="shared" si="15"/>
        <v>3 2025</v>
      </c>
      <c r="C93" s="10">
        <f t="shared" si="17"/>
        <v>45745</v>
      </c>
      <c r="D93" s="10">
        <f t="shared" si="18"/>
        <v>45746</v>
      </c>
      <c r="E93" s="11">
        <f t="shared" si="16"/>
        <v>1</v>
      </c>
      <c r="G93" s="11" t="s">
        <v>7</v>
      </c>
      <c r="H93" s="12">
        <f t="shared" si="19"/>
        <v>21820000</v>
      </c>
      <c r="I93" s="14">
        <f t="shared" si="20"/>
        <v>2.2499999999999999E-2</v>
      </c>
      <c r="J93" s="13">
        <f t="shared" si="21"/>
        <v>1363.75</v>
      </c>
      <c r="K93" s="13">
        <f t="shared" si="22"/>
        <v>158830.62499999994</v>
      </c>
      <c r="M93" s="11" t="s">
        <v>7</v>
      </c>
      <c r="N93" s="12"/>
      <c r="O93" s="97"/>
      <c r="P93" s="13"/>
      <c r="Q93" s="13"/>
      <c r="R93" s="13"/>
      <c r="T93" s="11"/>
      <c r="U93" s="12"/>
      <c r="V93" s="97"/>
      <c r="W93" s="13"/>
      <c r="X93" s="13"/>
      <c r="Y93" s="13"/>
      <c r="AA93" s="11"/>
      <c r="AB93" s="98"/>
      <c r="AC93" s="97"/>
      <c r="AD93" s="13"/>
      <c r="AE93" s="13"/>
      <c r="AF93" s="13"/>
      <c r="AH93" s="235"/>
      <c r="AI93" s="236"/>
      <c r="AJ93" s="90"/>
      <c r="AK93" s="91"/>
      <c r="AM93" s="235"/>
      <c r="AN93" s="236"/>
      <c r="AO93" s="90"/>
      <c r="AP93" s="91"/>
      <c r="AR93" s="106">
        <v>86883280.939999998</v>
      </c>
      <c r="AS93" s="565">
        <v>2.5000000000000001E-2</v>
      </c>
      <c r="AT93" s="565">
        <v>2.63E-2</v>
      </c>
      <c r="AU93" s="106">
        <v>1363.75</v>
      </c>
      <c r="AV93" s="106">
        <v>-4062.5</v>
      </c>
      <c r="AW93" s="19"/>
    </row>
    <row r="94" spans="2:49" x14ac:dyDescent="0.25">
      <c r="B94" s="9" t="str">
        <f t="shared" si="15"/>
        <v>3 2025</v>
      </c>
      <c r="C94" s="142">
        <f t="shared" si="17"/>
        <v>45746</v>
      </c>
      <c r="D94" s="142">
        <f t="shared" si="18"/>
        <v>45747</v>
      </c>
      <c r="E94" s="143">
        <f t="shared" si="16"/>
        <v>1</v>
      </c>
      <c r="F94" s="17"/>
      <c r="G94" s="143" t="s">
        <v>7</v>
      </c>
      <c r="H94" s="144">
        <f t="shared" si="19"/>
        <v>21820000</v>
      </c>
      <c r="I94" s="145">
        <f t="shared" si="20"/>
        <v>2.2499999999999999E-2</v>
      </c>
      <c r="J94" s="146">
        <f t="shared" si="21"/>
        <v>1363.75</v>
      </c>
      <c r="K94" s="146">
        <f t="shared" si="22"/>
        <v>160194.37499999994</v>
      </c>
      <c r="L94" s="17"/>
      <c r="M94" s="143" t="s">
        <v>7</v>
      </c>
      <c r="N94" s="144"/>
      <c r="O94" s="145"/>
      <c r="P94" s="146"/>
      <c r="Q94" s="146"/>
      <c r="R94" s="146"/>
      <c r="S94" s="17"/>
      <c r="T94" s="11"/>
      <c r="U94" s="12"/>
      <c r="V94" s="97"/>
      <c r="W94" s="13"/>
      <c r="X94" s="13"/>
      <c r="Y94" s="13"/>
      <c r="Z94" s="17"/>
      <c r="AA94" s="143"/>
      <c r="AB94" s="144"/>
      <c r="AC94" s="145"/>
      <c r="AD94" s="146"/>
      <c r="AE94" s="146"/>
      <c r="AF94" s="146"/>
      <c r="AG94" s="141"/>
      <c r="AH94" s="234"/>
      <c r="AI94" s="237"/>
      <c r="AJ94" s="90"/>
      <c r="AK94" s="91"/>
      <c r="AM94" s="234"/>
      <c r="AN94" s="237"/>
      <c r="AO94" s="90"/>
      <c r="AP94" s="91"/>
      <c r="AR94" s="106">
        <v>86883280.939999998</v>
      </c>
      <c r="AS94" s="567">
        <v>2.5000000000000001E-2</v>
      </c>
      <c r="AT94" s="565">
        <v>2.63E-2</v>
      </c>
      <c r="AU94" s="106">
        <v>1363.75</v>
      </c>
      <c r="AV94" s="106">
        <v>-4062.5</v>
      </c>
      <c r="AW94" s="19"/>
    </row>
    <row r="95" spans="2:49" x14ac:dyDescent="0.25">
      <c r="B95" s="9" t="str">
        <f t="shared" si="15"/>
        <v>4 2025</v>
      </c>
      <c r="C95" s="10">
        <f t="shared" si="17"/>
        <v>45747</v>
      </c>
      <c r="D95" s="10">
        <f t="shared" si="18"/>
        <v>45748</v>
      </c>
      <c r="E95" s="11">
        <f t="shared" si="16"/>
        <v>1</v>
      </c>
      <c r="G95" s="11" t="s">
        <v>7</v>
      </c>
      <c r="H95" s="12">
        <f t="shared" si="19"/>
        <v>21820000</v>
      </c>
      <c r="I95" s="14">
        <f t="shared" si="20"/>
        <v>2.2499999999999999E-2</v>
      </c>
      <c r="J95" s="13">
        <f t="shared" si="21"/>
        <v>1363.75</v>
      </c>
      <c r="K95" s="13">
        <f t="shared" si="22"/>
        <v>161558.12499999994</v>
      </c>
      <c r="M95" s="11" t="s">
        <v>7</v>
      </c>
      <c r="N95" s="12"/>
      <c r="O95" s="97"/>
      <c r="P95" s="13"/>
      <c r="Q95" s="13"/>
      <c r="R95" s="13"/>
      <c r="T95" s="11"/>
      <c r="U95" s="12"/>
      <c r="V95" s="97"/>
      <c r="W95" s="13"/>
      <c r="X95" s="13"/>
      <c r="Y95" s="13"/>
      <c r="AA95" s="11"/>
      <c r="AB95" s="98"/>
      <c r="AC95" s="97"/>
      <c r="AD95" s="13"/>
      <c r="AE95" s="13"/>
      <c r="AF95" s="13"/>
      <c r="AH95" s="234"/>
      <c r="AI95" s="237"/>
      <c r="AJ95" s="90"/>
      <c r="AK95" s="91"/>
      <c r="AM95" s="234"/>
      <c r="AN95" s="237"/>
      <c r="AO95" s="90"/>
      <c r="AP95" s="91"/>
      <c r="AR95" s="106">
        <v>86897898.590000004</v>
      </c>
      <c r="AS95" s="565">
        <v>2.5000000000000001E-2</v>
      </c>
      <c r="AT95" s="565">
        <v>2.63E-2</v>
      </c>
      <c r="AU95" s="106">
        <v>15981.4</v>
      </c>
      <c r="AV95" s="106">
        <v>10555.15</v>
      </c>
      <c r="AW95" s="19"/>
    </row>
    <row r="96" spans="2:49" x14ac:dyDescent="0.25">
      <c r="B96" s="9" t="str">
        <f t="shared" si="15"/>
        <v>4 2025</v>
      </c>
      <c r="C96" s="10">
        <f t="shared" si="17"/>
        <v>45748</v>
      </c>
      <c r="D96" s="10">
        <f t="shared" si="18"/>
        <v>45749</v>
      </c>
      <c r="E96" s="11">
        <f t="shared" si="16"/>
        <v>1</v>
      </c>
      <c r="G96" s="11" t="s">
        <v>7</v>
      </c>
      <c r="H96" s="106">
        <f>H95-2760000</f>
        <v>19060000</v>
      </c>
      <c r="I96" s="14">
        <f t="shared" si="20"/>
        <v>2.2499999999999999E-2</v>
      </c>
      <c r="J96" s="13">
        <f t="shared" si="21"/>
        <v>1191.25</v>
      </c>
      <c r="K96" s="13">
        <f t="shared" si="22"/>
        <v>162749.37499999994</v>
      </c>
      <c r="M96" s="11" t="s">
        <v>7</v>
      </c>
      <c r="N96" s="12"/>
      <c r="O96" s="97"/>
      <c r="P96" s="13"/>
      <c r="Q96" s="13"/>
      <c r="R96" s="13"/>
      <c r="T96" s="11"/>
      <c r="U96" s="12"/>
      <c r="V96" s="97"/>
      <c r="W96" s="13"/>
      <c r="X96" s="13"/>
      <c r="Y96" s="13"/>
      <c r="AA96" s="11"/>
      <c r="AB96" s="98"/>
      <c r="AC96" s="97"/>
      <c r="AD96" s="13"/>
      <c r="AE96" s="13"/>
      <c r="AF96" s="13"/>
      <c r="AH96" s="235"/>
      <c r="AI96" s="236"/>
      <c r="AJ96" s="90"/>
      <c r="AK96" s="91"/>
      <c r="AM96" s="235"/>
      <c r="AN96" s="236"/>
      <c r="AO96" s="90"/>
      <c r="AP96" s="91"/>
      <c r="AR96" s="106">
        <v>84142728.200000003</v>
      </c>
      <c r="AS96" s="565">
        <v>2.5000000000000001E-2</v>
      </c>
      <c r="AT96" s="565">
        <v>2.64E-2</v>
      </c>
      <c r="AU96" s="106">
        <v>6020.87</v>
      </c>
      <c r="AV96" s="106">
        <v>767.12</v>
      </c>
      <c r="AW96" s="19"/>
    </row>
    <row r="97" spans="2:49" x14ac:dyDescent="0.25">
      <c r="B97" s="9" t="str">
        <f t="shared" si="15"/>
        <v>4 2025</v>
      </c>
      <c r="C97" s="10">
        <f t="shared" si="17"/>
        <v>45749</v>
      </c>
      <c r="D97" s="10">
        <f t="shared" si="18"/>
        <v>45750</v>
      </c>
      <c r="E97" s="11">
        <f t="shared" si="16"/>
        <v>1</v>
      </c>
      <c r="G97" s="11" t="s">
        <v>7</v>
      </c>
      <c r="H97" s="106">
        <f>H96-260000</f>
        <v>18800000</v>
      </c>
      <c r="I97" s="14">
        <f t="shared" si="20"/>
        <v>2.2499999999999999E-2</v>
      </c>
      <c r="J97" s="13">
        <f t="shared" si="21"/>
        <v>1175</v>
      </c>
      <c r="K97" s="13">
        <f t="shared" si="22"/>
        <v>163924.37499999994</v>
      </c>
      <c r="M97" s="11" t="s">
        <v>7</v>
      </c>
      <c r="N97" s="12"/>
      <c r="O97" s="97"/>
      <c r="P97" s="13"/>
      <c r="Q97" s="13"/>
      <c r="R97" s="13"/>
      <c r="T97" s="11"/>
      <c r="U97" s="12"/>
      <c r="V97" s="97"/>
      <c r="W97" s="13"/>
      <c r="X97" s="13"/>
      <c r="Y97" s="13"/>
      <c r="AA97" s="11"/>
      <c r="AB97" s="98"/>
      <c r="AC97" s="97"/>
      <c r="AD97" s="13"/>
      <c r="AE97" s="13"/>
      <c r="AF97" s="13"/>
      <c r="AH97" s="235"/>
      <c r="AI97" s="236"/>
      <c r="AJ97" s="90"/>
      <c r="AK97" s="91"/>
      <c r="AM97" s="235"/>
      <c r="AN97" s="236"/>
      <c r="AO97" s="90"/>
      <c r="AP97" s="91"/>
      <c r="AR97" s="106">
        <v>83887622.219999999</v>
      </c>
      <c r="AS97" s="565">
        <v>2.5000000000000001E-2</v>
      </c>
      <c r="AT97" s="565">
        <v>2.64E-2</v>
      </c>
      <c r="AU97" s="106">
        <v>6069.01</v>
      </c>
      <c r="AV97" s="106">
        <v>831.51</v>
      </c>
      <c r="AW97" s="19"/>
    </row>
    <row r="98" spans="2:49" x14ac:dyDescent="0.25">
      <c r="B98" s="9" t="str">
        <f t="shared" si="15"/>
        <v>4 2025</v>
      </c>
      <c r="C98" s="10">
        <f t="shared" si="17"/>
        <v>45750</v>
      </c>
      <c r="D98" s="10">
        <f t="shared" si="18"/>
        <v>45751</v>
      </c>
      <c r="E98" s="11">
        <f t="shared" si="16"/>
        <v>1</v>
      </c>
      <c r="G98" s="11" t="s">
        <v>7</v>
      </c>
      <c r="H98" s="106">
        <f>H97-260000</f>
        <v>18540000</v>
      </c>
      <c r="I98" s="14">
        <f t="shared" si="20"/>
        <v>2.2499999999999999E-2</v>
      </c>
      <c r="J98" s="13">
        <f t="shared" si="21"/>
        <v>1158.75</v>
      </c>
      <c r="K98" s="13">
        <f t="shared" si="22"/>
        <v>165083.12499999994</v>
      </c>
      <c r="M98" s="11" t="s">
        <v>7</v>
      </c>
      <c r="N98" s="12"/>
      <c r="O98" s="97"/>
      <c r="P98" s="13"/>
      <c r="Q98" s="13"/>
      <c r="R98" s="13"/>
      <c r="T98" s="11"/>
      <c r="U98" s="12"/>
      <c r="V98" s="97"/>
      <c r="W98" s="13"/>
      <c r="X98" s="13"/>
      <c r="Y98" s="13"/>
      <c r="AA98" s="11"/>
      <c r="AB98" s="98"/>
      <c r="AC98" s="97"/>
      <c r="AD98" s="13"/>
      <c r="AE98" s="13"/>
      <c r="AF98" s="13"/>
      <c r="AH98" s="235"/>
      <c r="AI98" s="236"/>
      <c r="AJ98" s="90"/>
      <c r="AK98" s="91"/>
      <c r="AM98" s="235"/>
      <c r="AN98" s="236"/>
      <c r="AO98" s="90"/>
      <c r="AP98" s="91"/>
      <c r="AR98" s="106">
        <v>83632451.840000004</v>
      </c>
      <c r="AS98" s="565">
        <v>2.5000000000000001E-2</v>
      </c>
      <c r="AT98" s="565">
        <v>2.5499999999999998E-2</v>
      </c>
      <c r="AU98" s="106">
        <v>5988.37</v>
      </c>
      <c r="AV98" s="106">
        <v>767.12</v>
      </c>
      <c r="AW98" s="19"/>
    </row>
    <row r="99" spans="2:49" x14ac:dyDescent="0.25">
      <c r="B99" s="9" t="str">
        <f t="shared" si="15"/>
        <v>4 2025</v>
      </c>
      <c r="C99" s="10">
        <f t="shared" si="17"/>
        <v>45751</v>
      </c>
      <c r="D99" s="10">
        <f t="shared" si="18"/>
        <v>45752</v>
      </c>
      <c r="E99" s="11">
        <f t="shared" si="16"/>
        <v>1</v>
      </c>
      <c r="G99" s="11" t="s">
        <v>7</v>
      </c>
      <c r="H99" s="12">
        <f t="shared" si="19"/>
        <v>18540000</v>
      </c>
      <c r="I99" s="14">
        <f t="shared" si="20"/>
        <v>2.2499999999999999E-2</v>
      </c>
      <c r="J99" s="13">
        <f t="shared" si="21"/>
        <v>1158.75</v>
      </c>
      <c r="K99" s="13">
        <f t="shared" si="22"/>
        <v>166241.87499999994</v>
      </c>
      <c r="M99" s="11" t="s">
        <v>7</v>
      </c>
      <c r="N99" s="12"/>
      <c r="O99" s="97"/>
      <c r="P99" s="13"/>
      <c r="Q99" s="13"/>
      <c r="R99" s="13"/>
      <c r="T99" s="11"/>
      <c r="U99" s="12"/>
      <c r="V99" s="97"/>
      <c r="W99" s="13"/>
      <c r="X99" s="13"/>
      <c r="Y99" s="13"/>
      <c r="AA99" s="11"/>
      <c r="AB99" s="98"/>
      <c r="AC99" s="97"/>
      <c r="AD99" s="13"/>
      <c r="AE99" s="13"/>
      <c r="AF99" s="13"/>
      <c r="AH99" s="235"/>
      <c r="AI99" s="236"/>
      <c r="AJ99" s="90"/>
      <c r="AK99" s="91"/>
      <c r="AM99" s="235"/>
      <c r="AN99" s="236"/>
      <c r="AO99" s="90"/>
      <c r="AP99" s="91"/>
      <c r="AR99" s="106">
        <v>83637345.849999994</v>
      </c>
      <c r="AS99" s="565">
        <v>2.5000000000000001E-2</v>
      </c>
      <c r="AT99" s="565">
        <v>2.5499999999999998E-2</v>
      </c>
      <c r="AU99" s="106">
        <v>6052.76</v>
      </c>
      <c r="AV99" s="106">
        <v>831.51</v>
      </c>
      <c r="AW99" s="19"/>
    </row>
    <row r="100" spans="2:49" x14ac:dyDescent="0.25">
      <c r="B100" s="9" t="str">
        <f t="shared" si="15"/>
        <v>4 2025</v>
      </c>
      <c r="C100" s="10">
        <f t="shared" si="17"/>
        <v>45752</v>
      </c>
      <c r="D100" s="10">
        <f t="shared" si="18"/>
        <v>45753</v>
      </c>
      <c r="E100" s="11">
        <f t="shared" si="16"/>
        <v>1</v>
      </c>
      <c r="G100" s="11" t="s">
        <v>7</v>
      </c>
      <c r="H100" s="12">
        <f t="shared" si="19"/>
        <v>18540000</v>
      </c>
      <c r="I100" s="14">
        <f t="shared" si="20"/>
        <v>2.2499999999999999E-2</v>
      </c>
      <c r="J100" s="13">
        <f t="shared" si="21"/>
        <v>1158.75</v>
      </c>
      <c r="K100" s="13">
        <f t="shared" si="22"/>
        <v>167400.62499999994</v>
      </c>
      <c r="M100" s="11" t="s">
        <v>7</v>
      </c>
      <c r="N100" s="12"/>
      <c r="O100" s="97"/>
      <c r="P100" s="13"/>
      <c r="Q100" s="13"/>
      <c r="R100" s="13"/>
      <c r="T100" s="11"/>
      <c r="U100" s="12"/>
      <c r="V100" s="97"/>
      <c r="W100" s="13"/>
      <c r="X100" s="13"/>
      <c r="Y100" s="13"/>
      <c r="AA100" s="11"/>
      <c r="AB100" s="98"/>
      <c r="AC100" s="97"/>
      <c r="AD100" s="13"/>
      <c r="AE100" s="13"/>
      <c r="AF100" s="13"/>
      <c r="AH100" s="235"/>
      <c r="AI100" s="236"/>
      <c r="AJ100" s="90"/>
      <c r="AK100" s="91"/>
      <c r="AM100" s="235"/>
      <c r="AN100" s="236"/>
      <c r="AO100" s="90"/>
      <c r="AP100" s="91"/>
      <c r="AR100" s="106">
        <v>83637345.849999994</v>
      </c>
      <c r="AS100" s="565">
        <v>2.5000000000000001E-2</v>
      </c>
      <c r="AT100" s="565">
        <v>2.5499999999999998E-2</v>
      </c>
      <c r="AU100" s="106">
        <v>1158.75</v>
      </c>
      <c r="AV100" s="106">
        <v>-4062.5</v>
      </c>
      <c r="AW100" s="19"/>
    </row>
    <row r="101" spans="2:49" x14ac:dyDescent="0.25">
      <c r="B101" s="9" t="str">
        <f t="shared" si="15"/>
        <v>4 2025</v>
      </c>
      <c r="C101" s="10">
        <f t="shared" si="17"/>
        <v>45753</v>
      </c>
      <c r="D101" s="10">
        <f t="shared" si="18"/>
        <v>45754</v>
      </c>
      <c r="E101" s="11">
        <f t="shared" si="16"/>
        <v>1</v>
      </c>
      <c r="G101" s="11" t="s">
        <v>7</v>
      </c>
      <c r="H101" s="12">
        <f t="shared" si="19"/>
        <v>18540000</v>
      </c>
      <c r="I101" s="14">
        <f t="shared" si="20"/>
        <v>2.2499999999999999E-2</v>
      </c>
      <c r="J101" s="13">
        <f t="shared" si="21"/>
        <v>1158.75</v>
      </c>
      <c r="K101" s="13">
        <f t="shared" si="22"/>
        <v>168559.37499999994</v>
      </c>
      <c r="M101" s="11" t="s">
        <v>7</v>
      </c>
      <c r="N101" s="12"/>
      <c r="O101" s="97"/>
      <c r="P101" s="13"/>
      <c r="Q101" s="13"/>
      <c r="R101" s="13"/>
      <c r="T101" s="11"/>
      <c r="U101" s="12"/>
      <c r="V101" s="97"/>
      <c r="W101" s="13"/>
      <c r="X101" s="13"/>
      <c r="Y101" s="13"/>
      <c r="AA101" s="11"/>
      <c r="AB101" s="98"/>
      <c r="AC101" s="97"/>
      <c r="AD101" s="13"/>
      <c r="AE101" s="13"/>
      <c r="AF101" s="13"/>
      <c r="AH101" s="235"/>
      <c r="AI101" s="236"/>
      <c r="AJ101" s="90"/>
      <c r="AK101" s="91"/>
      <c r="AM101" s="235"/>
      <c r="AN101" s="236"/>
      <c r="AO101" s="90"/>
      <c r="AP101" s="91"/>
      <c r="AR101" s="106">
        <v>83637345.849999994</v>
      </c>
      <c r="AS101" s="565">
        <v>2.5000000000000001E-2</v>
      </c>
      <c r="AT101" s="565">
        <v>2.5499999999999998E-2</v>
      </c>
      <c r="AU101" s="106">
        <v>1158.75</v>
      </c>
      <c r="AV101" s="106">
        <v>-4062.5</v>
      </c>
      <c r="AW101" s="19"/>
    </row>
    <row r="102" spans="2:49" x14ac:dyDescent="0.25">
      <c r="B102" s="9" t="str">
        <f t="shared" si="15"/>
        <v>4 2025</v>
      </c>
      <c r="C102" s="10">
        <f t="shared" si="17"/>
        <v>45754</v>
      </c>
      <c r="D102" s="10">
        <f t="shared" si="18"/>
        <v>45755</v>
      </c>
      <c r="E102" s="11">
        <f t="shared" si="16"/>
        <v>1</v>
      </c>
      <c r="G102" s="11" t="s">
        <v>7</v>
      </c>
      <c r="H102" s="12">
        <f t="shared" si="19"/>
        <v>18540000</v>
      </c>
      <c r="I102" s="14">
        <f t="shared" si="20"/>
        <v>2.2499999999999999E-2</v>
      </c>
      <c r="J102" s="13">
        <f t="shared" si="21"/>
        <v>1158.75</v>
      </c>
      <c r="K102" s="13">
        <f t="shared" si="22"/>
        <v>169718.12499999994</v>
      </c>
      <c r="M102" s="11" t="s">
        <v>7</v>
      </c>
      <c r="N102" s="12"/>
      <c r="O102" s="97"/>
      <c r="P102" s="13"/>
      <c r="Q102" s="13"/>
      <c r="R102" s="13"/>
      <c r="T102" s="11"/>
      <c r="U102" s="12"/>
      <c r="V102" s="97"/>
      <c r="W102" s="13"/>
      <c r="X102" s="13"/>
      <c r="Y102" s="13"/>
      <c r="AA102" s="11"/>
      <c r="AB102" s="98"/>
      <c r="AC102" s="97"/>
      <c r="AD102" s="13"/>
      <c r="AE102" s="13"/>
      <c r="AF102" s="13"/>
      <c r="AH102" s="235"/>
      <c r="AI102" s="236"/>
      <c r="AJ102" s="90"/>
      <c r="AK102" s="91"/>
      <c r="AM102" s="235"/>
      <c r="AN102" s="236"/>
      <c r="AO102" s="90"/>
      <c r="AP102" s="91"/>
      <c r="AR102" s="106">
        <v>83651963.5</v>
      </c>
      <c r="AS102" s="565">
        <v>2.5000000000000001E-2</v>
      </c>
      <c r="AT102" s="565">
        <v>2.5499999999999998E-2</v>
      </c>
      <c r="AU102" s="106">
        <v>15776.4</v>
      </c>
      <c r="AV102" s="106">
        <v>10555.15</v>
      </c>
      <c r="AW102" s="19"/>
    </row>
    <row r="103" spans="2:49" x14ac:dyDescent="0.25">
      <c r="B103" s="9" t="str">
        <f t="shared" si="15"/>
        <v>4 2025</v>
      </c>
      <c r="C103" s="10">
        <f t="shared" si="17"/>
        <v>45755</v>
      </c>
      <c r="D103" s="10">
        <f t="shared" si="18"/>
        <v>45756</v>
      </c>
      <c r="E103" s="11">
        <f t="shared" si="16"/>
        <v>1</v>
      </c>
      <c r="G103" s="11" t="s">
        <v>7</v>
      </c>
      <c r="H103" s="12">
        <f t="shared" si="19"/>
        <v>18540000</v>
      </c>
      <c r="I103" s="14">
        <f t="shared" si="20"/>
        <v>2.2499999999999999E-2</v>
      </c>
      <c r="J103" s="13">
        <f t="shared" si="21"/>
        <v>1158.75</v>
      </c>
      <c r="K103" s="13">
        <f t="shared" si="22"/>
        <v>170876.87499999994</v>
      </c>
      <c r="M103" s="11" t="s">
        <v>7</v>
      </c>
      <c r="N103" s="12"/>
      <c r="O103" s="97"/>
      <c r="P103" s="13"/>
      <c r="Q103" s="13"/>
      <c r="R103" s="13"/>
      <c r="T103" s="11"/>
      <c r="U103" s="12"/>
      <c r="V103" s="97"/>
      <c r="W103" s="13"/>
      <c r="X103" s="13"/>
      <c r="Y103" s="13"/>
      <c r="AA103" s="11"/>
      <c r="AB103" s="98"/>
      <c r="AC103" s="97"/>
      <c r="AD103" s="13"/>
      <c r="AE103" s="13"/>
      <c r="AF103" s="13"/>
      <c r="AH103" s="235"/>
      <c r="AI103" s="236"/>
      <c r="AJ103" s="90"/>
      <c r="AK103" s="91"/>
      <c r="AM103" s="235"/>
      <c r="AN103" s="236"/>
      <c r="AO103" s="90"/>
      <c r="AP103" s="91"/>
      <c r="AR103" s="106">
        <v>83656857.519999996</v>
      </c>
      <c r="AS103" s="565">
        <v>2.5000000000000001E-2</v>
      </c>
      <c r="AT103" s="565">
        <v>2.5499999999999998E-2</v>
      </c>
      <c r="AU103" s="106">
        <v>6052.76</v>
      </c>
      <c r="AV103" s="106">
        <v>831.51</v>
      </c>
      <c r="AW103" s="19"/>
    </row>
    <row r="104" spans="2:49" x14ac:dyDescent="0.25">
      <c r="B104" s="9" t="str">
        <f t="shared" si="15"/>
        <v>4 2025</v>
      </c>
      <c r="C104" s="10">
        <f t="shared" si="17"/>
        <v>45756</v>
      </c>
      <c r="D104" s="10">
        <f t="shared" si="18"/>
        <v>45757</v>
      </c>
      <c r="E104" s="11">
        <f t="shared" si="16"/>
        <v>1</v>
      </c>
      <c r="G104" s="11" t="s">
        <v>7</v>
      </c>
      <c r="H104" s="106">
        <f>H103-190000</f>
        <v>18350000</v>
      </c>
      <c r="I104" s="14">
        <f t="shared" si="20"/>
        <v>2.2499999999999999E-2</v>
      </c>
      <c r="J104" s="13">
        <f t="shared" si="21"/>
        <v>1146.875</v>
      </c>
      <c r="K104" s="13">
        <f t="shared" si="22"/>
        <v>172023.74999999994</v>
      </c>
      <c r="M104" s="11" t="s">
        <v>7</v>
      </c>
      <c r="N104" s="12"/>
      <c r="O104" s="97"/>
      <c r="P104" s="13"/>
      <c r="Q104" s="13"/>
      <c r="R104" s="13"/>
      <c r="T104" s="11"/>
      <c r="U104" s="12"/>
      <c r="V104" s="97"/>
      <c r="W104" s="13"/>
      <c r="X104" s="13"/>
      <c r="Y104" s="13"/>
      <c r="AA104" s="11"/>
      <c r="AB104" s="98"/>
      <c r="AC104" s="97"/>
      <c r="AD104" s="13"/>
      <c r="AE104" s="13"/>
      <c r="AF104" s="13"/>
      <c r="AH104" s="235"/>
      <c r="AI104" s="236"/>
      <c r="AJ104" s="90"/>
      <c r="AK104" s="91"/>
      <c r="AM104" s="235"/>
      <c r="AN104" s="236"/>
      <c r="AO104" s="90"/>
      <c r="AP104" s="91"/>
      <c r="AR104" s="106">
        <v>83471687.129999995</v>
      </c>
      <c r="AS104" s="565">
        <v>2.5000000000000001E-2</v>
      </c>
      <c r="AT104" s="565">
        <v>2.5600000000000001E-2</v>
      </c>
      <c r="AU104" s="106">
        <v>5976.49</v>
      </c>
      <c r="AV104" s="106">
        <v>767.12</v>
      </c>
      <c r="AW104" s="19"/>
    </row>
    <row r="105" spans="2:49" x14ac:dyDescent="0.25">
      <c r="B105" s="9" t="str">
        <f t="shared" si="15"/>
        <v>4 2025</v>
      </c>
      <c r="C105" s="10">
        <f t="shared" si="17"/>
        <v>45757</v>
      </c>
      <c r="D105" s="10">
        <f t="shared" si="18"/>
        <v>45758</v>
      </c>
      <c r="E105" s="11">
        <f t="shared" si="16"/>
        <v>1</v>
      </c>
      <c r="G105" s="11" t="s">
        <v>7</v>
      </c>
      <c r="H105" s="12">
        <f t="shared" si="19"/>
        <v>18350000</v>
      </c>
      <c r="I105" s="14">
        <f t="shared" si="20"/>
        <v>2.2499999999999999E-2</v>
      </c>
      <c r="J105" s="13">
        <f t="shared" si="21"/>
        <v>1146.875</v>
      </c>
      <c r="K105" s="13">
        <f t="shared" si="22"/>
        <v>173170.62499999994</v>
      </c>
      <c r="M105" s="11" t="s">
        <v>7</v>
      </c>
      <c r="N105" s="12"/>
      <c r="O105" s="97"/>
      <c r="P105" s="13"/>
      <c r="Q105" s="13"/>
      <c r="R105" s="13"/>
      <c r="T105" s="11"/>
      <c r="U105" s="12"/>
      <c r="V105" s="97"/>
      <c r="W105" s="13"/>
      <c r="X105" s="13"/>
      <c r="Y105" s="13"/>
      <c r="AA105" s="11"/>
      <c r="AB105" s="98"/>
      <c r="AC105" s="97"/>
      <c r="AD105" s="13"/>
      <c r="AE105" s="13"/>
      <c r="AF105" s="13"/>
      <c r="AH105" s="235"/>
      <c r="AI105" s="236"/>
      <c r="AJ105" s="90"/>
      <c r="AK105" s="91"/>
      <c r="AM105" s="235"/>
      <c r="AN105" s="236"/>
      <c r="AO105" s="90"/>
      <c r="AP105" s="91"/>
      <c r="AR105" s="106">
        <v>83476581.150000006</v>
      </c>
      <c r="AS105" s="565">
        <v>2.5000000000000001E-2</v>
      </c>
      <c r="AT105" s="565">
        <v>2.5600000000000001E-2</v>
      </c>
      <c r="AU105" s="106">
        <v>6040.89</v>
      </c>
      <c r="AV105" s="106">
        <v>831.51</v>
      </c>
      <c r="AW105" s="19"/>
    </row>
    <row r="106" spans="2:49" x14ac:dyDescent="0.25">
      <c r="B106" s="9" t="str">
        <f t="shared" si="15"/>
        <v>4 2025</v>
      </c>
      <c r="C106" s="10">
        <f t="shared" si="17"/>
        <v>45758</v>
      </c>
      <c r="D106" s="10">
        <f t="shared" si="18"/>
        <v>45759</v>
      </c>
      <c r="E106" s="11">
        <f t="shared" si="16"/>
        <v>1</v>
      </c>
      <c r="G106" s="11" t="s">
        <v>7</v>
      </c>
      <c r="H106" s="106">
        <f>H105-1250000</f>
        <v>17100000</v>
      </c>
      <c r="I106" s="14">
        <f t="shared" si="20"/>
        <v>2.2499999999999999E-2</v>
      </c>
      <c r="J106" s="13">
        <f t="shared" si="21"/>
        <v>1068.75</v>
      </c>
      <c r="K106" s="13">
        <f t="shared" si="22"/>
        <v>174239.37499999994</v>
      </c>
      <c r="M106" s="11" t="s">
        <v>7</v>
      </c>
      <c r="N106" s="12"/>
      <c r="O106" s="97"/>
      <c r="P106" s="13"/>
      <c r="Q106" s="13"/>
      <c r="R106" s="13"/>
      <c r="T106" s="11"/>
      <c r="U106" s="12"/>
      <c r="V106" s="97"/>
      <c r="W106" s="13"/>
      <c r="X106" s="13"/>
      <c r="Y106" s="13"/>
      <c r="AA106" s="11"/>
      <c r="AB106" s="98"/>
      <c r="AC106" s="97"/>
      <c r="AD106" s="13"/>
      <c r="AE106" s="13"/>
      <c r="AF106" s="13"/>
      <c r="AH106" s="235"/>
      <c r="AI106" s="236"/>
      <c r="AJ106" s="90"/>
      <c r="AK106" s="91"/>
      <c r="AM106" s="235"/>
      <c r="AN106" s="236"/>
      <c r="AO106" s="90"/>
      <c r="AP106" s="91"/>
      <c r="AR106" s="106">
        <v>82231410.769999996</v>
      </c>
      <c r="AS106" s="565">
        <v>2.5000000000000001E-2</v>
      </c>
      <c r="AT106" s="565">
        <v>2.5600000000000001E-2</v>
      </c>
      <c r="AU106" s="106">
        <v>5898.37</v>
      </c>
      <c r="AV106" s="106">
        <v>767.12</v>
      </c>
      <c r="AW106" s="19"/>
    </row>
    <row r="107" spans="2:49" x14ac:dyDescent="0.25">
      <c r="B107" s="9" t="str">
        <f t="shared" si="15"/>
        <v>4 2025</v>
      </c>
      <c r="C107" s="10">
        <f t="shared" si="17"/>
        <v>45759</v>
      </c>
      <c r="D107" s="10">
        <f t="shared" si="18"/>
        <v>45760</v>
      </c>
      <c r="E107" s="11">
        <f t="shared" si="16"/>
        <v>1</v>
      </c>
      <c r="G107" s="11" t="s">
        <v>7</v>
      </c>
      <c r="H107" s="12">
        <f t="shared" si="19"/>
        <v>17100000</v>
      </c>
      <c r="I107" s="14">
        <f t="shared" si="20"/>
        <v>2.2499999999999999E-2</v>
      </c>
      <c r="J107" s="13">
        <f t="shared" si="21"/>
        <v>1068.75</v>
      </c>
      <c r="K107" s="13">
        <f t="shared" si="22"/>
        <v>175308.12499999994</v>
      </c>
      <c r="M107" s="11" t="s">
        <v>7</v>
      </c>
      <c r="N107" s="12"/>
      <c r="O107" s="97"/>
      <c r="P107" s="13"/>
      <c r="Q107" s="13"/>
      <c r="R107" s="13"/>
      <c r="T107" s="11"/>
      <c r="U107" s="12"/>
      <c r="V107" s="97"/>
      <c r="W107" s="13"/>
      <c r="X107" s="13"/>
      <c r="Y107" s="13"/>
      <c r="AA107" s="11"/>
      <c r="AB107" s="98"/>
      <c r="AC107" s="97"/>
      <c r="AD107" s="13"/>
      <c r="AE107" s="13"/>
      <c r="AF107" s="13"/>
      <c r="AH107" s="235"/>
      <c r="AI107" s="236"/>
      <c r="AJ107" s="90"/>
      <c r="AK107" s="91"/>
      <c r="AM107" s="235"/>
      <c r="AN107" s="236"/>
      <c r="AO107" s="90"/>
      <c r="AP107" s="91"/>
      <c r="AR107" s="106">
        <v>82231410.769999996</v>
      </c>
      <c r="AS107" s="565">
        <v>2.5000000000000001E-2</v>
      </c>
      <c r="AT107" s="565">
        <v>2.5600000000000001E-2</v>
      </c>
      <c r="AU107" s="106">
        <v>1068.75</v>
      </c>
      <c r="AV107" s="106">
        <v>-4062.5</v>
      </c>
      <c r="AW107" s="19"/>
    </row>
    <row r="108" spans="2:49" x14ac:dyDescent="0.25">
      <c r="B108" s="9" t="str">
        <f t="shared" si="15"/>
        <v>4 2025</v>
      </c>
      <c r="C108" s="10">
        <f t="shared" si="17"/>
        <v>45760</v>
      </c>
      <c r="D108" s="10">
        <f t="shared" si="18"/>
        <v>45761</v>
      </c>
      <c r="E108" s="11">
        <f t="shared" si="16"/>
        <v>1</v>
      </c>
      <c r="G108" s="11" t="s">
        <v>7</v>
      </c>
      <c r="H108" s="12">
        <f t="shared" si="19"/>
        <v>17100000</v>
      </c>
      <c r="I108" s="14">
        <f t="shared" si="20"/>
        <v>2.2499999999999999E-2</v>
      </c>
      <c r="J108" s="13">
        <f t="shared" si="21"/>
        <v>1068.75</v>
      </c>
      <c r="K108" s="13">
        <f t="shared" si="22"/>
        <v>176376.87499999994</v>
      </c>
      <c r="M108" s="11" t="s">
        <v>7</v>
      </c>
      <c r="N108" s="12"/>
      <c r="O108" s="97"/>
      <c r="P108" s="13"/>
      <c r="Q108" s="13"/>
      <c r="R108" s="13"/>
      <c r="T108" s="11"/>
      <c r="U108" s="12"/>
      <c r="V108" s="97"/>
      <c r="W108" s="13"/>
      <c r="X108" s="13"/>
      <c r="Y108" s="13"/>
      <c r="AA108" s="11"/>
      <c r="AB108" s="98"/>
      <c r="AC108" s="97"/>
      <c r="AD108" s="13"/>
      <c r="AE108" s="13"/>
      <c r="AF108" s="13"/>
      <c r="AH108" s="235"/>
      <c r="AI108" s="236"/>
      <c r="AJ108" s="90"/>
      <c r="AK108" s="91"/>
      <c r="AM108" s="235"/>
      <c r="AN108" s="236"/>
      <c r="AO108" s="90"/>
      <c r="AP108" s="91"/>
      <c r="AR108" s="106">
        <v>82231410.769999996</v>
      </c>
      <c r="AS108" s="565">
        <v>2.5000000000000001E-2</v>
      </c>
      <c r="AT108" s="565">
        <v>2.5600000000000001E-2</v>
      </c>
      <c r="AU108" s="106">
        <v>1068.75</v>
      </c>
      <c r="AV108" s="106">
        <v>-4062.5</v>
      </c>
      <c r="AW108" s="19"/>
    </row>
    <row r="109" spans="2:49" x14ac:dyDescent="0.25">
      <c r="B109" s="9" t="str">
        <f t="shared" si="15"/>
        <v>4 2025</v>
      </c>
      <c r="C109" s="10">
        <f t="shared" si="17"/>
        <v>45761</v>
      </c>
      <c r="D109" s="10">
        <f t="shared" si="18"/>
        <v>45762</v>
      </c>
      <c r="E109" s="11">
        <f t="shared" si="16"/>
        <v>1</v>
      </c>
      <c r="G109" s="11" t="s">
        <v>7</v>
      </c>
      <c r="H109" s="106">
        <f>H108-2200000+230000</f>
        <v>15130000</v>
      </c>
      <c r="I109" s="14">
        <f t="shared" si="20"/>
        <v>2.2499999999999999E-2</v>
      </c>
      <c r="J109" s="13">
        <f t="shared" si="21"/>
        <v>945.625</v>
      </c>
      <c r="K109" s="13">
        <f t="shared" si="22"/>
        <v>177322.49999999994</v>
      </c>
      <c r="M109" s="11" t="s">
        <v>7</v>
      </c>
      <c r="N109" s="12"/>
      <c r="O109" s="97"/>
      <c r="P109" s="13"/>
      <c r="Q109" s="13"/>
      <c r="R109" s="13"/>
      <c r="T109" s="11"/>
      <c r="U109" s="12"/>
      <c r="V109" s="97"/>
      <c r="W109" s="13"/>
      <c r="X109" s="13"/>
      <c r="Y109" s="13"/>
      <c r="AA109" s="11"/>
      <c r="AB109" s="98"/>
      <c r="AC109" s="97"/>
      <c r="AD109" s="13"/>
      <c r="AE109" s="13"/>
      <c r="AF109" s="13"/>
      <c r="AH109" s="235"/>
      <c r="AI109" s="236"/>
      <c r="AJ109" s="90"/>
      <c r="AK109" s="91"/>
      <c r="AM109" s="235"/>
      <c r="AN109" s="236"/>
      <c r="AO109" s="90"/>
      <c r="AP109" s="91"/>
      <c r="AR109" s="106">
        <v>80276028.420000002</v>
      </c>
      <c r="AS109" s="565">
        <v>2.5000000000000001E-2</v>
      </c>
      <c r="AT109" s="565">
        <v>2.5700000000000001E-2</v>
      </c>
      <c r="AU109" s="106">
        <v>15563.27</v>
      </c>
      <c r="AV109" s="106">
        <v>10555.15</v>
      </c>
      <c r="AW109" s="19"/>
    </row>
    <row r="110" spans="2:49" x14ac:dyDescent="0.25">
      <c r="B110" s="9" t="str">
        <f t="shared" si="15"/>
        <v>4 2025</v>
      </c>
      <c r="C110" s="10">
        <f t="shared" si="17"/>
        <v>45762</v>
      </c>
      <c r="D110" s="10">
        <f t="shared" si="18"/>
        <v>45763</v>
      </c>
      <c r="E110" s="11">
        <f t="shared" si="16"/>
        <v>1</v>
      </c>
      <c r="G110" s="11" t="s">
        <v>7</v>
      </c>
      <c r="H110" s="106">
        <f>H109-580000+40000</f>
        <v>14590000</v>
      </c>
      <c r="I110" s="14">
        <f t="shared" si="20"/>
        <v>2.2499999999999999E-2</v>
      </c>
      <c r="J110" s="13">
        <f t="shared" si="21"/>
        <v>911.875</v>
      </c>
      <c r="K110" s="13">
        <f t="shared" si="22"/>
        <v>178234.37499999994</v>
      </c>
      <c r="M110" s="11" t="s">
        <v>7</v>
      </c>
      <c r="N110" s="12"/>
      <c r="O110" s="97"/>
      <c r="P110" s="13"/>
      <c r="Q110" s="13"/>
      <c r="R110" s="13"/>
      <c r="T110" s="11"/>
      <c r="U110" s="12"/>
      <c r="V110" s="97"/>
      <c r="W110" s="13"/>
      <c r="X110" s="13"/>
      <c r="Y110" s="13"/>
      <c r="AA110" s="11"/>
      <c r="AB110" s="98"/>
      <c r="AC110" s="97"/>
      <c r="AD110" s="13"/>
      <c r="AE110" s="13"/>
      <c r="AF110" s="13"/>
      <c r="AH110" s="235"/>
      <c r="AI110" s="236"/>
      <c r="AJ110" s="90"/>
      <c r="AK110" s="91"/>
      <c r="AM110" s="235"/>
      <c r="AN110" s="236"/>
      <c r="AO110" s="90"/>
      <c r="AP110" s="91"/>
      <c r="AR110" s="106">
        <v>79740858.040000007</v>
      </c>
      <c r="AS110" s="565">
        <v>2.5000000000000001E-2</v>
      </c>
      <c r="AT110" s="565">
        <v>2.5700000000000001E-2</v>
      </c>
      <c r="AU110" s="106">
        <v>5741.49</v>
      </c>
      <c r="AV110" s="106">
        <v>767.12</v>
      </c>
      <c r="AW110" s="19"/>
    </row>
    <row r="111" spans="2:49" x14ac:dyDescent="0.25">
      <c r="B111" s="9" t="str">
        <f t="shared" si="15"/>
        <v>4 2025</v>
      </c>
      <c r="C111" s="10">
        <f t="shared" si="17"/>
        <v>45763</v>
      </c>
      <c r="D111" s="10">
        <f t="shared" si="18"/>
        <v>45764</v>
      </c>
      <c r="E111" s="11">
        <f t="shared" si="16"/>
        <v>1</v>
      </c>
      <c r="G111" s="11" t="s">
        <v>7</v>
      </c>
      <c r="H111" s="106">
        <f>H110-80000</f>
        <v>14510000</v>
      </c>
      <c r="I111" s="14">
        <f t="shared" si="20"/>
        <v>2.2499999999999999E-2</v>
      </c>
      <c r="J111" s="13">
        <f t="shared" si="21"/>
        <v>906.875</v>
      </c>
      <c r="K111" s="13">
        <f t="shared" si="22"/>
        <v>179141.24999999994</v>
      </c>
      <c r="M111" s="11" t="s">
        <v>7</v>
      </c>
      <c r="N111" s="12"/>
      <c r="O111" s="97"/>
      <c r="P111" s="13"/>
      <c r="Q111" s="13"/>
      <c r="R111" s="13"/>
      <c r="T111" s="11"/>
      <c r="U111" s="12"/>
      <c r="V111" s="97"/>
      <c r="W111" s="13"/>
      <c r="X111" s="13"/>
      <c r="Y111" s="13"/>
      <c r="AA111" s="11"/>
      <c r="AB111" s="98"/>
      <c r="AC111" s="97"/>
      <c r="AD111" s="13"/>
      <c r="AE111" s="13"/>
      <c r="AF111" s="13"/>
      <c r="AH111" s="235"/>
      <c r="AI111" s="236"/>
      <c r="AJ111" s="90"/>
      <c r="AK111" s="91"/>
      <c r="AM111" s="235"/>
      <c r="AN111" s="236"/>
      <c r="AO111" s="90"/>
      <c r="AP111" s="91"/>
      <c r="AR111" s="106">
        <v>79665752.049999997</v>
      </c>
      <c r="AS111" s="565">
        <v>2.5000000000000001E-2</v>
      </c>
      <c r="AT111" s="565">
        <v>2.5700000000000001E-2</v>
      </c>
      <c r="AU111" s="106">
        <v>5800.89</v>
      </c>
      <c r="AV111" s="106">
        <v>831.51</v>
      </c>
      <c r="AW111" s="19"/>
    </row>
    <row r="112" spans="2:49" x14ac:dyDescent="0.25">
      <c r="B112" s="9" t="str">
        <f t="shared" si="15"/>
        <v>4 2025</v>
      </c>
      <c r="C112" s="10">
        <f t="shared" si="17"/>
        <v>45764</v>
      </c>
      <c r="D112" s="10">
        <f t="shared" si="18"/>
        <v>45765</v>
      </c>
      <c r="E112" s="11">
        <f t="shared" si="16"/>
        <v>1</v>
      </c>
      <c r="G112" s="11" t="s">
        <v>7</v>
      </c>
      <c r="H112" s="12">
        <f t="shared" si="19"/>
        <v>14510000</v>
      </c>
      <c r="I112" s="14">
        <f t="shared" si="20"/>
        <v>2.2499999999999999E-2</v>
      </c>
      <c r="J112" s="13">
        <f t="shared" si="21"/>
        <v>906.875</v>
      </c>
      <c r="K112" s="13">
        <f t="shared" si="22"/>
        <v>180048.12499999994</v>
      </c>
      <c r="M112" s="11" t="s">
        <v>7</v>
      </c>
      <c r="N112" s="12"/>
      <c r="O112" s="97"/>
      <c r="P112" s="13"/>
      <c r="Q112" s="13"/>
      <c r="R112" s="13"/>
      <c r="T112" s="11"/>
      <c r="U112" s="12"/>
      <c r="V112" s="97"/>
      <c r="W112" s="13"/>
      <c r="X112" s="13"/>
      <c r="Y112" s="13"/>
      <c r="AA112" s="11"/>
      <c r="AB112" s="98"/>
      <c r="AC112" s="97"/>
      <c r="AD112" s="13"/>
      <c r="AE112" s="13"/>
      <c r="AF112" s="13"/>
      <c r="AH112" s="235"/>
      <c r="AI112" s="236"/>
      <c r="AJ112" s="90"/>
      <c r="AK112" s="91"/>
      <c r="AM112" s="235"/>
      <c r="AN112" s="236"/>
      <c r="AO112" s="90"/>
      <c r="AP112" s="91"/>
      <c r="AR112" s="106">
        <v>79670646.069999993</v>
      </c>
      <c r="AS112" s="565">
        <v>2.5000000000000001E-2</v>
      </c>
      <c r="AT112" s="565">
        <v>2.5700000000000001E-2</v>
      </c>
      <c r="AU112" s="106">
        <v>5800.89</v>
      </c>
      <c r="AV112" s="106">
        <v>831.51</v>
      </c>
      <c r="AW112" s="19"/>
    </row>
    <row r="113" spans="1:49" x14ac:dyDescent="0.25">
      <c r="B113" s="9" t="str">
        <f t="shared" si="15"/>
        <v>4 2025</v>
      </c>
      <c r="C113" s="10">
        <f t="shared" si="17"/>
        <v>45765</v>
      </c>
      <c r="D113" s="10">
        <f t="shared" si="18"/>
        <v>45766</v>
      </c>
      <c r="E113" s="11">
        <f t="shared" si="16"/>
        <v>1</v>
      </c>
      <c r="G113" s="11" t="s">
        <v>7</v>
      </c>
      <c r="H113" s="12">
        <f t="shared" si="19"/>
        <v>14510000</v>
      </c>
      <c r="I113" s="14">
        <f t="shared" si="20"/>
        <v>2.2499999999999999E-2</v>
      </c>
      <c r="J113" s="13">
        <f t="shared" si="21"/>
        <v>906.875</v>
      </c>
      <c r="K113" s="13">
        <f t="shared" si="22"/>
        <v>180954.99999999994</v>
      </c>
      <c r="M113" s="11" t="s">
        <v>7</v>
      </c>
      <c r="N113" s="12"/>
      <c r="O113" s="97"/>
      <c r="P113" s="13"/>
      <c r="Q113" s="13"/>
      <c r="R113" s="13"/>
      <c r="T113" s="11"/>
      <c r="U113" s="12"/>
      <c r="V113" s="97"/>
      <c r="W113" s="13"/>
      <c r="X113" s="13"/>
      <c r="Y113" s="13"/>
      <c r="AA113" s="11"/>
      <c r="AB113" s="98"/>
      <c r="AC113" s="97"/>
      <c r="AD113" s="13"/>
      <c r="AE113" s="13"/>
      <c r="AF113" s="13"/>
      <c r="AH113" s="235"/>
      <c r="AI113" s="236"/>
      <c r="AJ113" s="90"/>
      <c r="AK113" s="91"/>
      <c r="AM113" s="235"/>
      <c r="AN113" s="236"/>
      <c r="AO113" s="90"/>
      <c r="AP113" s="91"/>
      <c r="AR113" s="106">
        <v>79670646.069999993</v>
      </c>
      <c r="AS113" s="565">
        <v>2.5000000000000001E-2</v>
      </c>
      <c r="AT113" s="565">
        <v>2.5700000000000001E-2</v>
      </c>
      <c r="AU113" s="106">
        <v>906.88</v>
      </c>
      <c r="AV113" s="106">
        <v>-4062.5</v>
      </c>
      <c r="AW113" s="19"/>
    </row>
    <row r="114" spans="1:49" x14ac:dyDescent="0.25">
      <c r="B114" s="9" t="str">
        <f t="shared" si="15"/>
        <v>4 2025</v>
      </c>
      <c r="C114" s="10">
        <f t="shared" si="17"/>
        <v>45766</v>
      </c>
      <c r="D114" s="10">
        <f t="shared" si="18"/>
        <v>45767</v>
      </c>
      <c r="E114" s="11">
        <f t="shared" si="16"/>
        <v>1</v>
      </c>
      <c r="G114" s="11" t="s">
        <v>7</v>
      </c>
      <c r="H114" s="12">
        <f t="shared" si="19"/>
        <v>14510000</v>
      </c>
      <c r="I114" s="14">
        <f t="shared" si="20"/>
        <v>2.2499999999999999E-2</v>
      </c>
      <c r="J114" s="13">
        <f t="shared" si="21"/>
        <v>906.875</v>
      </c>
      <c r="K114" s="13">
        <f t="shared" si="22"/>
        <v>181861.87499999994</v>
      </c>
      <c r="M114" s="11" t="s">
        <v>7</v>
      </c>
      <c r="N114" s="12"/>
      <c r="O114" s="97"/>
      <c r="P114" s="13"/>
      <c r="Q114" s="13"/>
      <c r="R114" s="13"/>
      <c r="T114" s="11"/>
      <c r="U114" s="12"/>
      <c r="V114" s="97"/>
      <c r="W114" s="13"/>
      <c r="X114" s="13"/>
      <c r="Y114" s="13"/>
      <c r="AA114" s="11"/>
      <c r="AB114" s="98"/>
      <c r="AC114" s="97"/>
      <c r="AD114" s="13"/>
      <c r="AE114" s="13"/>
      <c r="AF114" s="13"/>
      <c r="AH114" s="235"/>
      <c r="AI114" s="236"/>
      <c r="AJ114" s="90"/>
      <c r="AK114" s="91"/>
      <c r="AM114" s="235"/>
      <c r="AN114" s="236"/>
      <c r="AO114" s="90"/>
      <c r="AP114" s="91"/>
      <c r="AR114" s="106">
        <v>79670646.069999993</v>
      </c>
      <c r="AS114" s="565">
        <v>2.5000000000000001E-2</v>
      </c>
      <c r="AT114" s="565">
        <v>2.5700000000000001E-2</v>
      </c>
      <c r="AU114" s="106">
        <v>906.88</v>
      </c>
      <c r="AV114" s="106">
        <v>-4062.5</v>
      </c>
      <c r="AW114" s="19"/>
    </row>
    <row r="115" spans="1:49" x14ac:dyDescent="0.25">
      <c r="B115" s="9" t="str">
        <f t="shared" si="15"/>
        <v>4 2025</v>
      </c>
      <c r="C115" s="10">
        <f t="shared" si="17"/>
        <v>45767</v>
      </c>
      <c r="D115" s="10">
        <f t="shared" si="18"/>
        <v>45768</v>
      </c>
      <c r="E115" s="11">
        <f t="shared" si="16"/>
        <v>1</v>
      </c>
      <c r="G115" s="11" t="s">
        <v>7</v>
      </c>
      <c r="H115" s="12">
        <f t="shared" si="19"/>
        <v>14510000</v>
      </c>
      <c r="I115" s="14">
        <f t="shared" si="20"/>
        <v>2.2499999999999999E-2</v>
      </c>
      <c r="J115" s="13">
        <f t="shared" si="21"/>
        <v>906.875</v>
      </c>
      <c r="K115" s="13">
        <f t="shared" si="22"/>
        <v>182768.74999999994</v>
      </c>
      <c r="M115" s="11" t="s">
        <v>7</v>
      </c>
      <c r="N115" s="12"/>
      <c r="O115" s="97"/>
      <c r="P115" s="13"/>
      <c r="Q115" s="13"/>
      <c r="R115" s="13"/>
      <c r="T115" s="11"/>
      <c r="U115" s="12"/>
      <c r="V115" s="97"/>
      <c r="W115" s="13"/>
      <c r="X115" s="13"/>
      <c r="Y115" s="13"/>
      <c r="AA115" s="11"/>
      <c r="AB115" s="98"/>
      <c r="AC115" s="97"/>
      <c r="AD115" s="13"/>
      <c r="AE115" s="13"/>
      <c r="AF115" s="13"/>
      <c r="AH115" s="235"/>
      <c r="AI115" s="236"/>
      <c r="AJ115" s="90"/>
      <c r="AK115" s="91"/>
      <c r="AM115" s="235"/>
      <c r="AN115" s="236"/>
      <c r="AO115" s="90"/>
      <c r="AP115" s="91"/>
      <c r="AR115" s="106">
        <v>79670646.069999993</v>
      </c>
      <c r="AS115" s="565">
        <v>2.5000000000000001E-2</v>
      </c>
      <c r="AT115" s="565">
        <v>2.5700000000000001E-2</v>
      </c>
      <c r="AU115" s="106">
        <v>906.88</v>
      </c>
      <c r="AV115" s="106">
        <v>-4062.5</v>
      </c>
      <c r="AW115" s="19"/>
    </row>
    <row r="116" spans="1:49" x14ac:dyDescent="0.25">
      <c r="B116" s="9" t="str">
        <f t="shared" si="15"/>
        <v>4 2025</v>
      </c>
      <c r="C116" s="10">
        <f t="shared" si="17"/>
        <v>45768</v>
      </c>
      <c r="D116" s="10">
        <f t="shared" si="18"/>
        <v>45769</v>
      </c>
      <c r="E116" s="11">
        <f t="shared" si="16"/>
        <v>1</v>
      </c>
      <c r="G116" s="11" t="s">
        <v>7</v>
      </c>
      <c r="H116" s="12">
        <f t="shared" si="19"/>
        <v>14510000</v>
      </c>
      <c r="I116" s="14">
        <f t="shared" si="20"/>
        <v>2.2499999999999999E-2</v>
      </c>
      <c r="J116" s="13">
        <f t="shared" si="21"/>
        <v>906.875</v>
      </c>
      <c r="K116" s="13">
        <f t="shared" si="22"/>
        <v>183675.62499999994</v>
      </c>
      <c r="M116" s="11" t="s">
        <v>7</v>
      </c>
      <c r="N116" s="12"/>
      <c r="O116" s="97"/>
      <c r="P116" s="13"/>
      <c r="Q116" s="13"/>
      <c r="R116" s="13"/>
      <c r="T116" s="11"/>
      <c r="U116" s="12"/>
      <c r="V116" s="97"/>
      <c r="W116" s="13"/>
      <c r="X116" s="13"/>
      <c r="Y116" s="13"/>
      <c r="AA116" s="11"/>
      <c r="AB116" s="98"/>
      <c r="AC116" s="97"/>
      <c r="AD116" s="13"/>
      <c r="AE116" s="13"/>
      <c r="AF116" s="13"/>
      <c r="AH116" s="235"/>
      <c r="AI116" s="236"/>
      <c r="AJ116" s="90"/>
      <c r="AK116" s="91"/>
      <c r="AM116" s="235"/>
      <c r="AN116" s="236"/>
      <c r="AO116" s="90"/>
      <c r="AP116" s="91"/>
      <c r="AR116" s="106">
        <v>79670646.069999993</v>
      </c>
      <c r="AS116" s="565">
        <v>2.5000000000000001E-2</v>
      </c>
      <c r="AT116" s="565">
        <v>2.5700000000000001E-2</v>
      </c>
      <c r="AU116" s="106">
        <v>906.88</v>
      </c>
      <c r="AV116" s="106">
        <v>-4062.5</v>
      </c>
      <c r="AW116" s="19"/>
    </row>
    <row r="117" spans="1:49" x14ac:dyDescent="0.25">
      <c r="B117" s="9" t="str">
        <f t="shared" si="15"/>
        <v>4 2025</v>
      </c>
      <c r="C117" s="10">
        <f t="shared" si="17"/>
        <v>45769</v>
      </c>
      <c r="D117" s="10">
        <f t="shared" si="18"/>
        <v>45770</v>
      </c>
      <c r="E117" s="11">
        <f t="shared" si="16"/>
        <v>1</v>
      </c>
      <c r="G117" s="11" t="s">
        <v>7</v>
      </c>
      <c r="H117" s="12">
        <f t="shared" si="19"/>
        <v>14510000</v>
      </c>
      <c r="I117" s="14">
        <f t="shared" si="20"/>
        <v>2.2499999999999999E-2</v>
      </c>
      <c r="J117" s="13">
        <f t="shared" si="21"/>
        <v>906.875</v>
      </c>
      <c r="K117" s="13">
        <f t="shared" si="22"/>
        <v>184582.49999999994</v>
      </c>
      <c r="M117" s="11" t="s">
        <v>7</v>
      </c>
      <c r="N117" s="12"/>
      <c r="O117" s="97"/>
      <c r="P117" s="13"/>
      <c r="Q117" s="13"/>
      <c r="R117" s="13"/>
      <c r="T117" s="11"/>
      <c r="U117" s="12"/>
      <c r="V117" s="97"/>
      <c r="W117" s="13"/>
      <c r="X117" s="13"/>
      <c r="Y117" s="13"/>
      <c r="AA117" s="11"/>
      <c r="AB117" s="98"/>
      <c r="AC117" s="97"/>
      <c r="AD117" s="13"/>
      <c r="AE117" s="13"/>
      <c r="AF117" s="13"/>
      <c r="AH117" s="235"/>
      <c r="AI117" s="236"/>
      <c r="AJ117" s="90"/>
      <c r="AK117" s="91"/>
      <c r="AM117" s="235"/>
      <c r="AN117" s="236"/>
      <c r="AO117" s="90"/>
      <c r="AP117" s="91"/>
      <c r="AR117" s="106">
        <v>79694987.349999994</v>
      </c>
      <c r="AS117" s="565">
        <v>2.5000000000000001E-2</v>
      </c>
      <c r="AT117" s="565">
        <v>2.5700000000000001E-2</v>
      </c>
      <c r="AU117" s="106">
        <v>25248.16</v>
      </c>
      <c r="AV117" s="106">
        <v>20278.78</v>
      </c>
      <c r="AW117" s="19"/>
    </row>
    <row r="118" spans="1:49" x14ac:dyDescent="0.25">
      <c r="B118" s="9" t="str">
        <f t="shared" si="15"/>
        <v>4 2025</v>
      </c>
      <c r="C118" s="10">
        <f t="shared" si="17"/>
        <v>45770</v>
      </c>
      <c r="D118" s="10">
        <f t="shared" si="18"/>
        <v>45771</v>
      </c>
      <c r="E118" s="11">
        <f t="shared" si="16"/>
        <v>1</v>
      </c>
      <c r="G118" s="11" t="s">
        <v>7</v>
      </c>
      <c r="H118" s="12">
        <f t="shared" si="19"/>
        <v>14510000</v>
      </c>
      <c r="I118" s="116">
        <v>0.02</v>
      </c>
      <c r="J118" s="13">
        <f t="shared" si="21"/>
        <v>806.11111111111109</v>
      </c>
      <c r="K118" s="13">
        <f t="shared" si="22"/>
        <v>185388.61111111107</v>
      </c>
      <c r="M118" s="11" t="s">
        <v>7</v>
      </c>
      <c r="N118" s="12"/>
      <c r="O118" s="97"/>
      <c r="P118" s="13"/>
      <c r="Q118" s="13"/>
      <c r="R118" s="13"/>
      <c r="T118" s="11"/>
      <c r="U118" s="12"/>
      <c r="V118" s="97"/>
      <c r="W118" s="13"/>
      <c r="X118" s="13"/>
      <c r="Y118" s="13"/>
      <c r="AA118" s="11"/>
      <c r="AB118" s="98"/>
      <c r="AC118" s="97"/>
      <c r="AD118" s="13"/>
      <c r="AE118" s="13"/>
      <c r="AF118" s="13"/>
      <c r="AH118" s="235"/>
      <c r="AI118" s="236"/>
      <c r="AJ118" s="90"/>
      <c r="AK118" s="91"/>
      <c r="AM118" s="235"/>
      <c r="AN118" s="236"/>
      <c r="AO118" s="90"/>
      <c r="AP118" s="91"/>
      <c r="AR118" s="106">
        <v>79694987.349999994</v>
      </c>
      <c r="AS118" s="565">
        <v>2.2499999999999999E-2</v>
      </c>
      <c r="AT118" s="565">
        <v>2.52E-2</v>
      </c>
      <c r="AU118" s="106">
        <v>806.11</v>
      </c>
      <c r="AV118" s="106">
        <v>-3611.11</v>
      </c>
      <c r="AW118" s="19"/>
    </row>
    <row r="119" spans="1:49" x14ac:dyDescent="0.25">
      <c r="A119" s="85" t="s">
        <v>23</v>
      </c>
      <c r="B119" s="9" t="str">
        <f t="shared" si="15"/>
        <v>4 2025</v>
      </c>
      <c r="C119" s="10">
        <f t="shared" si="17"/>
        <v>45771</v>
      </c>
      <c r="D119" s="10">
        <f t="shared" si="18"/>
        <v>45772</v>
      </c>
      <c r="E119" s="11">
        <f t="shared" si="16"/>
        <v>1</v>
      </c>
      <c r="G119" s="11" t="s">
        <v>7</v>
      </c>
      <c r="H119" s="135">
        <f>H118-220000</f>
        <v>14290000</v>
      </c>
      <c r="I119" s="14">
        <f t="shared" si="20"/>
        <v>0.02</v>
      </c>
      <c r="J119" s="13">
        <f t="shared" si="21"/>
        <v>793.88888888888891</v>
      </c>
      <c r="K119" s="13">
        <f t="shared" si="22"/>
        <v>186182.49999999994</v>
      </c>
      <c r="M119" s="11" t="s">
        <v>7</v>
      </c>
      <c r="N119" s="12"/>
      <c r="O119" s="97"/>
      <c r="P119" s="13"/>
      <c r="Q119" s="13"/>
      <c r="R119" s="13"/>
      <c r="T119" s="11"/>
      <c r="U119" s="12"/>
      <c r="V119" s="97"/>
      <c r="W119" s="13"/>
      <c r="X119" s="13"/>
      <c r="Y119" s="13"/>
      <c r="AA119" s="11"/>
      <c r="AB119" s="98"/>
      <c r="AC119" s="97"/>
      <c r="AD119" s="13"/>
      <c r="AE119" s="13"/>
      <c r="AF119" s="13"/>
      <c r="AH119" s="235"/>
      <c r="AI119" s="236"/>
      <c r="AJ119" s="90"/>
      <c r="AK119" s="91"/>
      <c r="AM119" s="235"/>
      <c r="AN119" s="236"/>
      <c r="AO119" s="90"/>
      <c r="AP119" s="91"/>
      <c r="AR119" s="106">
        <v>79484710.980000004</v>
      </c>
      <c r="AS119" s="565">
        <v>2.2499999999999999E-2</v>
      </c>
      <c r="AT119" s="565">
        <v>2.53E-2</v>
      </c>
      <c r="AU119" s="106">
        <v>10517.52</v>
      </c>
      <c r="AV119" s="106">
        <v>6112.52</v>
      </c>
      <c r="AW119" s="19"/>
    </row>
    <row r="120" spans="1:49" x14ac:dyDescent="0.25">
      <c r="B120" s="9" t="str">
        <f t="shared" si="15"/>
        <v>4 2025</v>
      </c>
      <c r="C120" s="10">
        <f t="shared" si="17"/>
        <v>45772</v>
      </c>
      <c r="D120" s="10">
        <f t="shared" si="18"/>
        <v>45773</v>
      </c>
      <c r="E120" s="11">
        <f t="shared" si="16"/>
        <v>1</v>
      </c>
      <c r="G120" s="11" t="s">
        <v>7</v>
      </c>
      <c r="H120" s="106">
        <f>H119-2090000</f>
        <v>12200000</v>
      </c>
      <c r="I120" s="14">
        <f t="shared" si="20"/>
        <v>0.02</v>
      </c>
      <c r="J120" s="13">
        <f t="shared" si="21"/>
        <v>677.77777777777783</v>
      </c>
      <c r="K120" s="13">
        <f t="shared" si="22"/>
        <v>186860.27777777772</v>
      </c>
      <c r="M120" s="11" t="s">
        <v>7</v>
      </c>
      <c r="N120" s="12"/>
      <c r="O120" s="97"/>
      <c r="P120" s="13"/>
      <c r="Q120" s="13"/>
      <c r="R120" s="13"/>
      <c r="T120" s="11"/>
      <c r="U120" s="12"/>
      <c r="V120" s="97"/>
      <c r="W120" s="13"/>
      <c r="X120" s="13"/>
      <c r="Y120" s="13"/>
      <c r="AA120" s="11"/>
      <c r="AB120" s="98"/>
      <c r="AC120" s="97"/>
      <c r="AD120" s="13"/>
      <c r="AE120" s="13"/>
      <c r="AF120" s="13"/>
      <c r="AH120" s="235"/>
      <c r="AI120" s="236"/>
      <c r="AJ120" s="90"/>
      <c r="AK120" s="91"/>
      <c r="AM120" s="235"/>
      <c r="AN120" s="236"/>
      <c r="AO120" s="90"/>
      <c r="AP120" s="91"/>
      <c r="AR120" s="106">
        <v>77399605</v>
      </c>
      <c r="AS120" s="565">
        <v>2.2499999999999999E-2</v>
      </c>
      <c r="AT120" s="565">
        <v>2.5399999999999999E-2</v>
      </c>
      <c r="AU120" s="106">
        <v>5571.79</v>
      </c>
      <c r="AV120" s="106">
        <v>1282.9000000000001</v>
      </c>
      <c r="AW120" s="19"/>
    </row>
    <row r="121" spans="1:49" x14ac:dyDescent="0.25">
      <c r="B121" s="9" t="str">
        <f t="shared" si="15"/>
        <v>4 2025</v>
      </c>
      <c r="C121" s="10">
        <f t="shared" si="17"/>
        <v>45773</v>
      </c>
      <c r="D121" s="10">
        <f t="shared" si="18"/>
        <v>45774</v>
      </c>
      <c r="E121" s="11">
        <f t="shared" si="16"/>
        <v>1</v>
      </c>
      <c r="G121" s="11" t="s">
        <v>7</v>
      </c>
      <c r="H121" s="12">
        <f t="shared" si="19"/>
        <v>12200000</v>
      </c>
      <c r="I121" s="14">
        <f t="shared" si="20"/>
        <v>0.02</v>
      </c>
      <c r="J121" s="13">
        <f t="shared" si="21"/>
        <v>677.77777777777783</v>
      </c>
      <c r="K121" s="13">
        <f t="shared" si="22"/>
        <v>187538.0555555555</v>
      </c>
      <c r="M121" s="11" t="s">
        <v>7</v>
      </c>
      <c r="N121" s="12"/>
      <c r="O121" s="97"/>
      <c r="P121" s="13"/>
      <c r="Q121" s="13"/>
      <c r="R121" s="13"/>
      <c r="T121" s="11"/>
      <c r="U121" s="12"/>
      <c r="V121" s="97"/>
      <c r="W121" s="13"/>
      <c r="X121" s="13"/>
      <c r="Y121" s="13"/>
      <c r="AA121" s="11"/>
      <c r="AB121" s="98"/>
      <c r="AC121" s="97"/>
      <c r="AD121" s="13"/>
      <c r="AE121" s="13"/>
      <c r="AF121" s="13"/>
      <c r="AH121" s="235"/>
      <c r="AI121" s="236"/>
      <c r="AJ121" s="90"/>
      <c r="AK121" s="91"/>
      <c r="AM121" s="235"/>
      <c r="AN121" s="236"/>
      <c r="AO121" s="90"/>
      <c r="AP121" s="91"/>
      <c r="AR121" s="106">
        <v>77399605</v>
      </c>
      <c r="AS121" s="565">
        <v>2.2499999999999999E-2</v>
      </c>
      <c r="AT121" s="565">
        <v>2.5399999999999999E-2</v>
      </c>
      <c r="AU121" s="106">
        <v>677.78</v>
      </c>
      <c r="AV121" s="106">
        <v>-3611.11</v>
      </c>
      <c r="AW121" s="19"/>
    </row>
    <row r="122" spans="1:49" x14ac:dyDescent="0.25">
      <c r="B122" s="9" t="str">
        <f t="shared" si="15"/>
        <v>4 2025</v>
      </c>
      <c r="C122" s="10">
        <f t="shared" si="17"/>
        <v>45774</v>
      </c>
      <c r="D122" s="10">
        <f t="shared" si="18"/>
        <v>45775</v>
      </c>
      <c r="E122" s="11">
        <f t="shared" si="16"/>
        <v>1</v>
      </c>
      <c r="G122" s="11" t="s">
        <v>7</v>
      </c>
      <c r="H122" s="12">
        <f t="shared" si="19"/>
        <v>12200000</v>
      </c>
      <c r="I122" s="14">
        <f t="shared" si="20"/>
        <v>0.02</v>
      </c>
      <c r="J122" s="13">
        <f t="shared" si="21"/>
        <v>677.77777777777783</v>
      </c>
      <c r="K122" s="13">
        <f t="shared" si="22"/>
        <v>188215.83333333328</v>
      </c>
      <c r="M122" s="11" t="s">
        <v>7</v>
      </c>
      <c r="N122" s="12"/>
      <c r="O122" s="97"/>
      <c r="P122" s="13"/>
      <c r="Q122" s="13"/>
      <c r="R122" s="13"/>
      <c r="T122" s="11"/>
      <c r="U122" s="12"/>
      <c r="V122" s="97"/>
      <c r="W122" s="13"/>
      <c r="X122" s="13"/>
      <c r="Y122" s="13"/>
      <c r="AA122" s="11"/>
      <c r="AB122" s="98"/>
      <c r="AC122" s="97"/>
      <c r="AD122" s="13"/>
      <c r="AE122" s="13"/>
      <c r="AF122" s="13"/>
      <c r="AH122" s="235"/>
      <c r="AI122" s="236"/>
      <c r="AJ122" s="90"/>
      <c r="AK122" s="91"/>
      <c r="AM122" s="235"/>
      <c r="AN122" s="236"/>
      <c r="AO122" s="90"/>
      <c r="AP122" s="91"/>
      <c r="AR122" s="106">
        <v>77399605</v>
      </c>
      <c r="AS122" s="565">
        <v>2.2499999999999999E-2</v>
      </c>
      <c r="AT122" s="565">
        <v>2.5399999999999999E-2</v>
      </c>
      <c r="AU122" s="106">
        <v>677.78</v>
      </c>
      <c r="AV122" s="106">
        <v>-3611.11</v>
      </c>
      <c r="AW122" s="19"/>
    </row>
    <row r="123" spans="1:49" x14ac:dyDescent="0.25">
      <c r="B123" s="9" t="str">
        <f t="shared" si="15"/>
        <v>4 2025</v>
      </c>
      <c r="C123" s="10">
        <f t="shared" si="17"/>
        <v>45775</v>
      </c>
      <c r="D123" s="10">
        <f t="shared" si="18"/>
        <v>45776</v>
      </c>
      <c r="E123" s="11">
        <f t="shared" si="16"/>
        <v>1</v>
      </c>
      <c r="G123" s="11" t="s">
        <v>7</v>
      </c>
      <c r="H123" s="106">
        <f>H122-260000</f>
        <v>11940000</v>
      </c>
      <c r="I123" s="14">
        <f t="shared" si="20"/>
        <v>0.02</v>
      </c>
      <c r="J123" s="13">
        <f t="shared" si="21"/>
        <v>663.33333333333337</v>
      </c>
      <c r="K123" s="13">
        <f t="shared" si="22"/>
        <v>188879.16666666663</v>
      </c>
      <c r="M123" s="11" t="s">
        <v>7</v>
      </c>
      <c r="N123" s="12"/>
      <c r="O123" s="97"/>
      <c r="P123" s="13"/>
      <c r="Q123" s="13"/>
      <c r="R123" s="13"/>
      <c r="T123" s="11"/>
      <c r="U123" s="12"/>
      <c r="V123" s="97"/>
      <c r="W123" s="13"/>
      <c r="X123" s="13"/>
      <c r="Y123" s="13"/>
      <c r="AA123" s="11"/>
      <c r="AB123" s="98"/>
      <c r="AC123" s="97"/>
      <c r="AD123" s="13"/>
      <c r="AE123" s="13"/>
      <c r="AF123" s="13"/>
      <c r="AH123" s="235"/>
      <c r="AI123" s="236"/>
      <c r="AJ123" s="90"/>
      <c r="AK123" s="91"/>
      <c r="AM123" s="235"/>
      <c r="AN123" s="236"/>
      <c r="AO123" s="90"/>
      <c r="AP123" s="91"/>
      <c r="AR123" s="106">
        <v>77154222.640000001</v>
      </c>
      <c r="AS123" s="565">
        <v>2.2499999999999999E-2</v>
      </c>
      <c r="AT123" s="565">
        <v>2.5399999999999999E-2</v>
      </c>
      <c r="AU123" s="106">
        <v>15280.98</v>
      </c>
      <c r="AV123" s="106">
        <v>11006.54</v>
      </c>
      <c r="AW123" s="19"/>
    </row>
    <row r="124" spans="1:49" x14ac:dyDescent="0.25">
      <c r="B124" s="9" t="str">
        <f t="shared" si="15"/>
        <v>4 2025</v>
      </c>
      <c r="C124" s="142">
        <f t="shared" si="17"/>
        <v>45776</v>
      </c>
      <c r="D124" s="142">
        <f t="shared" si="18"/>
        <v>45777</v>
      </c>
      <c r="E124" s="143">
        <f t="shared" si="16"/>
        <v>1</v>
      </c>
      <c r="F124" s="17"/>
      <c r="G124" s="143" t="s">
        <v>7</v>
      </c>
      <c r="H124" s="242">
        <f>H123-250000</f>
        <v>11690000</v>
      </c>
      <c r="I124" s="145">
        <f t="shared" si="20"/>
        <v>0.02</v>
      </c>
      <c r="J124" s="146">
        <f t="shared" si="21"/>
        <v>649.44444444444446</v>
      </c>
      <c r="K124" s="146">
        <f t="shared" si="22"/>
        <v>189528.61111111107</v>
      </c>
      <c r="L124" s="17"/>
      <c r="M124" s="143" t="s">
        <v>7</v>
      </c>
      <c r="N124" s="144"/>
      <c r="O124" s="145"/>
      <c r="P124" s="146"/>
      <c r="Q124" s="146"/>
      <c r="R124" s="146"/>
      <c r="S124" s="17"/>
      <c r="T124" s="11"/>
      <c r="U124" s="12"/>
      <c r="V124" s="97"/>
      <c r="W124" s="13"/>
      <c r="X124" s="13"/>
      <c r="Y124" s="13"/>
      <c r="Z124" s="17"/>
      <c r="AA124" s="143"/>
      <c r="AB124" s="144"/>
      <c r="AC124" s="145"/>
      <c r="AD124" s="146"/>
      <c r="AE124" s="146"/>
      <c r="AF124" s="146"/>
      <c r="AG124" s="141"/>
      <c r="AH124" s="234"/>
      <c r="AI124" s="236"/>
      <c r="AJ124" s="90"/>
      <c r="AK124" s="91"/>
      <c r="AM124" s="234"/>
      <c r="AN124" s="236"/>
      <c r="AO124" s="90"/>
      <c r="AP124" s="91"/>
      <c r="AR124" s="106">
        <v>76908665.890000001</v>
      </c>
      <c r="AS124" s="567">
        <v>2.2499999999999999E-2</v>
      </c>
      <c r="AT124" s="565">
        <v>2.5399999999999999E-2</v>
      </c>
      <c r="AU124" s="106">
        <v>5092.6899999999996</v>
      </c>
      <c r="AV124" s="106">
        <v>832.14</v>
      </c>
      <c r="AW124" s="19"/>
    </row>
    <row r="125" spans="1:49" x14ac:dyDescent="0.25">
      <c r="B125" s="9" t="str">
        <f t="shared" si="15"/>
        <v>5 2025</v>
      </c>
      <c r="C125" s="10">
        <f t="shared" si="17"/>
        <v>45777</v>
      </c>
      <c r="D125" s="10">
        <f t="shared" si="18"/>
        <v>45778</v>
      </c>
      <c r="E125" s="11">
        <f t="shared" si="16"/>
        <v>1</v>
      </c>
      <c r="G125" s="11" t="s">
        <v>7</v>
      </c>
      <c r="H125" s="12">
        <f t="shared" si="19"/>
        <v>11690000</v>
      </c>
      <c r="I125" s="14">
        <f t="shared" si="20"/>
        <v>0.02</v>
      </c>
      <c r="J125" s="13">
        <f t="shared" si="21"/>
        <v>649.44444444444446</v>
      </c>
      <c r="K125" s="13">
        <f t="shared" si="22"/>
        <v>190178.0555555555</v>
      </c>
      <c r="M125" s="11" t="s">
        <v>7</v>
      </c>
      <c r="N125" s="12"/>
      <c r="O125" s="97"/>
      <c r="P125" s="13"/>
      <c r="Q125" s="13"/>
      <c r="R125" s="13"/>
      <c r="T125" s="11"/>
      <c r="U125" s="12"/>
      <c r="V125" s="97"/>
      <c r="W125" s="13"/>
      <c r="X125" s="13"/>
      <c r="Y125" s="13"/>
      <c r="AA125" s="11"/>
      <c r="AB125" s="98"/>
      <c r="AC125" s="97"/>
      <c r="AD125" s="13"/>
      <c r="AE125" s="13"/>
      <c r="AF125" s="13"/>
      <c r="AH125" s="235"/>
      <c r="AI125" s="236"/>
      <c r="AJ125" s="90"/>
      <c r="AK125" s="91"/>
      <c r="AM125" s="235"/>
      <c r="AN125" s="236"/>
      <c r="AO125" s="90"/>
      <c r="AP125" s="91"/>
      <c r="AR125" s="106">
        <v>76913044.75</v>
      </c>
      <c r="AS125" s="565">
        <v>2.2499999999999999E-2</v>
      </c>
      <c r="AT125" s="565">
        <v>2.5399999999999999E-2</v>
      </c>
      <c r="AU125" s="106">
        <v>5028.3</v>
      </c>
      <c r="AV125" s="106">
        <v>767.74</v>
      </c>
      <c r="AW125" s="19"/>
    </row>
    <row r="126" spans="1:49" x14ac:dyDescent="0.25">
      <c r="B126" s="9" t="str">
        <f t="shared" si="15"/>
        <v>5 2025</v>
      </c>
      <c r="C126" s="10">
        <f t="shared" si="17"/>
        <v>45778</v>
      </c>
      <c r="D126" s="10">
        <f t="shared" si="18"/>
        <v>45779</v>
      </c>
      <c r="E126" s="11">
        <f t="shared" si="16"/>
        <v>1</v>
      </c>
      <c r="G126" s="11" t="s">
        <v>7</v>
      </c>
      <c r="H126" s="12">
        <f t="shared" si="19"/>
        <v>11690000</v>
      </c>
      <c r="I126" s="14">
        <f t="shared" si="20"/>
        <v>0.02</v>
      </c>
      <c r="J126" s="13">
        <f t="shared" si="21"/>
        <v>649.44444444444446</v>
      </c>
      <c r="K126" s="13">
        <f t="shared" si="22"/>
        <v>190827.49999999994</v>
      </c>
      <c r="M126" s="11" t="s">
        <v>7</v>
      </c>
      <c r="N126" s="12"/>
      <c r="O126" s="97"/>
      <c r="P126" s="13"/>
      <c r="Q126" s="13"/>
      <c r="R126" s="13"/>
      <c r="T126" s="11"/>
      <c r="U126" s="12"/>
      <c r="V126" s="97"/>
      <c r="W126" s="13"/>
      <c r="X126" s="13"/>
      <c r="Y126" s="13"/>
      <c r="AA126" s="11"/>
      <c r="AB126" s="98"/>
      <c r="AC126" s="97"/>
      <c r="AD126" s="13"/>
      <c r="AE126" s="13"/>
      <c r="AF126" s="13"/>
      <c r="AH126" s="235"/>
      <c r="AI126" s="236"/>
      <c r="AJ126" s="90"/>
      <c r="AK126" s="91"/>
      <c r="AM126" s="235"/>
      <c r="AN126" s="236"/>
      <c r="AO126" s="90"/>
      <c r="AP126" s="91"/>
      <c r="AR126" s="106">
        <v>76913044.75</v>
      </c>
      <c r="AS126" s="565">
        <v>2.2499999999999999E-2</v>
      </c>
      <c r="AT126" s="565">
        <v>2.5399999999999999E-2</v>
      </c>
      <c r="AU126" s="106">
        <v>649.44000000000005</v>
      </c>
      <c r="AV126" s="106">
        <v>-3611.11</v>
      </c>
      <c r="AW126" s="19"/>
    </row>
    <row r="127" spans="1:49" x14ac:dyDescent="0.25">
      <c r="B127" s="9" t="str">
        <f t="shared" si="15"/>
        <v>5 2025</v>
      </c>
      <c r="C127" s="10">
        <f t="shared" si="17"/>
        <v>45779</v>
      </c>
      <c r="D127" s="10">
        <f t="shared" si="18"/>
        <v>45780</v>
      </c>
      <c r="E127" s="11">
        <f t="shared" si="16"/>
        <v>1</v>
      </c>
      <c r="G127" s="11" t="s">
        <v>7</v>
      </c>
      <c r="H127" s="243">
        <f>H126-2150000</f>
        <v>9540000</v>
      </c>
      <c r="I127" s="14">
        <f t="shared" si="20"/>
        <v>0.02</v>
      </c>
      <c r="J127" s="13">
        <f t="shared" si="21"/>
        <v>530</v>
      </c>
      <c r="K127" s="13">
        <f t="shared" si="22"/>
        <v>191357.49999999994</v>
      </c>
      <c r="M127" s="11" t="s">
        <v>7</v>
      </c>
      <c r="N127" s="12"/>
      <c r="O127" s="97"/>
      <c r="P127" s="13"/>
      <c r="Q127" s="13"/>
      <c r="R127" s="13"/>
      <c r="T127" s="11"/>
      <c r="U127" s="12"/>
      <c r="V127" s="97"/>
      <c r="W127" s="13"/>
      <c r="X127" s="13"/>
      <c r="Y127" s="13"/>
      <c r="AA127" s="11"/>
      <c r="AB127" s="98"/>
      <c r="AC127" s="97"/>
      <c r="AD127" s="13"/>
      <c r="AE127" s="13"/>
      <c r="AF127" s="13"/>
      <c r="AH127" s="235"/>
      <c r="AI127" s="236"/>
      <c r="AJ127" s="90"/>
      <c r="AK127" s="91"/>
      <c r="AM127" s="235"/>
      <c r="AN127" s="236"/>
      <c r="AO127" s="90"/>
      <c r="AP127" s="91"/>
      <c r="AR127" s="106">
        <v>74771931.25</v>
      </c>
      <c r="AS127" s="565">
        <v>2.2499999999999999E-2</v>
      </c>
      <c r="AT127" s="565">
        <v>2.5600000000000001E-2</v>
      </c>
      <c r="AU127" s="106">
        <v>9416.5</v>
      </c>
      <c r="AV127" s="106">
        <v>5275.39</v>
      </c>
      <c r="AW127" s="19"/>
    </row>
    <row r="128" spans="1:49" x14ac:dyDescent="0.25">
      <c r="B128" s="9" t="str">
        <f t="shared" si="15"/>
        <v>5 2025</v>
      </c>
      <c r="C128" s="10">
        <f t="shared" si="17"/>
        <v>45780</v>
      </c>
      <c r="D128" s="10">
        <f t="shared" si="18"/>
        <v>45781</v>
      </c>
      <c r="E128" s="11">
        <f t="shared" si="16"/>
        <v>1</v>
      </c>
      <c r="G128" s="11" t="s">
        <v>7</v>
      </c>
      <c r="H128" s="12">
        <f t="shared" si="19"/>
        <v>9540000</v>
      </c>
      <c r="I128" s="14">
        <f t="shared" si="20"/>
        <v>0.02</v>
      </c>
      <c r="J128" s="13">
        <f t="shared" si="21"/>
        <v>530</v>
      </c>
      <c r="K128" s="13">
        <f t="shared" si="22"/>
        <v>191887.49999999994</v>
      </c>
      <c r="M128" s="11" t="s">
        <v>7</v>
      </c>
      <c r="N128" s="12"/>
      <c r="O128" s="97"/>
      <c r="P128" s="13"/>
      <c r="Q128" s="13"/>
      <c r="R128" s="13"/>
      <c r="T128" s="11"/>
      <c r="U128" s="12"/>
      <c r="V128" s="97"/>
      <c r="W128" s="13"/>
      <c r="X128" s="13"/>
      <c r="Y128" s="13"/>
      <c r="AA128" s="11"/>
      <c r="AB128" s="98"/>
      <c r="AC128" s="97"/>
      <c r="AD128" s="13"/>
      <c r="AE128" s="13"/>
      <c r="AF128" s="13"/>
      <c r="AH128" s="235"/>
      <c r="AI128" s="236"/>
      <c r="AJ128" s="90"/>
      <c r="AK128" s="91"/>
      <c r="AM128" s="235"/>
      <c r="AN128" s="236"/>
      <c r="AO128" s="90"/>
      <c r="AP128" s="91"/>
      <c r="AR128" s="106">
        <v>74771931.25</v>
      </c>
      <c r="AS128" s="565">
        <v>2.2499999999999999E-2</v>
      </c>
      <c r="AT128" s="565">
        <v>2.5600000000000001E-2</v>
      </c>
      <c r="AU128" s="106">
        <v>530</v>
      </c>
      <c r="AV128" s="106">
        <v>-3611.11</v>
      </c>
      <c r="AW128" s="19"/>
    </row>
    <row r="129" spans="2:49" x14ac:dyDescent="0.25">
      <c r="B129" s="9" t="str">
        <f t="shared" si="15"/>
        <v>5 2025</v>
      </c>
      <c r="C129" s="10">
        <f t="shared" si="17"/>
        <v>45781</v>
      </c>
      <c r="D129" s="10">
        <f t="shared" si="18"/>
        <v>45782</v>
      </c>
      <c r="E129" s="11">
        <f t="shared" si="16"/>
        <v>1</v>
      </c>
      <c r="G129" s="11" t="s">
        <v>7</v>
      </c>
      <c r="H129" s="12">
        <f t="shared" si="19"/>
        <v>9540000</v>
      </c>
      <c r="I129" s="14">
        <f t="shared" si="20"/>
        <v>0.02</v>
      </c>
      <c r="J129" s="13">
        <f t="shared" si="21"/>
        <v>530</v>
      </c>
      <c r="K129" s="13">
        <f t="shared" si="22"/>
        <v>192417.49999999994</v>
      </c>
      <c r="M129" s="11" t="s">
        <v>7</v>
      </c>
      <c r="N129" s="12"/>
      <c r="O129" s="97"/>
      <c r="P129" s="13"/>
      <c r="Q129" s="13"/>
      <c r="R129" s="13"/>
      <c r="T129" s="11"/>
      <c r="U129" s="12"/>
      <c r="V129" s="97"/>
      <c r="W129" s="13"/>
      <c r="X129" s="13"/>
      <c r="Y129" s="13"/>
      <c r="AA129" s="11"/>
      <c r="AB129" s="98"/>
      <c r="AC129" s="97"/>
      <c r="AD129" s="13"/>
      <c r="AE129" s="13"/>
      <c r="AF129" s="13"/>
      <c r="AH129" s="235"/>
      <c r="AI129" s="236"/>
      <c r="AJ129" s="90"/>
      <c r="AK129" s="91"/>
      <c r="AM129" s="235"/>
      <c r="AN129" s="236"/>
      <c r="AO129" s="90"/>
      <c r="AP129" s="91"/>
      <c r="AR129" s="106">
        <v>74771931.25</v>
      </c>
      <c r="AS129" s="565">
        <v>2.2499999999999999E-2</v>
      </c>
      <c r="AT129" s="565">
        <v>2.5600000000000001E-2</v>
      </c>
      <c r="AU129" s="106">
        <v>530</v>
      </c>
      <c r="AV129" s="106">
        <v>-3611.11</v>
      </c>
      <c r="AW129" s="19"/>
    </row>
    <row r="130" spans="2:49" x14ac:dyDescent="0.25">
      <c r="B130" s="9" t="str">
        <f t="shared" si="15"/>
        <v>5 2025</v>
      </c>
      <c r="C130" s="10">
        <f t="shared" si="17"/>
        <v>45782</v>
      </c>
      <c r="D130" s="10">
        <f t="shared" si="18"/>
        <v>45783</v>
      </c>
      <c r="E130" s="11">
        <f t="shared" si="16"/>
        <v>1</v>
      </c>
      <c r="G130" s="11" t="s">
        <v>7</v>
      </c>
      <c r="H130" s="12">
        <f t="shared" si="19"/>
        <v>9540000</v>
      </c>
      <c r="I130" s="14">
        <f t="shared" si="20"/>
        <v>0.02</v>
      </c>
      <c r="J130" s="13">
        <f t="shared" si="21"/>
        <v>530</v>
      </c>
      <c r="K130" s="13">
        <f t="shared" si="22"/>
        <v>192947.49999999994</v>
      </c>
      <c r="M130" s="11" t="s">
        <v>7</v>
      </c>
      <c r="N130" s="12"/>
      <c r="O130" s="97"/>
      <c r="P130" s="13"/>
      <c r="Q130" s="13"/>
      <c r="R130" s="13"/>
      <c r="T130" s="11"/>
      <c r="U130" s="12"/>
      <c r="V130" s="97"/>
      <c r="W130" s="13"/>
      <c r="X130" s="13"/>
      <c r="Y130" s="13"/>
      <c r="AA130" s="11"/>
      <c r="AB130" s="98"/>
      <c r="AC130" s="97"/>
      <c r="AD130" s="13"/>
      <c r="AE130" s="13"/>
      <c r="AF130" s="13"/>
      <c r="AH130" s="235"/>
      <c r="AI130" s="236"/>
      <c r="AJ130" s="90"/>
      <c r="AK130" s="91"/>
      <c r="AM130" s="235"/>
      <c r="AN130" s="236"/>
      <c r="AO130" s="90"/>
      <c r="AP130" s="91"/>
      <c r="AR130" s="106">
        <v>74785196.599999994</v>
      </c>
      <c r="AS130" s="565">
        <v>2.2499999999999999E-2</v>
      </c>
      <c r="AT130" s="565">
        <v>2.5600000000000001E-2</v>
      </c>
      <c r="AU130" s="106">
        <v>13795.35</v>
      </c>
      <c r="AV130" s="106">
        <v>9654.24</v>
      </c>
      <c r="AW130" s="19"/>
    </row>
    <row r="131" spans="2:49" x14ac:dyDescent="0.25">
      <c r="B131" s="9" t="str">
        <f t="shared" si="15"/>
        <v>5 2025</v>
      </c>
      <c r="C131" s="10">
        <f t="shared" si="17"/>
        <v>45783</v>
      </c>
      <c r="D131" s="10">
        <f t="shared" si="18"/>
        <v>45784</v>
      </c>
      <c r="E131" s="11">
        <f t="shared" si="16"/>
        <v>1</v>
      </c>
      <c r="G131" s="11" t="s">
        <v>7</v>
      </c>
      <c r="H131" s="12">
        <f t="shared" si="19"/>
        <v>9540000</v>
      </c>
      <c r="I131" s="14">
        <f t="shared" si="20"/>
        <v>0.02</v>
      </c>
      <c r="J131" s="13">
        <f t="shared" si="21"/>
        <v>530</v>
      </c>
      <c r="K131" s="13">
        <f t="shared" si="22"/>
        <v>193477.49999999994</v>
      </c>
      <c r="M131" s="11" t="s">
        <v>7</v>
      </c>
      <c r="N131" s="12"/>
      <c r="O131" s="97"/>
      <c r="P131" s="13"/>
      <c r="Q131" s="13"/>
      <c r="R131" s="13"/>
      <c r="T131" s="11"/>
      <c r="U131" s="12"/>
      <c r="V131" s="97"/>
      <c r="W131" s="13"/>
      <c r="X131" s="13"/>
      <c r="Y131" s="13"/>
      <c r="AA131" s="11"/>
      <c r="AB131" s="98"/>
      <c r="AC131" s="97"/>
      <c r="AD131" s="13"/>
      <c r="AE131" s="13"/>
      <c r="AF131" s="13"/>
      <c r="AH131" s="235"/>
      <c r="AI131" s="236"/>
      <c r="AJ131" s="90"/>
      <c r="AK131" s="91"/>
      <c r="AM131" s="235"/>
      <c r="AN131" s="236"/>
      <c r="AO131" s="90"/>
      <c r="AP131" s="91"/>
      <c r="AR131" s="106">
        <v>74789575.459999993</v>
      </c>
      <c r="AS131" s="565">
        <v>2.2499999999999999E-2</v>
      </c>
      <c r="AT131" s="565">
        <v>2.3900000000000001E-2</v>
      </c>
      <c r="AU131" s="106">
        <v>4908.8500000000004</v>
      </c>
      <c r="AV131" s="106">
        <v>767.74</v>
      </c>
      <c r="AW131" s="19"/>
    </row>
    <row r="132" spans="2:49" x14ac:dyDescent="0.25">
      <c r="B132" s="9" t="str">
        <f t="shared" si="15"/>
        <v>5 2025</v>
      </c>
      <c r="C132" s="10">
        <f t="shared" si="17"/>
        <v>45784</v>
      </c>
      <c r="D132" s="10">
        <f t="shared" si="18"/>
        <v>45785</v>
      </c>
      <c r="E132" s="11">
        <f t="shared" si="16"/>
        <v>1</v>
      </c>
      <c r="G132" s="11" t="s">
        <v>7</v>
      </c>
      <c r="H132" s="12">
        <f t="shared" si="19"/>
        <v>9540000</v>
      </c>
      <c r="I132" s="14">
        <f t="shared" si="20"/>
        <v>0.02</v>
      </c>
      <c r="J132" s="13">
        <f t="shared" si="21"/>
        <v>530</v>
      </c>
      <c r="K132" s="13">
        <f t="shared" si="22"/>
        <v>194007.49999999994</v>
      </c>
      <c r="M132" s="11" t="s">
        <v>7</v>
      </c>
      <c r="N132" s="12"/>
      <c r="O132" s="97"/>
      <c r="P132" s="13"/>
      <c r="Q132" s="13"/>
      <c r="R132" s="13"/>
      <c r="T132" s="11"/>
      <c r="U132" s="12"/>
      <c r="V132" s="97"/>
      <c r="W132" s="13"/>
      <c r="X132" s="13"/>
      <c r="Y132" s="13"/>
      <c r="AA132" s="11"/>
      <c r="AB132" s="98"/>
      <c r="AC132" s="97"/>
      <c r="AD132" s="13"/>
      <c r="AE132" s="13"/>
      <c r="AF132" s="13"/>
      <c r="AH132" s="235"/>
      <c r="AI132" s="236"/>
      <c r="AJ132" s="90"/>
      <c r="AK132" s="91"/>
      <c r="AM132" s="235"/>
      <c r="AN132" s="236"/>
      <c r="AO132" s="90"/>
      <c r="AP132" s="91"/>
      <c r="AR132" s="106">
        <v>74789575.459999993</v>
      </c>
      <c r="AS132" s="565">
        <v>2.2499999999999999E-2</v>
      </c>
      <c r="AT132" s="565">
        <v>2.3900000000000001E-2</v>
      </c>
      <c r="AU132" s="106">
        <v>530</v>
      </c>
      <c r="AV132" s="106">
        <v>-3611.11</v>
      </c>
      <c r="AW132" s="19"/>
    </row>
    <row r="133" spans="2:49" x14ac:dyDescent="0.25">
      <c r="B133" s="9" t="str">
        <f t="shared" si="15"/>
        <v>5 2025</v>
      </c>
      <c r="C133" s="10">
        <f t="shared" si="17"/>
        <v>45785</v>
      </c>
      <c r="D133" s="10">
        <f t="shared" si="18"/>
        <v>45786</v>
      </c>
      <c r="E133" s="11">
        <f t="shared" si="16"/>
        <v>1</v>
      </c>
      <c r="G133" s="11" t="s">
        <v>7</v>
      </c>
      <c r="H133" s="12">
        <f t="shared" si="19"/>
        <v>9540000</v>
      </c>
      <c r="I133" s="14">
        <f t="shared" si="20"/>
        <v>0.02</v>
      </c>
      <c r="J133" s="13">
        <f t="shared" si="21"/>
        <v>530</v>
      </c>
      <c r="K133" s="13">
        <f t="shared" si="22"/>
        <v>194537.49999999994</v>
      </c>
      <c r="M133" s="11" t="s">
        <v>7</v>
      </c>
      <c r="N133" s="12"/>
      <c r="O133" s="97"/>
      <c r="P133" s="13"/>
      <c r="Q133" s="13"/>
      <c r="R133" s="13"/>
      <c r="T133" s="11"/>
      <c r="U133" s="12"/>
      <c r="V133" s="97"/>
      <c r="W133" s="13"/>
      <c r="X133" s="13"/>
      <c r="Y133" s="13"/>
      <c r="AA133" s="11"/>
      <c r="AB133" s="98"/>
      <c r="AC133" s="97"/>
      <c r="AD133" s="13"/>
      <c r="AE133" s="13"/>
      <c r="AF133" s="13"/>
      <c r="AH133" s="235"/>
      <c r="AI133" s="236"/>
      <c r="AJ133" s="90"/>
      <c r="AK133" s="91"/>
      <c r="AM133" s="235"/>
      <c r="AN133" s="236"/>
      <c r="AO133" s="90"/>
      <c r="AP133" s="91"/>
      <c r="AR133" s="106">
        <v>74789575.459999993</v>
      </c>
      <c r="AS133" s="565">
        <v>2.2499999999999999E-2</v>
      </c>
      <c r="AT133" s="565">
        <v>2.3900000000000001E-2</v>
      </c>
      <c r="AU133" s="106">
        <v>530</v>
      </c>
      <c r="AV133" s="106">
        <v>-3611.11</v>
      </c>
      <c r="AW133" s="19"/>
    </row>
    <row r="134" spans="2:49" x14ac:dyDescent="0.25">
      <c r="B134" s="9" t="str">
        <f t="shared" ref="B134:B197" si="23">CONCATENATE(MONTH(D134)," ",YEAR(D134))</f>
        <v>5 2025</v>
      </c>
      <c r="C134" s="10">
        <f t="shared" si="17"/>
        <v>45786</v>
      </c>
      <c r="D134" s="10">
        <f t="shared" si="18"/>
        <v>45787</v>
      </c>
      <c r="E134" s="11">
        <f t="shared" ref="E134:E197" si="24">D134-C134</f>
        <v>1</v>
      </c>
      <c r="G134" s="11" t="s">
        <v>7</v>
      </c>
      <c r="H134" s="12">
        <f t="shared" si="19"/>
        <v>9540000</v>
      </c>
      <c r="I134" s="14">
        <f t="shared" si="20"/>
        <v>0.02</v>
      </c>
      <c r="J134" s="13">
        <f t="shared" si="21"/>
        <v>530</v>
      </c>
      <c r="K134" s="13">
        <f t="shared" si="22"/>
        <v>195067.49999999994</v>
      </c>
      <c r="M134" s="11" t="s">
        <v>7</v>
      </c>
      <c r="N134" s="12"/>
      <c r="O134" s="97"/>
      <c r="P134" s="13"/>
      <c r="Q134" s="13"/>
      <c r="R134" s="13"/>
      <c r="T134" s="11"/>
      <c r="U134" s="12"/>
      <c r="V134" s="97"/>
      <c r="W134" s="13"/>
      <c r="X134" s="13"/>
      <c r="Y134" s="13"/>
      <c r="AA134" s="11"/>
      <c r="AB134" s="98"/>
      <c r="AC134" s="97"/>
      <c r="AD134" s="13"/>
      <c r="AE134" s="13"/>
      <c r="AF134" s="13"/>
      <c r="AH134" s="235"/>
      <c r="AI134" s="236"/>
      <c r="AJ134" s="90"/>
      <c r="AK134" s="91"/>
      <c r="AM134" s="235"/>
      <c r="AN134" s="236"/>
      <c r="AO134" s="90"/>
      <c r="AP134" s="91"/>
      <c r="AR134" s="106">
        <v>74802840.810000002</v>
      </c>
      <c r="AS134" s="565">
        <v>2.2499999999999999E-2</v>
      </c>
      <c r="AT134" s="565">
        <v>2.3900000000000001E-2</v>
      </c>
      <c r="AU134" s="106">
        <v>13795.35</v>
      </c>
      <c r="AV134" s="106">
        <v>9654.24</v>
      </c>
      <c r="AW134" s="19"/>
    </row>
    <row r="135" spans="2:49" x14ac:dyDescent="0.25">
      <c r="B135" s="9" t="str">
        <f t="shared" si="23"/>
        <v>5 2025</v>
      </c>
      <c r="C135" s="10">
        <f t="shared" si="17"/>
        <v>45787</v>
      </c>
      <c r="D135" s="10">
        <f t="shared" si="18"/>
        <v>45788</v>
      </c>
      <c r="E135" s="11">
        <f t="shared" si="24"/>
        <v>1</v>
      </c>
      <c r="G135" s="11" t="s">
        <v>7</v>
      </c>
      <c r="H135" s="12">
        <f t="shared" si="19"/>
        <v>9540000</v>
      </c>
      <c r="I135" s="14">
        <f t="shared" si="20"/>
        <v>0.02</v>
      </c>
      <c r="J135" s="13">
        <f t="shared" si="21"/>
        <v>530</v>
      </c>
      <c r="K135" s="13">
        <f t="shared" si="22"/>
        <v>195597.49999999994</v>
      </c>
      <c r="M135" s="11" t="s">
        <v>7</v>
      </c>
      <c r="N135" s="12"/>
      <c r="O135" s="97"/>
      <c r="P135" s="13"/>
      <c r="Q135" s="13"/>
      <c r="R135" s="13"/>
      <c r="T135" s="11"/>
      <c r="U135" s="12"/>
      <c r="V135" s="97"/>
      <c r="W135" s="13"/>
      <c r="X135" s="13"/>
      <c r="Y135" s="13"/>
      <c r="AA135" s="11"/>
      <c r="AB135" s="98"/>
      <c r="AC135" s="97"/>
      <c r="AD135" s="13"/>
      <c r="AE135" s="13"/>
      <c r="AF135" s="13"/>
      <c r="AH135" s="235"/>
      <c r="AI135" s="236"/>
      <c r="AJ135" s="90"/>
      <c r="AK135" s="91"/>
      <c r="AM135" s="235"/>
      <c r="AN135" s="236"/>
      <c r="AO135" s="90"/>
      <c r="AP135" s="91"/>
      <c r="AR135" s="106">
        <v>74802840.810000002</v>
      </c>
      <c r="AS135" s="565">
        <v>2.2499999999999999E-2</v>
      </c>
      <c r="AT135" s="565">
        <v>2.3900000000000001E-2</v>
      </c>
      <c r="AU135" s="106">
        <v>530</v>
      </c>
      <c r="AV135" s="106">
        <v>-3611.11</v>
      </c>
      <c r="AW135" s="19"/>
    </row>
    <row r="136" spans="2:49" x14ac:dyDescent="0.25">
      <c r="B136" s="9" t="str">
        <f t="shared" si="23"/>
        <v>5 2025</v>
      </c>
      <c r="C136" s="10">
        <f t="shared" ref="C136:C199" si="25">D135</f>
        <v>45788</v>
      </c>
      <c r="D136" s="10">
        <f t="shared" ref="D136:D199" si="26">D135+1</f>
        <v>45789</v>
      </c>
      <c r="E136" s="11">
        <f t="shared" si="24"/>
        <v>1</v>
      </c>
      <c r="G136" s="11" t="s">
        <v>7</v>
      </c>
      <c r="H136" s="12">
        <f t="shared" ref="H136:H199" si="27">H135</f>
        <v>9540000</v>
      </c>
      <c r="I136" s="14">
        <f t="shared" ref="I136:I199" si="28">I135</f>
        <v>0.02</v>
      </c>
      <c r="J136" s="13">
        <f t="shared" ref="J136:J199" si="29">+H136*I136*E136/360</f>
        <v>530</v>
      </c>
      <c r="K136" s="13">
        <f t="shared" ref="K136:K199" si="30">K135+J136</f>
        <v>196127.49999999994</v>
      </c>
      <c r="M136" s="11" t="s">
        <v>7</v>
      </c>
      <c r="N136" s="12"/>
      <c r="O136" s="97"/>
      <c r="P136" s="13"/>
      <c r="Q136" s="13"/>
      <c r="R136" s="13"/>
      <c r="T136" s="11"/>
      <c r="U136" s="12"/>
      <c r="V136" s="97"/>
      <c r="W136" s="13"/>
      <c r="X136" s="13"/>
      <c r="Y136" s="13"/>
      <c r="AA136" s="11"/>
      <c r="AB136" s="98"/>
      <c r="AC136" s="97"/>
      <c r="AD136" s="13"/>
      <c r="AE136" s="13"/>
      <c r="AF136" s="13"/>
      <c r="AH136" s="235"/>
      <c r="AI136" s="236"/>
      <c r="AJ136" s="90"/>
      <c r="AK136" s="91"/>
      <c r="AM136" s="235"/>
      <c r="AN136" s="236"/>
      <c r="AO136" s="90"/>
      <c r="AP136" s="91"/>
      <c r="AR136" s="106">
        <v>74802840.810000002</v>
      </c>
      <c r="AS136" s="565">
        <v>2.2499999999999999E-2</v>
      </c>
      <c r="AT136" s="565">
        <v>2.3900000000000001E-2</v>
      </c>
      <c r="AU136" s="106">
        <v>530</v>
      </c>
      <c r="AV136" s="106">
        <v>-3611.11</v>
      </c>
      <c r="AW136" s="19"/>
    </row>
    <row r="137" spans="2:49" x14ac:dyDescent="0.25">
      <c r="B137" s="9" t="str">
        <f t="shared" si="23"/>
        <v>5 2025</v>
      </c>
      <c r="C137" s="10">
        <f t="shared" si="25"/>
        <v>45789</v>
      </c>
      <c r="D137" s="10">
        <f t="shared" si="26"/>
        <v>45790</v>
      </c>
      <c r="E137" s="11">
        <f t="shared" si="24"/>
        <v>1</v>
      </c>
      <c r="G137" s="11" t="s">
        <v>7</v>
      </c>
      <c r="H137" s="106">
        <f>H136-1590000</f>
        <v>7950000</v>
      </c>
      <c r="I137" s="14">
        <f t="shared" si="28"/>
        <v>0.02</v>
      </c>
      <c r="J137" s="13">
        <f t="shared" si="29"/>
        <v>441.66666666666669</v>
      </c>
      <c r="K137" s="13">
        <f t="shared" si="30"/>
        <v>196569.1666666666</v>
      </c>
      <c r="M137" s="11" t="s">
        <v>7</v>
      </c>
      <c r="N137" s="12"/>
      <c r="O137" s="97"/>
      <c r="P137" s="13"/>
      <c r="Q137" s="13"/>
      <c r="R137" s="13"/>
      <c r="T137" s="11"/>
      <c r="U137" s="12"/>
      <c r="V137" s="97"/>
      <c r="W137" s="13"/>
      <c r="X137" s="13"/>
      <c r="Y137" s="13"/>
      <c r="AA137" s="11"/>
      <c r="AB137" s="98"/>
      <c r="AC137" s="97"/>
      <c r="AD137" s="13"/>
      <c r="AE137" s="13"/>
      <c r="AF137" s="13"/>
      <c r="AH137" s="235"/>
      <c r="AI137" s="236"/>
      <c r="AJ137" s="90"/>
      <c r="AK137" s="91"/>
      <c r="AM137" s="235"/>
      <c r="AN137" s="236"/>
      <c r="AO137" s="90"/>
      <c r="AP137" s="91"/>
      <c r="AR137" s="106">
        <v>73226106.170000002</v>
      </c>
      <c r="AS137" s="565">
        <v>2.2499999999999999E-2</v>
      </c>
      <c r="AT137" s="565">
        <v>2.4E-2</v>
      </c>
      <c r="AU137" s="106">
        <v>13707.02</v>
      </c>
      <c r="AV137" s="106">
        <v>9654.24</v>
      </c>
      <c r="AW137" s="19"/>
    </row>
    <row r="138" spans="2:49" x14ac:dyDescent="0.25">
      <c r="B138" s="9" t="str">
        <f t="shared" si="23"/>
        <v>5 2025</v>
      </c>
      <c r="C138" s="10">
        <f t="shared" si="25"/>
        <v>45790</v>
      </c>
      <c r="D138" s="10">
        <f t="shared" si="26"/>
        <v>45791</v>
      </c>
      <c r="E138" s="11">
        <f t="shared" si="24"/>
        <v>1</v>
      </c>
      <c r="G138" s="11" t="s">
        <v>7</v>
      </c>
      <c r="H138" s="106">
        <f>H137+2840000</f>
        <v>10790000</v>
      </c>
      <c r="I138" s="14">
        <f t="shared" si="28"/>
        <v>0.02</v>
      </c>
      <c r="J138" s="13">
        <f t="shared" si="29"/>
        <v>599.44444444444446</v>
      </c>
      <c r="K138" s="13">
        <f t="shared" si="30"/>
        <v>197168.61111111104</v>
      </c>
      <c r="M138" s="11" t="s">
        <v>7</v>
      </c>
      <c r="N138" s="12"/>
      <c r="O138" s="97"/>
      <c r="P138" s="13"/>
      <c r="Q138" s="13"/>
      <c r="R138" s="13"/>
      <c r="T138" s="11"/>
      <c r="U138" s="12"/>
      <c r="V138" s="97"/>
      <c r="W138" s="13"/>
      <c r="X138" s="13"/>
      <c r="Y138" s="13"/>
      <c r="AA138" s="11"/>
      <c r="AB138" s="98"/>
      <c r="AC138" s="97"/>
      <c r="AD138" s="13"/>
      <c r="AE138" s="13"/>
      <c r="AF138" s="13"/>
      <c r="AH138" s="235"/>
      <c r="AI138" s="236"/>
      <c r="AJ138" s="90"/>
      <c r="AK138" s="91"/>
      <c r="AM138" s="235"/>
      <c r="AN138" s="236"/>
      <c r="AO138" s="90"/>
      <c r="AP138" s="91"/>
      <c r="AR138" s="106">
        <v>76070549.420000002</v>
      </c>
      <c r="AS138" s="565">
        <v>2.2499999999999999E-2</v>
      </c>
      <c r="AT138" s="565">
        <v>2.3800000000000002E-2</v>
      </c>
      <c r="AU138" s="106">
        <v>5042.6899999999996</v>
      </c>
      <c r="AV138" s="106">
        <v>832.14</v>
      </c>
      <c r="AW138" s="19"/>
    </row>
    <row r="139" spans="2:49" x14ac:dyDescent="0.25">
      <c r="B139" s="9" t="str">
        <f t="shared" si="23"/>
        <v>5 2025</v>
      </c>
      <c r="C139" s="10">
        <f t="shared" si="25"/>
        <v>45791</v>
      </c>
      <c r="D139" s="10">
        <f t="shared" si="26"/>
        <v>45792</v>
      </c>
      <c r="E139" s="11">
        <f t="shared" si="24"/>
        <v>1</v>
      </c>
      <c r="G139" s="11" t="s">
        <v>7</v>
      </c>
      <c r="H139" s="12">
        <f t="shared" si="27"/>
        <v>10790000</v>
      </c>
      <c r="I139" s="14">
        <f t="shared" si="28"/>
        <v>0.02</v>
      </c>
      <c r="J139" s="13">
        <f t="shared" si="29"/>
        <v>599.44444444444446</v>
      </c>
      <c r="K139" s="13">
        <f t="shared" si="30"/>
        <v>197768.05555555547</v>
      </c>
      <c r="M139" s="11" t="s">
        <v>7</v>
      </c>
      <c r="N139" s="12"/>
      <c r="O139" s="97"/>
      <c r="P139" s="13"/>
      <c r="Q139" s="13"/>
      <c r="R139" s="13"/>
      <c r="T139" s="11"/>
      <c r="U139" s="12"/>
      <c r="V139" s="97"/>
      <c r="W139" s="13"/>
      <c r="X139" s="13"/>
      <c r="Y139" s="13"/>
      <c r="AA139" s="11"/>
      <c r="AB139" s="98"/>
      <c r="AC139" s="97"/>
      <c r="AD139" s="13"/>
      <c r="AE139" s="13"/>
      <c r="AF139" s="13"/>
      <c r="AH139" s="235"/>
      <c r="AI139" s="236"/>
      <c r="AJ139" s="90"/>
      <c r="AK139" s="91"/>
      <c r="AM139" s="235"/>
      <c r="AN139" s="236"/>
      <c r="AO139" s="90"/>
      <c r="AP139" s="91"/>
      <c r="AR139" s="106">
        <v>76074992.670000002</v>
      </c>
      <c r="AS139" s="565">
        <v>2.2499999999999999E-2</v>
      </c>
      <c r="AT139" s="565">
        <v>2.3800000000000002E-2</v>
      </c>
      <c r="AU139" s="106">
        <v>5042.6899999999996</v>
      </c>
      <c r="AV139" s="106">
        <v>832.14</v>
      </c>
      <c r="AW139" s="19"/>
    </row>
    <row r="140" spans="2:49" x14ac:dyDescent="0.25">
      <c r="B140" s="9" t="str">
        <f t="shared" si="23"/>
        <v>5 2025</v>
      </c>
      <c r="C140" s="10">
        <f t="shared" si="25"/>
        <v>45792</v>
      </c>
      <c r="D140" s="10">
        <f t="shared" si="26"/>
        <v>45793</v>
      </c>
      <c r="E140" s="11">
        <f t="shared" si="24"/>
        <v>1</v>
      </c>
      <c r="G140" s="11" t="s">
        <v>7</v>
      </c>
      <c r="H140" s="106">
        <f>H139-1830000+360000</f>
        <v>9320000</v>
      </c>
      <c r="I140" s="14">
        <f t="shared" si="28"/>
        <v>0.02</v>
      </c>
      <c r="J140" s="13">
        <f t="shared" si="29"/>
        <v>517.77777777777783</v>
      </c>
      <c r="K140" s="13">
        <f t="shared" si="30"/>
        <v>198285.83333333326</v>
      </c>
      <c r="M140" s="11" t="s">
        <v>7</v>
      </c>
      <c r="N140" s="12"/>
      <c r="O140" s="97"/>
      <c r="P140" s="13"/>
      <c r="Q140" s="13"/>
      <c r="R140" s="13"/>
      <c r="T140" s="11"/>
      <c r="U140" s="12"/>
      <c r="V140" s="97"/>
      <c r="W140" s="13"/>
      <c r="X140" s="13"/>
      <c r="Y140" s="13"/>
      <c r="AA140" s="11"/>
      <c r="AB140" s="98"/>
      <c r="AC140" s="97"/>
      <c r="AD140" s="13"/>
      <c r="AE140" s="13"/>
      <c r="AF140" s="13"/>
      <c r="AH140" s="235"/>
      <c r="AI140" s="236"/>
      <c r="AJ140" s="90"/>
      <c r="AK140" s="91"/>
      <c r="AM140" s="235"/>
      <c r="AN140" s="236"/>
      <c r="AO140" s="90"/>
      <c r="AP140" s="91"/>
      <c r="AR140" s="106">
        <v>74609435.920000002</v>
      </c>
      <c r="AS140" s="565">
        <v>2.2499999999999999E-2</v>
      </c>
      <c r="AT140" s="565">
        <v>2.3900000000000001E-2</v>
      </c>
      <c r="AU140" s="106">
        <v>4961.03</v>
      </c>
      <c r="AV140" s="106">
        <v>832.14</v>
      </c>
      <c r="AW140" s="19"/>
    </row>
    <row r="141" spans="2:49" x14ac:dyDescent="0.25">
      <c r="B141" s="9" t="str">
        <f t="shared" si="23"/>
        <v>5 2025</v>
      </c>
      <c r="C141" s="10">
        <f t="shared" si="25"/>
        <v>45793</v>
      </c>
      <c r="D141" s="10">
        <f t="shared" si="26"/>
        <v>45794</v>
      </c>
      <c r="E141" s="11">
        <f t="shared" si="24"/>
        <v>1</v>
      </c>
      <c r="G141" s="11" t="s">
        <v>7</v>
      </c>
      <c r="H141" s="106">
        <f>H140-40000</f>
        <v>9280000</v>
      </c>
      <c r="I141" s="14">
        <f t="shared" si="28"/>
        <v>0.02</v>
      </c>
      <c r="J141" s="13">
        <f t="shared" si="29"/>
        <v>515.55555555555554</v>
      </c>
      <c r="K141" s="13">
        <f t="shared" si="30"/>
        <v>198801.38888888882</v>
      </c>
      <c r="M141" s="11" t="s">
        <v>7</v>
      </c>
      <c r="N141" s="12"/>
      <c r="O141" s="97"/>
      <c r="P141" s="13"/>
      <c r="Q141" s="13"/>
      <c r="R141" s="13"/>
      <c r="T141" s="11"/>
      <c r="U141" s="12"/>
      <c r="V141" s="97"/>
      <c r="W141" s="13"/>
      <c r="X141" s="13"/>
      <c r="Y141" s="13"/>
      <c r="AA141" s="11"/>
      <c r="AB141" s="98"/>
      <c r="AC141" s="97"/>
      <c r="AD141" s="13"/>
      <c r="AE141" s="13"/>
      <c r="AF141" s="13"/>
      <c r="AH141" s="235"/>
      <c r="AI141" s="236"/>
      <c r="AJ141" s="90"/>
      <c r="AK141" s="91"/>
      <c r="AM141" s="235"/>
      <c r="AN141" s="236"/>
      <c r="AO141" s="90"/>
      <c r="AP141" s="91"/>
      <c r="AR141" s="106">
        <v>74573879.170000002</v>
      </c>
      <c r="AS141" s="565">
        <v>2.2499999999999999E-2</v>
      </c>
      <c r="AT141" s="565">
        <v>2.3900000000000001E-2</v>
      </c>
      <c r="AU141" s="106">
        <v>4958.8100000000004</v>
      </c>
      <c r="AV141" s="106">
        <v>832.14</v>
      </c>
      <c r="AW141" s="19"/>
    </row>
    <row r="142" spans="2:49" x14ac:dyDescent="0.25">
      <c r="B142" s="9" t="str">
        <f t="shared" si="23"/>
        <v>5 2025</v>
      </c>
      <c r="C142" s="10">
        <f t="shared" si="25"/>
        <v>45794</v>
      </c>
      <c r="D142" s="10">
        <f t="shared" si="26"/>
        <v>45795</v>
      </c>
      <c r="E142" s="11">
        <f t="shared" si="24"/>
        <v>1</v>
      </c>
      <c r="G142" s="11" t="s">
        <v>7</v>
      </c>
      <c r="H142" s="12">
        <f t="shared" si="27"/>
        <v>9280000</v>
      </c>
      <c r="I142" s="14">
        <f t="shared" si="28"/>
        <v>0.02</v>
      </c>
      <c r="J142" s="13">
        <f t="shared" si="29"/>
        <v>515.55555555555554</v>
      </c>
      <c r="K142" s="13">
        <f t="shared" si="30"/>
        <v>199316.94444444438</v>
      </c>
      <c r="M142" s="11" t="s">
        <v>7</v>
      </c>
      <c r="N142" s="12"/>
      <c r="O142" s="97"/>
      <c r="P142" s="13"/>
      <c r="Q142" s="13"/>
      <c r="R142" s="13"/>
      <c r="T142" s="11"/>
      <c r="U142" s="12"/>
      <c r="V142" s="97"/>
      <c r="W142" s="13"/>
      <c r="X142" s="13"/>
      <c r="Y142" s="13"/>
      <c r="AA142" s="11"/>
      <c r="AB142" s="98"/>
      <c r="AC142" s="97"/>
      <c r="AD142" s="13"/>
      <c r="AE142" s="13"/>
      <c r="AF142" s="13"/>
      <c r="AH142" s="235"/>
      <c r="AI142" s="236"/>
      <c r="AJ142" s="90"/>
      <c r="AK142" s="91"/>
      <c r="AM142" s="235"/>
      <c r="AN142" s="236"/>
      <c r="AO142" s="90"/>
      <c r="AP142" s="91"/>
      <c r="AR142" s="106">
        <v>74573879.170000002</v>
      </c>
      <c r="AS142" s="565">
        <v>2.2499999999999999E-2</v>
      </c>
      <c r="AT142" s="565">
        <v>2.3900000000000001E-2</v>
      </c>
      <c r="AU142" s="106">
        <v>515.55999999999995</v>
      </c>
      <c r="AV142" s="106">
        <v>-3611.11</v>
      </c>
      <c r="AW142" s="19"/>
    </row>
    <row r="143" spans="2:49" x14ac:dyDescent="0.25">
      <c r="B143" s="9" t="str">
        <f t="shared" si="23"/>
        <v>5 2025</v>
      </c>
      <c r="C143" s="10">
        <f t="shared" si="25"/>
        <v>45795</v>
      </c>
      <c r="D143" s="10">
        <f t="shared" si="26"/>
        <v>45796</v>
      </c>
      <c r="E143" s="11">
        <f t="shared" si="24"/>
        <v>1</v>
      </c>
      <c r="G143" s="11" t="s">
        <v>7</v>
      </c>
      <c r="H143" s="12">
        <f t="shared" si="27"/>
        <v>9280000</v>
      </c>
      <c r="I143" s="14">
        <f t="shared" si="28"/>
        <v>0.02</v>
      </c>
      <c r="J143" s="13">
        <f t="shared" si="29"/>
        <v>515.55555555555554</v>
      </c>
      <c r="K143" s="13">
        <f t="shared" si="30"/>
        <v>199832.49999999994</v>
      </c>
      <c r="M143" s="11" t="s">
        <v>7</v>
      </c>
      <c r="N143" s="12"/>
      <c r="O143" s="97"/>
      <c r="P143" s="13"/>
      <c r="Q143" s="13"/>
      <c r="R143" s="13"/>
      <c r="T143" s="11"/>
      <c r="U143" s="12"/>
      <c r="V143" s="97"/>
      <c r="W143" s="13"/>
      <c r="X143" s="13"/>
      <c r="Y143" s="13"/>
      <c r="AA143" s="11"/>
      <c r="AB143" s="98"/>
      <c r="AC143" s="97"/>
      <c r="AD143" s="13"/>
      <c r="AE143" s="13"/>
      <c r="AF143" s="13"/>
      <c r="AH143" s="235"/>
      <c r="AI143" s="236"/>
      <c r="AJ143" s="90"/>
      <c r="AK143" s="91"/>
      <c r="AM143" s="235"/>
      <c r="AN143" s="236"/>
      <c r="AO143" s="90"/>
      <c r="AP143" s="91"/>
      <c r="AR143" s="106">
        <v>74573879.170000002</v>
      </c>
      <c r="AS143" s="565">
        <v>2.2499999999999999E-2</v>
      </c>
      <c r="AT143" s="565">
        <v>2.3900000000000001E-2</v>
      </c>
      <c r="AU143" s="106">
        <v>515.55999999999995</v>
      </c>
      <c r="AV143" s="106">
        <v>-3611.11</v>
      </c>
      <c r="AW143" s="19"/>
    </row>
    <row r="144" spans="2:49" x14ac:dyDescent="0.25">
      <c r="B144" s="9" t="str">
        <f t="shared" si="23"/>
        <v>5 2025</v>
      </c>
      <c r="C144" s="10">
        <f t="shared" si="25"/>
        <v>45796</v>
      </c>
      <c r="D144" s="10">
        <f t="shared" si="26"/>
        <v>45797</v>
      </c>
      <c r="E144" s="11">
        <f t="shared" si="24"/>
        <v>1</v>
      </c>
      <c r="G144" s="11" t="s">
        <v>7</v>
      </c>
      <c r="H144" s="12">
        <f t="shared" si="27"/>
        <v>9280000</v>
      </c>
      <c r="I144" s="14">
        <f t="shared" si="28"/>
        <v>0.02</v>
      </c>
      <c r="J144" s="13">
        <f t="shared" si="29"/>
        <v>515.55555555555554</v>
      </c>
      <c r="K144" s="13">
        <f t="shared" si="30"/>
        <v>200348.0555555555</v>
      </c>
      <c r="M144" s="11" t="s">
        <v>7</v>
      </c>
      <c r="N144" s="12"/>
      <c r="O144" s="97"/>
      <c r="P144" s="13"/>
      <c r="Q144" s="13"/>
      <c r="R144" s="13"/>
      <c r="T144" s="11"/>
      <c r="U144" s="12"/>
      <c r="V144" s="97"/>
      <c r="W144" s="13"/>
      <c r="X144" s="13"/>
      <c r="Y144" s="13"/>
      <c r="AA144" s="11"/>
      <c r="AB144" s="98"/>
      <c r="AC144" s="97"/>
      <c r="AD144" s="13"/>
      <c r="AE144" s="13"/>
      <c r="AF144" s="13"/>
      <c r="AH144" s="235"/>
      <c r="AI144" s="236"/>
      <c r="AJ144" s="90"/>
      <c r="AK144" s="91"/>
      <c r="AM144" s="235"/>
      <c r="AN144" s="236"/>
      <c r="AO144" s="90"/>
      <c r="AP144" s="91"/>
      <c r="AR144" s="106">
        <v>74587144.519999996</v>
      </c>
      <c r="AS144" s="565">
        <v>2.2499999999999999E-2</v>
      </c>
      <c r="AT144" s="565">
        <v>2.3900000000000001E-2</v>
      </c>
      <c r="AU144" s="106">
        <v>13780.91</v>
      </c>
      <c r="AV144" s="106">
        <v>9654.24</v>
      </c>
      <c r="AW144" s="19"/>
    </row>
    <row r="145" spans="2:49" x14ac:dyDescent="0.25">
      <c r="B145" s="9" t="str">
        <f t="shared" si="23"/>
        <v>5 2025</v>
      </c>
      <c r="C145" s="10">
        <f t="shared" si="25"/>
        <v>45797</v>
      </c>
      <c r="D145" s="10">
        <f t="shared" si="26"/>
        <v>45798</v>
      </c>
      <c r="E145" s="11">
        <f t="shared" si="24"/>
        <v>1</v>
      </c>
      <c r="G145" s="11" t="s">
        <v>7</v>
      </c>
      <c r="H145" s="12">
        <f t="shared" si="27"/>
        <v>9280000</v>
      </c>
      <c r="I145" s="14">
        <f t="shared" si="28"/>
        <v>0.02</v>
      </c>
      <c r="J145" s="13">
        <f t="shared" si="29"/>
        <v>515.55555555555554</v>
      </c>
      <c r="K145" s="13">
        <f t="shared" si="30"/>
        <v>200863.61111111107</v>
      </c>
      <c r="M145" s="11" t="s">
        <v>7</v>
      </c>
      <c r="N145" s="12"/>
      <c r="O145" s="97"/>
      <c r="P145" s="13"/>
      <c r="Q145" s="13"/>
      <c r="R145" s="13"/>
      <c r="T145" s="11"/>
      <c r="U145" s="12"/>
      <c r="V145" s="97"/>
      <c r="W145" s="13"/>
      <c r="X145" s="13"/>
      <c r="Y145" s="13"/>
      <c r="AA145" s="11"/>
      <c r="AB145" s="98"/>
      <c r="AC145" s="97"/>
      <c r="AD145" s="13"/>
      <c r="AE145" s="13"/>
      <c r="AF145" s="13"/>
      <c r="AH145" s="235"/>
      <c r="AI145" s="236"/>
      <c r="AJ145" s="90"/>
      <c r="AK145" s="91"/>
      <c r="AM145" s="235"/>
      <c r="AN145" s="236"/>
      <c r="AO145" s="90"/>
      <c r="AP145" s="91"/>
      <c r="AR145" s="106">
        <v>74591587.769999996</v>
      </c>
      <c r="AS145" s="565">
        <v>2.2499999999999999E-2</v>
      </c>
      <c r="AT145" s="565">
        <v>2.3900000000000001E-2</v>
      </c>
      <c r="AU145" s="106">
        <v>4958.8100000000004</v>
      </c>
      <c r="AV145" s="106">
        <v>832.14</v>
      </c>
      <c r="AW145" s="19"/>
    </row>
    <row r="146" spans="2:49" x14ac:dyDescent="0.25">
      <c r="B146" s="9" t="str">
        <f t="shared" si="23"/>
        <v>5 2025</v>
      </c>
      <c r="C146" s="10">
        <f t="shared" si="25"/>
        <v>45798</v>
      </c>
      <c r="D146" s="10">
        <f t="shared" si="26"/>
        <v>45799</v>
      </c>
      <c r="E146" s="11">
        <f t="shared" si="24"/>
        <v>1</v>
      </c>
      <c r="G146" s="11" t="s">
        <v>7</v>
      </c>
      <c r="H146" s="106">
        <f>H145-60000</f>
        <v>9220000</v>
      </c>
      <c r="I146" s="14">
        <f t="shared" si="28"/>
        <v>0.02</v>
      </c>
      <c r="J146" s="13">
        <f t="shared" si="29"/>
        <v>512.22222222222217</v>
      </c>
      <c r="K146" s="13">
        <f t="shared" si="30"/>
        <v>201375.83333333328</v>
      </c>
      <c r="M146" s="11" t="s">
        <v>7</v>
      </c>
      <c r="N146" s="12"/>
      <c r="O146" s="97"/>
      <c r="P146" s="13"/>
      <c r="Q146" s="13"/>
      <c r="R146" s="13"/>
      <c r="T146" s="11"/>
      <c r="U146" s="12"/>
      <c r="V146" s="97"/>
      <c r="W146" s="13"/>
      <c r="X146" s="13"/>
      <c r="Y146" s="13"/>
      <c r="AA146" s="11"/>
      <c r="AB146" s="98"/>
      <c r="AC146" s="97"/>
      <c r="AD146" s="13"/>
      <c r="AE146" s="13"/>
      <c r="AF146" s="13"/>
      <c r="AH146" s="235"/>
      <c r="AI146" s="236"/>
      <c r="AJ146" s="90"/>
      <c r="AK146" s="91"/>
      <c r="AM146" s="235"/>
      <c r="AN146" s="236"/>
      <c r="AO146" s="90"/>
      <c r="AP146" s="91"/>
      <c r="AR146" s="106">
        <v>74536031.019999996</v>
      </c>
      <c r="AS146" s="565">
        <v>2.2499999999999999E-2</v>
      </c>
      <c r="AT146" s="565">
        <v>2.3900000000000001E-2</v>
      </c>
      <c r="AU146" s="106">
        <v>4955.47</v>
      </c>
      <c r="AV146" s="106">
        <v>832.14</v>
      </c>
      <c r="AW146" s="19"/>
    </row>
    <row r="147" spans="2:49" x14ac:dyDescent="0.25">
      <c r="B147" s="9" t="str">
        <f t="shared" si="23"/>
        <v>5 2025</v>
      </c>
      <c r="C147" s="10">
        <f t="shared" si="25"/>
        <v>45799</v>
      </c>
      <c r="D147" s="10">
        <f t="shared" si="26"/>
        <v>45800</v>
      </c>
      <c r="E147" s="11">
        <f t="shared" si="24"/>
        <v>1</v>
      </c>
      <c r="G147" s="11" t="s">
        <v>7</v>
      </c>
      <c r="H147" s="12">
        <f t="shared" si="27"/>
        <v>9220000</v>
      </c>
      <c r="I147" s="14">
        <f t="shared" si="28"/>
        <v>0.02</v>
      </c>
      <c r="J147" s="13">
        <f t="shared" si="29"/>
        <v>512.22222222222217</v>
      </c>
      <c r="K147" s="13">
        <f t="shared" si="30"/>
        <v>201888.0555555555</v>
      </c>
      <c r="M147" s="11" t="s">
        <v>7</v>
      </c>
      <c r="N147" s="12"/>
      <c r="O147" s="97"/>
      <c r="P147" s="13"/>
      <c r="Q147" s="13"/>
      <c r="R147" s="13"/>
      <c r="T147" s="11"/>
      <c r="U147" s="12"/>
      <c r="V147" s="97"/>
      <c r="W147" s="13"/>
      <c r="X147" s="13"/>
      <c r="Y147" s="13"/>
      <c r="AA147" s="11"/>
      <c r="AB147" s="98"/>
      <c r="AC147" s="97"/>
      <c r="AD147" s="13"/>
      <c r="AE147" s="13"/>
      <c r="AF147" s="13"/>
      <c r="AH147" s="235"/>
      <c r="AI147" s="236"/>
      <c r="AJ147" s="90"/>
      <c r="AK147" s="91"/>
      <c r="AM147" s="235"/>
      <c r="AN147" s="236"/>
      <c r="AO147" s="90"/>
      <c r="AP147" s="91"/>
      <c r="AR147" s="106">
        <v>74540474.269999996</v>
      </c>
      <c r="AS147" s="565">
        <v>2.2499999999999999E-2</v>
      </c>
      <c r="AT147" s="565">
        <v>2.3900000000000001E-2</v>
      </c>
      <c r="AU147" s="106">
        <v>4955.47</v>
      </c>
      <c r="AV147" s="106">
        <v>832.14</v>
      </c>
      <c r="AW147" s="19"/>
    </row>
    <row r="148" spans="2:49" x14ac:dyDescent="0.25">
      <c r="B148" s="9" t="str">
        <f t="shared" si="23"/>
        <v>5 2025</v>
      </c>
      <c r="C148" s="10">
        <f t="shared" si="25"/>
        <v>45800</v>
      </c>
      <c r="D148" s="10">
        <f t="shared" si="26"/>
        <v>45801</v>
      </c>
      <c r="E148" s="11">
        <f t="shared" si="24"/>
        <v>1</v>
      </c>
      <c r="G148" s="11" t="s">
        <v>7</v>
      </c>
      <c r="H148" s="106">
        <f>H147-2930000</f>
        <v>6290000</v>
      </c>
      <c r="I148" s="14">
        <f t="shared" si="28"/>
        <v>0.02</v>
      </c>
      <c r="J148" s="13">
        <f t="shared" si="29"/>
        <v>349.44444444444446</v>
      </c>
      <c r="K148" s="13">
        <f t="shared" si="30"/>
        <v>202237.49999999994</v>
      </c>
      <c r="M148" s="11" t="s">
        <v>7</v>
      </c>
      <c r="N148" s="12"/>
      <c r="O148" s="97"/>
      <c r="P148" s="13"/>
      <c r="Q148" s="13"/>
      <c r="R148" s="13"/>
      <c r="T148" s="11"/>
      <c r="U148" s="12"/>
      <c r="V148" s="97"/>
      <c r="W148" s="13"/>
      <c r="X148" s="13"/>
      <c r="Y148" s="13"/>
      <c r="AA148" s="11"/>
      <c r="AB148" s="98"/>
      <c r="AC148" s="97"/>
      <c r="AD148" s="13"/>
      <c r="AE148" s="13"/>
      <c r="AF148" s="13"/>
      <c r="AH148" s="235"/>
      <c r="AI148" s="236"/>
      <c r="AJ148" s="90"/>
      <c r="AK148" s="91"/>
      <c r="AM148" s="235"/>
      <c r="AN148" s="236"/>
      <c r="AO148" s="90"/>
      <c r="AP148" s="91"/>
      <c r="AR148" s="106">
        <v>71614917.519999996</v>
      </c>
      <c r="AS148" s="565">
        <v>2.2499999999999999E-2</v>
      </c>
      <c r="AT148" s="565">
        <v>2.41E-2</v>
      </c>
      <c r="AU148" s="106">
        <v>4792.6899999999996</v>
      </c>
      <c r="AV148" s="106">
        <v>832.14</v>
      </c>
      <c r="AW148" s="19"/>
    </row>
    <row r="149" spans="2:49" x14ac:dyDescent="0.25">
      <c r="B149" s="9" t="str">
        <f t="shared" si="23"/>
        <v>5 2025</v>
      </c>
      <c r="C149" s="10">
        <f t="shared" si="25"/>
        <v>45801</v>
      </c>
      <c r="D149" s="10">
        <f t="shared" si="26"/>
        <v>45802</v>
      </c>
      <c r="E149" s="11">
        <f t="shared" si="24"/>
        <v>1</v>
      </c>
      <c r="G149" s="11" t="s">
        <v>7</v>
      </c>
      <c r="H149" s="12">
        <f t="shared" si="27"/>
        <v>6290000</v>
      </c>
      <c r="I149" s="14">
        <f t="shared" si="28"/>
        <v>0.02</v>
      </c>
      <c r="J149" s="13">
        <f t="shared" si="29"/>
        <v>349.44444444444446</v>
      </c>
      <c r="K149" s="13">
        <f t="shared" si="30"/>
        <v>202586.94444444438</v>
      </c>
      <c r="M149" s="11" t="s">
        <v>7</v>
      </c>
      <c r="N149" s="12"/>
      <c r="O149" s="97"/>
      <c r="P149" s="13"/>
      <c r="Q149" s="13"/>
      <c r="R149" s="13"/>
      <c r="T149" s="11"/>
      <c r="U149" s="12"/>
      <c r="V149" s="97"/>
      <c r="W149" s="13"/>
      <c r="X149" s="13"/>
      <c r="Y149" s="13"/>
      <c r="AA149" s="11"/>
      <c r="AB149" s="98"/>
      <c r="AC149" s="97"/>
      <c r="AD149" s="13"/>
      <c r="AE149" s="13"/>
      <c r="AF149" s="13"/>
      <c r="AH149" s="235"/>
      <c r="AI149" s="236"/>
      <c r="AJ149" s="90"/>
      <c r="AK149" s="91"/>
      <c r="AM149" s="235"/>
      <c r="AN149" s="236"/>
      <c r="AO149" s="90"/>
      <c r="AP149" s="91"/>
      <c r="AR149" s="106">
        <v>71614917.519999996</v>
      </c>
      <c r="AS149" s="565">
        <v>2.2499999999999999E-2</v>
      </c>
      <c r="AT149" s="565">
        <v>2.41E-2</v>
      </c>
      <c r="AU149" s="106">
        <v>349.44</v>
      </c>
      <c r="AV149" s="106">
        <v>-3611.11</v>
      </c>
      <c r="AW149" s="19"/>
    </row>
    <row r="150" spans="2:49" x14ac:dyDescent="0.25">
      <c r="B150" s="9" t="str">
        <f t="shared" si="23"/>
        <v>5 2025</v>
      </c>
      <c r="C150" s="10">
        <f t="shared" si="25"/>
        <v>45802</v>
      </c>
      <c r="D150" s="10">
        <f t="shared" si="26"/>
        <v>45803</v>
      </c>
      <c r="E150" s="11">
        <f t="shared" si="24"/>
        <v>1</v>
      </c>
      <c r="G150" s="11" t="s">
        <v>7</v>
      </c>
      <c r="H150" s="12">
        <f t="shared" si="27"/>
        <v>6290000</v>
      </c>
      <c r="I150" s="14">
        <f t="shared" si="28"/>
        <v>0.02</v>
      </c>
      <c r="J150" s="13">
        <f t="shared" si="29"/>
        <v>349.44444444444446</v>
      </c>
      <c r="K150" s="13">
        <f t="shared" si="30"/>
        <v>202936.38888888882</v>
      </c>
      <c r="M150" s="11" t="s">
        <v>7</v>
      </c>
      <c r="N150" s="12"/>
      <c r="O150" s="97"/>
      <c r="P150" s="13"/>
      <c r="Q150" s="13"/>
      <c r="R150" s="13"/>
      <c r="T150" s="11"/>
      <c r="U150" s="12"/>
      <c r="V150" s="97"/>
      <c r="W150" s="13"/>
      <c r="X150" s="13"/>
      <c r="Y150" s="13"/>
      <c r="AA150" s="11"/>
      <c r="AB150" s="98"/>
      <c r="AC150" s="97"/>
      <c r="AD150" s="13"/>
      <c r="AE150" s="13"/>
      <c r="AF150" s="13"/>
      <c r="AH150" s="235"/>
      <c r="AI150" s="236"/>
      <c r="AJ150" s="90"/>
      <c r="AK150" s="91"/>
      <c r="AM150" s="235"/>
      <c r="AN150" s="236"/>
      <c r="AO150" s="90"/>
      <c r="AP150" s="91"/>
      <c r="AR150" s="106">
        <v>71614917.519999996</v>
      </c>
      <c r="AS150" s="565">
        <v>2.2499999999999999E-2</v>
      </c>
      <c r="AT150" s="565">
        <v>2.41E-2</v>
      </c>
      <c r="AU150" s="106">
        <v>349.44</v>
      </c>
      <c r="AV150" s="106">
        <v>-3611.11</v>
      </c>
      <c r="AW150" s="19"/>
    </row>
    <row r="151" spans="2:49" x14ac:dyDescent="0.25">
      <c r="B151" s="9" t="str">
        <f t="shared" si="23"/>
        <v>5 2025</v>
      </c>
      <c r="C151" s="10">
        <f t="shared" si="25"/>
        <v>45803</v>
      </c>
      <c r="D151" s="10">
        <f t="shared" si="26"/>
        <v>45804</v>
      </c>
      <c r="E151" s="11">
        <f t="shared" si="24"/>
        <v>1</v>
      </c>
      <c r="G151" s="11" t="s">
        <v>7</v>
      </c>
      <c r="H151" s="106">
        <f>H150-410000</f>
        <v>5880000</v>
      </c>
      <c r="I151" s="14">
        <f t="shared" si="28"/>
        <v>0.02</v>
      </c>
      <c r="J151" s="13">
        <f t="shared" si="29"/>
        <v>326.66666666666669</v>
      </c>
      <c r="K151" s="13">
        <f t="shared" si="30"/>
        <v>203263.05555555547</v>
      </c>
      <c r="M151" s="11" t="s">
        <v>7</v>
      </c>
      <c r="N151" s="12"/>
      <c r="O151" s="97"/>
      <c r="P151" s="13"/>
      <c r="Q151" s="13"/>
      <c r="R151" s="13"/>
      <c r="T151" s="11"/>
      <c r="U151" s="12"/>
      <c r="V151" s="97"/>
      <c r="W151" s="13"/>
      <c r="X151" s="13"/>
      <c r="Y151" s="13"/>
      <c r="AA151" s="11"/>
      <c r="AB151" s="98"/>
      <c r="AC151" s="97"/>
      <c r="AD151" s="13"/>
      <c r="AE151" s="13"/>
      <c r="AF151" s="13"/>
      <c r="AH151" s="235"/>
      <c r="AI151" s="236"/>
      <c r="AJ151" s="90"/>
      <c r="AK151" s="91"/>
      <c r="AM151" s="235"/>
      <c r="AN151" s="236"/>
      <c r="AO151" s="90"/>
      <c r="AP151" s="91"/>
      <c r="AR151" s="106">
        <v>71218182.879999995</v>
      </c>
      <c r="AS151" s="565">
        <v>2.2499999999999999E-2</v>
      </c>
      <c r="AT151" s="565">
        <v>2.41E-2</v>
      </c>
      <c r="AU151" s="106">
        <v>13592.02</v>
      </c>
      <c r="AV151" s="106">
        <v>9654.24</v>
      </c>
      <c r="AW151" s="19"/>
    </row>
    <row r="152" spans="2:49" x14ac:dyDescent="0.25">
      <c r="B152" s="9" t="str">
        <f t="shared" si="23"/>
        <v>5 2025</v>
      </c>
      <c r="C152" s="10">
        <f t="shared" si="25"/>
        <v>45804</v>
      </c>
      <c r="D152" s="10">
        <f t="shared" si="26"/>
        <v>45805</v>
      </c>
      <c r="E152" s="11">
        <f t="shared" si="24"/>
        <v>1</v>
      </c>
      <c r="G152" s="11" t="s">
        <v>7</v>
      </c>
      <c r="H152" s="12">
        <f t="shared" si="27"/>
        <v>5880000</v>
      </c>
      <c r="I152" s="14">
        <f t="shared" si="28"/>
        <v>0.02</v>
      </c>
      <c r="J152" s="13">
        <f t="shared" si="29"/>
        <v>326.66666666666669</v>
      </c>
      <c r="K152" s="13">
        <f t="shared" si="30"/>
        <v>203589.72222222213</v>
      </c>
      <c r="M152" s="11" t="s">
        <v>7</v>
      </c>
      <c r="N152" s="12"/>
      <c r="O152" s="97"/>
      <c r="P152" s="13"/>
      <c r="Q152" s="13"/>
      <c r="R152" s="13"/>
      <c r="T152" s="11"/>
      <c r="U152" s="12"/>
      <c r="V152" s="97"/>
      <c r="W152" s="13"/>
      <c r="X152" s="13"/>
      <c r="Y152" s="13"/>
      <c r="AA152" s="11"/>
      <c r="AB152" s="98"/>
      <c r="AC152" s="97"/>
      <c r="AD152" s="13"/>
      <c r="AE152" s="13"/>
      <c r="AF152" s="13"/>
      <c r="AH152" s="235"/>
      <c r="AI152" s="236"/>
      <c r="AJ152" s="90"/>
      <c r="AK152" s="91"/>
      <c r="AM152" s="235"/>
      <c r="AN152" s="236"/>
      <c r="AO152" s="90"/>
      <c r="AP152" s="91"/>
      <c r="AR152" s="106">
        <v>71222626.129999995</v>
      </c>
      <c r="AS152" s="565">
        <v>2.2499999999999999E-2</v>
      </c>
      <c r="AT152" s="565">
        <v>2.41E-2</v>
      </c>
      <c r="AU152" s="106">
        <v>4769.92</v>
      </c>
      <c r="AV152" s="106">
        <v>832.14</v>
      </c>
      <c r="AW152" s="19"/>
    </row>
    <row r="153" spans="2:49" x14ac:dyDescent="0.25">
      <c r="B153" s="9" t="str">
        <f t="shared" si="23"/>
        <v>5 2025</v>
      </c>
      <c r="C153" s="10">
        <f t="shared" si="25"/>
        <v>45805</v>
      </c>
      <c r="D153" s="10">
        <f t="shared" si="26"/>
        <v>45806</v>
      </c>
      <c r="E153" s="11">
        <f t="shared" si="24"/>
        <v>1</v>
      </c>
      <c r="G153" s="11" t="s">
        <v>7</v>
      </c>
      <c r="H153" s="106">
        <f>H152+550000</f>
        <v>6430000</v>
      </c>
      <c r="I153" s="14">
        <f t="shared" si="28"/>
        <v>0.02</v>
      </c>
      <c r="J153" s="13">
        <f t="shared" si="29"/>
        <v>357.22222222222223</v>
      </c>
      <c r="K153" s="13">
        <f t="shared" si="30"/>
        <v>203946.94444444435</v>
      </c>
      <c r="M153" s="11" t="s">
        <v>7</v>
      </c>
      <c r="N153" s="12"/>
      <c r="O153" s="97"/>
      <c r="P153" s="13"/>
      <c r="Q153" s="13"/>
      <c r="R153" s="13"/>
      <c r="T153" s="11"/>
      <c r="U153" s="12"/>
      <c r="V153" s="97"/>
      <c r="W153" s="13"/>
      <c r="X153" s="13"/>
      <c r="Y153" s="13"/>
      <c r="AA153" s="11"/>
      <c r="AB153" s="98"/>
      <c r="AC153" s="97"/>
      <c r="AD153" s="13"/>
      <c r="AE153" s="13"/>
      <c r="AF153" s="13"/>
      <c r="AH153" s="235"/>
      <c r="AI153" s="236"/>
      <c r="AJ153" s="90"/>
      <c r="AK153" s="91"/>
      <c r="AM153" s="235"/>
      <c r="AN153" s="236"/>
      <c r="AO153" s="90"/>
      <c r="AP153" s="91"/>
      <c r="AR153" s="106">
        <v>71772626.129999995</v>
      </c>
      <c r="AS153" s="565">
        <v>2.2499999999999999E-2</v>
      </c>
      <c r="AT153" s="565">
        <v>2.4E-2</v>
      </c>
      <c r="AU153" s="106">
        <v>357.22</v>
      </c>
      <c r="AV153" s="106">
        <v>-3611.11</v>
      </c>
      <c r="AW153" s="19"/>
    </row>
    <row r="154" spans="2:49" x14ac:dyDescent="0.25">
      <c r="B154" s="9" t="str">
        <f t="shared" si="23"/>
        <v>5 2025</v>
      </c>
      <c r="C154" s="10">
        <f t="shared" si="25"/>
        <v>45806</v>
      </c>
      <c r="D154" s="10">
        <f t="shared" si="26"/>
        <v>45807</v>
      </c>
      <c r="E154" s="11">
        <f t="shared" si="24"/>
        <v>1</v>
      </c>
      <c r="G154" s="11" t="s">
        <v>7</v>
      </c>
      <c r="H154" s="12">
        <f t="shared" si="27"/>
        <v>6430000</v>
      </c>
      <c r="I154" s="14">
        <f t="shared" si="28"/>
        <v>0.02</v>
      </c>
      <c r="J154" s="13">
        <f t="shared" si="29"/>
        <v>357.22222222222223</v>
      </c>
      <c r="K154" s="13">
        <f t="shared" si="30"/>
        <v>204304.16666666657</v>
      </c>
      <c r="M154" s="11" t="s">
        <v>7</v>
      </c>
      <c r="N154" s="12"/>
      <c r="O154" s="97"/>
      <c r="P154" s="13"/>
      <c r="Q154" s="13"/>
      <c r="R154" s="13"/>
      <c r="T154" s="11"/>
      <c r="U154" s="12"/>
      <c r="V154" s="97"/>
      <c r="W154" s="13"/>
      <c r="X154" s="13"/>
      <c r="Y154" s="13"/>
      <c r="AA154" s="11"/>
      <c r="AB154" s="98"/>
      <c r="AC154" s="97"/>
      <c r="AD154" s="13"/>
      <c r="AE154" s="13"/>
      <c r="AF154" s="13"/>
      <c r="AH154" s="235"/>
      <c r="AI154" s="236"/>
      <c r="AJ154" s="90"/>
      <c r="AK154" s="91"/>
      <c r="AM154" s="235"/>
      <c r="AN154" s="236"/>
      <c r="AO154" s="90"/>
      <c r="AP154" s="91"/>
      <c r="AR154" s="106">
        <v>71772626.129999995</v>
      </c>
      <c r="AS154" s="565">
        <v>2.2499999999999999E-2</v>
      </c>
      <c r="AT154" s="565">
        <v>2.4E-2</v>
      </c>
      <c r="AU154" s="106">
        <v>357.22</v>
      </c>
      <c r="AV154" s="106">
        <v>-3611.11</v>
      </c>
      <c r="AW154" s="19"/>
    </row>
    <row r="155" spans="2:49" x14ac:dyDescent="0.25">
      <c r="B155" s="9" t="str">
        <f t="shared" si="23"/>
        <v>5 2025</v>
      </c>
      <c r="C155" s="142">
        <f t="shared" si="25"/>
        <v>45807</v>
      </c>
      <c r="D155" s="142">
        <f t="shared" si="26"/>
        <v>45808</v>
      </c>
      <c r="E155" s="143">
        <f t="shared" si="24"/>
        <v>1</v>
      </c>
      <c r="F155" s="17"/>
      <c r="G155" s="143" t="s">
        <v>7</v>
      </c>
      <c r="H155" s="144">
        <f t="shared" si="27"/>
        <v>6430000</v>
      </c>
      <c r="I155" s="145">
        <f t="shared" si="28"/>
        <v>0.02</v>
      </c>
      <c r="J155" s="146">
        <f t="shared" si="29"/>
        <v>357.22222222222223</v>
      </c>
      <c r="K155" s="146">
        <f t="shared" si="30"/>
        <v>204661.38888888879</v>
      </c>
      <c r="L155" s="17"/>
      <c r="M155" s="143" t="s">
        <v>7</v>
      </c>
      <c r="N155" s="144"/>
      <c r="O155" s="145"/>
      <c r="P155" s="146"/>
      <c r="Q155" s="146"/>
      <c r="R155" s="146"/>
      <c r="S155" s="17"/>
      <c r="T155" s="11"/>
      <c r="U155" s="12"/>
      <c r="V155" s="97"/>
      <c r="W155" s="13"/>
      <c r="X155" s="13"/>
      <c r="Y155" s="13"/>
      <c r="Z155" s="17"/>
      <c r="AA155" s="143"/>
      <c r="AB155" s="144"/>
      <c r="AC155" s="145"/>
      <c r="AD155" s="146"/>
      <c r="AE155" s="146"/>
      <c r="AF155" s="146"/>
      <c r="AG155" s="141"/>
      <c r="AH155" s="234"/>
      <c r="AI155" s="236"/>
      <c r="AJ155" s="90"/>
      <c r="AK155" s="91"/>
      <c r="AM155" s="234"/>
      <c r="AN155" s="236"/>
      <c r="AO155" s="90"/>
      <c r="AP155" s="91"/>
      <c r="AR155" s="106">
        <v>71785955.879999995</v>
      </c>
      <c r="AS155" s="567">
        <v>2.2499999999999999E-2</v>
      </c>
      <c r="AT155" s="565">
        <v>2.4E-2</v>
      </c>
      <c r="AU155" s="106">
        <v>13686.97</v>
      </c>
      <c r="AV155" s="106">
        <v>9718.64</v>
      </c>
      <c r="AW155" s="19"/>
    </row>
    <row r="156" spans="2:49" x14ac:dyDescent="0.25">
      <c r="B156" s="9" t="str">
        <f t="shared" si="23"/>
        <v>6 2025</v>
      </c>
      <c r="C156" s="10">
        <f t="shared" si="25"/>
        <v>45808</v>
      </c>
      <c r="D156" s="10">
        <f t="shared" si="26"/>
        <v>45809</v>
      </c>
      <c r="E156" s="11">
        <f t="shared" si="24"/>
        <v>1</v>
      </c>
      <c r="G156" s="11" t="s">
        <v>7</v>
      </c>
      <c r="H156" s="12">
        <f t="shared" si="27"/>
        <v>6430000</v>
      </c>
      <c r="I156" s="14">
        <f t="shared" si="28"/>
        <v>0.02</v>
      </c>
      <c r="J156" s="13">
        <f t="shared" si="29"/>
        <v>357.22222222222223</v>
      </c>
      <c r="K156" s="13">
        <f t="shared" si="30"/>
        <v>205018.61111111101</v>
      </c>
      <c r="M156" s="11" t="s">
        <v>7</v>
      </c>
      <c r="N156" s="12"/>
      <c r="O156" s="97"/>
      <c r="P156" s="13"/>
      <c r="Q156" s="13"/>
      <c r="R156" s="13"/>
      <c r="T156" s="11"/>
      <c r="U156" s="12"/>
      <c r="V156" s="97"/>
      <c r="W156" s="13"/>
      <c r="X156" s="13"/>
      <c r="Y156" s="13"/>
      <c r="AA156" s="11"/>
      <c r="AB156" s="98"/>
      <c r="AC156" s="97"/>
      <c r="AD156" s="13"/>
      <c r="AE156" s="13"/>
      <c r="AF156" s="13"/>
      <c r="AH156" s="235"/>
      <c r="AI156" s="236"/>
      <c r="AJ156" s="90"/>
      <c r="AK156" s="91"/>
      <c r="AM156" s="235"/>
      <c r="AN156" s="236"/>
      <c r="AO156" s="90"/>
      <c r="AP156" s="91"/>
      <c r="AR156" s="106">
        <v>71785955.879999995</v>
      </c>
      <c r="AS156" s="565">
        <v>2.2499999999999999E-2</v>
      </c>
      <c r="AT156" s="565">
        <v>2.4E-2</v>
      </c>
      <c r="AU156" s="106">
        <v>357.22</v>
      </c>
      <c r="AV156" s="106">
        <v>-3611.11</v>
      </c>
      <c r="AW156" s="19"/>
    </row>
    <row r="157" spans="2:49" x14ac:dyDescent="0.25">
      <c r="B157" s="9" t="str">
        <f t="shared" si="23"/>
        <v>6 2025</v>
      </c>
      <c r="C157" s="10">
        <f t="shared" si="25"/>
        <v>45809</v>
      </c>
      <c r="D157" s="10">
        <f t="shared" si="26"/>
        <v>45810</v>
      </c>
      <c r="E157" s="11">
        <f t="shared" si="24"/>
        <v>1</v>
      </c>
      <c r="G157" s="11" t="s">
        <v>7</v>
      </c>
      <c r="H157" s="12">
        <f t="shared" si="27"/>
        <v>6430000</v>
      </c>
      <c r="I157" s="14">
        <f t="shared" si="28"/>
        <v>0.02</v>
      </c>
      <c r="J157" s="13">
        <f t="shared" si="29"/>
        <v>357.22222222222223</v>
      </c>
      <c r="K157" s="13">
        <f t="shared" si="30"/>
        <v>205375.83333333323</v>
      </c>
      <c r="M157" s="11" t="s">
        <v>7</v>
      </c>
      <c r="N157" s="12"/>
      <c r="O157" s="97"/>
      <c r="P157" s="13"/>
      <c r="Q157" s="13"/>
      <c r="R157" s="13"/>
      <c r="T157" s="11"/>
      <c r="U157" s="12"/>
      <c r="V157" s="97"/>
      <c r="W157" s="13"/>
      <c r="X157" s="13"/>
      <c r="Y157" s="13"/>
      <c r="AA157" s="11"/>
      <c r="AB157" s="98"/>
      <c r="AC157" s="97"/>
      <c r="AD157" s="13"/>
      <c r="AE157" s="13"/>
      <c r="AF157" s="13"/>
      <c r="AH157" s="235"/>
      <c r="AI157" s="236"/>
      <c r="AJ157" s="90"/>
      <c r="AK157" s="91"/>
      <c r="AM157" s="235"/>
      <c r="AN157" s="236"/>
      <c r="AO157" s="90"/>
      <c r="AP157" s="91"/>
      <c r="AR157" s="106">
        <v>71785955.879999995</v>
      </c>
      <c r="AS157" s="565">
        <v>2.2499999999999999E-2</v>
      </c>
      <c r="AT157" s="565">
        <v>2.4E-2</v>
      </c>
      <c r="AU157" s="106">
        <v>357.22</v>
      </c>
      <c r="AV157" s="106">
        <v>-3611.11</v>
      </c>
      <c r="AW157" s="19"/>
    </row>
    <row r="158" spans="2:49" x14ac:dyDescent="0.25">
      <c r="B158" s="9" t="str">
        <f t="shared" si="23"/>
        <v>6 2025</v>
      </c>
      <c r="C158" s="10">
        <f t="shared" si="25"/>
        <v>45810</v>
      </c>
      <c r="D158" s="10">
        <f t="shared" si="26"/>
        <v>45811</v>
      </c>
      <c r="E158" s="11">
        <f t="shared" si="24"/>
        <v>1</v>
      </c>
      <c r="G158" s="11" t="s">
        <v>7</v>
      </c>
      <c r="H158" s="106">
        <f>H157-2120000</f>
        <v>4310000</v>
      </c>
      <c r="I158" s="14">
        <f t="shared" si="28"/>
        <v>0.02</v>
      </c>
      <c r="J158" s="13">
        <f t="shared" si="29"/>
        <v>239.44444444444446</v>
      </c>
      <c r="K158" s="13">
        <f t="shared" si="30"/>
        <v>205615.27777777766</v>
      </c>
      <c r="M158" s="11" t="s">
        <v>7</v>
      </c>
      <c r="N158" s="12"/>
      <c r="O158" s="97"/>
      <c r="P158" s="13"/>
      <c r="Q158" s="13"/>
      <c r="R158" s="13"/>
      <c r="T158" s="11"/>
      <c r="U158" s="12"/>
      <c r="V158" s="97"/>
      <c r="W158" s="13"/>
      <c r="X158" s="13"/>
      <c r="Y158" s="13"/>
      <c r="AA158" s="11"/>
      <c r="AB158" s="98"/>
      <c r="AC158" s="97"/>
      <c r="AD158" s="13"/>
      <c r="AE158" s="13"/>
      <c r="AF158" s="13"/>
      <c r="AH158" s="235"/>
      <c r="AI158" s="236"/>
      <c r="AJ158" s="90"/>
      <c r="AK158" s="91"/>
      <c r="AM158" s="235"/>
      <c r="AN158" s="236"/>
      <c r="AO158" s="90"/>
      <c r="AP158" s="91"/>
      <c r="AR158" s="106">
        <v>69679285.629999995</v>
      </c>
      <c r="AS158" s="565">
        <v>2.2499999999999999E-2</v>
      </c>
      <c r="AT158" s="565">
        <v>2.4199999999999999E-2</v>
      </c>
      <c r="AU158" s="106">
        <v>13569.19</v>
      </c>
      <c r="AV158" s="106">
        <v>9718.64</v>
      </c>
      <c r="AW158" s="19"/>
    </row>
    <row r="159" spans="2:49" x14ac:dyDescent="0.25">
      <c r="B159" s="9" t="str">
        <f t="shared" si="23"/>
        <v>6 2025</v>
      </c>
      <c r="C159" s="10">
        <f t="shared" si="25"/>
        <v>45811</v>
      </c>
      <c r="D159" s="10">
        <f t="shared" si="26"/>
        <v>45812</v>
      </c>
      <c r="E159" s="11">
        <f t="shared" si="24"/>
        <v>1</v>
      </c>
      <c r="G159" s="11" t="s">
        <v>7</v>
      </c>
      <c r="H159" s="106">
        <f>H158+530000</f>
        <v>4840000</v>
      </c>
      <c r="I159" s="14">
        <f t="shared" si="28"/>
        <v>0.02</v>
      </c>
      <c r="J159" s="13">
        <f t="shared" si="29"/>
        <v>268.88888888888891</v>
      </c>
      <c r="K159" s="13">
        <f t="shared" si="30"/>
        <v>205884.16666666654</v>
      </c>
      <c r="M159" s="11" t="s">
        <v>7</v>
      </c>
      <c r="N159" s="12"/>
      <c r="O159" s="97"/>
      <c r="P159" s="13"/>
      <c r="Q159" s="13"/>
      <c r="R159" s="13"/>
      <c r="T159" s="11"/>
      <c r="U159" s="12"/>
      <c r="V159" s="97"/>
      <c r="W159" s="13"/>
      <c r="X159" s="13"/>
      <c r="Y159" s="13"/>
      <c r="AA159" s="11"/>
      <c r="AB159" s="98"/>
      <c r="AC159" s="97"/>
      <c r="AD159" s="13"/>
      <c r="AE159" s="13"/>
      <c r="AF159" s="13"/>
      <c r="AH159" s="235"/>
      <c r="AI159" s="236"/>
      <c r="AJ159" s="90"/>
      <c r="AK159" s="91"/>
      <c r="AM159" s="235"/>
      <c r="AN159" s="236"/>
      <c r="AO159" s="90"/>
      <c r="AP159" s="91"/>
      <c r="AR159" s="106">
        <v>70213664.480000004</v>
      </c>
      <c r="AS159" s="565">
        <v>2.2499999999999999E-2</v>
      </c>
      <c r="AT159" s="565">
        <v>2.41E-2</v>
      </c>
      <c r="AU159" s="106">
        <v>4647.74</v>
      </c>
      <c r="AV159" s="106">
        <v>767.74</v>
      </c>
      <c r="AW159" s="19"/>
    </row>
    <row r="160" spans="2:49" x14ac:dyDescent="0.25">
      <c r="B160" s="9" t="str">
        <f t="shared" si="23"/>
        <v>6 2025</v>
      </c>
      <c r="C160" s="10">
        <f t="shared" si="25"/>
        <v>45812</v>
      </c>
      <c r="D160" s="10">
        <f t="shared" si="26"/>
        <v>45813</v>
      </c>
      <c r="E160" s="11">
        <f t="shared" si="24"/>
        <v>1</v>
      </c>
      <c r="G160" s="11" t="s">
        <v>7</v>
      </c>
      <c r="H160" s="12">
        <f t="shared" si="27"/>
        <v>4840000</v>
      </c>
      <c r="I160" s="14">
        <f t="shared" si="28"/>
        <v>0.02</v>
      </c>
      <c r="J160" s="13">
        <f t="shared" si="29"/>
        <v>268.88888888888891</v>
      </c>
      <c r="K160" s="13">
        <f t="shared" si="30"/>
        <v>206153.05555555542</v>
      </c>
      <c r="M160" s="11" t="s">
        <v>7</v>
      </c>
      <c r="N160" s="12"/>
      <c r="O160" s="97"/>
      <c r="P160" s="13"/>
      <c r="Q160" s="13"/>
      <c r="R160" s="13"/>
      <c r="T160" s="11"/>
      <c r="U160" s="12"/>
      <c r="V160" s="97"/>
      <c r="W160" s="13"/>
      <c r="X160" s="13"/>
      <c r="Y160" s="13"/>
      <c r="AA160" s="11"/>
      <c r="AB160" s="98"/>
      <c r="AC160" s="97"/>
      <c r="AD160" s="13"/>
      <c r="AE160" s="13"/>
      <c r="AF160" s="13"/>
      <c r="AH160" s="235"/>
      <c r="AI160" s="236"/>
      <c r="AJ160" s="90"/>
      <c r="AK160" s="91"/>
      <c r="AM160" s="235"/>
      <c r="AN160" s="236"/>
      <c r="AO160" s="90"/>
      <c r="AP160" s="91"/>
      <c r="AR160" s="106">
        <v>70218107.730000004</v>
      </c>
      <c r="AS160" s="565">
        <v>2.2499999999999999E-2</v>
      </c>
      <c r="AT160" s="565">
        <v>2.29E-2</v>
      </c>
      <c r="AU160" s="106">
        <v>4712.1400000000003</v>
      </c>
      <c r="AV160" s="106">
        <v>832.14</v>
      </c>
      <c r="AW160" s="19"/>
    </row>
    <row r="161" spans="1:49" x14ac:dyDescent="0.25">
      <c r="B161" s="9" t="str">
        <f t="shared" si="23"/>
        <v>6 2025</v>
      </c>
      <c r="C161" s="10">
        <f t="shared" si="25"/>
        <v>45813</v>
      </c>
      <c r="D161" s="10">
        <f t="shared" si="26"/>
        <v>45814</v>
      </c>
      <c r="E161" s="11">
        <f t="shared" si="24"/>
        <v>1</v>
      </c>
      <c r="G161" s="11" t="s">
        <v>7</v>
      </c>
      <c r="H161" s="12">
        <f t="shared" si="27"/>
        <v>4840000</v>
      </c>
      <c r="I161" s="14">
        <f t="shared" si="28"/>
        <v>0.02</v>
      </c>
      <c r="J161" s="13">
        <f t="shared" si="29"/>
        <v>268.88888888888891</v>
      </c>
      <c r="K161" s="13">
        <f t="shared" si="30"/>
        <v>206421.94444444429</v>
      </c>
      <c r="M161" s="11" t="s">
        <v>7</v>
      </c>
      <c r="N161" s="12"/>
      <c r="O161" s="97"/>
      <c r="P161" s="13"/>
      <c r="Q161" s="13"/>
      <c r="R161" s="13"/>
      <c r="T161" s="11"/>
      <c r="U161" s="12"/>
      <c r="V161" s="97"/>
      <c r="W161" s="13"/>
      <c r="X161" s="13"/>
      <c r="Y161" s="13"/>
      <c r="AA161" s="11"/>
      <c r="AB161" s="98"/>
      <c r="AC161" s="97"/>
      <c r="AD161" s="13"/>
      <c r="AE161" s="13"/>
      <c r="AF161" s="13"/>
      <c r="AH161" s="235"/>
      <c r="AI161" s="236"/>
      <c r="AJ161" s="90"/>
      <c r="AK161" s="91"/>
      <c r="AM161" s="235"/>
      <c r="AN161" s="236"/>
      <c r="AO161" s="90"/>
      <c r="AP161" s="91"/>
      <c r="AR161" s="106">
        <v>70222550.980000004</v>
      </c>
      <c r="AS161" s="565">
        <v>2.2499999999999999E-2</v>
      </c>
      <c r="AT161" s="565">
        <v>2.29E-2</v>
      </c>
      <c r="AU161" s="106">
        <v>4712.1400000000003</v>
      </c>
      <c r="AV161" s="106">
        <v>832.14</v>
      </c>
      <c r="AW161" s="19"/>
    </row>
    <row r="162" spans="1:49" x14ac:dyDescent="0.25">
      <c r="B162" s="9" t="str">
        <f t="shared" si="23"/>
        <v>6 2025</v>
      </c>
      <c r="C162" s="10">
        <f t="shared" si="25"/>
        <v>45814</v>
      </c>
      <c r="D162" s="10">
        <f t="shared" si="26"/>
        <v>45815</v>
      </c>
      <c r="E162" s="11">
        <f t="shared" si="24"/>
        <v>1</v>
      </c>
      <c r="G162" s="11" t="s">
        <v>7</v>
      </c>
      <c r="H162" s="12">
        <f t="shared" si="27"/>
        <v>4840000</v>
      </c>
      <c r="I162" s="14">
        <f t="shared" si="28"/>
        <v>0.02</v>
      </c>
      <c r="J162" s="13">
        <f t="shared" si="29"/>
        <v>268.88888888888891</v>
      </c>
      <c r="K162" s="13">
        <f t="shared" si="30"/>
        <v>206690.83333333317</v>
      </c>
      <c r="M162" s="11" t="s">
        <v>7</v>
      </c>
      <c r="N162" s="12"/>
      <c r="O162" s="97"/>
      <c r="P162" s="13"/>
      <c r="Q162" s="13"/>
      <c r="R162" s="13"/>
      <c r="T162" s="11"/>
      <c r="U162" s="12"/>
      <c r="V162" s="97"/>
      <c r="W162" s="13"/>
      <c r="X162" s="13"/>
      <c r="Y162" s="13"/>
      <c r="AA162" s="11"/>
      <c r="AB162" s="98"/>
      <c r="AC162" s="97"/>
      <c r="AD162" s="13"/>
      <c r="AE162" s="13"/>
      <c r="AF162" s="13"/>
      <c r="AH162" s="235"/>
      <c r="AI162" s="236"/>
      <c r="AJ162" s="90"/>
      <c r="AK162" s="91"/>
      <c r="AM162" s="235"/>
      <c r="AN162" s="236"/>
      <c r="AO162" s="90"/>
      <c r="AP162" s="91"/>
      <c r="AR162" s="106">
        <v>70226994.230000004</v>
      </c>
      <c r="AS162" s="565">
        <v>2.2499999999999999E-2</v>
      </c>
      <c r="AT162" s="565">
        <v>2.29E-2</v>
      </c>
      <c r="AU162" s="106">
        <v>4712.1400000000003</v>
      </c>
      <c r="AV162" s="106">
        <v>832.14</v>
      </c>
      <c r="AW162" s="19"/>
    </row>
    <row r="163" spans="1:49" x14ac:dyDescent="0.25">
      <c r="B163" s="9" t="str">
        <f t="shared" si="23"/>
        <v>6 2025</v>
      </c>
      <c r="C163" s="10">
        <f t="shared" si="25"/>
        <v>45815</v>
      </c>
      <c r="D163" s="10">
        <f t="shared" si="26"/>
        <v>45816</v>
      </c>
      <c r="E163" s="11">
        <f t="shared" si="24"/>
        <v>1</v>
      </c>
      <c r="G163" s="11" t="s">
        <v>7</v>
      </c>
      <c r="H163" s="12">
        <f t="shared" si="27"/>
        <v>4840000</v>
      </c>
      <c r="I163" s="14">
        <f t="shared" si="28"/>
        <v>0.02</v>
      </c>
      <c r="J163" s="13">
        <f t="shared" si="29"/>
        <v>268.88888888888891</v>
      </c>
      <c r="K163" s="13">
        <f t="shared" si="30"/>
        <v>206959.72222222204</v>
      </c>
      <c r="M163" s="11" t="s">
        <v>7</v>
      </c>
      <c r="N163" s="12"/>
      <c r="O163" s="97"/>
      <c r="P163" s="13"/>
      <c r="Q163" s="13"/>
      <c r="R163" s="13"/>
      <c r="T163" s="11"/>
      <c r="U163" s="12"/>
      <c r="V163" s="97"/>
      <c r="W163" s="13"/>
      <c r="X163" s="13"/>
      <c r="Y163" s="13"/>
      <c r="AA163" s="11"/>
      <c r="AB163" s="98"/>
      <c r="AC163" s="97"/>
      <c r="AD163" s="13"/>
      <c r="AE163" s="13"/>
      <c r="AF163" s="13"/>
      <c r="AH163" s="235"/>
      <c r="AI163" s="236"/>
      <c r="AJ163" s="90"/>
      <c r="AK163" s="91"/>
      <c r="AM163" s="235"/>
      <c r="AN163" s="236"/>
      <c r="AO163" s="90"/>
      <c r="AP163" s="91"/>
      <c r="AR163" s="106">
        <v>70226994.230000004</v>
      </c>
      <c r="AS163" s="565">
        <v>2.2499999999999999E-2</v>
      </c>
      <c r="AT163" s="565">
        <v>2.29E-2</v>
      </c>
      <c r="AU163" s="106">
        <v>268.89</v>
      </c>
      <c r="AV163" s="106">
        <v>-3611.11</v>
      </c>
      <c r="AW163" s="19"/>
    </row>
    <row r="164" spans="1:49" x14ac:dyDescent="0.25">
      <c r="B164" s="9" t="str">
        <f t="shared" si="23"/>
        <v>6 2025</v>
      </c>
      <c r="C164" s="10">
        <f t="shared" si="25"/>
        <v>45816</v>
      </c>
      <c r="D164" s="10">
        <f t="shared" si="26"/>
        <v>45817</v>
      </c>
      <c r="E164" s="11">
        <f t="shared" si="24"/>
        <v>1</v>
      </c>
      <c r="G164" s="11" t="s">
        <v>7</v>
      </c>
      <c r="H164" s="12">
        <f t="shared" si="27"/>
        <v>4840000</v>
      </c>
      <c r="I164" s="14">
        <f t="shared" si="28"/>
        <v>0.02</v>
      </c>
      <c r="J164" s="13">
        <f t="shared" si="29"/>
        <v>268.88888888888891</v>
      </c>
      <c r="K164" s="13">
        <f t="shared" si="30"/>
        <v>207228.61111111092</v>
      </c>
      <c r="M164" s="11" t="s">
        <v>7</v>
      </c>
      <c r="N164" s="12"/>
      <c r="O164" s="97"/>
      <c r="P164" s="13"/>
      <c r="Q164" s="13"/>
      <c r="R164" s="13"/>
      <c r="T164" s="11"/>
      <c r="U164" s="12"/>
      <c r="V164" s="97"/>
      <c r="W164" s="13"/>
      <c r="X164" s="13"/>
      <c r="Y164" s="13"/>
      <c r="AA164" s="11"/>
      <c r="AB164" s="98"/>
      <c r="AC164" s="97"/>
      <c r="AD164" s="13"/>
      <c r="AE164" s="13"/>
      <c r="AF164" s="13"/>
      <c r="AH164" s="235"/>
      <c r="AI164" s="236"/>
      <c r="AJ164" s="90"/>
      <c r="AK164" s="91"/>
      <c r="AM164" s="235"/>
      <c r="AN164" s="236"/>
      <c r="AO164" s="90"/>
      <c r="AP164" s="91"/>
      <c r="AR164" s="106">
        <v>70226994.230000004</v>
      </c>
      <c r="AS164" s="565">
        <v>2.2499999999999999E-2</v>
      </c>
      <c r="AT164" s="565">
        <v>2.29E-2</v>
      </c>
      <c r="AU164" s="106">
        <v>268.89</v>
      </c>
      <c r="AV164" s="106">
        <v>-3611.11</v>
      </c>
      <c r="AW164" s="19"/>
    </row>
    <row r="165" spans="1:49" x14ac:dyDescent="0.25">
      <c r="B165" s="9" t="str">
        <f t="shared" si="23"/>
        <v>6 2025</v>
      </c>
      <c r="C165" s="10">
        <f t="shared" si="25"/>
        <v>45817</v>
      </c>
      <c r="D165" s="10">
        <f t="shared" si="26"/>
        <v>45818</v>
      </c>
      <c r="E165" s="11">
        <f t="shared" si="24"/>
        <v>1</v>
      </c>
      <c r="G165" s="11" t="s">
        <v>7</v>
      </c>
      <c r="H165" s="12">
        <f t="shared" si="27"/>
        <v>4840000</v>
      </c>
      <c r="I165" s="14">
        <f t="shared" si="28"/>
        <v>0.02</v>
      </c>
      <c r="J165" s="13">
        <f t="shared" si="29"/>
        <v>268.88888888888891</v>
      </c>
      <c r="K165" s="13">
        <f t="shared" si="30"/>
        <v>207497.4999999998</v>
      </c>
      <c r="M165" s="11" t="s">
        <v>7</v>
      </c>
      <c r="N165" s="12"/>
      <c r="O165" s="97"/>
      <c r="P165" s="13"/>
      <c r="Q165" s="13"/>
      <c r="R165" s="13"/>
      <c r="T165" s="11"/>
      <c r="U165" s="12"/>
      <c r="V165" s="97"/>
      <c r="W165" s="13"/>
      <c r="X165" s="13"/>
      <c r="Y165" s="13"/>
      <c r="AA165" s="11"/>
      <c r="AB165" s="98"/>
      <c r="AC165" s="97"/>
      <c r="AD165" s="13"/>
      <c r="AE165" s="13"/>
      <c r="AF165" s="13"/>
      <c r="AH165" s="235"/>
      <c r="AI165" s="236"/>
      <c r="AJ165" s="90"/>
      <c r="AK165" s="91"/>
      <c r="AM165" s="235"/>
      <c r="AN165" s="236"/>
      <c r="AO165" s="90"/>
      <c r="AP165" s="91"/>
      <c r="AR165" s="106">
        <v>70226994.230000004</v>
      </c>
      <c r="AS165" s="565">
        <v>2.2499999999999999E-2</v>
      </c>
      <c r="AT165" s="565">
        <v>2.29E-2</v>
      </c>
      <c r="AU165" s="106">
        <v>268.89</v>
      </c>
      <c r="AV165" s="106">
        <v>-3611.11</v>
      </c>
      <c r="AW165" s="19"/>
    </row>
    <row r="166" spans="1:49" x14ac:dyDescent="0.25">
      <c r="B166" s="9" t="str">
        <f t="shared" si="23"/>
        <v>6 2025</v>
      </c>
      <c r="C166" s="10">
        <f t="shared" si="25"/>
        <v>45818</v>
      </c>
      <c r="D166" s="10">
        <f t="shared" si="26"/>
        <v>45819</v>
      </c>
      <c r="E166" s="11">
        <f t="shared" si="24"/>
        <v>1</v>
      </c>
      <c r="G166" s="11" t="s">
        <v>7</v>
      </c>
      <c r="H166" s="12">
        <f t="shared" si="27"/>
        <v>4840000</v>
      </c>
      <c r="I166" s="14">
        <f t="shared" si="28"/>
        <v>0.02</v>
      </c>
      <c r="J166" s="13">
        <f t="shared" si="29"/>
        <v>268.88888888888891</v>
      </c>
      <c r="K166" s="13">
        <f t="shared" si="30"/>
        <v>207766.38888888867</v>
      </c>
      <c r="M166" s="11" t="s">
        <v>7</v>
      </c>
      <c r="N166" s="12"/>
      <c r="O166" s="97"/>
      <c r="P166" s="13"/>
      <c r="Q166" s="13"/>
      <c r="R166" s="13"/>
      <c r="T166" s="11"/>
      <c r="U166" s="12"/>
      <c r="V166" s="97"/>
      <c r="W166" s="13"/>
      <c r="X166" s="13"/>
      <c r="Y166" s="13"/>
      <c r="AA166" s="11"/>
      <c r="AB166" s="98"/>
      <c r="AC166" s="97"/>
      <c r="AD166" s="13"/>
      <c r="AE166" s="13"/>
      <c r="AF166" s="13"/>
      <c r="AH166" s="235"/>
      <c r="AI166" s="236"/>
      <c r="AJ166" s="90"/>
      <c r="AK166" s="91"/>
      <c r="AM166" s="235"/>
      <c r="AN166" s="236"/>
      <c r="AO166" s="90"/>
      <c r="AP166" s="91"/>
      <c r="AR166" s="106">
        <v>70244767.230000004</v>
      </c>
      <c r="AS166" s="565">
        <v>2.2499999999999999E-2</v>
      </c>
      <c r="AT166" s="565">
        <v>2.29E-2</v>
      </c>
      <c r="AU166" s="106">
        <v>18041.89</v>
      </c>
      <c r="AV166" s="106">
        <v>14161.89</v>
      </c>
      <c r="AW166" s="19"/>
    </row>
    <row r="167" spans="1:49" x14ac:dyDescent="0.25">
      <c r="A167" s="85" t="s">
        <v>23</v>
      </c>
      <c r="B167" s="9" t="str">
        <f t="shared" si="23"/>
        <v>6 2025</v>
      </c>
      <c r="C167" s="10">
        <f t="shared" si="25"/>
        <v>45819</v>
      </c>
      <c r="D167" s="10">
        <f t="shared" si="26"/>
        <v>45820</v>
      </c>
      <c r="E167" s="11">
        <f t="shared" si="24"/>
        <v>1</v>
      </c>
      <c r="G167" s="11" t="s">
        <v>7</v>
      </c>
      <c r="H167" s="106">
        <f>H166+6270000</f>
        <v>11110000</v>
      </c>
      <c r="I167" s="113">
        <v>1.7500000000000002E-2</v>
      </c>
      <c r="J167" s="13">
        <f t="shared" si="29"/>
        <v>540.06944444444457</v>
      </c>
      <c r="K167" s="13">
        <f t="shared" si="30"/>
        <v>208306.45833333311</v>
      </c>
      <c r="M167" s="11" t="s">
        <v>7</v>
      </c>
      <c r="N167" s="12"/>
      <c r="O167" s="97"/>
      <c r="P167" s="13"/>
      <c r="Q167" s="13"/>
      <c r="R167" s="13"/>
      <c r="T167" s="11"/>
      <c r="U167" s="12"/>
      <c r="V167" s="97"/>
      <c r="W167" s="13"/>
      <c r="X167" s="13"/>
      <c r="Y167" s="13"/>
      <c r="AA167" s="11"/>
      <c r="AB167" s="98"/>
      <c r="AC167" s="97"/>
      <c r="AD167" s="13"/>
      <c r="AE167" s="13"/>
      <c r="AF167" s="13"/>
      <c r="AH167" s="235"/>
      <c r="AI167" s="236"/>
      <c r="AJ167" s="90"/>
      <c r="AK167" s="91"/>
      <c r="AM167" s="235"/>
      <c r="AN167" s="236"/>
      <c r="AO167" s="90"/>
      <c r="AP167" s="91"/>
      <c r="AR167" s="106">
        <v>51519210.649999999</v>
      </c>
      <c r="AS167" s="565">
        <v>0.02</v>
      </c>
      <c r="AT167" s="565">
        <v>2.1899999999999999E-2</v>
      </c>
      <c r="AU167" s="106">
        <v>4983.49</v>
      </c>
      <c r="AV167" s="106">
        <v>1283.7</v>
      </c>
      <c r="AW167" s="19"/>
    </row>
    <row r="168" spans="1:49" x14ac:dyDescent="0.25">
      <c r="B168" s="9" t="str">
        <f t="shared" si="23"/>
        <v>6 2025</v>
      </c>
      <c r="C168" s="10">
        <f t="shared" si="25"/>
        <v>45820</v>
      </c>
      <c r="D168" s="10">
        <f t="shared" si="26"/>
        <v>45821</v>
      </c>
      <c r="E168" s="11">
        <f t="shared" si="24"/>
        <v>1</v>
      </c>
      <c r="G168" s="11" t="s">
        <v>7</v>
      </c>
      <c r="H168" s="106">
        <f>H167-1340000</f>
        <v>9770000</v>
      </c>
      <c r="I168" s="14">
        <f t="shared" si="28"/>
        <v>1.7500000000000002E-2</v>
      </c>
      <c r="J168" s="13">
        <f t="shared" si="29"/>
        <v>474.93055555555566</v>
      </c>
      <c r="K168" s="13">
        <f t="shared" si="30"/>
        <v>208781.38888888867</v>
      </c>
      <c r="M168" s="11" t="s">
        <v>7</v>
      </c>
      <c r="N168" s="12"/>
      <c r="O168" s="97"/>
      <c r="P168" s="13"/>
      <c r="Q168" s="13"/>
      <c r="R168" s="13"/>
      <c r="T168" s="11"/>
      <c r="U168" s="12"/>
      <c r="V168" s="97"/>
      <c r="W168" s="13"/>
      <c r="X168" s="13"/>
      <c r="Y168" s="13"/>
      <c r="AA168" s="11"/>
      <c r="AB168" s="98"/>
      <c r="AC168" s="97"/>
      <c r="AD168" s="13"/>
      <c r="AE168" s="13"/>
      <c r="AF168" s="13"/>
      <c r="AH168" s="235"/>
      <c r="AI168" s="236"/>
      <c r="AJ168" s="90"/>
      <c r="AK168" s="91"/>
      <c r="AM168" s="235"/>
      <c r="AN168" s="236"/>
      <c r="AO168" s="90"/>
      <c r="AP168" s="91"/>
      <c r="AR168" s="106">
        <v>50181955.649999999</v>
      </c>
      <c r="AS168" s="565">
        <v>0.02</v>
      </c>
      <c r="AT168" s="565">
        <v>2.1999999999999999E-2</v>
      </c>
      <c r="AU168" s="106">
        <v>3219.93</v>
      </c>
      <c r="AV168" s="106">
        <v>792.64</v>
      </c>
      <c r="AW168" s="19"/>
    </row>
    <row r="169" spans="1:49" x14ac:dyDescent="0.25">
      <c r="B169" s="9" t="str">
        <f t="shared" si="23"/>
        <v>6 2025</v>
      </c>
      <c r="C169" s="10">
        <f t="shared" si="25"/>
        <v>45821</v>
      </c>
      <c r="D169" s="10">
        <f t="shared" si="26"/>
        <v>45822</v>
      </c>
      <c r="E169" s="11">
        <f t="shared" si="24"/>
        <v>1</v>
      </c>
      <c r="G169" s="11" t="s">
        <v>7</v>
      </c>
      <c r="H169" s="12">
        <f t="shared" si="27"/>
        <v>9770000</v>
      </c>
      <c r="I169" s="14">
        <f t="shared" si="28"/>
        <v>1.7500000000000002E-2</v>
      </c>
      <c r="J169" s="13">
        <f t="shared" si="29"/>
        <v>474.93055555555566</v>
      </c>
      <c r="K169" s="13">
        <f t="shared" si="30"/>
        <v>209256.31944444423</v>
      </c>
      <c r="M169" s="11" t="s">
        <v>7</v>
      </c>
      <c r="N169" s="12"/>
      <c r="O169" s="97"/>
      <c r="P169" s="13"/>
      <c r="Q169" s="13"/>
      <c r="R169" s="13"/>
      <c r="T169" s="11"/>
      <c r="U169" s="12"/>
      <c r="V169" s="97"/>
      <c r="W169" s="13"/>
      <c r="X169" s="13"/>
      <c r="Y169" s="13"/>
      <c r="AA169" s="11"/>
      <c r="AB169" s="98"/>
      <c r="AC169" s="97"/>
      <c r="AD169" s="13"/>
      <c r="AE169" s="13"/>
      <c r="AF169" s="13"/>
      <c r="AH169" s="235"/>
      <c r="AI169" s="236"/>
      <c r="AJ169" s="90"/>
      <c r="AK169" s="91"/>
      <c r="AM169" s="235"/>
      <c r="AN169" s="236"/>
      <c r="AO169" s="90"/>
      <c r="AP169" s="91"/>
      <c r="AR169" s="106">
        <v>50184660.869999997</v>
      </c>
      <c r="AS169" s="565">
        <v>0.02</v>
      </c>
      <c r="AT169" s="565">
        <v>2.1999999999999999E-2</v>
      </c>
      <c r="AU169" s="106">
        <v>3180.15</v>
      </c>
      <c r="AV169" s="106">
        <v>752.86</v>
      </c>
      <c r="AW169" s="19"/>
    </row>
    <row r="170" spans="1:49" x14ac:dyDescent="0.25">
      <c r="B170" s="9" t="str">
        <f t="shared" si="23"/>
        <v>6 2025</v>
      </c>
      <c r="C170" s="10">
        <f t="shared" si="25"/>
        <v>45822</v>
      </c>
      <c r="D170" s="10">
        <f t="shared" si="26"/>
        <v>45823</v>
      </c>
      <c r="E170" s="11">
        <f t="shared" si="24"/>
        <v>1</v>
      </c>
      <c r="G170" s="11" t="s">
        <v>7</v>
      </c>
      <c r="H170" s="12">
        <f t="shared" si="27"/>
        <v>9770000</v>
      </c>
      <c r="I170" s="14">
        <f t="shared" si="28"/>
        <v>1.7500000000000002E-2</v>
      </c>
      <c r="J170" s="13">
        <f t="shared" si="29"/>
        <v>474.93055555555566</v>
      </c>
      <c r="K170" s="13">
        <f t="shared" si="30"/>
        <v>209731.2499999998</v>
      </c>
      <c r="M170" s="11" t="s">
        <v>7</v>
      </c>
      <c r="N170" s="12"/>
      <c r="O170" s="97"/>
      <c r="P170" s="13"/>
      <c r="Q170" s="13"/>
      <c r="R170" s="13"/>
      <c r="T170" s="11"/>
      <c r="U170" s="12"/>
      <c r="V170" s="97"/>
      <c r="W170" s="13"/>
      <c r="X170" s="13"/>
      <c r="Y170" s="13"/>
      <c r="AA170" s="11"/>
      <c r="AB170" s="98"/>
      <c r="AC170" s="97"/>
      <c r="AD170" s="13"/>
      <c r="AE170" s="13"/>
      <c r="AF170" s="13"/>
      <c r="AH170" s="235"/>
      <c r="AI170" s="236"/>
      <c r="AJ170" s="90"/>
      <c r="AK170" s="91"/>
      <c r="AM170" s="235"/>
      <c r="AN170" s="236"/>
      <c r="AO170" s="90"/>
      <c r="AP170" s="91"/>
      <c r="AR170" s="106">
        <v>50184660.869999997</v>
      </c>
      <c r="AS170" s="565">
        <v>0.02</v>
      </c>
      <c r="AT170" s="565">
        <v>2.1999999999999999E-2</v>
      </c>
      <c r="AU170" s="106">
        <v>474.93</v>
      </c>
      <c r="AV170" s="106">
        <v>-1952.36</v>
      </c>
      <c r="AW170" s="19"/>
    </row>
    <row r="171" spans="1:49" x14ac:dyDescent="0.25">
      <c r="B171" s="9" t="str">
        <f t="shared" si="23"/>
        <v>6 2025</v>
      </c>
      <c r="C171" s="10">
        <f t="shared" si="25"/>
        <v>45823</v>
      </c>
      <c r="D171" s="10">
        <f t="shared" si="26"/>
        <v>45824</v>
      </c>
      <c r="E171" s="11">
        <f t="shared" si="24"/>
        <v>1</v>
      </c>
      <c r="G171" s="11" t="s">
        <v>7</v>
      </c>
      <c r="H171" s="12">
        <f t="shared" si="27"/>
        <v>9770000</v>
      </c>
      <c r="I171" s="14">
        <f t="shared" si="28"/>
        <v>1.7500000000000002E-2</v>
      </c>
      <c r="J171" s="13">
        <f t="shared" si="29"/>
        <v>474.93055555555566</v>
      </c>
      <c r="K171" s="13">
        <f t="shared" si="30"/>
        <v>210206.18055555536</v>
      </c>
      <c r="M171" s="11" t="s">
        <v>7</v>
      </c>
      <c r="N171" s="12"/>
      <c r="O171" s="97"/>
      <c r="P171" s="13"/>
      <c r="Q171" s="13"/>
      <c r="R171" s="13"/>
      <c r="T171" s="11"/>
      <c r="U171" s="12"/>
      <c r="V171" s="97"/>
      <c r="W171" s="13"/>
      <c r="X171" s="13"/>
      <c r="Y171" s="13"/>
      <c r="AA171" s="11"/>
      <c r="AB171" s="98"/>
      <c r="AC171" s="97"/>
      <c r="AD171" s="13"/>
      <c r="AE171" s="13"/>
      <c r="AF171" s="13"/>
      <c r="AH171" s="235"/>
      <c r="AI171" s="236"/>
      <c r="AJ171" s="90"/>
      <c r="AK171" s="91"/>
      <c r="AM171" s="235"/>
      <c r="AN171" s="236"/>
      <c r="AO171" s="90"/>
      <c r="AP171" s="91"/>
      <c r="AR171" s="106">
        <v>50184660.869999997</v>
      </c>
      <c r="AS171" s="565">
        <v>0.02</v>
      </c>
      <c r="AT171" s="565">
        <v>2.1999999999999999E-2</v>
      </c>
      <c r="AU171" s="106">
        <v>474.93</v>
      </c>
      <c r="AV171" s="106">
        <v>-1952.36</v>
      </c>
      <c r="AW171" s="19"/>
    </row>
    <row r="172" spans="1:49" x14ac:dyDescent="0.25">
      <c r="B172" s="9" t="str">
        <f t="shared" si="23"/>
        <v>6 2025</v>
      </c>
      <c r="C172" s="10">
        <f t="shared" si="25"/>
        <v>45824</v>
      </c>
      <c r="D172" s="10">
        <f t="shared" si="26"/>
        <v>45825</v>
      </c>
      <c r="E172" s="11">
        <f t="shared" si="24"/>
        <v>1</v>
      </c>
      <c r="G172" s="11" t="s">
        <v>7</v>
      </c>
      <c r="H172" s="106">
        <f>H171-200000</f>
        <v>9570000</v>
      </c>
      <c r="I172" s="14">
        <f t="shared" si="28"/>
        <v>1.7500000000000002E-2</v>
      </c>
      <c r="J172" s="13">
        <f t="shared" si="29"/>
        <v>465.20833333333343</v>
      </c>
      <c r="K172" s="13">
        <f t="shared" si="30"/>
        <v>210671.3888888887</v>
      </c>
      <c r="M172" s="11" t="s">
        <v>7</v>
      </c>
      <c r="N172" s="12"/>
      <c r="O172" s="97"/>
      <c r="P172" s="13"/>
      <c r="Q172" s="13"/>
      <c r="R172" s="13"/>
      <c r="T172" s="11"/>
      <c r="U172" s="12"/>
      <c r="V172" s="97"/>
      <c r="W172" s="13"/>
      <c r="X172" s="13"/>
      <c r="Y172" s="13"/>
      <c r="AA172" s="11"/>
      <c r="AB172" s="98"/>
      <c r="AC172" s="97"/>
      <c r="AD172" s="13"/>
      <c r="AE172" s="13"/>
      <c r="AF172" s="13"/>
      <c r="AH172" s="235"/>
      <c r="AI172" s="236"/>
      <c r="AJ172" s="90"/>
      <c r="AK172" s="91"/>
      <c r="AM172" s="235"/>
      <c r="AN172" s="236"/>
      <c r="AO172" s="90"/>
      <c r="AP172" s="91"/>
      <c r="AR172" s="106">
        <v>49992935.649999999</v>
      </c>
      <c r="AS172" s="565">
        <v>0.02</v>
      </c>
      <c r="AT172" s="565">
        <v>2.1999999999999999E-2</v>
      </c>
      <c r="AU172" s="106">
        <v>8739.99</v>
      </c>
      <c r="AV172" s="106">
        <v>6322.42</v>
      </c>
      <c r="AW172" s="19"/>
    </row>
    <row r="173" spans="1:49" x14ac:dyDescent="0.25">
      <c r="B173" s="9" t="str">
        <f t="shared" si="23"/>
        <v>6 2025</v>
      </c>
      <c r="C173" s="10">
        <f t="shared" si="25"/>
        <v>45825</v>
      </c>
      <c r="D173" s="10">
        <f t="shared" si="26"/>
        <v>45826</v>
      </c>
      <c r="E173" s="11">
        <f t="shared" si="24"/>
        <v>1</v>
      </c>
      <c r="G173" s="11" t="s">
        <v>7</v>
      </c>
      <c r="H173" s="12">
        <f t="shared" si="27"/>
        <v>9570000</v>
      </c>
      <c r="I173" s="14">
        <f t="shared" si="28"/>
        <v>1.7500000000000002E-2</v>
      </c>
      <c r="J173" s="13">
        <f t="shared" si="29"/>
        <v>465.20833333333343</v>
      </c>
      <c r="K173" s="13">
        <f t="shared" si="30"/>
        <v>211136.59722222204</v>
      </c>
      <c r="M173" s="11" t="s">
        <v>7</v>
      </c>
      <c r="N173" s="12"/>
      <c r="O173" s="97"/>
      <c r="P173" s="13"/>
      <c r="Q173" s="13"/>
      <c r="R173" s="13"/>
      <c r="T173" s="11"/>
      <c r="U173" s="12"/>
      <c r="V173" s="97"/>
      <c r="W173" s="13"/>
      <c r="X173" s="13"/>
      <c r="Y173" s="13"/>
      <c r="AA173" s="11"/>
      <c r="AB173" s="98"/>
      <c r="AC173" s="97"/>
      <c r="AD173" s="13"/>
      <c r="AE173" s="13"/>
      <c r="AF173" s="13"/>
      <c r="AH173" s="235"/>
      <c r="AI173" s="236"/>
      <c r="AJ173" s="90"/>
      <c r="AK173" s="91"/>
      <c r="AM173" s="235"/>
      <c r="AN173" s="236"/>
      <c r="AO173" s="90"/>
      <c r="AP173" s="91"/>
      <c r="AR173" s="106">
        <v>49995402.170000002</v>
      </c>
      <c r="AS173" s="565">
        <v>0.02</v>
      </c>
      <c r="AT173" s="565">
        <v>2.1999999999999999E-2</v>
      </c>
      <c r="AU173" s="106">
        <v>2931.73</v>
      </c>
      <c r="AV173" s="106">
        <v>514.16</v>
      </c>
      <c r="AW173" s="19"/>
    </row>
    <row r="174" spans="1:49" x14ac:dyDescent="0.25">
      <c r="B174" s="9" t="str">
        <f t="shared" si="23"/>
        <v>6 2025</v>
      </c>
      <c r="C174" s="10">
        <f t="shared" si="25"/>
        <v>45826</v>
      </c>
      <c r="D174" s="10">
        <f t="shared" si="26"/>
        <v>45827</v>
      </c>
      <c r="E174" s="11">
        <f t="shared" si="24"/>
        <v>1</v>
      </c>
      <c r="G174" s="11" t="s">
        <v>7</v>
      </c>
      <c r="H174" s="106">
        <f>H173+5640000</f>
        <v>15210000</v>
      </c>
      <c r="I174" s="14">
        <f t="shared" si="28"/>
        <v>1.7500000000000002E-2</v>
      </c>
      <c r="J174" s="13">
        <f t="shared" si="29"/>
        <v>739.375</v>
      </c>
      <c r="K174" s="13">
        <f t="shared" si="30"/>
        <v>211875.97222222204</v>
      </c>
      <c r="M174" s="11" t="s">
        <v>7</v>
      </c>
      <c r="N174" s="12"/>
      <c r="O174" s="97"/>
      <c r="P174" s="13"/>
      <c r="Q174" s="13"/>
      <c r="R174" s="13"/>
      <c r="T174" s="11"/>
      <c r="U174" s="12"/>
      <c r="V174" s="97"/>
      <c r="W174" s="13"/>
      <c r="X174" s="13"/>
      <c r="Y174" s="13"/>
      <c r="AA174" s="11"/>
      <c r="AB174" s="98"/>
      <c r="AC174" s="97"/>
      <c r="AD174" s="13"/>
      <c r="AE174" s="13"/>
      <c r="AF174" s="13"/>
      <c r="AH174" s="235"/>
      <c r="AI174" s="236"/>
      <c r="AJ174" s="90"/>
      <c r="AK174" s="91"/>
      <c r="AM174" s="235"/>
      <c r="AN174" s="236"/>
      <c r="AO174" s="90"/>
      <c r="AP174" s="91"/>
      <c r="AR174" s="106">
        <v>55637828.909999996</v>
      </c>
      <c r="AS174" s="565">
        <v>0.02</v>
      </c>
      <c r="AT174" s="565">
        <v>2.1600000000000001E-2</v>
      </c>
      <c r="AU174" s="106">
        <v>3166.11</v>
      </c>
      <c r="AV174" s="106">
        <v>474.38</v>
      </c>
      <c r="AW174" s="19"/>
    </row>
    <row r="175" spans="1:49" x14ac:dyDescent="0.25">
      <c r="B175" s="9" t="str">
        <f t="shared" si="23"/>
        <v>6 2025</v>
      </c>
      <c r="C175" s="10">
        <f t="shared" si="25"/>
        <v>45827</v>
      </c>
      <c r="D175" s="10">
        <f t="shared" si="26"/>
        <v>45828</v>
      </c>
      <c r="E175" s="11">
        <f t="shared" si="24"/>
        <v>1</v>
      </c>
      <c r="G175" s="11" t="s">
        <v>7</v>
      </c>
      <c r="H175" s="12">
        <f t="shared" si="27"/>
        <v>15210000</v>
      </c>
      <c r="I175" s="14">
        <f t="shared" si="28"/>
        <v>1.7500000000000002E-2</v>
      </c>
      <c r="J175" s="13">
        <f t="shared" si="29"/>
        <v>739.375</v>
      </c>
      <c r="K175" s="13">
        <f t="shared" si="30"/>
        <v>212615.34722222204</v>
      </c>
      <c r="M175" s="11" t="s">
        <v>7</v>
      </c>
      <c r="N175" s="12"/>
      <c r="O175" s="97"/>
      <c r="P175" s="13"/>
      <c r="Q175" s="13"/>
      <c r="R175" s="13"/>
      <c r="T175" s="11"/>
      <c r="U175" s="12"/>
      <c r="V175" s="97"/>
      <c r="W175" s="13"/>
      <c r="X175" s="13"/>
      <c r="Y175" s="13"/>
      <c r="AA175" s="11"/>
      <c r="AB175" s="98"/>
      <c r="AC175" s="97"/>
      <c r="AD175" s="13"/>
      <c r="AE175" s="13"/>
      <c r="AF175" s="13"/>
      <c r="AH175" s="235"/>
      <c r="AI175" s="236"/>
      <c r="AJ175" s="90"/>
      <c r="AK175" s="91"/>
      <c r="AM175" s="235"/>
      <c r="AN175" s="236"/>
      <c r="AO175" s="90"/>
      <c r="AP175" s="91"/>
      <c r="AR175" s="106">
        <v>55640335.210000001</v>
      </c>
      <c r="AS175" s="565">
        <v>0.02</v>
      </c>
      <c r="AT175" s="565">
        <v>2.1600000000000001E-2</v>
      </c>
      <c r="AU175" s="106">
        <v>3245.68</v>
      </c>
      <c r="AV175" s="106">
        <v>553.95000000000005</v>
      </c>
      <c r="AW175" s="19"/>
    </row>
    <row r="176" spans="1:49" x14ac:dyDescent="0.25">
      <c r="B176" s="9" t="str">
        <f t="shared" si="23"/>
        <v>6 2025</v>
      </c>
      <c r="C176" s="10">
        <f t="shared" si="25"/>
        <v>45828</v>
      </c>
      <c r="D176" s="10">
        <f t="shared" si="26"/>
        <v>45829</v>
      </c>
      <c r="E176" s="11">
        <f t="shared" si="24"/>
        <v>1</v>
      </c>
      <c r="G176" s="11" t="s">
        <v>7</v>
      </c>
      <c r="H176" s="12">
        <f t="shared" si="27"/>
        <v>15210000</v>
      </c>
      <c r="I176" s="14">
        <f t="shared" si="28"/>
        <v>1.7500000000000002E-2</v>
      </c>
      <c r="J176" s="13">
        <f t="shared" si="29"/>
        <v>739.375</v>
      </c>
      <c r="K176" s="13">
        <f t="shared" si="30"/>
        <v>213354.72222222204</v>
      </c>
      <c r="M176" s="11" t="s">
        <v>7</v>
      </c>
      <c r="N176" s="12"/>
      <c r="O176" s="97"/>
      <c r="P176" s="13"/>
      <c r="Q176" s="13"/>
      <c r="R176" s="13"/>
      <c r="T176" s="11"/>
      <c r="U176" s="12"/>
      <c r="V176" s="97"/>
      <c r="W176" s="13"/>
      <c r="X176" s="13"/>
      <c r="Y176" s="13"/>
      <c r="AA176" s="11"/>
      <c r="AB176" s="98"/>
      <c r="AC176" s="97"/>
      <c r="AD176" s="13"/>
      <c r="AE176" s="13"/>
      <c r="AF176" s="13"/>
      <c r="AH176" s="235"/>
      <c r="AI176" s="236"/>
      <c r="AJ176" s="90"/>
      <c r="AK176" s="91"/>
      <c r="AM176" s="235"/>
      <c r="AN176" s="236"/>
      <c r="AO176" s="90"/>
      <c r="AP176" s="91"/>
      <c r="AR176" s="106">
        <v>55642801.729999997</v>
      </c>
      <c r="AS176" s="565">
        <v>0.02</v>
      </c>
      <c r="AT176" s="565">
        <v>2.1600000000000001E-2</v>
      </c>
      <c r="AU176" s="106">
        <v>3205.9</v>
      </c>
      <c r="AV176" s="106">
        <v>514.16</v>
      </c>
      <c r="AW176" s="19"/>
    </row>
    <row r="177" spans="2:49" x14ac:dyDescent="0.25">
      <c r="B177" s="9" t="str">
        <f t="shared" si="23"/>
        <v>6 2025</v>
      </c>
      <c r="C177" s="10">
        <f t="shared" si="25"/>
        <v>45829</v>
      </c>
      <c r="D177" s="10">
        <f t="shared" si="26"/>
        <v>45830</v>
      </c>
      <c r="E177" s="11">
        <f t="shared" si="24"/>
        <v>1</v>
      </c>
      <c r="G177" s="11" t="s">
        <v>7</v>
      </c>
      <c r="H177" s="12">
        <f t="shared" si="27"/>
        <v>15210000</v>
      </c>
      <c r="I177" s="14">
        <f t="shared" si="28"/>
        <v>1.7500000000000002E-2</v>
      </c>
      <c r="J177" s="13">
        <f t="shared" si="29"/>
        <v>739.375</v>
      </c>
      <c r="K177" s="13">
        <f t="shared" si="30"/>
        <v>214094.09722222204</v>
      </c>
      <c r="M177" s="11" t="s">
        <v>7</v>
      </c>
      <c r="N177" s="12"/>
      <c r="O177" s="97"/>
      <c r="P177" s="13"/>
      <c r="Q177" s="13"/>
      <c r="R177" s="13"/>
      <c r="T177" s="11"/>
      <c r="U177" s="12"/>
      <c r="V177" s="97"/>
      <c r="W177" s="13"/>
      <c r="X177" s="13"/>
      <c r="Y177" s="13"/>
      <c r="AA177" s="11"/>
      <c r="AB177" s="98"/>
      <c r="AC177" s="97"/>
      <c r="AD177" s="13"/>
      <c r="AE177" s="13"/>
      <c r="AF177" s="13"/>
      <c r="AH177" s="235"/>
      <c r="AI177" s="236"/>
      <c r="AJ177" s="90"/>
      <c r="AK177" s="91"/>
      <c r="AM177" s="235"/>
      <c r="AN177" s="236"/>
      <c r="AO177" s="90"/>
      <c r="AP177" s="91"/>
      <c r="AR177" s="106">
        <v>55642801.729999997</v>
      </c>
      <c r="AS177" s="565">
        <v>0.02</v>
      </c>
      <c r="AT177" s="565">
        <v>2.1600000000000001E-2</v>
      </c>
      <c r="AU177" s="106">
        <v>739.38</v>
      </c>
      <c r="AV177" s="106">
        <v>-1952.36</v>
      </c>
      <c r="AW177" s="19"/>
    </row>
    <row r="178" spans="2:49" x14ac:dyDescent="0.25">
      <c r="B178" s="9" t="str">
        <f t="shared" si="23"/>
        <v>6 2025</v>
      </c>
      <c r="C178" s="10">
        <f t="shared" si="25"/>
        <v>45830</v>
      </c>
      <c r="D178" s="10">
        <f t="shared" si="26"/>
        <v>45831</v>
      </c>
      <c r="E178" s="11">
        <f t="shared" si="24"/>
        <v>1</v>
      </c>
      <c r="G178" s="11" t="s">
        <v>7</v>
      </c>
      <c r="H178" s="12">
        <f t="shared" si="27"/>
        <v>15210000</v>
      </c>
      <c r="I178" s="14">
        <f t="shared" si="28"/>
        <v>1.7500000000000002E-2</v>
      </c>
      <c r="J178" s="13">
        <f t="shared" si="29"/>
        <v>739.375</v>
      </c>
      <c r="K178" s="13">
        <f t="shared" si="30"/>
        <v>214833.47222222204</v>
      </c>
      <c r="M178" s="11" t="s">
        <v>7</v>
      </c>
      <c r="N178" s="12"/>
      <c r="O178" s="97"/>
      <c r="P178" s="13"/>
      <c r="Q178" s="13"/>
      <c r="R178" s="13"/>
      <c r="T178" s="11"/>
      <c r="U178" s="12"/>
      <c r="V178" s="97"/>
      <c r="W178" s="13"/>
      <c r="X178" s="13"/>
      <c r="Y178" s="13"/>
      <c r="AA178" s="11"/>
      <c r="AB178" s="98"/>
      <c r="AC178" s="97"/>
      <c r="AD178" s="13"/>
      <c r="AE178" s="13"/>
      <c r="AF178" s="13"/>
      <c r="AH178" s="235"/>
      <c r="AI178" s="236"/>
      <c r="AJ178" s="90"/>
      <c r="AK178" s="91"/>
      <c r="AM178" s="235"/>
      <c r="AN178" s="236"/>
      <c r="AO178" s="90"/>
      <c r="AP178" s="91"/>
      <c r="AR178" s="106">
        <v>55642801.729999997</v>
      </c>
      <c r="AS178" s="565">
        <v>0.02</v>
      </c>
      <c r="AT178" s="565">
        <v>2.1600000000000001E-2</v>
      </c>
      <c r="AU178" s="106">
        <v>739.38</v>
      </c>
      <c r="AV178" s="106">
        <v>-1952.36</v>
      </c>
      <c r="AW178" s="19"/>
    </row>
    <row r="179" spans="2:49" x14ac:dyDescent="0.25">
      <c r="B179" s="9" t="str">
        <f t="shared" si="23"/>
        <v>6 2025</v>
      </c>
      <c r="C179" s="10">
        <f t="shared" si="25"/>
        <v>45831</v>
      </c>
      <c r="D179" s="10">
        <f t="shared" si="26"/>
        <v>45832</v>
      </c>
      <c r="E179" s="11">
        <f t="shared" si="24"/>
        <v>1</v>
      </c>
      <c r="G179" s="11" t="s">
        <v>7</v>
      </c>
      <c r="H179" s="12">
        <f t="shared" si="27"/>
        <v>15210000</v>
      </c>
      <c r="I179" s="14">
        <f t="shared" si="28"/>
        <v>1.7500000000000002E-2</v>
      </c>
      <c r="J179" s="13">
        <f t="shared" si="29"/>
        <v>739.375</v>
      </c>
      <c r="K179" s="13">
        <f t="shared" si="30"/>
        <v>215572.84722222204</v>
      </c>
      <c r="M179" s="11" t="s">
        <v>7</v>
      </c>
      <c r="N179" s="12"/>
      <c r="O179" s="97"/>
      <c r="P179" s="13"/>
      <c r="Q179" s="13"/>
      <c r="R179" s="13"/>
      <c r="T179" s="11"/>
      <c r="U179" s="12"/>
      <c r="V179" s="97"/>
      <c r="W179" s="13"/>
      <c r="X179" s="13"/>
      <c r="Y179" s="13"/>
      <c r="AA179" s="11"/>
      <c r="AB179" s="98"/>
      <c r="AC179" s="97"/>
      <c r="AD179" s="13"/>
      <c r="AE179" s="13"/>
      <c r="AF179" s="13"/>
      <c r="AH179" s="235"/>
      <c r="AI179" s="236"/>
      <c r="AJ179" s="90"/>
      <c r="AK179" s="91"/>
      <c r="AM179" s="235"/>
      <c r="AN179" s="236"/>
      <c r="AO179" s="90"/>
      <c r="AP179" s="91"/>
      <c r="AR179" s="106">
        <v>55642801.729999997</v>
      </c>
      <c r="AS179" s="565">
        <v>0.02</v>
      </c>
      <c r="AT179" s="565">
        <v>2.1600000000000001E-2</v>
      </c>
      <c r="AU179" s="106">
        <v>739.38</v>
      </c>
      <c r="AV179" s="106">
        <v>-1952.36</v>
      </c>
      <c r="AW179" s="19"/>
    </row>
    <row r="180" spans="2:49" x14ac:dyDescent="0.25">
      <c r="B180" s="9" t="str">
        <f t="shared" si="23"/>
        <v>6 2025</v>
      </c>
      <c r="C180" s="10">
        <f t="shared" si="25"/>
        <v>45832</v>
      </c>
      <c r="D180" s="10">
        <f t="shared" si="26"/>
        <v>45833</v>
      </c>
      <c r="E180" s="11">
        <f t="shared" si="24"/>
        <v>1</v>
      </c>
      <c r="G180" s="11" t="s">
        <v>7</v>
      </c>
      <c r="H180" s="106">
        <f>H179-50000</f>
        <v>15160000</v>
      </c>
      <c r="I180" s="14">
        <f t="shared" si="28"/>
        <v>1.7500000000000002E-2</v>
      </c>
      <c r="J180" s="13">
        <f t="shared" si="29"/>
        <v>736.94444444444446</v>
      </c>
      <c r="K180" s="13">
        <f t="shared" si="30"/>
        <v>216309.79166666648</v>
      </c>
      <c r="M180" s="11" t="s">
        <v>7</v>
      </c>
      <c r="N180" s="12"/>
      <c r="O180" s="97"/>
      <c r="P180" s="13"/>
      <c r="Q180" s="13"/>
      <c r="R180" s="13"/>
      <c r="T180" s="11"/>
      <c r="U180" s="12"/>
      <c r="V180" s="97"/>
      <c r="W180" s="13"/>
      <c r="X180" s="13"/>
      <c r="Y180" s="13"/>
      <c r="AA180" s="11"/>
      <c r="AB180" s="98"/>
      <c r="AC180" s="97"/>
      <c r="AD180" s="13"/>
      <c r="AE180" s="13"/>
      <c r="AF180" s="13"/>
      <c r="AH180" s="235"/>
      <c r="AI180" s="236"/>
      <c r="AJ180" s="90"/>
      <c r="AK180" s="91"/>
      <c r="AM180" s="235"/>
      <c r="AN180" s="236"/>
      <c r="AO180" s="90"/>
      <c r="AP180" s="91"/>
      <c r="AR180" s="106">
        <v>55602667.82</v>
      </c>
      <c r="AS180" s="565">
        <v>0.02</v>
      </c>
      <c r="AT180" s="565">
        <v>2.1600000000000001E-2</v>
      </c>
      <c r="AU180" s="106">
        <v>10603.03</v>
      </c>
      <c r="AV180" s="106">
        <v>7913.73</v>
      </c>
      <c r="AW180" s="19"/>
    </row>
    <row r="181" spans="2:49" x14ac:dyDescent="0.25">
      <c r="B181" s="9" t="str">
        <f t="shared" si="23"/>
        <v>6 2025</v>
      </c>
      <c r="C181" s="10">
        <f t="shared" si="25"/>
        <v>45833</v>
      </c>
      <c r="D181" s="10">
        <f t="shared" si="26"/>
        <v>45834</v>
      </c>
      <c r="E181" s="11">
        <f t="shared" si="24"/>
        <v>1</v>
      </c>
      <c r="G181" s="11" t="s">
        <v>7</v>
      </c>
      <c r="H181" s="106">
        <f>H180-3350000</f>
        <v>11810000</v>
      </c>
      <c r="I181" s="14">
        <f t="shared" si="28"/>
        <v>1.7500000000000002E-2</v>
      </c>
      <c r="J181" s="13">
        <f t="shared" si="29"/>
        <v>574.09722222222229</v>
      </c>
      <c r="K181" s="13">
        <f t="shared" si="30"/>
        <v>216883.8888888887</v>
      </c>
      <c r="M181" s="11" t="s">
        <v>7</v>
      </c>
      <c r="N181" s="12"/>
      <c r="O181" s="97"/>
      <c r="P181" s="13"/>
      <c r="Q181" s="13"/>
      <c r="R181" s="13"/>
      <c r="T181" s="11"/>
      <c r="U181" s="12"/>
      <c r="V181" s="97"/>
      <c r="W181" s="13"/>
      <c r="X181" s="13"/>
      <c r="Y181" s="13"/>
      <c r="AA181" s="11"/>
      <c r="AB181" s="98"/>
      <c r="AC181" s="97"/>
      <c r="AD181" s="13"/>
      <c r="AE181" s="13"/>
      <c r="AF181" s="13"/>
      <c r="AH181" s="235"/>
      <c r="AI181" s="236"/>
      <c r="AJ181" s="90"/>
      <c r="AK181" s="91"/>
      <c r="AM181" s="235"/>
      <c r="AN181" s="236"/>
      <c r="AO181" s="90"/>
      <c r="AP181" s="91"/>
      <c r="AR181" s="106">
        <v>52255094.549999997</v>
      </c>
      <c r="AS181" s="565">
        <v>0.02</v>
      </c>
      <c r="AT181" s="565">
        <v>2.18E-2</v>
      </c>
      <c r="AU181" s="106">
        <v>3000.84</v>
      </c>
      <c r="AV181" s="106">
        <v>474.38</v>
      </c>
      <c r="AW181" s="19"/>
    </row>
    <row r="182" spans="2:49" x14ac:dyDescent="0.25">
      <c r="B182" s="9" t="str">
        <f t="shared" si="23"/>
        <v>6 2025</v>
      </c>
      <c r="C182" s="10">
        <f t="shared" si="25"/>
        <v>45834</v>
      </c>
      <c r="D182" s="10">
        <f t="shared" si="26"/>
        <v>45835</v>
      </c>
      <c r="E182" s="11">
        <f t="shared" si="24"/>
        <v>1</v>
      </c>
      <c r="G182" s="11" t="s">
        <v>7</v>
      </c>
      <c r="H182" s="106">
        <f>H181-280000</f>
        <v>11530000</v>
      </c>
      <c r="I182" s="14">
        <f t="shared" si="28"/>
        <v>1.7500000000000002E-2</v>
      </c>
      <c r="J182" s="13">
        <f t="shared" si="29"/>
        <v>560.4861111111112</v>
      </c>
      <c r="K182" s="13">
        <f t="shared" si="30"/>
        <v>217444.37499999983</v>
      </c>
      <c r="M182" s="11" t="s">
        <v>7</v>
      </c>
      <c r="N182" s="12"/>
      <c r="O182" s="97"/>
      <c r="P182" s="13"/>
      <c r="Q182" s="13"/>
      <c r="R182" s="13"/>
      <c r="T182" s="11"/>
      <c r="U182" s="12"/>
      <c r="V182" s="97"/>
      <c r="W182" s="13"/>
      <c r="X182" s="13"/>
      <c r="Y182" s="13"/>
      <c r="AA182" s="11"/>
      <c r="AB182" s="98"/>
      <c r="AC182" s="97"/>
      <c r="AD182" s="13"/>
      <c r="AE182" s="13"/>
      <c r="AF182" s="13"/>
      <c r="AH182" s="235"/>
      <c r="AI182" s="236"/>
      <c r="AJ182" s="90"/>
      <c r="AK182" s="91"/>
      <c r="AM182" s="235"/>
      <c r="AN182" s="236"/>
      <c r="AO182" s="90"/>
      <c r="AP182" s="91"/>
      <c r="AR182" s="106">
        <v>51977561.079999998</v>
      </c>
      <c r="AS182" s="565">
        <v>0.02</v>
      </c>
      <c r="AT182" s="565">
        <v>2.1899999999999999E-2</v>
      </c>
      <c r="AU182" s="106">
        <v>3027.01</v>
      </c>
      <c r="AV182" s="106">
        <v>514.16</v>
      </c>
      <c r="AW182" s="19"/>
    </row>
    <row r="183" spans="2:49" x14ac:dyDescent="0.25">
      <c r="B183" s="9" t="str">
        <f t="shared" si="23"/>
        <v>6 2025</v>
      </c>
      <c r="C183" s="10">
        <f t="shared" si="25"/>
        <v>45835</v>
      </c>
      <c r="D183" s="10">
        <f t="shared" si="26"/>
        <v>45836</v>
      </c>
      <c r="E183" s="11">
        <f t="shared" si="24"/>
        <v>1</v>
      </c>
      <c r="G183" s="11" t="s">
        <v>7</v>
      </c>
      <c r="H183" s="12">
        <f t="shared" si="27"/>
        <v>11530000</v>
      </c>
      <c r="I183" s="14">
        <f t="shared" si="28"/>
        <v>1.7500000000000002E-2</v>
      </c>
      <c r="J183" s="13">
        <f t="shared" si="29"/>
        <v>560.4861111111112</v>
      </c>
      <c r="K183" s="13">
        <f t="shared" si="30"/>
        <v>218004.86111111095</v>
      </c>
      <c r="M183" s="11" t="s">
        <v>7</v>
      </c>
      <c r="N183" s="12"/>
      <c r="O183" s="97"/>
      <c r="P183" s="13"/>
      <c r="Q183" s="13"/>
      <c r="R183" s="13"/>
      <c r="T183" s="11"/>
      <c r="U183" s="12"/>
      <c r="V183" s="97"/>
      <c r="W183" s="13"/>
      <c r="X183" s="13"/>
      <c r="Y183" s="13"/>
      <c r="AA183" s="11"/>
      <c r="AB183" s="98"/>
      <c r="AC183" s="97"/>
      <c r="AD183" s="13"/>
      <c r="AE183" s="13"/>
      <c r="AF183" s="13"/>
      <c r="AH183" s="235"/>
      <c r="AI183" s="236"/>
      <c r="AJ183" s="90"/>
      <c r="AK183" s="91"/>
      <c r="AM183" s="235"/>
      <c r="AN183" s="236"/>
      <c r="AO183" s="90"/>
      <c r="AP183" s="91"/>
      <c r="AR183" s="106">
        <v>51980027.600000001</v>
      </c>
      <c r="AS183" s="565">
        <v>0.02</v>
      </c>
      <c r="AT183" s="565">
        <v>2.1899999999999999E-2</v>
      </c>
      <c r="AU183" s="106">
        <v>3027.01</v>
      </c>
      <c r="AV183" s="106">
        <v>514.16</v>
      </c>
      <c r="AW183" s="19"/>
    </row>
    <row r="184" spans="2:49" x14ac:dyDescent="0.25">
      <c r="B184" s="9" t="str">
        <f t="shared" si="23"/>
        <v>6 2025</v>
      </c>
      <c r="C184" s="10">
        <f t="shared" si="25"/>
        <v>45836</v>
      </c>
      <c r="D184" s="10">
        <f t="shared" si="26"/>
        <v>45837</v>
      </c>
      <c r="E184" s="11">
        <f t="shared" si="24"/>
        <v>1</v>
      </c>
      <c r="G184" s="11" t="s">
        <v>7</v>
      </c>
      <c r="H184" s="12">
        <f t="shared" si="27"/>
        <v>11530000</v>
      </c>
      <c r="I184" s="14">
        <f t="shared" si="28"/>
        <v>1.7500000000000002E-2</v>
      </c>
      <c r="J184" s="13">
        <f t="shared" si="29"/>
        <v>560.4861111111112</v>
      </c>
      <c r="K184" s="13">
        <f t="shared" si="30"/>
        <v>218565.34722222207</v>
      </c>
      <c r="M184" s="11" t="s">
        <v>7</v>
      </c>
      <c r="N184" s="12"/>
      <c r="O184" s="97"/>
      <c r="P184" s="13"/>
      <c r="Q184" s="13"/>
      <c r="R184" s="13"/>
      <c r="T184" s="11"/>
      <c r="U184" s="12"/>
      <c r="V184" s="97"/>
      <c r="W184" s="13"/>
      <c r="X184" s="13"/>
      <c r="Y184" s="13"/>
      <c r="AA184" s="11"/>
      <c r="AB184" s="98"/>
      <c r="AC184" s="97"/>
      <c r="AD184" s="13"/>
      <c r="AE184" s="13"/>
      <c r="AF184" s="13"/>
      <c r="AH184" s="235"/>
      <c r="AI184" s="236"/>
      <c r="AJ184" s="90"/>
      <c r="AK184" s="91"/>
      <c r="AM184" s="235"/>
      <c r="AN184" s="236"/>
      <c r="AO184" s="90"/>
      <c r="AP184" s="91"/>
      <c r="AR184" s="106">
        <v>51980027.600000001</v>
      </c>
      <c r="AS184" s="565">
        <v>0.02</v>
      </c>
      <c r="AT184" s="565">
        <v>2.1899999999999999E-2</v>
      </c>
      <c r="AU184" s="106">
        <v>560.49</v>
      </c>
      <c r="AV184" s="106">
        <v>-1952.36</v>
      </c>
      <c r="AW184" s="19"/>
    </row>
    <row r="185" spans="2:49" x14ac:dyDescent="0.25">
      <c r="B185" s="9" t="str">
        <f t="shared" si="23"/>
        <v>6 2025</v>
      </c>
      <c r="C185" s="142">
        <f t="shared" si="25"/>
        <v>45837</v>
      </c>
      <c r="D185" s="142">
        <f t="shared" si="26"/>
        <v>45838</v>
      </c>
      <c r="E185" s="143">
        <f t="shared" si="24"/>
        <v>1</v>
      </c>
      <c r="F185" s="17"/>
      <c r="G185" s="143" t="s">
        <v>7</v>
      </c>
      <c r="H185" s="144">
        <f t="shared" si="27"/>
        <v>11530000</v>
      </c>
      <c r="I185" s="145">
        <f t="shared" si="28"/>
        <v>1.7500000000000002E-2</v>
      </c>
      <c r="J185" s="146">
        <f t="shared" si="29"/>
        <v>560.4861111111112</v>
      </c>
      <c r="K185" s="146">
        <f t="shared" si="30"/>
        <v>219125.8333333332</v>
      </c>
      <c r="L185" s="17"/>
      <c r="M185" s="143" t="s">
        <v>7</v>
      </c>
      <c r="N185" s="144"/>
      <c r="O185" s="145"/>
      <c r="P185" s="146"/>
      <c r="Q185" s="146"/>
      <c r="R185" s="146"/>
      <c r="S185" s="17"/>
      <c r="T185" s="11"/>
      <c r="U185" s="12"/>
      <c r="V185" s="97"/>
      <c r="W185" s="13"/>
      <c r="X185" s="13"/>
      <c r="Y185" s="13"/>
      <c r="Z185" s="17"/>
      <c r="AA185" s="143"/>
      <c r="AB185" s="144"/>
      <c r="AC185" s="145"/>
      <c r="AD185" s="146"/>
      <c r="AE185" s="146"/>
      <c r="AF185" s="146"/>
      <c r="AG185" s="141"/>
      <c r="AH185" s="234"/>
      <c r="AI185" s="236"/>
      <c r="AJ185" s="90"/>
      <c r="AK185" s="91"/>
      <c r="AM185" s="234"/>
      <c r="AN185" s="236"/>
      <c r="AO185" s="90"/>
      <c r="AP185" s="91"/>
      <c r="AR185" s="106">
        <v>51980027.600000001</v>
      </c>
      <c r="AS185" s="565">
        <v>0.02</v>
      </c>
      <c r="AT185" s="565">
        <v>2.1899999999999999E-2</v>
      </c>
      <c r="AU185" s="106">
        <v>560.49</v>
      </c>
      <c r="AV185" s="106">
        <v>-1952.36</v>
      </c>
      <c r="AW185" s="19"/>
    </row>
    <row r="186" spans="2:49" x14ac:dyDescent="0.25">
      <c r="B186" s="9" t="str">
        <f t="shared" si="23"/>
        <v>7 2025</v>
      </c>
      <c r="C186" s="10">
        <f t="shared" si="25"/>
        <v>45838</v>
      </c>
      <c r="D186" s="10">
        <f t="shared" si="26"/>
        <v>45839</v>
      </c>
      <c r="E186" s="11">
        <f t="shared" si="24"/>
        <v>1</v>
      </c>
      <c r="G186" s="11" t="s">
        <v>7</v>
      </c>
      <c r="H186" s="12">
        <f t="shared" si="27"/>
        <v>11530000</v>
      </c>
      <c r="I186" s="14">
        <f t="shared" si="28"/>
        <v>1.7500000000000002E-2</v>
      </c>
      <c r="J186" s="13">
        <f t="shared" si="29"/>
        <v>560.4861111111112</v>
      </c>
      <c r="K186" s="13">
        <f t="shared" si="30"/>
        <v>219686.31944444432</v>
      </c>
      <c r="M186" s="11" t="s">
        <v>7</v>
      </c>
      <c r="N186" s="12"/>
      <c r="O186" s="97"/>
      <c r="P186" s="13"/>
      <c r="Q186" s="13"/>
      <c r="R186" s="13"/>
      <c r="T186" s="11"/>
      <c r="U186" s="12"/>
      <c r="V186" s="97"/>
      <c r="W186" s="13"/>
      <c r="X186" s="13"/>
      <c r="Y186" s="13"/>
      <c r="AA186" s="11"/>
      <c r="AB186" s="98"/>
      <c r="AC186" s="97"/>
      <c r="AD186" s="13"/>
      <c r="AE186" s="13"/>
      <c r="AF186" s="13"/>
      <c r="AH186" s="235"/>
      <c r="AI186" s="236"/>
      <c r="AJ186" s="90"/>
      <c r="AK186" s="91"/>
      <c r="AM186" s="235"/>
      <c r="AN186" s="236"/>
      <c r="AO186" s="90"/>
      <c r="AP186" s="91"/>
      <c r="AR186" s="106">
        <v>51987466.939999998</v>
      </c>
      <c r="AS186" s="565">
        <v>0.02</v>
      </c>
      <c r="AT186" s="565">
        <v>2.1899999999999999E-2</v>
      </c>
      <c r="AU186" s="106">
        <v>7999.83</v>
      </c>
      <c r="AV186" s="106">
        <v>5486.99</v>
      </c>
      <c r="AW186" s="19"/>
    </row>
    <row r="187" spans="2:49" x14ac:dyDescent="0.25">
      <c r="B187" s="9" t="str">
        <f t="shared" si="23"/>
        <v>7 2025</v>
      </c>
      <c r="C187" s="10">
        <f t="shared" si="25"/>
        <v>45839</v>
      </c>
      <c r="D187" s="10">
        <f t="shared" si="26"/>
        <v>45840</v>
      </c>
      <c r="E187" s="11">
        <f t="shared" si="24"/>
        <v>1</v>
      </c>
      <c r="G187" s="11" t="s">
        <v>7</v>
      </c>
      <c r="H187" s="106">
        <f>H186-2700000</f>
        <v>8830000</v>
      </c>
      <c r="I187" s="14">
        <f t="shared" si="28"/>
        <v>1.7500000000000002E-2</v>
      </c>
      <c r="J187" s="13">
        <f t="shared" si="29"/>
        <v>429.2361111111112</v>
      </c>
      <c r="K187" s="13">
        <f t="shared" si="30"/>
        <v>220115.55555555545</v>
      </c>
      <c r="M187" s="11" t="s">
        <v>7</v>
      </c>
      <c r="N187" s="12"/>
      <c r="O187" s="97"/>
      <c r="P187" s="13"/>
      <c r="Q187" s="13"/>
      <c r="R187" s="13"/>
      <c r="T187" s="11"/>
      <c r="U187" s="12"/>
      <c r="V187" s="97"/>
      <c r="W187" s="13"/>
      <c r="X187" s="13"/>
      <c r="Y187" s="13"/>
      <c r="AA187" s="11"/>
      <c r="AB187" s="98"/>
      <c r="AC187" s="97"/>
      <c r="AD187" s="13"/>
      <c r="AE187" s="13"/>
      <c r="AF187" s="13"/>
      <c r="AH187" s="235"/>
      <c r="AI187" s="236"/>
      <c r="AJ187" s="90"/>
      <c r="AK187" s="91"/>
      <c r="AM187" s="235"/>
      <c r="AN187" s="236"/>
      <c r="AO187" s="90"/>
      <c r="AP187" s="91"/>
      <c r="AR187" s="106">
        <v>49289933.460000001</v>
      </c>
      <c r="AS187" s="565">
        <v>0.02</v>
      </c>
      <c r="AT187" s="565">
        <v>2.2100000000000002E-2</v>
      </c>
      <c r="AU187" s="106">
        <v>2895.76</v>
      </c>
      <c r="AV187" s="106">
        <v>514.16</v>
      </c>
      <c r="AW187" s="19"/>
    </row>
    <row r="188" spans="2:49" x14ac:dyDescent="0.25">
      <c r="B188" s="9" t="str">
        <f t="shared" si="23"/>
        <v>7 2025</v>
      </c>
      <c r="C188" s="10">
        <f t="shared" si="25"/>
        <v>45840</v>
      </c>
      <c r="D188" s="10">
        <f t="shared" si="26"/>
        <v>45841</v>
      </c>
      <c r="E188" s="11">
        <f t="shared" si="24"/>
        <v>1</v>
      </c>
      <c r="G188" s="11" t="s">
        <v>7</v>
      </c>
      <c r="H188" s="12">
        <f t="shared" si="27"/>
        <v>8830000</v>
      </c>
      <c r="I188" s="14">
        <f t="shared" si="28"/>
        <v>1.7500000000000002E-2</v>
      </c>
      <c r="J188" s="13">
        <f t="shared" si="29"/>
        <v>429.2361111111112</v>
      </c>
      <c r="K188" s="13">
        <f t="shared" si="30"/>
        <v>220544.79166666657</v>
      </c>
      <c r="M188" s="11" t="s">
        <v>7</v>
      </c>
      <c r="N188" s="12"/>
      <c r="O188" s="97"/>
      <c r="P188" s="13"/>
      <c r="Q188" s="13"/>
      <c r="R188" s="13"/>
      <c r="T188" s="11"/>
      <c r="U188" s="12"/>
      <c r="V188" s="97"/>
      <c r="W188" s="13"/>
      <c r="X188" s="13"/>
      <c r="Y188" s="13"/>
      <c r="AA188" s="11"/>
      <c r="AB188" s="98"/>
      <c r="AC188" s="97"/>
      <c r="AD188" s="13"/>
      <c r="AE188" s="13"/>
      <c r="AF188" s="13"/>
      <c r="AH188" s="235"/>
      <c r="AI188" s="236"/>
      <c r="AJ188" s="90"/>
      <c r="AK188" s="91"/>
      <c r="AM188" s="235"/>
      <c r="AN188" s="236"/>
      <c r="AO188" s="90"/>
      <c r="AP188" s="91"/>
      <c r="AR188" s="106">
        <v>49292399.979999997</v>
      </c>
      <c r="AS188" s="565">
        <v>0.02</v>
      </c>
      <c r="AT188" s="565">
        <v>2.2100000000000002E-2</v>
      </c>
      <c r="AU188" s="106">
        <v>2895.76</v>
      </c>
      <c r="AV188" s="106">
        <v>514.16</v>
      </c>
      <c r="AW188" s="19"/>
    </row>
    <row r="189" spans="2:49" x14ac:dyDescent="0.25">
      <c r="B189" s="9" t="str">
        <f t="shared" si="23"/>
        <v>7 2025</v>
      </c>
      <c r="C189" s="10">
        <f t="shared" si="25"/>
        <v>45841</v>
      </c>
      <c r="D189" s="10">
        <f t="shared" si="26"/>
        <v>45842</v>
      </c>
      <c r="E189" s="11">
        <f t="shared" si="24"/>
        <v>1</v>
      </c>
      <c r="G189" s="11" t="s">
        <v>7</v>
      </c>
      <c r="H189" s="106">
        <f>H188+720000</f>
        <v>9550000</v>
      </c>
      <c r="I189" s="14">
        <f t="shared" si="28"/>
        <v>1.7500000000000002E-2</v>
      </c>
      <c r="J189" s="13">
        <f t="shared" si="29"/>
        <v>464.2361111111112</v>
      </c>
      <c r="K189" s="13">
        <f t="shared" si="30"/>
        <v>221009.02777777769</v>
      </c>
      <c r="M189" s="11" t="s">
        <v>7</v>
      </c>
      <c r="N189" s="12"/>
      <c r="O189" s="97"/>
      <c r="P189" s="13"/>
      <c r="Q189" s="13"/>
      <c r="R189" s="13"/>
      <c r="T189" s="11"/>
      <c r="U189" s="12"/>
      <c r="V189" s="97"/>
      <c r="W189" s="13"/>
      <c r="X189" s="13"/>
      <c r="Y189" s="13"/>
      <c r="AA189" s="11"/>
      <c r="AB189" s="98"/>
      <c r="AC189" s="97"/>
      <c r="AD189" s="13"/>
      <c r="AE189" s="13"/>
      <c r="AF189" s="13"/>
      <c r="AH189" s="235"/>
      <c r="AI189" s="236"/>
      <c r="AJ189" s="90"/>
      <c r="AK189" s="91"/>
      <c r="AM189" s="235"/>
      <c r="AN189" s="236"/>
      <c r="AO189" s="90"/>
      <c r="AP189" s="91"/>
      <c r="AR189" s="106">
        <v>50014866.5</v>
      </c>
      <c r="AS189" s="565">
        <v>0.02</v>
      </c>
      <c r="AT189" s="565">
        <v>2.1100000000000001E-2</v>
      </c>
      <c r="AU189" s="106">
        <v>2930.76</v>
      </c>
      <c r="AV189" s="106">
        <v>514.16</v>
      </c>
      <c r="AW189" s="19"/>
    </row>
    <row r="190" spans="2:49" x14ac:dyDescent="0.25">
      <c r="B190" s="9" t="str">
        <f t="shared" si="23"/>
        <v>7 2025</v>
      </c>
      <c r="C190" s="10">
        <f t="shared" si="25"/>
        <v>45842</v>
      </c>
      <c r="D190" s="10">
        <f t="shared" si="26"/>
        <v>45843</v>
      </c>
      <c r="E190" s="11">
        <f t="shared" si="24"/>
        <v>1</v>
      </c>
      <c r="G190" s="11" t="s">
        <v>7</v>
      </c>
      <c r="H190" s="12">
        <f t="shared" si="27"/>
        <v>9550000</v>
      </c>
      <c r="I190" s="14">
        <f t="shared" si="28"/>
        <v>1.7500000000000002E-2</v>
      </c>
      <c r="J190" s="13">
        <f t="shared" si="29"/>
        <v>464.2361111111112</v>
      </c>
      <c r="K190" s="13">
        <f t="shared" si="30"/>
        <v>221473.26388888882</v>
      </c>
      <c r="M190" s="11" t="s">
        <v>7</v>
      </c>
      <c r="N190" s="12"/>
      <c r="O190" s="97"/>
      <c r="P190" s="13"/>
      <c r="Q190" s="13"/>
      <c r="R190" s="13"/>
      <c r="T190" s="11"/>
      <c r="U190" s="12"/>
      <c r="V190" s="97"/>
      <c r="W190" s="13"/>
      <c r="X190" s="13"/>
      <c r="Y190" s="13"/>
      <c r="AA190" s="11"/>
      <c r="AB190" s="98"/>
      <c r="AC190" s="97"/>
      <c r="AD190" s="13"/>
      <c r="AE190" s="13"/>
      <c r="AF190" s="13"/>
      <c r="AH190" s="235"/>
      <c r="AI190" s="236"/>
      <c r="AJ190" s="90"/>
      <c r="AK190" s="91"/>
      <c r="AM190" s="235"/>
      <c r="AN190" s="236"/>
      <c r="AO190" s="90"/>
      <c r="AP190" s="91"/>
      <c r="AR190" s="106">
        <v>50017333.030000001</v>
      </c>
      <c r="AS190" s="565">
        <v>0.02</v>
      </c>
      <c r="AT190" s="565">
        <v>2.1100000000000001E-2</v>
      </c>
      <c r="AU190" s="106">
        <v>2930.76</v>
      </c>
      <c r="AV190" s="106">
        <v>514.16</v>
      </c>
      <c r="AW190" s="19"/>
    </row>
    <row r="191" spans="2:49" x14ac:dyDescent="0.25">
      <c r="B191" s="9" t="str">
        <f t="shared" si="23"/>
        <v>7 2025</v>
      </c>
      <c r="C191" s="10">
        <f t="shared" si="25"/>
        <v>45843</v>
      </c>
      <c r="D191" s="10">
        <f t="shared" si="26"/>
        <v>45844</v>
      </c>
      <c r="E191" s="11">
        <f t="shared" si="24"/>
        <v>1</v>
      </c>
      <c r="G191" s="11" t="s">
        <v>7</v>
      </c>
      <c r="H191" s="12">
        <f t="shared" si="27"/>
        <v>9550000</v>
      </c>
      <c r="I191" s="14">
        <f t="shared" si="28"/>
        <v>1.7500000000000002E-2</v>
      </c>
      <c r="J191" s="13">
        <f t="shared" si="29"/>
        <v>464.2361111111112</v>
      </c>
      <c r="K191" s="13">
        <f t="shared" si="30"/>
        <v>221937.49999999994</v>
      </c>
      <c r="M191" s="11" t="s">
        <v>7</v>
      </c>
      <c r="N191" s="12"/>
      <c r="O191" s="97"/>
      <c r="P191" s="13"/>
      <c r="Q191" s="13"/>
      <c r="R191" s="13"/>
      <c r="T191" s="11"/>
      <c r="U191" s="12"/>
      <c r="V191" s="97"/>
      <c r="W191" s="13"/>
      <c r="X191" s="13"/>
      <c r="Y191" s="13"/>
      <c r="AA191" s="11"/>
      <c r="AB191" s="98"/>
      <c r="AC191" s="97"/>
      <c r="AD191" s="13"/>
      <c r="AE191" s="13"/>
      <c r="AF191" s="13"/>
      <c r="AH191" s="235"/>
      <c r="AI191" s="236"/>
      <c r="AJ191" s="90"/>
      <c r="AK191" s="91"/>
      <c r="AM191" s="235"/>
      <c r="AN191" s="236"/>
      <c r="AO191" s="90"/>
      <c r="AP191" s="91"/>
      <c r="AR191" s="106">
        <v>50017333.030000001</v>
      </c>
      <c r="AS191" s="565">
        <v>0.02</v>
      </c>
      <c r="AT191" s="565">
        <v>2.1100000000000001E-2</v>
      </c>
      <c r="AU191" s="106">
        <v>464.24</v>
      </c>
      <c r="AV191" s="106">
        <v>-1952.36</v>
      </c>
      <c r="AW191" s="19"/>
    </row>
    <row r="192" spans="2:49" x14ac:dyDescent="0.25">
      <c r="B192" s="9" t="str">
        <f t="shared" si="23"/>
        <v>7 2025</v>
      </c>
      <c r="C192" s="10">
        <f t="shared" si="25"/>
        <v>45844</v>
      </c>
      <c r="D192" s="10">
        <f t="shared" si="26"/>
        <v>45845</v>
      </c>
      <c r="E192" s="11">
        <f t="shared" si="24"/>
        <v>1</v>
      </c>
      <c r="G192" s="11" t="s">
        <v>7</v>
      </c>
      <c r="H192" s="12">
        <f t="shared" si="27"/>
        <v>9550000</v>
      </c>
      <c r="I192" s="14">
        <f t="shared" si="28"/>
        <v>1.7500000000000002E-2</v>
      </c>
      <c r="J192" s="13">
        <f t="shared" si="29"/>
        <v>464.2361111111112</v>
      </c>
      <c r="K192" s="13">
        <f t="shared" si="30"/>
        <v>222401.73611111107</v>
      </c>
      <c r="M192" s="11" t="s">
        <v>7</v>
      </c>
      <c r="N192" s="12"/>
      <c r="O192" s="97"/>
      <c r="P192" s="13"/>
      <c r="Q192" s="13"/>
      <c r="R192" s="13"/>
      <c r="T192" s="11"/>
      <c r="U192" s="12"/>
      <c r="V192" s="97"/>
      <c r="W192" s="13"/>
      <c r="X192" s="13"/>
      <c r="Y192" s="13"/>
      <c r="AA192" s="11"/>
      <c r="AB192" s="98"/>
      <c r="AC192" s="97"/>
      <c r="AD192" s="13"/>
      <c r="AE192" s="13"/>
      <c r="AF192" s="13"/>
      <c r="AH192" s="235"/>
      <c r="AI192" s="236"/>
      <c r="AJ192" s="90"/>
      <c r="AK192" s="91"/>
      <c r="AM192" s="235"/>
      <c r="AN192" s="236"/>
      <c r="AO192" s="90"/>
      <c r="AP192" s="91"/>
      <c r="AR192" s="106">
        <v>50017333.030000001</v>
      </c>
      <c r="AS192" s="565">
        <v>0.02</v>
      </c>
      <c r="AT192" s="565">
        <v>2.1100000000000001E-2</v>
      </c>
      <c r="AU192" s="106">
        <v>464.24</v>
      </c>
      <c r="AV192" s="106">
        <v>-1952.36</v>
      </c>
      <c r="AW192" s="19"/>
    </row>
    <row r="193" spans="2:49" x14ac:dyDescent="0.25">
      <c r="B193" s="9" t="str">
        <f t="shared" si="23"/>
        <v>7 2025</v>
      </c>
      <c r="C193" s="10">
        <f t="shared" si="25"/>
        <v>45845</v>
      </c>
      <c r="D193" s="10">
        <f t="shared" si="26"/>
        <v>45846</v>
      </c>
      <c r="E193" s="11">
        <f t="shared" si="24"/>
        <v>1</v>
      </c>
      <c r="G193" s="11" t="s">
        <v>7</v>
      </c>
      <c r="H193" s="12">
        <f t="shared" si="27"/>
        <v>9550000</v>
      </c>
      <c r="I193" s="14">
        <f t="shared" si="28"/>
        <v>1.7500000000000002E-2</v>
      </c>
      <c r="J193" s="13">
        <f t="shared" si="29"/>
        <v>464.2361111111112</v>
      </c>
      <c r="K193" s="13">
        <f t="shared" si="30"/>
        <v>222865.97222222219</v>
      </c>
      <c r="M193" s="11" t="s">
        <v>7</v>
      </c>
      <c r="N193" s="12"/>
      <c r="O193" s="97"/>
      <c r="P193" s="13"/>
      <c r="Q193" s="13"/>
      <c r="R193" s="13"/>
      <c r="T193" s="11"/>
      <c r="U193" s="12"/>
      <c r="V193" s="97"/>
      <c r="W193" s="13"/>
      <c r="X193" s="13"/>
      <c r="Y193" s="13"/>
      <c r="AA193" s="11"/>
      <c r="AB193" s="98"/>
      <c r="AC193" s="97"/>
      <c r="AD193" s="13"/>
      <c r="AE193" s="13"/>
      <c r="AF193" s="13"/>
      <c r="AH193" s="235"/>
      <c r="AI193" s="236"/>
      <c r="AJ193" s="90"/>
      <c r="AK193" s="91"/>
      <c r="AM193" s="235"/>
      <c r="AN193" s="236"/>
      <c r="AO193" s="90"/>
      <c r="AP193" s="91"/>
      <c r="AR193" s="106">
        <v>50017333.030000001</v>
      </c>
      <c r="AS193" s="565">
        <v>0.02</v>
      </c>
      <c r="AT193" s="565">
        <v>2.1100000000000001E-2</v>
      </c>
      <c r="AU193" s="106">
        <v>464.24</v>
      </c>
      <c r="AV193" s="106">
        <v>-1952.36</v>
      </c>
      <c r="AW193" s="19"/>
    </row>
    <row r="194" spans="2:49" x14ac:dyDescent="0.25">
      <c r="B194" s="9" t="str">
        <f t="shared" si="23"/>
        <v>7 2025</v>
      </c>
      <c r="C194" s="10">
        <f t="shared" si="25"/>
        <v>45846</v>
      </c>
      <c r="D194" s="10">
        <f t="shared" si="26"/>
        <v>45847</v>
      </c>
      <c r="E194" s="11">
        <f t="shared" si="24"/>
        <v>1</v>
      </c>
      <c r="G194" s="11" t="s">
        <v>7</v>
      </c>
      <c r="H194" s="12">
        <f t="shared" si="27"/>
        <v>9550000</v>
      </c>
      <c r="I194" s="14">
        <f t="shared" si="28"/>
        <v>1.7500000000000002E-2</v>
      </c>
      <c r="J194" s="13">
        <f t="shared" si="29"/>
        <v>464.2361111111112</v>
      </c>
      <c r="K194" s="13">
        <f t="shared" si="30"/>
        <v>223330.20833333331</v>
      </c>
      <c r="M194" s="11" t="s">
        <v>7</v>
      </c>
      <c r="N194" s="12"/>
      <c r="O194" s="97"/>
      <c r="P194" s="13"/>
      <c r="Q194" s="13"/>
      <c r="R194" s="13"/>
      <c r="T194" s="11"/>
      <c r="U194" s="12"/>
      <c r="V194" s="97"/>
      <c r="W194" s="13"/>
      <c r="X194" s="13"/>
      <c r="Y194" s="13"/>
      <c r="AA194" s="11"/>
      <c r="AB194" s="98"/>
      <c r="AC194" s="97"/>
      <c r="AD194" s="13"/>
      <c r="AE194" s="13"/>
      <c r="AF194" s="13"/>
      <c r="AH194" s="235"/>
      <c r="AI194" s="236"/>
      <c r="AJ194" s="90"/>
      <c r="AK194" s="91"/>
      <c r="AM194" s="235"/>
      <c r="AN194" s="236"/>
      <c r="AO194" s="90"/>
      <c r="AP194" s="91"/>
      <c r="AR194" s="106">
        <v>50017333.030000001</v>
      </c>
      <c r="AS194" s="565">
        <v>0.02</v>
      </c>
      <c r="AT194" s="565">
        <v>2.1100000000000001E-2</v>
      </c>
      <c r="AU194" s="106">
        <v>464.24</v>
      </c>
      <c r="AV194" s="106">
        <v>-1952.36</v>
      </c>
      <c r="AW194" s="19"/>
    </row>
    <row r="195" spans="2:49" x14ac:dyDescent="0.25">
      <c r="B195" s="9" t="str">
        <f t="shared" si="23"/>
        <v>7 2025</v>
      </c>
      <c r="C195" s="10">
        <f t="shared" si="25"/>
        <v>45847</v>
      </c>
      <c r="D195" s="10">
        <f t="shared" si="26"/>
        <v>45848</v>
      </c>
      <c r="E195" s="11">
        <f t="shared" si="24"/>
        <v>1</v>
      </c>
      <c r="G195" s="11" t="s">
        <v>7</v>
      </c>
      <c r="H195" s="12">
        <f t="shared" si="27"/>
        <v>9550000</v>
      </c>
      <c r="I195" s="14">
        <f t="shared" si="28"/>
        <v>1.7500000000000002E-2</v>
      </c>
      <c r="J195" s="13">
        <f t="shared" si="29"/>
        <v>464.2361111111112</v>
      </c>
      <c r="K195" s="13">
        <f t="shared" si="30"/>
        <v>223794.44444444444</v>
      </c>
      <c r="M195" s="11" t="s">
        <v>7</v>
      </c>
      <c r="N195" s="12"/>
      <c r="O195" s="97"/>
      <c r="P195" s="13"/>
      <c r="Q195" s="13"/>
      <c r="R195" s="13"/>
      <c r="T195" s="11"/>
      <c r="U195" s="12"/>
      <c r="V195" s="97"/>
      <c r="W195" s="13"/>
      <c r="X195" s="13"/>
      <c r="Y195" s="13"/>
      <c r="AA195" s="11"/>
      <c r="AB195" s="98"/>
      <c r="AC195" s="97"/>
      <c r="AD195" s="13"/>
      <c r="AE195" s="13"/>
      <c r="AF195" s="13"/>
      <c r="AH195" s="235"/>
      <c r="AI195" s="236"/>
      <c r="AJ195" s="90"/>
      <c r="AK195" s="91"/>
      <c r="AM195" s="235"/>
      <c r="AN195" s="236"/>
      <c r="AO195" s="90"/>
      <c r="AP195" s="91"/>
      <c r="AR195" s="106">
        <v>50029665.630000003</v>
      </c>
      <c r="AS195" s="565">
        <v>0.02</v>
      </c>
      <c r="AT195" s="565">
        <v>2.1100000000000001E-2</v>
      </c>
      <c r="AU195" s="106">
        <v>12796.84</v>
      </c>
      <c r="AV195" s="106">
        <v>10380.25</v>
      </c>
      <c r="AW195" s="19"/>
    </row>
    <row r="196" spans="2:49" x14ac:dyDescent="0.25">
      <c r="B196" s="9" t="str">
        <f t="shared" si="23"/>
        <v>7 2025</v>
      </c>
      <c r="C196" s="10">
        <f t="shared" si="25"/>
        <v>45848</v>
      </c>
      <c r="D196" s="10">
        <f t="shared" si="26"/>
        <v>45849</v>
      </c>
      <c r="E196" s="11">
        <f t="shared" si="24"/>
        <v>1</v>
      </c>
      <c r="G196" s="11" t="s">
        <v>7</v>
      </c>
      <c r="H196" s="106">
        <f>H195-820000</f>
        <v>8730000</v>
      </c>
      <c r="I196" s="14">
        <f t="shared" si="28"/>
        <v>1.7500000000000002E-2</v>
      </c>
      <c r="J196" s="13">
        <f t="shared" si="29"/>
        <v>424.375</v>
      </c>
      <c r="K196" s="13">
        <f t="shared" si="30"/>
        <v>224218.81944444444</v>
      </c>
      <c r="M196" s="11" t="s">
        <v>7</v>
      </c>
      <c r="N196" s="12"/>
      <c r="O196" s="97"/>
      <c r="P196" s="13"/>
      <c r="Q196" s="13"/>
      <c r="R196" s="13"/>
      <c r="T196" s="11"/>
      <c r="U196" s="12"/>
      <c r="V196" s="97"/>
      <c r="W196" s="13"/>
      <c r="X196" s="13"/>
      <c r="Y196" s="13"/>
      <c r="AA196" s="11"/>
      <c r="AB196" s="98"/>
      <c r="AC196" s="97"/>
      <c r="AD196" s="13"/>
      <c r="AE196" s="13"/>
      <c r="AF196" s="13"/>
      <c r="AH196" s="235"/>
      <c r="AI196" s="236"/>
      <c r="AJ196" s="90"/>
      <c r="AK196" s="91"/>
      <c r="AM196" s="235"/>
      <c r="AN196" s="236"/>
      <c r="AO196" s="90"/>
      <c r="AP196" s="91"/>
      <c r="AR196" s="106">
        <v>49212132.149999999</v>
      </c>
      <c r="AS196" s="565">
        <v>0.02</v>
      </c>
      <c r="AT196" s="565">
        <v>2.12E-2</v>
      </c>
      <c r="AU196" s="106">
        <v>2890.9</v>
      </c>
      <c r="AV196" s="106">
        <v>514.16</v>
      </c>
      <c r="AW196" s="19"/>
    </row>
    <row r="197" spans="2:49" x14ac:dyDescent="0.25">
      <c r="B197" s="9" t="str">
        <f t="shared" si="23"/>
        <v>7 2025</v>
      </c>
      <c r="C197" s="10">
        <f t="shared" si="25"/>
        <v>45849</v>
      </c>
      <c r="D197" s="10">
        <f t="shared" si="26"/>
        <v>45850</v>
      </c>
      <c r="E197" s="11">
        <f t="shared" si="24"/>
        <v>1</v>
      </c>
      <c r="G197" s="11" t="s">
        <v>7</v>
      </c>
      <c r="H197" s="106">
        <f>H196+2550000</f>
        <v>11280000</v>
      </c>
      <c r="I197" s="14">
        <f t="shared" si="28"/>
        <v>1.7500000000000002E-2</v>
      </c>
      <c r="J197" s="13">
        <f t="shared" si="29"/>
        <v>548.33333333333337</v>
      </c>
      <c r="K197" s="13">
        <f t="shared" si="30"/>
        <v>224767.15277777778</v>
      </c>
      <c r="M197" s="11" t="s">
        <v>7</v>
      </c>
      <c r="N197" s="12"/>
      <c r="O197" s="97"/>
      <c r="P197" s="13"/>
      <c r="Q197" s="13"/>
      <c r="R197" s="13"/>
      <c r="T197" s="11"/>
      <c r="U197" s="12"/>
      <c r="V197" s="97"/>
      <c r="W197" s="13"/>
      <c r="X197" s="13"/>
      <c r="Y197" s="13"/>
      <c r="AA197" s="11"/>
      <c r="AB197" s="98"/>
      <c r="AC197" s="97"/>
      <c r="AD197" s="13"/>
      <c r="AE197" s="13"/>
      <c r="AF197" s="13"/>
      <c r="AH197" s="235"/>
      <c r="AI197" s="236"/>
      <c r="AJ197" s="90"/>
      <c r="AK197" s="91"/>
      <c r="AM197" s="235"/>
      <c r="AN197" s="236"/>
      <c r="AO197" s="90"/>
      <c r="AP197" s="91"/>
      <c r="AR197" s="106">
        <v>31764598.300000001</v>
      </c>
      <c r="AS197" s="565">
        <v>0.02</v>
      </c>
      <c r="AT197" s="565">
        <v>2.0400000000000001E-2</v>
      </c>
      <c r="AU197" s="106">
        <v>3014.49</v>
      </c>
      <c r="AV197" s="106">
        <v>513.79999999999995</v>
      </c>
      <c r="AW197" s="19"/>
    </row>
    <row r="198" spans="2:49" x14ac:dyDescent="0.25">
      <c r="B198" s="9" t="str">
        <f t="shared" ref="B198:B261" si="31">CONCATENATE(MONTH(D198)," ",YEAR(D198))</f>
        <v>7 2025</v>
      </c>
      <c r="C198" s="10">
        <f t="shared" si="25"/>
        <v>45850</v>
      </c>
      <c r="D198" s="10">
        <f t="shared" si="26"/>
        <v>45851</v>
      </c>
      <c r="E198" s="11">
        <f t="shared" ref="E198:E261" si="32">D198-C198</f>
        <v>1</v>
      </c>
      <c r="G198" s="11" t="s">
        <v>7</v>
      </c>
      <c r="H198" s="12">
        <f t="shared" si="27"/>
        <v>11280000</v>
      </c>
      <c r="I198" s="14">
        <f t="shared" si="28"/>
        <v>1.7500000000000002E-2</v>
      </c>
      <c r="J198" s="13">
        <f t="shared" si="29"/>
        <v>548.33333333333337</v>
      </c>
      <c r="K198" s="13">
        <f t="shared" si="30"/>
        <v>225315.48611111112</v>
      </c>
      <c r="M198" s="11" t="s">
        <v>7</v>
      </c>
      <c r="N198" s="12"/>
      <c r="O198" s="97"/>
      <c r="P198" s="13"/>
      <c r="Q198" s="13"/>
      <c r="R198" s="13"/>
      <c r="T198" s="11"/>
      <c r="U198" s="12"/>
      <c r="V198" s="97"/>
      <c r="W198" s="13"/>
      <c r="X198" s="13"/>
      <c r="Y198" s="13"/>
      <c r="AA198" s="11"/>
      <c r="AB198" s="98"/>
      <c r="AC198" s="97"/>
      <c r="AD198" s="13"/>
      <c r="AE198" s="13"/>
      <c r="AF198" s="13"/>
      <c r="AH198" s="235"/>
      <c r="AI198" s="236"/>
      <c r="AJ198" s="90"/>
      <c r="AK198" s="91"/>
      <c r="AM198" s="235"/>
      <c r="AN198" s="236"/>
      <c r="AO198" s="90"/>
      <c r="AP198" s="91"/>
      <c r="AR198" s="106">
        <v>31764598.300000001</v>
      </c>
      <c r="AS198" s="565">
        <v>0.02</v>
      </c>
      <c r="AT198" s="565">
        <v>2.0400000000000001E-2</v>
      </c>
      <c r="AU198" s="106">
        <v>548.33000000000004</v>
      </c>
      <c r="AV198" s="106">
        <v>-988</v>
      </c>
      <c r="AW198" s="19"/>
    </row>
    <row r="199" spans="2:49" x14ac:dyDescent="0.25">
      <c r="B199" s="9" t="str">
        <f t="shared" si="31"/>
        <v>7 2025</v>
      </c>
      <c r="C199" s="10">
        <f t="shared" si="25"/>
        <v>45851</v>
      </c>
      <c r="D199" s="10">
        <f t="shared" si="26"/>
        <v>45852</v>
      </c>
      <c r="E199" s="11">
        <f t="shared" si="32"/>
        <v>1</v>
      </c>
      <c r="G199" s="11" t="s">
        <v>7</v>
      </c>
      <c r="H199" s="12">
        <f t="shared" si="27"/>
        <v>11280000</v>
      </c>
      <c r="I199" s="14">
        <f t="shared" si="28"/>
        <v>1.7500000000000002E-2</v>
      </c>
      <c r="J199" s="13">
        <f t="shared" si="29"/>
        <v>548.33333333333337</v>
      </c>
      <c r="K199" s="13">
        <f t="shared" si="30"/>
        <v>225863.81944444447</v>
      </c>
      <c r="M199" s="11" t="s">
        <v>7</v>
      </c>
      <c r="N199" s="12"/>
      <c r="O199" s="97"/>
      <c r="P199" s="13"/>
      <c r="Q199" s="13"/>
      <c r="R199" s="13"/>
      <c r="T199" s="11"/>
      <c r="U199" s="12"/>
      <c r="V199" s="97"/>
      <c r="W199" s="13"/>
      <c r="X199" s="13"/>
      <c r="Y199" s="13"/>
      <c r="AA199" s="11"/>
      <c r="AB199" s="98"/>
      <c r="AC199" s="97"/>
      <c r="AD199" s="13"/>
      <c r="AE199" s="13"/>
      <c r="AF199" s="13"/>
      <c r="AH199" s="235"/>
      <c r="AI199" s="236"/>
      <c r="AJ199" s="90"/>
      <c r="AK199" s="91"/>
      <c r="AM199" s="235"/>
      <c r="AN199" s="236"/>
      <c r="AO199" s="90"/>
      <c r="AP199" s="91"/>
      <c r="AR199" s="106">
        <v>31764598.300000001</v>
      </c>
      <c r="AS199" s="565">
        <v>0.02</v>
      </c>
      <c r="AT199" s="565">
        <v>2.0400000000000001E-2</v>
      </c>
      <c r="AU199" s="106">
        <v>548.33000000000004</v>
      </c>
      <c r="AV199" s="106">
        <v>-988</v>
      </c>
      <c r="AW199" s="19"/>
    </row>
    <row r="200" spans="2:49" x14ac:dyDescent="0.25">
      <c r="B200" s="9" t="str">
        <f t="shared" si="31"/>
        <v>7 2025</v>
      </c>
      <c r="C200" s="10">
        <f t="shared" ref="C200:C263" si="33">D199</f>
        <v>45852</v>
      </c>
      <c r="D200" s="10">
        <f t="shared" ref="D200:D263" si="34">D199+1</f>
        <v>45853</v>
      </c>
      <c r="E200" s="11">
        <f t="shared" si="32"/>
        <v>1</v>
      </c>
      <c r="G200" s="11" t="s">
        <v>7</v>
      </c>
      <c r="H200" s="12">
        <f t="shared" ref="H200:H263" si="35">H199</f>
        <v>11280000</v>
      </c>
      <c r="I200" s="14">
        <f t="shared" ref="I200:I263" si="36">I199</f>
        <v>1.7500000000000002E-2</v>
      </c>
      <c r="J200" s="13">
        <f t="shared" ref="J200:J263" si="37">+H200*I200*E200/360</f>
        <v>548.33333333333337</v>
      </c>
      <c r="K200" s="13">
        <f t="shared" ref="K200:K263" si="38">K199+J200</f>
        <v>226412.15277777781</v>
      </c>
      <c r="M200" s="11" t="s">
        <v>7</v>
      </c>
      <c r="N200" s="12"/>
      <c r="O200" s="97"/>
      <c r="P200" s="13"/>
      <c r="Q200" s="13"/>
      <c r="R200" s="13"/>
      <c r="T200" s="11"/>
      <c r="U200" s="12"/>
      <c r="V200" s="97"/>
      <c r="W200" s="13"/>
      <c r="X200" s="13"/>
      <c r="Y200" s="13"/>
      <c r="AA200" s="11"/>
      <c r="AB200" s="98"/>
      <c r="AC200" s="97"/>
      <c r="AD200" s="13"/>
      <c r="AE200" s="13"/>
      <c r="AF200" s="13"/>
      <c r="AH200" s="235"/>
      <c r="AI200" s="236"/>
      <c r="AJ200" s="90"/>
      <c r="AK200" s="91"/>
      <c r="AM200" s="235"/>
      <c r="AN200" s="236"/>
      <c r="AO200" s="90"/>
      <c r="AP200" s="91"/>
      <c r="AR200" s="106">
        <v>31764598.300000001</v>
      </c>
      <c r="AS200" s="565">
        <v>0.02</v>
      </c>
      <c r="AT200" s="565">
        <v>2.0400000000000001E-2</v>
      </c>
      <c r="AU200" s="106">
        <v>548.33000000000004</v>
      </c>
      <c r="AV200" s="106">
        <v>-988</v>
      </c>
      <c r="AW200" s="19"/>
    </row>
    <row r="201" spans="2:49" x14ac:dyDescent="0.25">
      <c r="B201" s="9" t="str">
        <f t="shared" si="31"/>
        <v>7 2025</v>
      </c>
      <c r="C201" s="10">
        <f t="shared" si="33"/>
        <v>45853</v>
      </c>
      <c r="D201" s="10">
        <f t="shared" si="34"/>
        <v>45854</v>
      </c>
      <c r="E201" s="11">
        <f t="shared" si="32"/>
        <v>1</v>
      </c>
      <c r="G201" s="11" t="s">
        <v>7</v>
      </c>
      <c r="H201" s="106">
        <f>H200-290000</f>
        <v>10990000</v>
      </c>
      <c r="I201" s="14">
        <f t="shared" si="36"/>
        <v>1.7500000000000002E-2</v>
      </c>
      <c r="J201" s="13">
        <f t="shared" si="37"/>
        <v>534.2361111111112</v>
      </c>
      <c r="K201" s="13">
        <f t="shared" si="38"/>
        <v>226946.38888888893</v>
      </c>
      <c r="M201" s="11" t="s">
        <v>7</v>
      </c>
      <c r="N201" s="12"/>
      <c r="O201" s="97"/>
      <c r="P201" s="13"/>
      <c r="Q201" s="13"/>
      <c r="R201" s="13"/>
      <c r="T201" s="11"/>
      <c r="U201" s="12"/>
      <c r="V201" s="97"/>
      <c r="W201" s="13"/>
      <c r="X201" s="13"/>
      <c r="Y201" s="13"/>
      <c r="AA201" s="11"/>
      <c r="AB201" s="98"/>
      <c r="AC201" s="97"/>
      <c r="AD201" s="13"/>
      <c r="AE201" s="13"/>
      <c r="AF201" s="13"/>
      <c r="AH201" s="235"/>
      <c r="AI201" s="236"/>
      <c r="AJ201" s="90"/>
      <c r="AK201" s="91"/>
      <c r="AM201" s="235"/>
      <c r="AN201" s="236"/>
      <c r="AO201" s="90"/>
      <c r="AP201" s="91"/>
      <c r="AR201" s="106">
        <v>31479590.390000001</v>
      </c>
      <c r="AS201" s="565">
        <v>0.02</v>
      </c>
      <c r="AT201" s="565">
        <v>2.0400000000000001E-2</v>
      </c>
      <c r="AU201" s="106">
        <v>5526.33</v>
      </c>
      <c r="AV201" s="106">
        <v>4004.09</v>
      </c>
      <c r="AW201" s="19"/>
    </row>
    <row r="202" spans="2:49" x14ac:dyDescent="0.25">
      <c r="B202" s="9" t="str">
        <f t="shared" si="31"/>
        <v>7 2025</v>
      </c>
      <c r="C202" s="10">
        <f t="shared" si="33"/>
        <v>45854</v>
      </c>
      <c r="D202" s="10">
        <f t="shared" si="34"/>
        <v>45855</v>
      </c>
      <c r="E202" s="11">
        <f t="shared" si="32"/>
        <v>1</v>
      </c>
      <c r="G202" s="11" t="s">
        <v>7</v>
      </c>
      <c r="H202" s="12">
        <f t="shared" si="35"/>
        <v>10990000</v>
      </c>
      <c r="I202" s="14">
        <f t="shared" si="36"/>
        <v>1.7500000000000002E-2</v>
      </c>
      <c r="J202" s="13">
        <f t="shared" si="37"/>
        <v>534.2361111111112</v>
      </c>
      <c r="K202" s="13">
        <f t="shared" si="38"/>
        <v>227480.62500000006</v>
      </c>
      <c r="M202" s="11" t="s">
        <v>7</v>
      </c>
      <c r="N202" s="12"/>
      <c r="O202" s="97"/>
      <c r="P202" s="13"/>
      <c r="Q202" s="13"/>
      <c r="R202" s="13"/>
      <c r="T202" s="11"/>
      <c r="U202" s="12"/>
      <c r="V202" s="97"/>
      <c r="W202" s="13"/>
      <c r="X202" s="13"/>
      <c r="Y202" s="13"/>
      <c r="AA202" s="11"/>
      <c r="AB202" s="98"/>
      <c r="AC202" s="97"/>
      <c r="AD202" s="13"/>
      <c r="AE202" s="13"/>
      <c r="AF202" s="13"/>
      <c r="AH202" s="235"/>
      <c r="AI202" s="236"/>
      <c r="AJ202" s="90"/>
      <c r="AK202" s="91"/>
      <c r="AM202" s="235"/>
      <c r="AN202" s="236"/>
      <c r="AO202" s="90"/>
      <c r="AP202" s="91"/>
      <c r="AR202" s="106">
        <v>31480838.420000002</v>
      </c>
      <c r="AS202" s="565">
        <v>0.02</v>
      </c>
      <c r="AT202" s="565">
        <v>2.0400000000000001E-2</v>
      </c>
      <c r="AU202" s="106">
        <v>1782.26</v>
      </c>
      <c r="AV202" s="106">
        <v>260.02</v>
      </c>
      <c r="AW202" s="19"/>
    </row>
    <row r="203" spans="2:49" x14ac:dyDescent="0.25">
      <c r="B203" s="9" t="str">
        <f t="shared" si="31"/>
        <v>7 2025</v>
      </c>
      <c r="C203" s="10">
        <f t="shared" si="33"/>
        <v>45855</v>
      </c>
      <c r="D203" s="10">
        <f t="shared" si="34"/>
        <v>45856</v>
      </c>
      <c r="E203" s="11">
        <f t="shared" si="32"/>
        <v>1</v>
      </c>
      <c r="G203" s="11" t="s">
        <v>7</v>
      </c>
      <c r="H203" s="12">
        <f t="shared" si="35"/>
        <v>10990000</v>
      </c>
      <c r="I203" s="14">
        <f t="shared" si="36"/>
        <v>1.7500000000000002E-2</v>
      </c>
      <c r="J203" s="13">
        <f t="shared" si="37"/>
        <v>534.2361111111112</v>
      </c>
      <c r="K203" s="13">
        <f t="shared" si="38"/>
        <v>228014.86111111118</v>
      </c>
      <c r="M203" s="11" t="s">
        <v>7</v>
      </c>
      <c r="N203" s="12"/>
      <c r="O203" s="97"/>
      <c r="P203" s="13"/>
      <c r="Q203" s="13"/>
      <c r="R203" s="13"/>
      <c r="T203" s="11"/>
      <c r="U203" s="12"/>
      <c r="V203" s="97"/>
      <c r="W203" s="13"/>
      <c r="X203" s="13"/>
      <c r="Y203" s="13"/>
      <c r="AA203" s="11"/>
      <c r="AB203" s="98"/>
      <c r="AC203" s="97"/>
      <c r="AD203" s="13"/>
      <c r="AE203" s="13"/>
      <c r="AF203" s="13"/>
      <c r="AH203" s="235"/>
      <c r="AI203" s="236"/>
      <c r="AJ203" s="90"/>
      <c r="AK203" s="91"/>
      <c r="AM203" s="235"/>
      <c r="AN203" s="236"/>
      <c r="AO203" s="90"/>
      <c r="AP203" s="91"/>
      <c r="AR203" s="106">
        <v>31482086.440000001</v>
      </c>
      <c r="AS203" s="565">
        <v>0.02</v>
      </c>
      <c r="AT203" s="565">
        <v>2.0400000000000001E-2</v>
      </c>
      <c r="AU203" s="106">
        <v>1782.26</v>
      </c>
      <c r="AV203" s="106">
        <v>260.02</v>
      </c>
      <c r="AW203" s="19"/>
    </row>
    <row r="204" spans="2:49" x14ac:dyDescent="0.25">
      <c r="B204" s="9" t="str">
        <f t="shared" si="31"/>
        <v>7 2025</v>
      </c>
      <c r="C204" s="10">
        <f t="shared" si="33"/>
        <v>45856</v>
      </c>
      <c r="D204" s="10">
        <f t="shared" si="34"/>
        <v>45857</v>
      </c>
      <c r="E204" s="11">
        <f t="shared" si="32"/>
        <v>1</v>
      </c>
      <c r="G204" s="11" t="s">
        <v>7</v>
      </c>
      <c r="H204" s="12">
        <f t="shared" si="35"/>
        <v>10990000</v>
      </c>
      <c r="I204" s="14">
        <f t="shared" si="36"/>
        <v>1.7500000000000002E-2</v>
      </c>
      <c r="J204" s="13">
        <f t="shared" si="37"/>
        <v>534.2361111111112</v>
      </c>
      <c r="K204" s="13">
        <f t="shared" si="38"/>
        <v>228549.09722222231</v>
      </c>
      <c r="M204" s="11" t="s">
        <v>7</v>
      </c>
      <c r="N204" s="12"/>
      <c r="O204" s="97"/>
      <c r="P204" s="13"/>
      <c r="Q204" s="13"/>
      <c r="R204" s="13"/>
      <c r="T204" s="11"/>
      <c r="U204" s="12"/>
      <c r="V204" s="97"/>
      <c r="W204" s="13"/>
      <c r="X204" s="13"/>
      <c r="Y204" s="13"/>
      <c r="AA204" s="11"/>
      <c r="AB204" s="98"/>
      <c r="AC204" s="97"/>
      <c r="AD204" s="13"/>
      <c r="AE204" s="13"/>
      <c r="AF204" s="13"/>
      <c r="AH204" s="235"/>
      <c r="AI204" s="236"/>
      <c r="AJ204" s="90"/>
      <c r="AK204" s="91"/>
      <c r="AM204" s="235"/>
      <c r="AN204" s="236"/>
      <c r="AO204" s="90"/>
      <c r="AP204" s="91"/>
      <c r="AR204" s="106">
        <v>31483334.460000001</v>
      </c>
      <c r="AS204" s="565">
        <v>0.02</v>
      </c>
      <c r="AT204" s="565">
        <v>2.0400000000000001E-2</v>
      </c>
      <c r="AU204" s="106">
        <v>1782.26</v>
      </c>
      <c r="AV204" s="106">
        <v>260.02</v>
      </c>
      <c r="AW204" s="19"/>
    </row>
    <row r="205" spans="2:49" x14ac:dyDescent="0.25">
      <c r="B205" s="9" t="str">
        <f t="shared" si="31"/>
        <v>7 2025</v>
      </c>
      <c r="C205" s="10">
        <f t="shared" si="33"/>
        <v>45857</v>
      </c>
      <c r="D205" s="10">
        <f t="shared" si="34"/>
        <v>45858</v>
      </c>
      <c r="E205" s="11">
        <f t="shared" si="32"/>
        <v>1</v>
      </c>
      <c r="G205" s="11" t="s">
        <v>7</v>
      </c>
      <c r="H205" s="12">
        <f t="shared" si="35"/>
        <v>10990000</v>
      </c>
      <c r="I205" s="14">
        <f t="shared" si="36"/>
        <v>1.7500000000000002E-2</v>
      </c>
      <c r="J205" s="13">
        <f t="shared" si="37"/>
        <v>534.2361111111112</v>
      </c>
      <c r="K205" s="13">
        <f t="shared" si="38"/>
        <v>229083.33333333343</v>
      </c>
      <c r="M205" s="11" t="s">
        <v>7</v>
      </c>
      <c r="N205" s="12"/>
      <c r="O205" s="97"/>
      <c r="P205" s="13"/>
      <c r="Q205" s="13"/>
      <c r="R205" s="13"/>
      <c r="T205" s="11"/>
      <c r="U205" s="12"/>
      <c r="V205" s="97"/>
      <c r="W205" s="13"/>
      <c r="X205" s="13"/>
      <c r="Y205" s="13"/>
      <c r="AA205" s="11"/>
      <c r="AB205" s="98"/>
      <c r="AC205" s="97"/>
      <c r="AD205" s="13"/>
      <c r="AE205" s="13"/>
      <c r="AF205" s="13"/>
      <c r="AH205" s="235"/>
      <c r="AI205" s="236"/>
      <c r="AJ205" s="90"/>
      <c r="AK205" s="91"/>
      <c r="AM205" s="235"/>
      <c r="AN205" s="236"/>
      <c r="AO205" s="90"/>
      <c r="AP205" s="91"/>
      <c r="AR205" s="106">
        <v>31483334.460000001</v>
      </c>
      <c r="AS205" s="565">
        <v>0.02</v>
      </c>
      <c r="AT205" s="565">
        <v>2.0400000000000001E-2</v>
      </c>
      <c r="AU205" s="106">
        <v>534.24</v>
      </c>
      <c r="AV205" s="106">
        <v>-988</v>
      </c>
      <c r="AW205" s="19"/>
    </row>
    <row r="206" spans="2:49" x14ac:dyDescent="0.25">
      <c r="B206" s="9" t="str">
        <f t="shared" si="31"/>
        <v>7 2025</v>
      </c>
      <c r="C206" s="10">
        <f t="shared" si="33"/>
        <v>45858</v>
      </c>
      <c r="D206" s="10">
        <f t="shared" si="34"/>
        <v>45859</v>
      </c>
      <c r="E206" s="11">
        <f t="shared" si="32"/>
        <v>1</v>
      </c>
      <c r="G206" s="11" t="s">
        <v>7</v>
      </c>
      <c r="H206" s="12">
        <f t="shared" si="35"/>
        <v>10990000</v>
      </c>
      <c r="I206" s="14">
        <f t="shared" si="36"/>
        <v>1.7500000000000002E-2</v>
      </c>
      <c r="J206" s="13">
        <f t="shared" si="37"/>
        <v>534.2361111111112</v>
      </c>
      <c r="K206" s="13">
        <f t="shared" si="38"/>
        <v>229617.56944444455</v>
      </c>
      <c r="M206" s="11" t="s">
        <v>7</v>
      </c>
      <c r="N206" s="12"/>
      <c r="O206" s="97"/>
      <c r="P206" s="13"/>
      <c r="Q206" s="13"/>
      <c r="R206" s="13"/>
      <c r="T206" s="11"/>
      <c r="U206" s="12"/>
      <c r="V206" s="97"/>
      <c r="W206" s="13"/>
      <c r="X206" s="13"/>
      <c r="Y206" s="13"/>
      <c r="AA206" s="11"/>
      <c r="AB206" s="98"/>
      <c r="AC206" s="97"/>
      <c r="AD206" s="13"/>
      <c r="AE206" s="13"/>
      <c r="AF206" s="13"/>
      <c r="AH206" s="235"/>
      <c r="AI206" s="236"/>
      <c r="AJ206" s="90"/>
      <c r="AK206" s="91"/>
      <c r="AM206" s="235"/>
      <c r="AN206" s="236"/>
      <c r="AO206" s="90"/>
      <c r="AP206" s="91"/>
      <c r="AR206" s="106">
        <v>31483334.460000001</v>
      </c>
      <c r="AS206" s="565">
        <v>0.02</v>
      </c>
      <c r="AT206" s="565">
        <v>2.0400000000000001E-2</v>
      </c>
      <c r="AU206" s="106">
        <v>534.24</v>
      </c>
      <c r="AV206" s="106">
        <v>-988</v>
      </c>
      <c r="AW206" s="19"/>
    </row>
    <row r="207" spans="2:49" x14ac:dyDescent="0.25">
      <c r="B207" s="9" t="str">
        <f t="shared" si="31"/>
        <v>7 2025</v>
      </c>
      <c r="C207" s="10">
        <f t="shared" si="33"/>
        <v>45859</v>
      </c>
      <c r="D207" s="10">
        <f t="shared" si="34"/>
        <v>45860</v>
      </c>
      <c r="E207" s="11">
        <f t="shared" si="32"/>
        <v>1</v>
      </c>
      <c r="G207" s="11" t="s">
        <v>7</v>
      </c>
      <c r="H207" s="12">
        <f t="shared" si="35"/>
        <v>10990000</v>
      </c>
      <c r="I207" s="14">
        <f t="shared" si="36"/>
        <v>1.7500000000000002E-2</v>
      </c>
      <c r="J207" s="13">
        <f t="shared" si="37"/>
        <v>534.2361111111112</v>
      </c>
      <c r="K207" s="13">
        <f t="shared" si="38"/>
        <v>230151.80555555568</v>
      </c>
      <c r="M207" s="11" t="s">
        <v>7</v>
      </c>
      <c r="N207" s="12"/>
      <c r="O207" s="97"/>
      <c r="P207" s="13"/>
      <c r="Q207" s="13"/>
      <c r="R207" s="13"/>
      <c r="T207" s="11"/>
      <c r="U207" s="12"/>
      <c r="V207" s="97"/>
      <c r="W207" s="13"/>
      <c r="X207" s="13"/>
      <c r="Y207" s="13"/>
      <c r="AA207" s="11"/>
      <c r="AB207" s="98"/>
      <c r="AC207" s="97"/>
      <c r="AD207" s="13"/>
      <c r="AE207" s="13"/>
      <c r="AF207" s="13"/>
      <c r="AH207" s="235"/>
      <c r="AI207" s="236"/>
      <c r="AJ207" s="90"/>
      <c r="AK207" s="91"/>
      <c r="AM207" s="235"/>
      <c r="AN207" s="236"/>
      <c r="AO207" s="90"/>
      <c r="AP207" s="91"/>
      <c r="AR207" s="106">
        <v>31487078.530000001</v>
      </c>
      <c r="AS207" s="565">
        <v>0.02</v>
      </c>
      <c r="AT207" s="565">
        <v>2.0400000000000001E-2</v>
      </c>
      <c r="AU207" s="106">
        <v>4278.3</v>
      </c>
      <c r="AV207" s="106">
        <v>2756.06</v>
      </c>
      <c r="AW207" s="19"/>
    </row>
    <row r="208" spans="2:49" x14ac:dyDescent="0.25">
      <c r="B208" s="9" t="str">
        <f t="shared" si="31"/>
        <v>7 2025</v>
      </c>
      <c r="C208" s="10">
        <f t="shared" si="33"/>
        <v>45860</v>
      </c>
      <c r="D208" s="10">
        <f t="shared" si="34"/>
        <v>45861</v>
      </c>
      <c r="E208" s="11">
        <f t="shared" si="32"/>
        <v>1</v>
      </c>
      <c r="G208" s="11" t="s">
        <v>7</v>
      </c>
      <c r="H208" s="12">
        <f t="shared" si="35"/>
        <v>10990000</v>
      </c>
      <c r="I208" s="14">
        <f t="shared" si="36"/>
        <v>1.7500000000000002E-2</v>
      </c>
      <c r="J208" s="13">
        <f t="shared" si="37"/>
        <v>534.2361111111112</v>
      </c>
      <c r="K208" s="13">
        <f t="shared" si="38"/>
        <v>230686.0416666668</v>
      </c>
      <c r="M208" s="11" t="s">
        <v>7</v>
      </c>
      <c r="N208" s="12"/>
      <c r="O208" s="97"/>
      <c r="P208" s="13"/>
      <c r="Q208" s="13"/>
      <c r="R208" s="13"/>
      <c r="T208" s="11"/>
      <c r="U208" s="12"/>
      <c r="V208" s="97"/>
      <c r="W208" s="13"/>
      <c r="X208" s="13"/>
      <c r="Y208" s="13"/>
      <c r="AA208" s="11"/>
      <c r="AB208" s="98"/>
      <c r="AC208" s="97"/>
      <c r="AD208" s="13"/>
      <c r="AE208" s="13"/>
      <c r="AF208" s="13"/>
      <c r="AH208" s="235"/>
      <c r="AI208" s="236"/>
      <c r="AJ208" s="90"/>
      <c r="AK208" s="91"/>
      <c r="AM208" s="235"/>
      <c r="AN208" s="236"/>
      <c r="AO208" s="90"/>
      <c r="AP208" s="91"/>
      <c r="AR208" s="106">
        <v>31488326.550000001</v>
      </c>
      <c r="AS208" s="565">
        <v>0.02</v>
      </c>
      <c r="AT208" s="565">
        <v>2.0400000000000001E-2</v>
      </c>
      <c r="AU208" s="106">
        <v>1782.26</v>
      </c>
      <c r="AV208" s="106">
        <v>260.02</v>
      </c>
      <c r="AW208" s="19"/>
    </row>
    <row r="209" spans="2:49" x14ac:dyDescent="0.25">
      <c r="B209" s="9" t="str">
        <f t="shared" si="31"/>
        <v>7 2025</v>
      </c>
      <c r="C209" s="10">
        <f t="shared" si="33"/>
        <v>45861</v>
      </c>
      <c r="D209" s="10">
        <f t="shared" si="34"/>
        <v>45862</v>
      </c>
      <c r="E209" s="11">
        <f t="shared" si="32"/>
        <v>1</v>
      </c>
      <c r="G209" s="11" t="s">
        <v>7</v>
      </c>
      <c r="H209" s="106">
        <f>H208-50000</f>
        <v>10940000</v>
      </c>
      <c r="I209" s="14">
        <f t="shared" si="36"/>
        <v>1.7500000000000002E-2</v>
      </c>
      <c r="J209" s="13">
        <f t="shared" si="37"/>
        <v>531.80555555555566</v>
      </c>
      <c r="K209" s="13">
        <f t="shared" si="38"/>
        <v>231217.84722222236</v>
      </c>
      <c r="M209" s="11" t="s">
        <v>7</v>
      </c>
      <c r="N209" s="12"/>
      <c r="O209" s="97"/>
      <c r="P209" s="13"/>
      <c r="Q209" s="13"/>
      <c r="R209" s="13"/>
      <c r="T209" s="11"/>
      <c r="U209" s="12"/>
      <c r="V209" s="97"/>
      <c r="W209" s="13"/>
      <c r="X209" s="13"/>
      <c r="Y209" s="13"/>
      <c r="AA209" s="11"/>
      <c r="AB209" s="98"/>
      <c r="AC209" s="97"/>
      <c r="AD209" s="13"/>
      <c r="AE209" s="13"/>
      <c r="AF209" s="13"/>
      <c r="AH209" s="235"/>
      <c r="AI209" s="236"/>
      <c r="AJ209" s="90"/>
      <c r="AK209" s="91"/>
      <c r="AM209" s="235"/>
      <c r="AN209" s="236"/>
      <c r="AO209" s="90"/>
      <c r="AP209" s="91"/>
      <c r="AR209" s="106">
        <v>31439574.57</v>
      </c>
      <c r="AS209" s="565">
        <v>0.02</v>
      </c>
      <c r="AT209" s="565">
        <v>2.0400000000000001E-2</v>
      </c>
      <c r="AU209" s="106">
        <v>1779.83</v>
      </c>
      <c r="AV209" s="106">
        <v>260.02</v>
      </c>
      <c r="AW209" s="19"/>
    </row>
    <row r="210" spans="2:49" x14ac:dyDescent="0.25">
      <c r="B210" s="9" t="str">
        <f t="shared" si="31"/>
        <v>7 2025</v>
      </c>
      <c r="C210" s="10">
        <f t="shared" si="33"/>
        <v>45862</v>
      </c>
      <c r="D210" s="10">
        <f t="shared" si="34"/>
        <v>45863</v>
      </c>
      <c r="E210" s="11">
        <f t="shared" si="32"/>
        <v>1</v>
      </c>
      <c r="G210" s="11" t="s">
        <v>7</v>
      </c>
      <c r="H210" s="12">
        <f t="shared" si="35"/>
        <v>10940000</v>
      </c>
      <c r="I210" s="14">
        <f t="shared" si="36"/>
        <v>1.7500000000000002E-2</v>
      </c>
      <c r="J210" s="13">
        <f t="shared" si="37"/>
        <v>531.80555555555566</v>
      </c>
      <c r="K210" s="13">
        <f t="shared" si="38"/>
        <v>231749.65277777793</v>
      </c>
      <c r="M210" s="11" t="s">
        <v>7</v>
      </c>
      <c r="N210" s="12"/>
      <c r="O210" s="97"/>
      <c r="P210" s="13"/>
      <c r="Q210" s="13"/>
      <c r="R210" s="13"/>
      <c r="T210" s="11"/>
      <c r="U210" s="12"/>
      <c r="V210" s="97"/>
      <c r="W210" s="13"/>
      <c r="X210" s="13"/>
      <c r="Y210" s="13"/>
      <c r="AA210" s="11"/>
      <c r="AB210" s="98"/>
      <c r="AC210" s="97"/>
      <c r="AD210" s="13"/>
      <c r="AE210" s="13"/>
      <c r="AF210" s="13"/>
      <c r="AH210" s="235"/>
      <c r="AI210" s="236"/>
      <c r="AJ210" s="90"/>
      <c r="AK210" s="91"/>
      <c r="AM210" s="235"/>
      <c r="AN210" s="236"/>
      <c r="AO210" s="90"/>
      <c r="AP210" s="91"/>
      <c r="AR210" s="106">
        <v>31440822.600000001</v>
      </c>
      <c r="AS210" s="565">
        <v>0.02</v>
      </c>
      <c r="AT210" s="565">
        <v>2.0400000000000001E-2</v>
      </c>
      <c r="AU210" s="106">
        <v>1779.83</v>
      </c>
      <c r="AV210" s="106">
        <v>260.02</v>
      </c>
      <c r="AW210" s="19"/>
    </row>
    <row r="211" spans="2:49" x14ac:dyDescent="0.25">
      <c r="B211" s="9" t="str">
        <f t="shared" si="31"/>
        <v>7 2025</v>
      </c>
      <c r="C211" s="10">
        <f t="shared" si="33"/>
        <v>45863</v>
      </c>
      <c r="D211" s="10">
        <f t="shared" si="34"/>
        <v>45864</v>
      </c>
      <c r="E211" s="11">
        <f t="shared" si="32"/>
        <v>1</v>
      </c>
      <c r="G211" s="11" t="s">
        <v>7</v>
      </c>
      <c r="H211" s="285">
        <f>H210-4630000</f>
        <v>6310000</v>
      </c>
      <c r="I211" s="14">
        <f t="shared" si="36"/>
        <v>1.7500000000000002E-2</v>
      </c>
      <c r="J211" s="13">
        <f t="shared" si="37"/>
        <v>306.73611111111114</v>
      </c>
      <c r="K211" s="13">
        <f t="shared" si="38"/>
        <v>232056.38888888905</v>
      </c>
      <c r="M211" s="11" t="s">
        <v>7</v>
      </c>
      <c r="N211" s="12"/>
      <c r="O211" s="97"/>
      <c r="P211" s="13"/>
      <c r="Q211" s="13"/>
      <c r="R211" s="13"/>
      <c r="T211" s="11"/>
      <c r="U211" s="12"/>
      <c r="V211" s="97"/>
      <c r="W211" s="13"/>
      <c r="X211" s="13"/>
      <c r="Y211" s="13"/>
      <c r="AA211" s="11"/>
      <c r="AB211" s="98"/>
      <c r="AC211" s="97"/>
      <c r="AD211" s="13"/>
      <c r="AE211" s="13"/>
      <c r="AF211" s="13"/>
      <c r="AH211" s="235"/>
      <c r="AI211" s="236"/>
      <c r="AJ211" s="90"/>
      <c r="AK211" s="91"/>
      <c r="AM211" s="235"/>
      <c r="AN211" s="236"/>
      <c r="AO211" s="90"/>
      <c r="AP211" s="91"/>
      <c r="AR211" s="106">
        <v>26812070.620000001</v>
      </c>
      <c r="AS211" s="565">
        <v>0.02</v>
      </c>
      <c r="AT211" s="565">
        <v>2.0899999999999998E-2</v>
      </c>
      <c r="AU211" s="106">
        <v>1554.76</v>
      </c>
      <c r="AV211" s="106">
        <v>260.02</v>
      </c>
      <c r="AW211" s="19"/>
    </row>
    <row r="212" spans="2:49" x14ac:dyDescent="0.25">
      <c r="B212" s="9" t="str">
        <f t="shared" si="31"/>
        <v>7 2025</v>
      </c>
      <c r="C212" s="10">
        <f t="shared" si="33"/>
        <v>45864</v>
      </c>
      <c r="D212" s="10">
        <f t="shared" si="34"/>
        <v>45865</v>
      </c>
      <c r="E212" s="11">
        <f t="shared" si="32"/>
        <v>1</v>
      </c>
      <c r="G212" s="11" t="s">
        <v>7</v>
      </c>
      <c r="H212" s="12">
        <f t="shared" si="35"/>
        <v>6310000</v>
      </c>
      <c r="I212" s="14">
        <f t="shared" si="36"/>
        <v>1.7500000000000002E-2</v>
      </c>
      <c r="J212" s="13">
        <f t="shared" si="37"/>
        <v>306.73611111111114</v>
      </c>
      <c r="K212" s="13">
        <f t="shared" si="38"/>
        <v>232363.12500000017</v>
      </c>
      <c r="M212" s="11" t="s">
        <v>7</v>
      </c>
      <c r="N212" s="12"/>
      <c r="O212" s="97"/>
      <c r="P212" s="13"/>
      <c r="Q212" s="13"/>
      <c r="R212" s="13"/>
      <c r="T212" s="11"/>
      <c r="U212" s="12"/>
      <c r="V212" s="97"/>
      <c r="W212" s="13"/>
      <c r="X212" s="13"/>
      <c r="Y212" s="13"/>
      <c r="AA212" s="11"/>
      <c r="AB212" s="98"/>
      <c r="AC212" s="97"/>
      <c r="AD212" s="13"/>
      <c r="AE212" s="13"/>
      <c r="AF212" s="13"/>
      <c r="AH212" s="235"/>
      <c r="AI212" s="236"/>
      <c r="AJ212" s="90"/>
      <c r="AK212" s="91"/>
      <c r="AM212" s="235"/>
      <c r="AN212" s="236"/>
      <c r="AO212" s="90"/>
      <c r="AP212" s="91"/>
      <c r="AR212" s="106">
        <v>26812070.620000001</v>
      </c>
      <c r="AS212" s="565">
        <v>0.02</v>
      </c>
      <c r="AT212" s="565">
        <v>2.0899999999999998E-2</v>
      </c>
      <c r="AU212" s="106">
        <v>306.74</v>
      </c>
      <c r="AV212" s="106">
        <v>-988</v>
      </c>
      <c r="AW212" s="19"/>
    </row>
    <row r="213" spans="2:49" x14ac:dyDescent="0.25">
      <c r="B213" s="9" t="str">
        <f t="shared" si="31"/>
        <v>7 2025</v>
      </c>
      <c r="C213" s="10">
        <f t="shared" si="33"/>
        <v>45865</v>
      </c>
      <c r="D213" s="10">
        <f t="shared" si="34"/>
        <v>45866</v>
      </c>
      <c r="E213" s="11">
        <f t="shared" si="32"/>
        <v>1</v>
      </c>
      <c r="G213" s="11" t="s">
        <v>7</v>
      </c>
      <c r="H213" s="12">
        <f t="shared" si="35"/>
        <v>6310000</v>
      </c>
      <c r="I213" s="14">
        <f t="shared" si="36"/>
        <v>1.7500000000000002E-2</v>
      </c>
      <c r="J213" s="13">
        <f t="shared" si="37"/>
        <v>306.73611111111114</v>
      </c>
      <c r="K213" s="13">
        <f t="shared" si="38"/>
        <v>232669.8611111113</v>
      </c>
      <c r="M213" s="11" t="s">
        <v>7</v>
      </c>
      <c r="N213" s="12"/>
      <c r="O213" s="97"/>
      <c r="P213" s="13"/>
      <c r="Q213" s="13"/>
      <c r="R213" s="13"/>
      <c r="T213" s="11"/>
      <c r="U213" s="12"/>
      <c r="V213" s="97"/>
      <c r="W213" s="13"/>
      <c r="X213" s="13"/>
      <c r="Y213" s="13"/>
      <c r="AA213" s="11"/>
      <c r="AB213" s="98"/>
      <c r="AC213" s="97"/>
      <c r="AD213" s="13"/>
      <c r="AE213" s="13"/>
      <c r="AF213" s="13"/>
      <c r="AH213" s="235"/>
      <c r="AI213" s="236"/>
      <c r="AJ213" s="90"/>
      <c r="AK213" s="91"/>
      <c r="AM213" s="235"/>
      <c r="AN213" s="236"/>
      <c r="AO213" s="90"/>
      <c r="AP213" s="91"/>
      <c r="AR213" s="106">
        <v>26812070.620000001</v>
      </c>
      <c r="AS213" s="565">
        <v>0.02</v>
      </c>
      <c r="AT213" s="565">
        <v>2.0899999999999998E-2</v>
      </c>
      <c r="AU213" s="106">
        <v>306.74</v>
      </c>
      <c r="AV213" s="106">
        <v>-988</v>
      </c>
      <c r="AW213" s="19"/>
    </row>
    <row r="214" spans="2:49" x14ac:dyDescent="0.25">
      <c r="B214" s="9" t="str">
        <f t="shared" si="31"/>
        <v>7 2025</v>
      </c>
      <c r="C214" s="10">
        <f t="shared" si="33"/>
        <v>45866</v>
      </c>
      <c r="D214" s="10">
        <f t="shared" si="34"/>
        <v>45867</v>
      </c>
      <c r="E214" s="11">
        <f t="shared" si="32"/>
        <v>1</v>
      </c>
      <c r="G214" s="11" t="s">
        <v>7</v>
      </c>
      <c r="H214" s="285">
        <f>H213-300000</f>
        <v>6010000</v>
      </c>
      <c r="I214" s="14">
        <f t="shared" si="36"/>
        <v>1.7500000000000002E-2</v>
      </c>
      <c r="J214" s="13">
        <f t="shared" si="37"/>
        <v>292.15277777777783</v>
      </c>
      <c r="K214" s="13">
        <f t="shared" si="38"/>
        <v>232962.01388888908</v>
      </c>
      <c r="M214" s="11" t="s">
        <v>7</v>
      </c>
      <c r="N214" s="12"/>
      <c r="O214" s="97"/>
      <c r="P214" s="13"/>
      <c r="Q214" s="13"/>
      <c r="R214" s="13"/>
      <c r="T214" s="11"/>
      <c r="U214" s="12"/>
      <c r="V214" s="97"/>
      <c r="W214" s="13"/>
      <c r="X214" s="13"/>
      <c r="Y214" s="13"/>
      <c r="AA214" s="11"/>
      <c r="AB214" s="98"/>
      <c r="AC214" s="97"/>
      <c r="AD214" s="13"/>
      <c r="AE214" s="13"/>
      <c r="AF214" s="13"/>
      <c r="AH214" s="235"/>
      <c r="AI214" s="236"/>
      <c r="AJ214" s="90"/>
      <c r="AK214" s="91"/>
      <c r="AM214" s="235"/>
      <c r="AN214" s="236"/>
      <c r="AO214" s="90"/>
      <c r="AP214" s="91"/>
      <c r="AR214" s="106">
        <v>26515814.690000001</v>
      </c>
      <c r="AS214" s="565">
        <v>0.02</v>
      </c>
      <c r="AT214" s="565">
        <v>2.0899999999999998E-2</v>
      </c>
      <c r="AU214" s="106">
        <v>4036.22</v>
      </c>
      <c r="AV214" s="106">
        <v>2756.06</v>
      </c>
      <c r="AW214" s="19"/>
    </row>
    <row r="215" spans="2:49" x14ac:dyDescent="0.25">
      <c r="B215" s="9" t="str">
        <f t="shared" si="31"/>
        <v>7 2025</v>
      </c>
      <c r="C215" s="10">
        <f t="shared" si="33"/>
        <v>45867</v>
      </c>
      <c r="D215" s="10">
        <f t="shared" si="34"/>
        <v>45868</v>
      </c>
      <c r="E215" s="11">
        <f t="shared" si="32"/>
        <v>1</v>
      </c>
      <c r="G215" s="11" t="s">
        <v>7</v>
      </c>
      <c r="H215" s="12">
        <f t="shared" si="35"/>
        <v>6010000</v>
      </c>
      <c r="I215" s="14">
        <f t="shared" si="36"/>
        <v>1.7500000000000002E-2</v>
      </c>
      <c r="J215" s="13">
        <f t="shared" si="37"/>
        <v>292.15277777777783</v>
      </c>
      <c r="K215" s="13">
        <f t="shared" si="38"/>
        <v>233254.16666666686</v>
      </c>
      <c r="M215" s="11" t="s">
        <v>7</v>
      </c>
      <c r="N215" s="12"/>
      <c r="O215" s="97"/>
      <c r="P215" s="13"/>
      <c r="Q215" s="13"/>
      <c r="R215" s="13"/>
      <c r="T215" s="11"/>
      <c r="U215" s="12"/>
      <c r="V215" s="97"/>
      <c r="W215" s="13"/>
      <c r="X215" s="13"/>
      <c r="Y215" s="13"/>
      <c r="AA215" s="11"/>
      <c r="AB215" s="98"/>
      <c r="AC215" s="97"/>
      <c r="AD215" s="13"/>
      <c r="AE215" s="13"/>
      <c r="AF215" s="13"/>
      <c r="AH215" s="235"/>
      <c r="AI215" s="236"/>
      <c r="AJ215" s="90"/>
      <c r="AK215" s="91"/>
      <c r="AM215" s="235"/>
      <c r="AN215" s="236"/>
      <c r="AO215" s="90"/>
      <c r="AP215" s="91"/>
      <c r="AR215" s="106">
        <v>26517082.84</v>
      </c>
      <c r="AS215" s="565">
        <v>0.02</v>
      </c>
      <c r="AT215" s="565">
        <v>2.0899999999999998E-2</v>
      </c>
      <c r="AU215" s="106">
        <v>1560.3</v>
      </c>
      <c r="AV215" s="106">
        <v>280.14999999999998</v>
      </c>
      <c r="AW215" s="19"/>
    </row>
    <row r="216" spans="2:49" x14ac:dyDescent="0.25">
      <c r="B216" s="9" t="str">
        <f t="shared" si="31"/>
        <v>7 2025</v>
      </c>
      <c r="C216" s="142">
        <f t="shared" si="33"/>
        <v>45868</v>
      </c>
      <c r="D216" s="142">
        <f t="shared" si="34"/>
        <v>45869</v>
      </c>
      <c r="E216" s="143">
        <f t="shared" si="32"/>
        <v>1</v>
      </c>
      <c r="F216" s="17"/>
      <c r="G216" s="143" t="s">
        <v>7</v>
      </c>
      <c r="H216" s="144">
        <f t="shared" si="35"/>
        <v>6010000</v>
      </c>
      <c r="I216" s="145">
        <f t="shared" si="36"/>
        <v>1.7500000000000002E-2</v>
      </c>
      <c r="J216" s="146">
        <f t="shared" si="37"/>
        <v>292.15277777777783</v>
      </c>
      <c r="K216" s="146">
        <f t="shared" si="38"/>
        <v>233546.31944444464</v>
      </c>
      <c r="L216" s="17"/>
      <c r="M216" s="143" t="s">
        <v>7</v>
      </c>
      <c r="N216" s="144"/>
      <c r="O216" s="145"/>
      <c r="P216" s="146"/>
      <c r="Q216" s="146"/>
      <c r="R216" s="146"/>
      <c r="S216" s="17"/>
      <c r="T216" s="11"/>
      <c r="U216" s="12"/>
      <c r="V216" s="97"/>
      <c r="W216" s="13"/>
      <c r="X216" s="13"/>
      <c r="Y216" s="13"/>
      <c r="Z216" s="17"/>
      <c r="AA216" s="143"/>
      <c r="AB216" s="144"/>
      <c r="AC216" s="145"/>
      <c r="AD216" s="146"/>
      <c r="AE216" s="146"/>
      <c r="AF216" s="146"/>
      <c r="AG216" s="141"/>
      <c r="AH216" s="234"/>
      <c r="AI216" s="236"/>
      <c r="AJ216" s="90"/>
      <c r="AK216" s="91"/>
      <c r="AM216" s="234"/>
      <c r="AN216" s="236"/>
      <c r="AO216" s="90"/>
      <c r="AP216" s="91"/>
      <c r="AR216" s="106">
        <v>26518330.859999999</v>
      </c>
      <c r="AS216" s="565">
        <v>0.02</v>
      </c>
      <c r="AT216" s="565">
        <v>2.0899999999999998E-2</v>
      </c>
      <c r="AU216" s="106">
        <v>1540.18</v>
      </c>
      <c r="AV216" s="106">
        <v>260.02</v>
      </c>
      <c r="AW216" s="19"/>
    </row>
    <row r="217" spans="2:49" x14ac:dyDescent="0.25">
      <c r="B217" s="9" t="str">
        <f t="shared" si="31"/>
        <v>8 2025</v>
      </c>
      <c r="C217" s="10">
        <f t="shared" si="33"/>
        <v>45869</v>
      </c>
      <c r="D217" s="10">
        <f t="shared" si="34"/>
        <v>45870</v>
      </c>
      <c r="E217" s="11">
        <f t="shared" si="32"/>
        <v>1</v>
      </c>
      <c r="G217" s="11" t="s">
        <v>7</v>
      </c>
      <c r="H217" s="285">
        <f>H216+110000</f>
        <v>6120000</v>
      </c>
      <c r="I217" s="14">
        <f t="shared" si="36"/>
        <v>1.7500000000000002E-2</v>
      </c>
      <c r="J217" s="183">
        <f t="shared" si="37"/>
        <v>297.50000000000006</v>
      </c>
      <c r="K217" s="13">
        <f t="shared" si="38"/>
        <v>233843.81944444464</v>
      </c>
      <c r="M217" s="11" t="s">
        <v>7</v>
      </c>
      <c r="N217" s="12"/>
      <c r="O217" s="97"/>
      <c r="P217" s="13"/>
      <c r="Q217" s="13"/>
      <c r="R217" s="13"/>
      <c r="T217" s="11"/>
      <c r="U217" s="12"/>
      <c r="V217" s="97"/>
      <c r="W217" s="13"/>
      <c r="X217" s="13"/>
      <c r="Y217" s="13"/>
      <c r="AA217" s="11"/>
      <c r="AB217" s="98"/>
      <c r="AC217" s="97"/>
      <c r="AD217" s="13"/>
      <c r="AE217" s="13"/>
      <c r="AF217" s="13"/>
      <c r="AH217" s="235"/>
      <c r="AI217" s="236"/>
      <c r="AJ217" s="90"/>
      <c r="AK217" s="91"/>
      <c r="AM217" s="235"/>
      <c r="AN217" s="236"/>
      <c r="AO217" s="90"/>
      <c r="AP217" s="91"/>
      <c r="AR217" s="106">
        <v>26629578.879999999</v>
      </c>
      <c r="AS217" s="565">
        <v>0.02</v>
      </c>
      <c r="AT217" s="565">
        <v>2.0899999999999998E-2</v>
      </c>
      <c r="AU217" s="106">
        <v>1545.52</v>
      </c>
      <c r="AV217" s="106">
        <v>260.02</v>
      </c>
      <c r="AW217" s="19"/>
    </row>
    <row r="218" spans="2:49" x14ac:dyDescent="0.25">
      <c r="B218" s="9" t="str">
        <f t="shared" si="31"/>
        <v>8 2025</v>
      </c>
      <c r="C218" s="10">
        <f t="shared" si="33"/>
        <v>45870</v>
      </c>
      <c r="D218" s="10">
        <f t="shared" si="34"/>
        <v>45871</v>
      </c>
      <c r="E218" s="11">
        <f t="shared" si="32"/>
        <v>1</v>
      </c>
      <c r="G218" s="11" t="s">
        <v>7</v>
      </c>
      <c r="H218" s="285">
        <f>H217+214000000</f>
        <v>220120000</v>
      </c>
      <c r="I218" s="14">
        <f t="shared" si="36"/>
        <v>1.7500000000000002E-2</v>
      </c>
      <c r="J218" s="183">
        <f t="shared" si="37"/>
        <v>10700.277777777779</v>
      </c>
      <c r="K218" s="13">
        <f t="shared" si="38"/>
        <v>244544.09722222242</v>
      </c>
      <c r="M218" s="11" t="s">
        <v>7</v>
      </c>
      <c r="N218" s="12"/>
      <c r="O218" s="97"/>
      <c r="P218" s="13"/>
      <c r="Q218" s="13"/>
      <c r="R218" s="13"/>
      <c r="T218" s="11"/>
      <c r="U218" s="12"/>
      <c r="V218" s="97"/>
      <c r="W218" s="13"/>
      <c r="X218" s="13"/>
      <c r="Y218" s="13"/>
      <c r="AA218" s="11"/>
      <c r="AB218" s="98"/>
      <c r="AC218" s="97"/>
      <c r="AD218" s="13"/>
      <c r="AE218" s="13"/>
      <c r="AF218" s="13"/>
      <c r="AH218" s="235"/>
      <c r="AI218" s="236"/>
      <c r="AJ218" s="90"/>
      <c r="AK218" s="91"/>
      <c r="AM218" s="235"/>
      <c r="AN218" s="236"/>
      <c r="AO218" s="90"/>
      <c r="AP218" s="91"/>
      <c r="AR218" s="106">
        <v>240630826.91</v>
      </c>
      <c r="AS218" s="565">
        <v>0.02</v>
      </c>
      <c r="AT218" s="565">
        <v>1.7899999999999999E-2</v>
      </c>
      <c r="AU218" s="106">
        <v>11948.3</v>
      </c>
      <c r="AV218" s="106">
        <v>260.02</v>
      </c>
      <c r="AW218" s="19"/>
    </row>
    <row r="219" spans="2:49" x14ac:dyDescent="0.25">
      <c r="B219" s="9" t="str">
        <f t="shared" si="31"/>
        <v>8 2025</v>
      </c>
      <c r="C219" s="10">
        <f t="shared" si="33"/>
        <v>45871</v>
      </c>
      <c r="D219" s="10">
        <f t="shared" si="34"/>
        <v>45872</v>
      </c>
      <c r="E219" s="11">
        <f t="shared" si="32"/>
        <v>1</v>
      </c>
      <c r="G219" s="11" t="s">
        <v>7</v>
      </c>
      <c r="H219" s="12">
        <f t="shared" si="35"/>
        <v>220120000</v>
      </c>
      <c r="I219" s="14">
        <f t="shared" si="36"/>
        <v>1.7500000000000002E-2</v>
      </c>
      <c r="J219" s="183">
        <f t="shared" si="37"/>
        <v>10700.277777777779</v>
      </c>
      <c r="K219" s="13">
        <f t="shared" si="38"/>
        <v>255244.3750000002</v>
      </c>
      <c r="M219" s="11" t="s">
        <v>7</v>
      </c>
      <c r="N219" s="12"/>
      <c r="O219" s="97"/>
      <c r="P219" s="13"/>
      <c r="Q219" s="13"/>
      <c r="R219" s="13"/>
      <c r="T219" s="11"/>
      <c r="U219" s="12"/>
      <c r="V219" s="97"/>
      <c r="W219" s="13"/>
      <c r="X219" s="13"/>
      <c r="Y219" s="13"/>
      <c r="AA219" s="11"/>
      <c r="AB219" s="98"/>
      <c r="AC219" s="97"/>
      <c r="AD219" s="13"/>
      <c r="AE219" s="13"/>
      <c r="AF219" s="13"/>
      <c r="AH219" s="235"/>
      <c r="AI219" s="236"/>
      <c r="AJ219" s="90"/>
      <c r="AK219" s="91"/>
      <c r="AM219" s="235"/>
      <c r="AN219" s="236"/>
      <c r="AO219" s="90"/>
      <c r="AP219" s="91"/>
      <c r="AR219" s="106">
        <v>240630826.91</v>
      </c>
      <c r="AS219" s="565">
        <v>0.02</v>
      </c>
      <c r="AT219" s="565">
        <v>1.7899999999999999E-2</v>
      </c>
      <c r="AU219" s="106">
        <v>10700.28</v>
      </c>
      <c r="AV219" s="106">
        <v>-988</v>
      </c>
      <c r="AW219" s="19"/>
    </row>
    <row r="220" spans="2:49" x14ac:dyDescent="0.25">
      <c r="B220" s="9" t="str">
        <f t="shared" si="31"/>
        <v>8 2025</v>
      </c>
      <c r="C220" s="10">
        <f t="shared" si="33"/>
        <v>45872</v>
      </c>
      <c r="D220" s="10">
        <f t="shared" si="34"/>
        <v>45873</v>
      </c>
      <c r="E220" s="11">
        <f t="shared" si="32"/>
        <v>1</v>
      </c>
      <c r="G220" s="11" t="s">
        <v>7</v>
      </c>
      <c r="H220" s="12">
        <f t="shared" si="35"/>
        <v>220120000</v>
      </c>
      <c r="I220" s="14">
        <f t="shared" si="36"/>
        <v>1.7500000000000002E-2</v>
      </c>
      <c r="J220" s="183">
        <f t="shared" si="37"/>
        <v>10700.277777777779</v>
      </c>
      <c r="K220" s="13">
        <f t="shared" si="38"/>
        <v>265944.65277777798</v>
      </c>
      <c r="M220" s="11" t="s">
        <v>7</v>
      </c>
      <c r="N220" s="12"/>
      <c r="O220" s="97"/>
      <c r="P220" s="13"/>
      <c r="Q220" s="13"/>
      <c r="R220" s="13"/>
      <c r="T220" s="11"/>
      <c r="U220" s="12"/>
      <c r="V220" s="97"/>
      <c r="W220" s="13"/>
      <c r="X220" s="13"/>
      <c r="Y220" s="13"/>
      <c r="AA220" s="11"/>
      <c r="AB220" s="98"/>
      <c r="AC220" s="97"/>
      <c r="AD220" s="13"/>
      <c r="AE220" s="13"/>
      <c r="AF220" s="13"/>
      <c r="AH220" s="235"/>
      <c r="AI220" s="236"/>
      <c r="AJ220" s="90"/>
      <c r="AK220" s="91"/>
      <c r="AM220" s="235"/>
      <c r="AN220" s="236"/>
      <c r="AO220" s="90"/>
      <c r="AP220" s="91"/>
      <c r="AR220" s="106">
        <v>240630826.91</v>
      </c>
      <c r="AS220" s="565">
        <v>0.02</v>
      </c>
      <c r="AT220" s="565">
        <v>1.7899999999999999E-2</v>
      </c>
      <c r="AU220" s="106">
        <v>10700.28</v>
      </c>
      <c r="AV220" s="106">
        <v>-988</v>
      </c>
      <c r="AW220" s="19"/>
    </row>
    <row r="221" spans="2:49" x14ac:dyDescent="0.25">
      <c r="B221" s="9" t="str">
        <f t="shared" si="31"/>
        <v>8 2025</v>
      </c>
      <c r="C221" s="10">
        <f t="shared" si="33"/>
        <v>45873</v>
      </c>
      <c r="D221" s="10">
        <f t="shared" si="34"/>
        <v>45874</v>
      </c>
      <c r="E221" s="11">
        <f t="shared" si="32"/>
        <v>1</v>
      </c>
      <c r="G221" s="11" t="s">
        <v>7</v>
      </c>
      <c r="H221" s="12">
        <f t="shared" si="35"/>
        <v>220120000</v>
      </c>
      <c r="I221" s="14">
        <f t="shared" si="36"/>
        <v>1.7500000000000002E-2</v>
      </c>
      <c r="J221" s="183">
        <f t="shared" si="37"/>
        <v>10700.277777777779</v>
      </c>
      <c r="K221" s="13">
        <f t="shared" si="38"/>
        <v>276644.93055555574</v>
      </c>
      <c r="M221" s="11" t="s">
        <v>7</v>
      </c>
      <c r="N221" s="12"/>
      <c r="O221" s="97"/>
      <c r="P221" s="13"/>
      <c r="Q221" s="13"/>
      <c r="R221" s="13"/>
      <c r="T221" s="11"/>
      <c r="U221" s="12"/>
      <c r="V221" s="97"/>
      <c r="W221" s="13"/>
      <c r="X221" s="13"/>
      <c r="Y221" s="13"/>
      <c r="AA221" s="11"/>
      <c r="AB221" s="98"/>
      <c r="AC221" s="97"/>
      <c r="AD221" s="13"/>
      <c r="AE221" s="13"/>
      <c r="AF221" s="13"/>
      <c r="AH221" s="235"/>
      <c r="AI221" s="236"/>
      <c r="AJ221" s="90"/>
      <c r="AK221" s="91"/>
      <c r="AM221" s="235"/>
      <c r="AN221" s="236"/>
      <c r="AO221" s="90"/>
      <c r="AP221" s="91"/>
      <c r="AR221" s="106">
        <v>240634570.97</v>
      </c>
      <c r="AS221" s="565">
        <v>0.02</v>
      </c>
      <c r="AT221" s="565">
        <v>1.7899999999999999E-2</v>
      </c>
      <c r="AU221" s="106">
        <v>14444.35</v>
      </c>
      <c r="AV221" s="106">
        <v>2756.06</v>
      </c>
      <c r="AW221" s="19"/>
    </row>
    <row r="222" spans="2:49" x14ac:dyDescent="0.25">
      <c r="B222" s="9" t="str">
        <f t="shared" si="31"/>
        <v>8 2025</v>
      </c>
      <c r="C222" s="10">
        <f t="shared" si="33"/>
        <v>45874</v>
      </c>
      <c r="D222" s="10">
        <f t="shared" si="34"/>
        <v>45875</v>
      </c>
      <c r="E222" s="11">
        <f t="shared" si="32"/>
        <v>1</v>
      </c>
      <c r="G222" s="11" t="s">
        <v>7</v>
      </c>
      <c r="H222" s="106">
        <f>H221-112000000</f>
        <v>108120000</v>
      </c>
      <c r="I222" s="14">
        <f t="shared" si="36"/>
        <v>1.7500000000000002E-2</v>
      </c>
      <c r="J222" s="183">
        <f t="shared" si="37"/>
        <v>5255.8333333333339</v>
      </c>
      <c r="K222" s="13">
        <f t="shared" si="38"/>
        <v>281900.76388888905</v>
      </c>
      <c r="M222" s="11" t="s">
        <v>7</v>
      </c>
      <c r="N222" s="106">
        <v>12000000</v>
      </c>
      <c r="O222" s="97">
        <f>2.2%*360/365</f>
        <v>2.1698630136986304E-2</v>
      </c>
      <c r="P222" s="183">
        <f t="shared" ref="P222:P253" si="39">O222*N222*E222/360</f>
        <v>723.28767123287685</v>
      </c>
      <c r="Q222" s="13">
        <f>Q38+P222</f>
        <v>33139.726027397272</v>
      </c>
      <c r="R222" s="13">
        <f t="shared" ref="R222:R253" si="40">P222-(+N222*I222*$E222/360)</f>
        <v>139.95433789954348</v>
      </c>
      <c r="T222" s="11"/>
      <c r="U222" s="12"/>
      <c r="V222" s="97"/>
      <c r="W222" s="13"/>
      <c r="X222" s="13"/>
      <c r="Y222" s="13"/>
      <c r="AA222" s="11"/>
      <c r="AB222" s="98"/>
      <c r="AC222" s="97"/>
      <c r="AD222" s="13"/>
      <c r="AE222" s="13"/>
      <c r="AF222" s="13"/>
      <c r="AH222" s="235"/>
      <c r="AI222" s="236"/>
      <c r="AJ222" s="90"/>
      <c r="AK222" s="91"/>
      <c r="AM222" s="235"/>
      <c r="AN222" s="236"/>
      <c r="AO222" s="90"/>
      <c r="AP222" s="91"/>
      <c r="AR222" s="106">
        <v>240635819</v>
      </c>
      <c r="AS222" s="565">
        <v>0.02</v>
      </c>
      <c r="AT222" s="565">
        <v>1.9599999999999999E-2</v>
      </c>
      <c r="AU222" s="106">
        <v>13126.05</v>
      </c>
      <c r="AV222" s="106">
        <v>1437.77</v>
      </c>
      <c r="AW222" s="19"/>
    </row>
    <row r="223" spans="2:49" x14ac:dyDescent="0.25">
      <c r="B223" s="9" t="str">
        <f t="shared" si="31"/>
        <v>8 2025</v>
      </c>
      <c r="C223" s="10">
        <f t="shared" si="33"/>
        <v>45875</v>
      </c>
      <c r="D223" s="10">
        <f t="shared" si="34"/>
        <v>45876</v>
      </c>
      <c r="E223" s="11">
        <f t="shared" si="32"/>
        <v>1</v>
      </c>
      <c r="G223" s="11" t="s">
        <v>7</v>
      </c>
      <c r="H223" s="12">
        <f t="shared" si="35"/>
        <v>108120000</v>
      </c>
      <c r="I223" s="14">
        <f t="shared" si="36"/>
        <v>1.7500000000000002E-2</v>
      </c>
      <c r="J223" s="183">
        <f t="shared" si="37"/>
        <v>5255.8333333333339</v>
      </c>
      <c r="K223" s="13">
        <f t="shared" si="38"/>
        <v>287156.59722222236</v>
      </c>
      <c r="M223" s="11" t="s">
        <v>7</v>
      </c>
      <c r="N223" s="12">
        <f>N222</f>
        <v>12000000</v>
      </c>
      <c r="O223" s="97">
        <f>O222</f>
        <v>2.1698630136986304E-2</v>
      </c>
      <c r="P223" s="183">
        <f t="shared" si="39"/>
        <v>723.28767123287685</v>
      </c>
      <c r="Q223" s="13">
        <f>Q222+P223</f>
        <v>33863.013698630151</v>
      </c>
      <c r="R223" s="13">
        <f t="shared" si="40"/>
        <v>139.95433789954348</v>
      </c>
      <c r="T223" s="11"/>
      <c r="U223" s="12"/>
      <c r="V223" s="97"/>
      <c r="W223" s="13"/>
      <c r="X223" s="13"/>
      <c r="Y223" s="13"/>
      <c r="AA223" s="11"/>
      <c r="AB223" s="98"/>
      <c r="AC223" s="97"/>
      <c r="AD223" s="13"/>
      <c r="AE223" s="13"/>
      <c r="AF223" s="13"/>
      <c r="AH223" s="235"/>
      <c r="AI223" s="236"/>
      <c r="AJ223" s="90"/>
      <c r="AK223" s="91"/>
      <c r="AM223" s="235"/>
      <c r="AN223" s="236"/>
      <c r="AO223" s="90"/>
      <c r="AP223" s="91"/>
      <c r="AR223" s="106">
        <v>240637087.15000001</v>
      </c>
      <c r="AS223" s="565">
        <v>0.02</v>
      </c>
      <c r="AT223" s="565">
        <v>1.9599999999999999E-2</v>
      </c>
      <c r="AU223" s="106">
        <v>13146.18</v>
      </c>
      <c r="AV223" s="106">
        <v>1457.9</v>
      </c>
      <c r="AW223" s="19"/>
    </row>
    <row r="224" spans="2:49" x14ac:dyDescent="0.25">
      <c r="B224" s="9" t="str">
        <f t="shared" si="31"/>
        <v>8 2025</v>
      </c>
      <c r="C224" s="10">
        <f t="shared" si="33"/>
        <v>45876</v>
      </c>
      <c r="D224" s="10">
        <f t="shared" si="34"/>
        <v>45877</v>
      </c>
      <c r="E224" s="11">
        <f t="shared" si="32"/>
        <v>1</v>
      </c>
      <c r="G224" s="11" t="s">
        <v>7</v>
      </c>
      <c r="H224" s="12">
        <f t="shared" si="35"/>
        <v>108120000</v>
      </c>
      <c r="I224" s="14">
        <f t="shared" si="36"/>
        <v>1.7500000000000002E-2</v>
      </c>
      <c r="J224" s="183">
        <f t="shared" si="37"/>
        <v>5255.8333333333339</v>
      </c>
      <c r="K224" s="13">
        <f t="shared" si="38"/>
        <v>292412.43055555568</v>
      </c>
      <c r="M224" s="11" t="s">
        <v>7</v>
      </c>
      <c r="N224" s="12">
        <f t="shared" ref="N224:N287" si="41">N223</f>
        <v>12000000</v>
      </c>
      <c r="O224" s="97">
        <f t="shared" ref="O224:O287" si="42">O223</f>
        <v>2.1698630136986304E-2</v>
      </c>
      <c r="P224" s="183">
        <f t="shared" si="39"/>
        <v>723.28767123287685</v>
      </c>
      <c r="Q224" s="13">
        <f t="shared" ref="Q224:Q287" si="43">Q223+P224</f>
        <v>34586.301369863031</v>
      </c>
      <c r="R224" s="13">
        <f t="shared" si="40"/>
        <v>139.95433789954348</v>
      </c>
      <c r="T224" s="11"/>
      <c r="U224" s="12"/>
      <c r="V224" s="97"/>
      <c r="W224" s="13"/>
      <c r="X224" s="13"/>
      <c r="Y224" s="13"/>
      <c r="AA224" s="11"/>
      <c r="AB224" s="98"/>
      <c r="AC224" s="97"/>
      <c r="AD224" s="13"/>
      <c r="AE224" s="13"/>
      <c r="AF224" s="13"/>
      <c r="AH224" s="235"/>
      <c r="AI224" s="236"/>
      <c r="AJ224" s="90"/>
      <c r="AK224" s="91"/>
      <c r="AM224" s="235"/>
      <c r="AN224" s="236"/>
      <c r="AO224" s="90"/>
      <c r="AP224" s="91"/>
      <c r="AR224" s="106">
        <v>240638335.16999999</v>
      </c>
      <c r="AS224" s="565">
        <v>0.02</v>
      </c>
      <c r="AT224" s="565">
        <v>1.9599999999999999E-2</v>
      </c>
      <c r="AU224" s="106">
        <v>13126.05</v>
      </c>
      <c r="AV224" s="106">
        <v>1437.77</v>
      </c>
      <c r="AW224" s="19"/>
    </row>
    <row r="225" spans="2:49" x14ac:dyDescent="0.25">
      <c r="B225" s="9" t="str">
        <f t="shared" si="31"/>
        <v>8 2025</v>
      </c>
      <c r="C225" s="10">
        <f t="shared" si="33"/>
        <v>45877</v>
      </c>
      <c r="D225" s="10">
        <f t="shared" si="34"/>
        <v>45878</v>
      </c>
      <c r="E225" s="11">
        <f t="shared" si="32"/>
        <v>1</v>
      </c>
      <c r="G225" s="11" t="s">
        <v>7</v>
      </c>
      <c r="H225" s="106">
        <f>H224-2800000</f>
        <v>105320000</v>
      </c>
      <c r="I225" s="14">
        <f t="shared" si="36"/>
        <v>1.7500000000000002E-2</v>
      </c>
      <c r="J225" s="183">
        <f t="shared" si="37"/>
        <v>5119.7222222222226</v>
      </c>
      <c r="K225" s="13">
        <f t="shared" si="38"/>
        <v>297532.15277777793</v>
      </c>
      <c r="M225" s="11" t="s">
        <v>7</v>
      </c>
      <c r="N225" s="12">
        <f t="shared" si="41"/>
        <v>12000000</v>
      </c>
      <c r="O225" s="97">
        <f t="shared" si="42"/>
        <v>2.1698630136986304E-2</v>
      </c>
      <c r="P225" s="183">
        <f t="shared" si="39"/>
        <v>723.28767123287685</v>
      </c>
      <c r="Q225" s="13">
        <f t="shared" si="43"/>
        <v>35309.589041095911</v>
      </c>
      <c r="R225" s="13">
        <f t="shared" si="40"/>
        <v>139.95433789954348</v>
      </c>
      <c r="T225" s="11"/>
      <c r="U225" s="12"/>
      <c r="V225" s="97"/>
      <c r="W225" s="13"/>
      <c r="X225" s="13"/>
      <c r="Y225" s="13"/>
      <c r="AA225" s="11"/>
      <c r="AB225" s="98"/>
      <c r="AC225" s="97"/>
      <c r="AD225" s="13"/>
      <c r="AE225" s="13"/>
      <c r="AF225" s="13"/>
      <c r="AH225" s="235"/>
      <c r="AI225" s="236"/>
      <c r="AJ225" s="90"/>
      <c r="AK225" s="91"/>
      <c r="AM225" s="235"/>
      <c r="AN225" s="236"/>
      <c r="AO225" s="90"/>
      <c r="AP225" s="91"/>
      <c r="AR225" s="106">
        <v>237839583.19</v>
      </c>
      <c r="AS225" s="565">
        <v>0.02</v>
      </c>
      <c r="AT225" s="565">
        <v>1.9699999999999999E-2</v>
      </c>
      <c r="AU225" s="106">
        <v>12989.94</v>
      </c>
      <c r="AV225" s="106">
        <v>1437.77</v>
      </c>
      <c r="AW225" s="19"/>
    </row>
    <row r="226" spans="2:49" x14ac:dyDescent="0.25">
      <c r="B226" s="9" t="str">
        <f t="shared" si="31"/>
        <v>8 2025</v>
      </c>
      <c r="C226" s="10">
        <f t="shared" si="33"/>
        <v>45878</v>
      </c>
      <c r="D226" s="10">
        <f t="shared" si="34"/>
        <v>45879</v>
      </c>
      <c r="E226" s="11">
        <f t="shared" si="32"/>
        <v>1</v>
      </c>
      <c r="G226" s="11" t="s">
        <v>7</v>
      </c>
      <c r="H226" s="12">
        <f t="shared" si="35"/>
        <v>105320000</v>
      </c>
      <c r="I226" s="14">
        <f t="shared" si="36"/>
        <v>1.7500000000000002E-2</v>
      </c>
      <c r="J226" s="183">
        <f t="shared" si="37"/>
        <v>5119.7222222222226</v>
      </c>
      <c r="K226" s="13">
        <f t="shared" si="38"/>
        <v>302651.87500000017</v>
      </c>
      <c r="M226" s="11" t="s">
        <v>7</v>
      </c>
      <c r="N226" s="12">
        <f t="shared" si="41"/>
        <v>12000000</v>
      </c>
      <c r="O226" s="97">
        <f t="shared" si="42"/>
        <v>2.1698630136986304E-2</v>
      </c>
      <c r="P226" s="183">
        <f t="shared" si="39"/>
        <v>723.28767123287685</v>
      </c>
      <c r="Q226" s="13">
        <f t="shared" si="43"/>
        <v>36032.876712328791</v>
      </c>
      <c r="R226" s="13">
        <f t="shared" si="40"/>
        <v>139.95433789954348</v>
      </c>
      <c r="T226" s="11"/>
      <c r="U226" s="12"/>
      <c r="V226" s="97"/>
      <c r="W226" s="13"/>
      <c r="X226" s="13"/>
      <c r="Y226" s="13"/>
      <c r="AA226" s="11"/>
      <c r="AB226" s="98"/>
      <c r="AC226" s="97"/>
      <c r="AD226" s="13"/>
      <c r="AE226" s="13"/>
      <c r="AF226" s="13"/>
      <c r="AH226" s="235"/>
      <c r="AI226" s="236"/>
      <c r="AJ226" s="90"/>
      <c r="AK226" s="91"/>
      <c r="AM226" s="235"/>
      <c r="AN226" s="236"/>
      <c r="AO226" s="90"/>
      <c r="AP226" s="91"/>
      <c r="AR226" s="106">
        <v>237839583.19</v>
      </c>
      <c r="AS226" s="565">
        <v>0.02</v>
      </c>
      <c r="AT226" s="565">
        <v>1.9699999999999999E-2</v>
      </c>
      <c r="AU226" s="106">
        <v>11741.91</v>
      </c>
      <c r="AV226" s="106">
        <v>189.74</v>
      </c>
      <c r="AW226" s="19"/>
    </row>
    <row r="227" spans="2:49" x14ac:dyDescent="0.25">
      <c r="B227" s="9" t="str">
        <f t="shared" si="31"/>
        <v>8 2025</v>
      </c>
      <c r="C227" s="10">
        <f t="shared" si="33"/>
        <v>45879</v>
      </c>
      <c r="D227" s="10">
        <f t="shared" si="34"/>
        <v>45880</v>
      </c>
      <c r="E227" s="11">
        <f t="shared" si="32"/>
        <v>1</v>
      </c>
      <c r="G227" s="11" t="s">
        <v>7</v>
      </c>
      <c r="H227" s="12">
        <f t="shared" si="35"/>
        <v>105320000</v>
      </c>
      <c r="I227" s="14">
        <f t="shared" si="36"/>
        <v>1.7500000000000002E-2</v>
      </c>
      <c r="J227" s="183">
        <f t="shared" si="37"/>
        <v>5119.7222222222226</v>
      </c>
      <c r="K227" s="13">
        <f t="shared" si="38"/>
        <v>307771.59722222242</v>
      </c>
      <c r="M227" s="11" t="s">
        <v>7</v>
      </c>
      <c r="N227" s="12">
        <f t="shared" si="41"/>
        <v>12000000</v>
      </c>
      <c r="O227" s="97">
        <f t="shared" si="42"/>
        <v>2.1698630136986304E-2</v>
      </c>
      <c r="P227" s="183">
        <f t="shared" si="39"/>
        <v>723.28767123287685</v>
      </c>
      <c r="Q227" s="13">
        <f t="shared" si="43"/>
        <v>36756.164383561671</v>
      </c>
      <c r="R227" s="13">
        <f t="shared" si="40"/>
        <v>139.95433789954348</v>
      </c>
      <c r="T227" s="11"/>
      <c r="U227" s="12"/>
      <c r="V227" s="97"/>
      <c r="W227" s="13"/>
      <c r="X227" s="13"/>
      <c r="Y227" s="13"/>
      <c r="AA227" s="11"/>
      <c r="AB227" s="98"/>
      <c r="AC227" s="97"/>
      <c r="AD227" s="13"/>
      <c r="AE227" s="13"/>
      <c r="AF227" s="13"/>
      <c r="AH227" s="235"/>
      <c r="AI227" s="236"/>
      <c r="AJ227" s="90"/>
      <c r="AK227" s="91"/>
      <c r="AM227" s="235"/>
      <c r="AN227" s="236"/>
      <c r="AO227" s="90"/>
      <c r="AP227" s="91"/>
      <c r="AR227" s="106">
        <v>237839583.19</v>
      </c>
      <c r="AS227" s="565">
        <v>0.02</v>
      </c>
      <c r="AT227" s="565">
        <v>1.9699999999999999E-2</v>
      </c>
      <c r="AU227" s="106">
        <v>11741.91</v>
      </c>
      <c r="AV227" s="106">
        <v>189.74</v>
      </c>
      <c r="AW227" s="19"/>
    </row>
    <row r="228" spans="2:49" x14ac:dyDescent="0.25">
      <c r="B228" s="9" t="str">
        <f t="shared" si="31"/>
        <v>8 2025</v>
      </c>
      <c r="C228" s="10">
        <f t="shared" si="33"/>
        <v>45880</v>
      </c>
      <c r="D228" s="10">
        <f t="shared" si="34"/>
        <v>45881</v>
      </c>
      <c r="E228" s="11">
        <f t="shared" si="32"/>
        <v>1</v>
      </c>
      <c r="G228" s="11" t="s">
        <v>7</v>
      </c>
      <c r="H228" s="106">
        <f>H227-90000000</f>
        <v>15320000</v>
      </c>
      <c r="I228" s="14">
        <f t="shared" si="36"/>
        <v>1.7500000000000002E-2</v>
      </c>
      <c r="J228" s="183">
        <f t="shared" si="37"/>
        <v>744.72222222222217</v>
      </c>
      <c r="K228" s="13">
        <f t="shared" si="38"/>
        <v>308516.31944444467</v>
      </c>
      <c r="M228" s="11" t="s">
        <v>7</v>
      </c>
      <c r="N228" s="12">
        <f t="shared" si="41"/>
        <v>12000000</v>
      </c>
      <c r="O228" s="97">
        <f t="shared" si="42"/>
        <v>2.1698630136986304E-2</v>
      </c>
      <c r="P228" s="183">
        <f t="shared" si="39"/>
        <v>723.28767123287685</v>
      </c>
      <c r="Q228" s="13">
        <f t="shared" si="43"/>
        <v>37479.45205479455</v>
      </c>
      <c r="R228" s="13">
        <f t="shared" si="40"/>
        <v>139.95433789954348</v>
      </c>
      <c r="T228" s="11"/>
      <c r="U228" s="12"/>
      <c r="V228" s="97"/>
      <c r="W228" s="13"/>
      <c r="X228" s="13"/>
      <c r="Y228" s="13"/>
      <c r="AA228" s="11"/>
      <c r="AB228" s="98"/>
      <c r="AC228" s="97"/>
      <c r="AD228" s="13"/>
      <c r="AE228" s="13"/>
      <c r="AF228" s="13"/>
      <c r="AH228" s="235"/>
      <c r="AI228" s="236"/>
      <c r="AJ228" s="90"/>
      <c r="AK228" s="91"/>
      <c r="AM228" s="235"/>
      <c r="AN228" s="236"/>
      <c r="AO228" s="90"/>
      <c r="AP228" s="91"/>
      <c r="AR228" s="106">
        <v>237843327.25999999</v>
      </c>
      <c r="AS228" s="565">
        <v>0.02</v>
      </c>
      <c r="AT228" s="565">
        <v>0.02</v>
      </c>
      <c r="AU228" s="106">
        <v>15721.94</v>
      </c>
      <c r="AV228" s="106">
        <v>4169.7700000000004</v>
      </c>
      <c r="AW228" s="19"/>
    </row>
    <row r="229" spans="2:49" x14ac:dyDescent="0.25">
      <c r="B229" s="9" t="str">
        <f t="shared" si="31"/>
        <v>8 2025</v>
      </c>
      <c r="C229" s="10">
        <f t="shared" si="33"/>
        <v>45881</v>
      </c>
      <c r="D229" s="10">
        <f t="shared" si="34"/>
        <v>45882</v>
      </c>
      <c r="E229" s="11">
        <f t="shared" si="32"/>
        <v>1</v>
      </c>
      <c r="G229" s="11" t="s">
        <v>7</v>
      </c>
      <c r="H229" s="12">
        <f t="shared" si="35"/>
        <v>15320000</v>
      </c>
      <c r="I229" s="14">
        <f t="shared" si="36"/>
        <v>1.7500000000000002E-2</v>
      </c>
      <c r="J229" s="183">
        <f t="shared" si="37"/>
        <v>744.72222222222217</v>
      </c>
      <c r="K229" s="13">
        <f t="shared" si="38"/>
        <v>309261.04166666692</v>
      </c>
      <c r="M229" s="11" t="s">
        <v>7</v>
      </c>
      <c r="N229" s="12">
        <f t="shared" si="41"/>
        <v>12000000</v>
      </c>
      <c r="O229" s="97">
        <f t="shared" si="42"/>
        <v>2.1698630136986304E-2</v>
      </c>
      <c r="P229" s="183">
        <f t="shared" si="39"/>
        <v>723.28767123287685</v>
      </c>
      <c r="Q229" s="13">
        <f t="shared" si="43"/>
        <v>38202.73972602743</v>
      </c>
      <c r="R229" s="13">
        <f t="shared" si="40"/>
        <v>139.95433789954348</v>
      </c>
      <c r="T229" s="11"/>
      <c r="U229" s="12"/>
      <c r="V229" s="97"/>
      <c r="W229" s="13"/>
      <c r="X229" s="13"/>
      <c r="Y229" s="13"/>
      <c r="AA229" s="11"/>
      <c r="AB229" s="98"/>
      <c r="AC229" s="97"/>
      <c r="AD229" s="13"/>
      <c r="AE229" s="13"/>
      <c r="AF229" s="13"/>
      <c r="AH229" s="235"/>
      <c r="AI229" s="236"/>
      <c r="AJ229" s="90"/>
      <c r="AK229" s="91"/>
      <c r="AM229" s="235"/>
      <c r="AN229" s="236"/>
      <c r="AO229" s="90"/>
      <c r="AP229" s="91"/>
      <c r="AR229" s="106">
        <v>237844575.28</v>
      </c>
      <c r="AS229" s="565">
        <v>0.02</v>
      </c>
      <c r="AT229" s="565">
        <v>0.02</v>
      </c>
      <c r="AU229" s="106">
        <v>13225.9</v>
      </c>
      <c r="AV229" s="106">
        <v>1673.73</v>
      </c>
      <c r="AW229" s="19"/>
    </row>
    <row r="230" spans="2:49" x14ac:dyDescent="0.25">
      <c r="B230" s="9" t="str">
        <f t="shared" si="31"/>
        <v>8 2025</v>
      </c>
      <c r="C230" s="10">
        <f t="shared" si="33"/>
        <v>45882</v>
      </c>
      <c r="D230" s="10">
        <f t="shared" si="34"/>
        <v>45883</v>
      </c>
      <c r="E230" s="11">
        <f t="shared" si="32"/>
        <v>1</v>
      </c>
      <c r="G230" s="11" t="s">
        <v>7</v>
      </c>
      <c r="H230" s="12">
        <f t="shared" si="35"/>
        <v>15320000</v>
      </c>
      <c r="I230" s="14">
        <f t="shared" si="36"/>
        <v>1.7500000000000002E-2</v>
      </c>
      <c r="J230" s="183">
        <f t="shared" si="37"/>
        <v>744.72222222222217</v>
      </c>
      <c r="K230" s="13">
        <f t="shared" si="38"/>
        <v>310005.76388888917</v>
      </c>
      <c r="M230" s="11" t="s">
        <v>7</v>
      </c>
      <c r="N230" s="12">
        <f t="shared" si="41"/>
        <v>12000000</v>
      </c>
      <c r="O230" s="97">
        <f t="shared" si="42"/>
        <v>2.1698630136986304E-2</v>
      </c>
      <c r="P230" s="183">
        <f t="shared" si="39"/>
        <v>723.28767123287685</v>
      </c>
      <c r="Q230" s="13">
        <f t="shared" si="43"/>
        <v>38926.02739726031</v>
      </c>
      <c r="R230" s="13">
        <f t="shared" si="40"/>
        <v>139.95433789954348</v>
      </c>
      <c r="T230" s="11"/>
      <c r="U230" s="12"/>
      <c r="V230" s="97"/>
      <c r="W230" s="13"/>
      <c r="X230" s="13"/>
      <c r="Y230" s="13"/>
      <c r="AA230" s="11"/>
      <c r="AB230" s="98"/>
      <c r="AC230" s="97"/>
      <c r="AD230" s="13"/>
      <c r="AE230" s="13"/>
      <c r="AF230" s="13"/>
      <c r="AH230" s="235"/>
      <c r="AI230" s="236"/>
      <c r="AJ230" s="90"/>
      <c r="AK230" s="91"/>
      <c r="AM230" s="235"/>
      <c r="AN230" s="236"/>
      <c r="AO230" s="90"/>
      <c r="AP230" s="91"/>
      <c r="AR230" s="106">
        <v>237845843.43000001</v>
      </c>
      <c r="AS230" s="565">
        <v>0.02</v>
      </c>
      <c r="AT230" s="565">
        <v>0.02</v>
      </c>
      <c r="AU230" s="106">
        <v>13246.02</v>
      </c>
      <c r="AV230" s="106">
        <v>1693.86</v>
      </c>
      <c r="AW230" s="19"/>
    </row>
    <row r="231" spans="2:49" x14ac:dyDescent="0.25">
      <c r="B231" s="9" t="str">
        <f t="shared" si="31"/>
        <v>8 2025</v>
      </c>
      <c r="C231" s="10">
        <f t="shared" si="33"/>
        <v>45883</v>
      </c>
      <c r="D231" s="10">
        <f t="shared" si="34"/>
        <v>45884</v>
      </c>
      <c r="E231" s="11">
        <f t="shared" si="32"/>
        <v>1</v>
      </c>
      <c r="G231" s="11" t="s">
        <v>7</v>
      </c>
      <c r="H231" s="12">
        <f t="shared" si="35"/>
        <v>15320000</v>
      </c>
      <c r="I231" s="14">
        <f t="shared" si="36"/>
        <v>1.7500000000000002E-2</v>
      </c>
      <c r="J231" s="183">
        <f t="shared" si="37"/>
        <v>744.72222222222217</v>
      </c>
      <c r="K231" s="13">
        <f t="shared" si="38"/>
        <v>310750.48611111142</v>
      </c>
      <c r="M231" s="11" t="s">
        <v>7</v>
      </c>
      <c r="N231" s="12">
        <f t="shared" si="41"/>
        <v>12000000</v>
      </c>
      <c r="O231" s="97">
        <f t="shared" si="42"/>
        <v>2.1698630136986304E-2</v>
      </c>
      <c r="P231" s="183">
        <f t="shared" si="39"/>
        <v>723.28767123287685</v>
      </c>
      <c r="Q231" s="13">
        <f t="shared" si="43"/>
        <v>39649.31506849319</v>
      </c>
      <c r="R231" s="13">
        <f t="shared" si="40"/>
        <v>139.95433789954348</v>
      </c>
      <c r="T231" s="11"/>
      <c r="U231" s="12"/>
      <c r="V231" s="97"/>
      <c r="W231" s="13"/>
      <c r="X231" s="13"/>
      <c r="Y231" s="13"/>
      <c r="AA231" s="11"/>
      <c r="AB231" s="98"/>
      <c r="AC231" s="97"/>
      <c r="AD231" s="13"/>
      <c r="AE231" s="13"/>
      <c r="AF231" s="13"/>
      <c r="AH231" s="235"/>
      <c r="AI231" s="236"/>
      <c r="AJ231" s="90"/>
      <c r="AK231" s="91"/>
      <c r="AM231" s="235"/>
      <c r="AN231" s="236"/>
      <c r="AO231" s="90"/>
      <c r="AP231" s="91"/>
      <c r="AR231" s="106">
        <v>237847091.46000001</v>
      </c>
      <c r="AS231" s="565">
        <v>0.02</v>
      </c>
      <c r="AT231" s="565">
        <v>0.02</v>
      </c>
      <c r="AU231" s="106">
        <v>13225.9</v>
      </c>
      <c r="AV231" s="106">
        <v>1673.73</v>
      </c>
      <c r="AW231" s="19"/>
    </row>
    <row r="232" spans="2:49" x14ac:dyDescent="0.25">
      <c r="B232" s="9" t="str">
        <f t="shared" si="31"/>
        <v>8 2025</v>
      </c>
      <c r="C232" s="10">
        <f t="shared" si="33"/>
        <v>45884</v>
      </c>
      <c r="D232" s="10">
        <f t="shared" si="34"/>
        <v>45885</v>
      </c>
      <c r="E232" s="11">
        <f t="shared" si="32"/>
        <v>1</v>
      </c>
      <c r="G232" s="11" t="s">
        <v>7</v>
      </c>
      <c r="H232" s="12">
        <f t="shared" si="35"/>
        <v>15320000</v>
      </c>
      <c r="I232" s="14">
        <f t="shared" si="36"/>
        <v>1.7500000000000002E-2</v>
      </c>
      <c r="J232" s="183">
        <f t="shared" si="37"/>
        <v>744.72222222222217</v>
      </c>
      <c r="K232" s="13">
        <f t="shared" si="38"/>
        <v>311495.20833333366</v>
      </c>
      <c r="M232" s="11" t="s">
        <v>7</v>
      </c>
      <c r="N232" s="12">
        <f t="shared" si="41"/>
        <v>12000000</v>
      </c>
      <c r="O232" s="97">
        <f t="shared" si="42"/>
        <v>2.1698630136986304E-2</v>
      </c>
      <c r="P232" s="183">
        <f t="shared" si="39"/>
        <v>723.28767123287685</v>
      </c>
      <c r="Q232" s="13">
        <f t="shared" si="43"/>
        <v>40372.60273972607</v>
      </c>
      <c r="R232" s="13">
        <f t="shared" si="40"/>
        <v>139.95433789954348</v>
      </c>
      <c r="T232" s="11"/>
      <c r="U232" s="12"/>
      <c r="V232" s="97"/>
      <c r="W232" s="13"/>
      <c r="X232" s="13"/>
      <c r="Y232" s="13"/>
      <c r="AA232" s="11"/>
      <c r="AB232" s="98"/>
      <c r="AC232" s="97"/>
      <c r="AD232" s="13"/>
      <c r="AE232" s="13"/>
      <c r="AF232" s="13"/>
      <c r="AH232" s="235"/>
      <c r="AI232" s="236"/>
      <c r="AJ232" s="90"/>
      <c r="AK232" s="91"/>
      <c r="AM232" s="235"/>
      <c r="AN232" s="236"/>
      <c r="AO232" s="90"/>
      <c r="AP232" s="91"/>
      <c r="AR232" s="106">
        <v>237847091.46000001</v>
      </c>
      <c r="AS232" s="565">
        <v>0.02</v>
      </c>
      <c r="AT232" s="565">
        <v>0.02</v>
      </c>
      <c r="AU232" s="106">
        <v>11977.87</v>
      </c>
      <c r="AV232" s="106">
        <v>425.7</v>
      </c>
      <c r="AW232" s="19"/>
    </row>
    <row r="233" spans="2:49" x14ac:dyDescent="0.25">
      <c r="B233" s="9" t="str">
        <f t="shared" si="31"/>
        <v>8 2025</v>
      </c>
      <c r="C233" s="10">
        <f t="shared" si="33"/>
        <v>45885</v>
      </c>
      <c r="D233" s="10">
        <f t="shared" si="34"/>
        <v>45886</v>
      </c>
      <c r="E233" s="11">
        <f t="shared" si="32"/>
        <v>1</v>
      </c>
      <c r="G233" s="11" t="s">
        <v>7</v>
      </c>
      <c r="H233" s="12">
        <f t="shared" si="35"/>
        <v>15320000</v>
      </c>
      <c r="I233" s="14">
        <f t="shared" si="36"/>
        <v>1.7500000000000002E-2</v>
      </c>
      <c r="J233" s="183">
        <f t="shared" si="37"/>
        <v>744.72222222222217</v>
      </c>
      <c r="K233" s="13">
        <f t="shared" si="38"/>
        <v>312239.93055555591</v>
      </c>
      <c r="M233" s="11" t="s">
        <v>7</v>
      </c>
      <c r="N233" s="12">
        <f t="shared" si="41"/>
        <v>12000000</v>
      </c>
      <c r="O233" s="97">
        <f t="shared" si="42"/>
        <v>2.1698630136986304E-2</v>
      </c>
      <c r="P233" s="183">
        <f t="shared" si="39"/>
        <v>723.28767123287685</v>
      </c>
      <c r="Q233" s="13">
        <f t="shared" si="43"/>
        <v>41095.890410958949</v>
      </c>
      <c r="R233" s="13">
        <f t="shared" si="40"/>
        <v>139.95433789954348</v>
      </c>
      <c r="T233" s="11"/>
      <c r="U233" s="12"/>
      <c r="V233" s="97"/>
      <c r="W233" s="13"/>
      <c r="X233" s="13"/>
      <c r="Y233" s="13"/>
      <c r="AA233" s="11"/>
      <c r="AB233" s="98"/>
      <c r="AC233" s="97"/>
      <c r="AD233" s="13"/>
      <c r="AE233" s="13"/>
      <c r="AF233" s="13"/>
      <c r="AH233" s="235"/>
      <c r="AI233" s="236"/>
      <c r="AJ233" s="90"/>
      <c r="AK233" s="91"/>
      <c r="AM233" s="235"/>
      <c r="AN233" s="236"/>
      <c r="AO233" s="90"/>
      <c r="AP233" s="91"/>
      <c r="AR233" s="106">
        <v>237847091.46000001</v>
      </c>
      <c r="AS233" s="565">
        <v>0.02</v>
      </c>
      <c r="AT233" s="565">
        <v>0.02</v>
      </c>
      <c r="AU233" s="106">
        <v>11977.87</v>
      </c>
      <c r="AV233" s="106">
        <v>425.7</v>
      </c>
      <c r="AW233" s="19"/>
    </row>
    <row r="234" spans="2:49" x14ac:dyDescent="0.25">
      <c r="B234" s="9" t="str">
        <f t="shared" si="31"/>
        <v>8 2025</v>
      </c>
      <c r="C234" s="10">
        <f t="shared" si="33"/>
        <v>45886</v>
      </c>
      <c r="D234" s="10">
        <f t="shared" si="34"/>
        <v>45887</v>
      </c>
      <c r="E234" s="11">
        <f t="shared" si="32"/>
        <v>1</v>
      </c>
      <c r="G234" s="11" t="s">
        <v>7</v>
      </c>
      <c r="H234" s="12">
        <f t="shared" si="35"/>
        <v>15320000</v>
      </c>
      <c r="I234" s="14">
        <f t="shared" si="36"/>
        <v>1.7500000000000002E-2</v>
      </c>
      <c r="J234" s="183">
        <f t="shared" si="37"/>
        <v>744.72222222222217</v>
      </c>
      <c r="K234" s="13">
        <f t="shared" si="38"/>
        <v>312984.65277777816</v>
      </c>
      <c r="M234" s="11" t="s">
        <v>7</v>
      </c>
      <c r="N234" s="12">
        <f t="shared" si="41"/>
        <v>12000000</v>
      </c>
      <c r="O234" s="97">
        <f t="shared" si="42"/>
        <v>2.1698630136986304E-2</v>
      </c>
      <c r="P234" s="183">
        <f t="shared" si="39"/>
        <v>723.28767123287685</v>
      </c>
      <c r="Q234" s="13">
        <f t="shared" si="43"/>
        <v>41819.178082191829</v>
      </c>
      <c r="R234" s="13">
        <f t="shared" si="40"/>
        <v>139.95433789954348</v>
      </c>
      <c r="T234" s="11"/>
      <c r="U234" s="12"/>
      <c r="V234" s="97"/>
      <c r="W234" s="13"/>
      <c r="X234" s="13"/>
      <c r="Y234" s="13"/>
      <c r="AA234" s="11"/>
      <c r="AB234" s="98"/>
      <c r="AC234" s="97"/>
      <c r="AD234" s="13"/>
      <c r="AE234" s="13"/>
      <c r="AF234" s="13"/>
      <c r="AH234" s="235"/>
      <c r="AI234" s="236"/>
      <c r="AJ234" s="90"/>
      <c r="AK234" s="91"/>
      <c r="AM234" s="235"/>
      <c r="AN234" s="236"/>
      <c r="AO234" s="90"/>
      <c r="AP234" s="91"/>
      <c r="AR234" s="106">
        <v>237847091.46000001</v>
      </c>
      <c r="AS234" s="565">
        <v>0.02</v>
      </c>
      <c r="AT234" s="565">
        <v>0.02</v>
      </c>
      <c r="AU234" s="106">
        <v>11977.87</v>
      </c>
      <c r="AV234" s="106">
        <v>425.7</v>
      </c>
      <c r="AW234" s="19"/>
    </row>
    <row r="235" spans="2:49" x14ac:dyDescent="0.25">
      <c r="B235" s="9" t="str">
        <f t="shared" si="31"/>
        <v>8 2025</v>
      </c>
      <c r="C235" s="10">
        <f t="shared" si="33"/>
        <v>45887</v>
      </c>
      <c r="D235" s="10">
        <f t="shared" si="34"/>
        <v>45888</v>
      </c>
      <c r="E235" s="11">
        <f t="shared" si="32"/>
        <v>1</v>
      </c>
      <c r="G235" s="11" t="s">
        <v>7</v>
      </c>
      <c r="H235" s="106">
        <f>H234-200000</f>
        <v>15120000</v>
      </c>
      <c r="I235" s="14">
        <f t="shared" si="36"/>
        <v>1.7500000000000002E-2</v>
      </c>
      <c r="J235" s="183">
        <f t="shared" si="37"/>
        <v>735</v>
      </c>
      <c r="K235" s="13">
        <f t="shared" si="38"/>
        <v>313719.65277777816</v>
      </c>
      <c r="M235" s="11" t="s">
        <v>7</v>
      </c>
      <c r="N235" s="12">
        <f t="shared" si="41"/>
        <v>12000000</v>
      </c>
      <c r="O235" s="97">
        <f t="shared" si="42"/>
        <v>2.1698630136986304E-2</v>
      </c>
      <c r="P235" s="183">
        <f t="shared" si="39"/>
        <v>723.28767123287685</v>
      </c>
      <c r="Q235" s="13">
        <f t="shared" si="43"/>
        <v>42542.465753424709</v>
      </c>
      <c r="R235" s="13">
        <f t="shared" si="40"/>
        <v>139.95433789954348</v>
      </c>
      <c r="T235" s="11"/>
      <c r="U235" s="12"/>
      <c r="V235" s="97"/>
      <c r="W235" s="13"/>
      <c r="X235" s="13"/>
      <c r="Y235" s="13"/>
      <c r="AA235" s="11"/>
      <c r="AB235" s="98"/>
      <c r="AC235" s="97"/>
      <c r="AD235" s="13"/>
      <c r="AE235" s="13"/>
      <c r="AF235" s="13"/>
      <c r="AH235" s="235"/>
      <c r="AI235" s="236"/>
      <c r="AJ235" s="90"/>
      <c r="AK235" s="91"/>
      <c r="AM235" s="235"/>
      <c r="AN235" s="236"/>
      <c r="AO235" s="90"/>
      <c r="AP235" s="91"/>
      <c r="AR235" s="106">
        <v>237652083.55000001</v>
      </c>
      <c r="AS235" s="565">
        <v>0.02</v>
      </c>
      <c r="AT235" s="565">
        <v>0.02</v>
      </c>
      <c r="AU235" s="106">
        <v>16960.240000000002</v>
      </c>
      <c r="AV235" s="106">
        <v>5417.79</v>
      </c>
      <c r="AW235" s="19"/>
    </row>
    <row r="236" spans="2:49" x14ac:dyDescent="0.25">
      <c r="B236" s="9" t="str">
        <f t="shared" si="31"/>
        <v>8 2025</v>
      </c>
      <c r="C236" s="10">
        <f t="shared" si="33"/>
        <v>45888</v>
      </c>
      <c r="D236" s="10">
        <f t="shared" si="34"/>
        <v>45889</v>
      </c>
      <c r="E236" s="11">
        <f t="shared" si="32"/>
        <v>1</v>
      </c>
      <c r="G236" s="11" t="s">
        <v>7</v>
      </c>
      <c r="H236" s="12">
        <f t="shared" si="35"/>
        <v>15120000</v>
      </c>
      <c r="I236" s="14">
        <f t="shared" si="36"/>
        <v>1.7500000000000002E-2</v>
      </c>
      <c r="J236" s="183">
        <f t="shared" si="37"/>
        <v>735</v>
      </c>
      <c r="K236" s="13">
        <f t="shared" si="38"/>
        <v>314454.65277777816</v>
      </c>
      <c r="M236" s="11" t="s">
        <v>7</v>
      </c>
      <c r="N236" s="12">
        <f t="shared" si="41"/>
        <v>12000000</v>
      </c>
      <c r="O236" s="97">
        <f t="shared" si="42"/>
        <v>2.1698630136986304E-2</v>
      </c>
      <c r="P236" s="183">
        <f t="shared" si="39"/>
        <v>723.28767123287685</v>
      </c>
      <c r="Q236" s="13">
        <f t="shared" si="43"/>
        <v>43265.753424657589</v>
      </c>
      <c r="R236" s="13">
        <f t="shared" si="40"/>
        <v>139.95433789954348</v>
      </c>
      <c r="T236" s="11"/>
      <c r="U236" s="12"/>
      <c r="V236" s="97"/>
      <c r="W236" s="13"/>
      <c r="X236" s="13"/>
      <c r="Y236" s="13"/>
      <c r="AA236" s="11"/>
      <c r="AB236" s="98"/>
      <c r="AC236" s="97"/>
      <c r="AD236" s="13"/>
      <c r="AE236" s="13"/>
      <c r="AF236" s="13"/>
      <c r="AH236" s="235"/>
      <c r="AI236" s="236"/>
      <c r="AJ236" s="90"/>
      <c r="AK236" s="91"/>
      <c r="AM236" s="235"/>
      <c r="AN236" s="236"/>
      <c r="AO236" s="90"/>
      <c r="AP236" s="91"/>
      <c r="AR236" s="106">
        <v>237653331.56999999</v>
      </c>
      <c r="AS236" s="565">
        <v>0.02</v>
      </c>
      <c r="AT236" s="565">
        <v>0.02</v>
      </c>
      <c r="AU236" s="106">
        <v>13216.17</v>
      </c>
      <c r="AV236" s="106">
        <v>1673.73</v>
      </c>
      <c r="AW236" s="19"/>
    </row>
    <row r="237" spans="2:49" x14ac:dyDescent="0.25">
      <c r="B237" s="9" t="str">
        <f t="shared" si="31"/>
        <v>8 2025</v>
      </c>
      <c r="C237" s="10">
        <f t="shared" si="33"/>
        <v>45889</v>
      </c>
      <c r="D237" s="10">
        <f t="shared" si="34"/>
        <v>45890</v>
      </c>
      <c r="E237" s="11">
        <f t="shared" si="32"/>
        <v>1</v>
      </c>
      <c r="G237" s="11" t="s">
        <v>7</v>
      </c>
      <c r="H237" s="12">
        <f t="shared" si="35"/>
        <v>15120000</v>
      </c>
      <c r="I237" s="14">
        <f t="shared" si="36"/>
        <v>1.7500000000000002E-2</v>
      </c>
      <c r="J237" s="183">
        <f t="shared" si="37"/>
        <v>735</v>
      </c>
      <c r="K237" s="13">
        <f t="shared" si="38"/>
        <v>315189.65277777816</v>
      </c>
      <c r="M237" s="11" t="s">
        <v>7</v>
      </c>
      <c r="N237" s="12">
        <f t="shared" si="41"/>
        <v>12000000</v>
      </c>
      <c r="O237" s="97">
        <f t="shared" si="42"/>
        <v>2.1698630136986304E-2</v>
      </c>
      <c r="P237" s="183">
        <f t="shared" si="39"/>
        <v>723.28767123287685</v>
      </c>
      <c r="Q237" s="13">
        <f t="shared" si="43"/>
        <v>43989.041095890469</v>
      </c>
      <c r="R237" s="13">
        <f t="shared" si="40"/>
        <v>139.95433789954348</v>
      </c>
      <c r="T237" s="11"/>
      <c r="U237" s="12"/>
      <c r="V237" s="97"/>
      <c r="W237" s="13"/>
      <c r="X237" s="13"/>
      <c r="Y237" s="13"/>
      <c r="AA237" s="11"/>
      <c r="AB237" s="98"/>
      <c r="AC237" s="97"/>
      <c r="AD237" s="13"/>
      <c r="AE237" s="13"/>
      <c r="AF237" s="13"/>
      <c r="AH237" s="235"/>
      <c r="AI237" s="236"/>
      <c r="AJ237" s="90"/>
      <c r="AK237" s="91"/>
      <c r="AM237" s="235"/>
      <c r="AN237" s="236"/>
      <c r="AO237" s="90"/>
      <c r="AP237" s="91"/>
      <c r="AR237" s="106">
        <v>237654579.59</v>
      </c>
      <c r="AS237" s="565">
        <v>0.02</v>
      </c>
      <c r="AT237" s="565">
        <v>0.02</v>
      </c>
      <c r="AU237" s="106">
        <v>13216.17</v>
      </c>
      <c r="AV237" s="106">
        <v>1673.73</v>
      </c>
      <c r="AW237" s="19"/>
    </row>
    <row r="238" spans="2:49" x14ac:dyDescent="0.25">
      <c r="B238" s="9" t="str">
        <f t="shared" si="31"/>
        <v>8 2025</v>
      </c>
      <c r="C238" s="10">
        <f t="shared" si="33"/>
        <v>45890</v>
      </c>
      <c r="D238" s="10">
        <f t="shared" si="34"/>
        <v>45891</v>
      </c>
      <c r="E238" s="11">
        <f t="shared" si="32"/>
        <v>1</v>
      </c>
      <c r="G238" s="11" t="s">
        <v>7</v>
      </c>
      <c r="H238" s="12">
        <f t="shared" si="35"/>
        <v>15120000</v>
      </c>
      <c r="I238" s="14">
        <f t="shared" si="36"/>
        <v>1.7500000000000002E-2</v>
      </c>
      <c r="J238" s="183">
        <f t="shared" si="37"/>
        <v>735</v>
      </c>
      <c r="K238" s="13">
        <f t="shared" si="38"/>
        <v>315924.65277777816</v>
      </c>
      <c r="M238" s="11" t="s">
        <v>7</v>
      </c>
      <c r="N238" s="12">
        <f t="shared" si="41"/>
        <v>12000000</v>
      </c>
      <c r="O238" s="97">
        <f t="shared" si="42"/>
        <v>2.1698630136986304E-2</v>
      </c>
      <c r="P238" s="183">
        <f t="shared" si="39"/>
        <v>723.28767123287685</v>
      </c>
      <c r="Q238" s="13">
        <f t="shared" si="43"/>
        <v>44712.328767123348</v>
      </c>
      <c r="R238" s="13">
        <f t="shared" si="40"/>
        <v>139.95433789954348</v>
      </c>
      <c r="T238" s="11"/>
      <c r="U238" s="12"/>
      <c r="V238" s="97"/>
      <c r="W238" s="13"/>
      <c r="X238" s="13"/>
      <c r="Y238" s="13"/>
      <c r="AA238" s="11"/>
      <c r="AB238" s="98"/>
      <c r="AC238" s="97"/>
      <c r="AD238" s="13"/>
      <c r="AE238" s="13"/>
      <c r="AF238" s="13"/>
      <c r="AH238" s="235"/>
      <c r="AI238" s="236"/>
      <c r="AJ238" s="90"/>
      <c r="AK238" s="91"/>
      <c r="AM238" s="235"/>
      <c r="AN238" s="236"/>
      <c r="AO238" s="90"/>
      <c r="AP238" s="91"/>
      <c r="AR238" s="106">
        <v>237655847.74000001</v>
      </c>
      <c r="AS238" s="565">
        <v>0.02</v>
      </c>
      <c r="AT238" s="565">
        <v>0.02</v>
      </c>
      <c r="AU238" s="106">
        <v>13236.3</v>
      </c>
      <c r="AV238" s="106">
        <v>1693.86</v>
      </c>
      <c r="AW238" s="19"/>
    </row>
    <row r="239" spans="2:49" x14ac:dyDescent="0.25">
      <c r="B239" s="9" t="str">
        <f t="shared" si="31"/>
        <v>8 2025</v>
      </c>
      <c r="C239" s="10">
        <f t="shared" si="33"/>
        <v>45891</v>
      </c>
      <c r="D239" s="10">
        <f t="shared" si="34"/>
        <v>45892</v>
      </c>
      <c r="E239" s="11">
        <f t="shared" si="32"/>
        <v>1</v>
      </c>
      <c r="G239" s="11" t="s">
        <v>7</v>
      </c>
      <c r="H239" s="12">
        <f t="shared" si="35"/>
        <v>15120000</v>
      </c>
      <c r="I239" s="14">
        <f t="shared" si="36"/>
        <v>1.7500000000000002E-2</v>
      </c>
      <c r="J239" s="183">
        <f t="shared" si="37"/>
        <v>735</v>
      </c>
      <c r="K239" s="13">
        <f t="shared" si="38"/>
        <v>316659.65277777816</v>
      </c>
      <c r="M239" s="11" t="s">
        <v>7</v>
      </c>
      <c r="N239" s="12">
        <f t="shared" si="41"/>
        <v>12000000</v>
      </c>
      <c r="O239" s="97">
        <f t="shared" si="42"/>
        <v>2.1698630136986304E-2</v>
      </c>
      <c r="P239" s="183">
        <f t="shared" si="39"/>
        <v>723.28767123287685</v>
      </c>
      <c r="Q239" s="13">
        <f t="shared" si="43"/>
        <v>45435.616438356228</v>
      </c>
      <c r="R239" s="13">
        <f t="shared" si="40"/>
        <v>139.95433789954348</v>
      </c>
      <c r="T239" s="11"/>
      <c r="U239" s="12"/>
      <c r="V239" s="97"/>
      <c r="W239" s="13"/>
      <c r="X239" s="13"/>
      <c r="Y239" s="13"/>
      <c r="AA239" s="11"/>
      <c r="AB239" s="98"/>
      <c r="AC239" s="97"/>
      <c r="AD239" s="13"/>
      <c r="AE239" s="13"/>
      <c r="AF239" s="13"/>
      <c r="AH239" s="235"/>
      <c r="AI239" s="236"/>
      <c r="AJ239" s="90"/>
      <c r="AK239" s="91"/>
      <c r="AM239" s="235"/>
      <c r="AN239" s="236"/>
      <c r="AO239" s="90"/>
      <c r="AP239" s="91"/>
      <c r="AR239" s="106">
        <v>237657095.77000001</v>
      </c>
      <c r="AS239" s="565">
        <v>0.02</v>
      </c>
      <c r="AT239" s="565">
        <v>0.02</v>
      </c>
      <c r="AU239" s="106">
        <v>13216.17</v>
      </c>
      <c r="AV239" s="106">
        <v>1673.73</v>
      </c>
      <c r="AW239" s="19"/>
    </row>
    <row r="240" spans="2:49" x14ac:dyDescent="0.25">
      <c r="B240" s="9" t="str">
        <f t="shared" si="31"/>
        <v>8 2025</v>
      </c>
      <c r="C240" s="10">
        <f t="shared" si="33"/>
        <v>45892</v>
      </c>
      <c r="D240" s="10">
        <f t="shared" si="34"/>
        <v>45893</v>
      </c>
      <c r="E240" s="11">
        <f t="shared" si="32"/>
        <v>1</v>
      </c>
      <c r="G240" s="11" t="s">
        <v>7</v>
      </c>
      <c r="H240" s="12">
        <f t="shared" si="35"/>
        <v>15120000</v>
      </c>
      <c r="I240" s="14">
        <f t="shared" si="36"/>
        <v>1.7500000000000002E-2</v>
      </c>
      <c r="J240" s="183">
        <f t="shared" si="37"/>
        <v>735</v>
      </c>
      <c r="K240" s="13">
        <f t="shared" si="38"/>
        <v>317394.65277777816</v>
      </c>
      <c r="M240" s="11" t="s">
        <v>7</v>
      </c>
      <c r="N240" s="12">
        <f t="shared" si="41"/>
        <v>12000000</v>
      </c>
      <c r="O240" s="97">
        <f t="shared" si="42"/>
        <v>2.1698630136986304E-2</v>
      </c>
      <c r="P240" s="183">
        <f t="shared" si="39"/>
        <v>723.28767123287685</v>
      </c>
      <c r="Q240" s="13">
        <f t="shared" si="43"/>
        <v>46158.904109589108</v>
      </c>
      <c r="R240" s="13">
        <f t="shared" si="40"/>
        <v>139.95433789954348</v>
      </c>
      <c r="T240" s="11"/>
      <c r="U240" s="12"/>
      <c r="V240" s="97"/>
      <c r="W240" s="13"/>
      <c r="X240" s="13"/>
      <c r="Y240" s="13"/>
      <c r="AA240" s="11"/>
      <c r="AB240" s="98"/>
      <c r="AC240" s="97"/>
      <c r="AD240" s="13"/>
      <c r="AE240" s="13"/>
      <c r="AF240" s="13"/>
      <c r="AH240" s="235"/>
      <c r="AI240" s="236"/>
      <c r="AJ240" s="90"/>
      <c r="AK240" s="91"/>
      <c r="AM240" s="235"/>
      <c r="AN240" s="236"/>
      <c r="AO240" s="90"/>
      <c r="AP240" s="91"/>
      <c r="AR240" s="106">
        <v>237657095.77000001</v>
      </c>
      <c r="AS240" s="565">
        <v>0.02</v>
      </c>
      <c r="AT240" s="565">
        <v>0.02</v>
      </c>
      <c r="AU240" s="106">
        <v>11968.15</v>
      </c>
      <c r="AV240" s="106">
        <v>425.7</v>
      </c>
      <c r="AW240" s="19"/>
    </row>
    <row r="241" spans="2:49" x14ac:dyDescent="0.25">
      <c r="B241" s="9" t="str">
        <f t="shared" si="31"/>
        <v>8 2025</v>
      </c>
      <c r="C241" s="10">
        <f t="shared" si="33"/>
        <v>45893</v>
      </c>
      <c r="D241" s="10">
        <f t="shared" si="34"/>
        <v>45894</v>
      </c>
      <c r="E241" s="11">
        <f t="shared" si="32"/>
        <v>1</v>
      </c>
      <c r="G241" s="11" t="s">
        <v>7</v>
      </c>
      <c r="H241" s="12">
        <f t="shared" si="35"/>
        <v>15120000</v>
      </c>
      <c r="I241" s="14">
        <f t="shared" si="36"/>
        <v>1.7500000000000002E-2</v>
      </c>
      <c r="J241" s="183">
        <f t="shared" si="37"/>
        <v>735</v>
      </c>
      <c r="K241" s="13">
        <f t="shared" si="38"/>
        <v>318129.65277777816</v>
      </c>
      <c r="M241" s="11" t="s">
        <v>7</v>
      </c>
      <c r="N241" s="12">
        <f t="shared" si="41"/>
        <v>12000000</v>
      </c>
      <c r="O241" s="97">
        <f t="shared" si="42"/>
        <v>2.1698630136986304E-2</v>
      </c>
      <c r="P241" s="183">
        <f t="shared" si="39"/>
        <v>723.28767123287685</v>
      </c>
      <c r="Q241" s="13">
        <f t="shared" si="43"/>
        <v>46882.191780821988</v>
      </c>
      <c r="R241" s="13">
        <f t="shared" si="40"/>
        <v>139.95433789954348</v>
      </c>
      <c r="T241" s="11"/>
      <c r="U241" s="12"/>
      <c r="V241" s="97"/>
      <c r="W241" s="13"/>
      <c r="X241" s="13"/>
      <c r="Y241" s="13"/>
      <c r="AA241" s="11"/>
      <c r="AB241" s="98"/>
      <c r="AC241" s="97"/>
      <c r="AD241" s="13"/>
      <c r="AE241" s="13"/>
      <c r="AF241" s="13"/>
      <c r="AH241" s="235"/>
      <c r="AI241" s="236"/>
      <c r="AJ241" s="90"/>
      <c r="AK241" s="91"/>
      <c r="AM241" s="235"/>
      <c r="AN241" s="236"/>
      <c r="AO241" s="90"/>
      <c r="AP241" s="91"/>
      <c r="AR241" s="106">
        <v>237657095.77000001</v>
      </c>
      <c r="AS241" s="565">
        <v>0.02</v>
      </c>
      <c r="AT241" s="565">
        <v>0.02</v>
      </c>
      <c r="AU241" s="106">
        <v>11968.15</v>
      </c>
      <c r="AV241" s="106">
        <v>425.7</v>
      </c>
      <c r="AW241" s="19"/>
    </row>
    <row r="242" spans="2:49" x14ac:dyDescent="0.25">
      <c r="B242" s="9" t="str">
        <f t="shared" si="31"/>
        <v>8 2025</v>
      </c>
      <c r="C242" s="10">
        <f t="shared" si="33"/>
        <v>45894</v>
      </c>
      <c r="D242" s="10">
        <f t="shared" si="34"/>
        <v>45895</v>
      </c>
      <c r="E242" s="11">
        <f t="shared" si="32"/>
        <v>1</v>
      </c>
      <c r="G242" s="11" t="s">
        <v>7</v>
      </c>
      <c r="H242" s="12">
        <f t="shared" si="35"/>
        <v>15120000</v>
      </c>
      <c r="I242" s="14">
        <f t="shared" si="36"/>
        <v>1.7500000000000002E-2</v>
      </c>
      <c r="J242" s="183">
        <f t="shared" si="37"/>
        <v>735</v>
      </c>
      <c r="K242" s="13">
        <f t="shared" si="38"/>
        <v>318864.65277777816</v>
      </c>
      <c r="M242" s="11" t="s">
        <v>7</v>
      </c>
      <c r="N242" s="12">
        <f t="shared" si="41"/>
        <v>12000000</v>
      </c>
      <c r="O242" s="97">
        <f t="shared" si="42"/>
        <v>2.1698630136986304E-2</v>
      </c>
      <c r="P242" s="183">
        <f t="shared" si="39"/>
        <v>723.28767123287685</v>
      </c>
      <c r="Q242" s="13">
        <f t="shared" si="43"/>
        <v>47605.479452054868</v>
      </c>
      <c r="R242" s="13">
        <f t="shared" si="40"/>
        <v>139.95433789954348</v>
      </c>
      <c r="T242" s="11"/>
      <c r="U242" s="12"/>
      <c r="V242" s="97"/>
      <c r="W242" s="13"/>
      <c r="X242" s="13"/>
      <c r="Y242" s="13"/>
      <c r="AA242" s="11"/>
      <c r="AB242" s="98"/>
      <c r="AC242" s="97"/>
      <c r="AD242" s="13"/>
      <c r="AE242" s="13"/>
      <c r="AF242" s="13"/>
      <c r="AH242" s="235"/>
      <c r="AI242" s="236"/>
      <c r="AJ242" s="90"/>
      <c r="AK242" s="91"/>
      <c r="AM242" s="235"/>
      <c r="AN242" s="236"/>
      <c r="AO242" s="90"/>
      <c r="AP242" s="91"/>
      <c r="AR242" s="106">
        <v>237660859.96000001</v>
      </c>
      <c r="AS242" s="565">
        <v>0.02</v>
      </c>
      <c r="AT242" s="565">
        <v>0.02</v>
      </c>
      <c r="AU242" s="106">
        <v>15732.35</v>
      </c>
      <c r="AV242" s="106">
        <v>4189.8999999999996</v>
      </c>
      <c r="AW242" s="19"/>
    </row>
    <row r="243" spans="2:49" x14ac:dyDescent="0.25">
      <c r="B243" s="9" t="str">
        <f t="shared" si="31"/>
        <v>8 2025</v>
      </c>
      <c r="C243" s="10">
        <f t="shared" si="33"/>
        <v>45895</v>
      </c>
      <c r="D243" s="10">
        <f t="shared" si="34"/>
        <v>45896</v>
      </c>
      <c r="E243" s="11">
        <f t="shared" si="32"/>
        <v>1</v>
      </c>
      <c r="G243" s="11" t="s">
        <v>7</v>
      </c>
      <c r="H243" s="106">
        <f>H242-2070000</f>
        <v>13050000</v>
      </c>
      <c r="I243" s="14">
        <f t="shared" si="36"/>
        <v>1.7500000000000002E-2</v>
      </c>
      <c r="J243" s="183">
        <f t="shared" si="37"/>
        <v>634.37500000000011</v>
      </c>
      <c r="K243" s="13">
        <f t="shared" si="38"/>
        <v>319499.02777777816</v>
      </c>
      <c r="M243" s="11" t="s">
        <v>7</v>
      </c>
      <c r="N243" s="12">
        <f t="shared" si="41"/>
        <v>12000000</v>
      </c>
      <c r="O243" s="97">
        <f t="shared" si="42"/>
        <v>2.1698630136986304E-2</v>
      </c>
      <c r="P243" s="183">
        <f t="shared" si="39"/>
        <v>723.28767123287685</v>
      </c>
      <c r="Q243" s="13">
        <f t="shared" si="43"/>
        <v>48328.767123287747</v>
      </c>
      <c r="R243" s="13">
        <f t="shared" si="40"/>
        <v>139.95433789954348</v>
      </c>
      <c r="T243" s="11"/>
      <c r="U243" s="12"/>
      <c r="V243" s="97"/>
      <c r="W243" s="13"/>
      <c r="X243" s="13"/>
      <c r="Y243" s="13"/>
      <c r="AA243" s="11"/>
      <c r="AB243" s="98"/>
      <c r="AC243" s="97"/>
      <c r="AD243" s="13"/>
      <c r="AE243" s="13"/>
      <c r="AF243" s="13"/>
      <c r="AH243" s="235"/>
      <c r="AI243" s="236"/>
      <c r="AJ243" s="90"/>
      <c r="AK243" s="91"/>
      <c r="AM243" s="235"/>
      <c r="AN243" s="236"/>
      <c r="AO243" s="90"/>
      <c r="AP243" s="91"/>
      <c r="AR243" s="106">
        <v>235592107.99000001</v>
      </c>
      <c r="AS243" s="565">
        <v>0.02</v>
      </c>
      <c r="AT243" s="565">
        <v>2.01E-2</v>
      </c>
      <c r="AU243" s="106">
        <v>13115.55</v>
      </c>
      <c r="AV243" s="106">
        <v>1673.73</v>
      </c>
      <c r="AW243" s="19"/>
    </row>
    <row r="244" spans="2:49" x14ac:dyDescent="0.25">
      <c r="B244" s="9" t="str">
        <f t="shared" si="31"/>
        <v>8 2025</v>
      </c>
      <c r="C244" s="10">
        <f t="shared" si="33"/>
        <v>45896</v>
      </c>
      <c r="D244" s="10">
        <f t="shared" si="34"/>
        <v>45897</v>
      </c>
      <c r="E244" s="11">
        <f t="shared" si="32"/>
        <v>1</v>
      </c>
      <c r="G244" s="11" t="s">
        <v>7</v>
      </c>
      <c r="H244" s="12">
        <f t="shared" si="35"/>
        <v>13050000</v>
      </c>
      <c r="I244" s="14">
        <f t="shared" si="36"/>
        <v>1.7500000000000002E-2</v>
      </c>
      <c r="J244" s="183">
        <f t="shared" si="37"/>
        <v>634.37500000000011</v>
      </c>
      <c r="K244" s="13">
        <f t="shared" si="38"/>
        <v>320133.40277777816</v>
      </c>
      <c r="M244" s="11" t="s">
        <v>7</v>
      </c>
      <c r="N244" s="12">
        <f t="shared" si="41"/>
        <v>12000000</v>
      </c>
      <c r="O244" s="97">
        <f t="shared" si="42"/>
        <v>2.1698630136986304E-2</v>
      </c>
      <c r="P244" s="183">
        <f t="shared" si="39"/>
        <v>723.28767123287685</v>
      </c>
      <c r="Q244" s="13">
        <f t="shared" si="43"/>
        <v>49052.054794520627</v>
      </c>
      <c r="R244" s="13">
        <f t="shared" si="40"/>
        <v>139.95433789954348</v>
      </c>
      <c r="T244" s="11"/>
      <c r="U244" s="12"/>
      <c r="V244" s="97"/>
      <c r="W244" s="13"/>
      <c r="X244" s="13"/>
      <c r="Y244" s="13"/>
      <c r="AA244" s="11"/>
      <c r="AB244" s="98"/>
      <c r="AC244" s="97"/>
      <c r="AD244" s="13"/>
      <c r="AE244" s="13"/>
      <c r="AF244" s="13"/>
      <c r="AH244" s="235"/>
      <c r="AI244" s="236"/>
      <c r="AJ244" s="90"/>
      <c r="AK244" s="91"/>
      <c r="AM244" s="235"/>
      <c r="AN244" s="236"/>
      <c r="AO244" s="90"/>
      <c r="AP244" s="91"/>
      <c r="AR244" s="106">
        <v>235592107.99000001</v>
      </c>
      <c r="AS244" s="565">
        <v>0.02</v>
      </c>
      <c r="AT244" s="565">
        <v>2.01E-2</v>
      </c>
      <c r="AU244" s="106">
        <v>11867.53</v>
      </c>
      <c r="AV244" s="106">
        <v>425.7</v>
      </c>
      <c r="AW244" s="19"/>
    </row>
    <row r="245" spans="2:49" x14ac:dyDescent="0.25">
      <c r="B245" s="9" t="str">
        <f t="shared" si="31"/>
        <v>8 2025</v>
      </c>
      <c r="C245" s="10">
        <f t="shared" si="33"/>
        <v>45897</v>
      </c>
      <c r="D245" s="10">
        <f t="shared" si="34"/>
        <v>45898</v>
      </c>
      <c r="E245" s="11">
        <f t="shared" si="32"/>
        <v>1</v>
      </c>
      <c r="G245" s="11" t="s">
        <v>7</v>
      </c>
      <c r="H245" s="106">
        <f>H244+2660000</f>
        <v>15710000</v>
      </c>
      <c r="I245" s="14">
        <f t="shared" si="36"/>
        <v>1.7500000000000002E-2</v>
      </c>
      <c r="J245" s="183">
        <f t="shared" si="37"/>
        <v>763.68055555555554</v>
      </c>
      <c r="K245" s="13">
        <f t="shared" si="38"/>
        <v>320897.08333333372</v>
      </c>
      <c r="M245" s="11" t="s">
        <v>7</v>
      </c>
      <c r="N245" s="12">
        <f t="shared" si="41"/>
        <v>12000000</v>
      </c>
      <c r="O245" s="97">
        <f t="shared" si="42"/>
        <v>2.1698630136986304E-2</v>
      </c>
      <c r="P245" s="183">
        <f t="shared" si="39"/>
        <v>723.28767123287685</v>
      </c>
      <c r="Q245" s="13">
        <f t="shared" si="43"/>
        <v>49775.342465753507</v>
      </c>
      <c r="R245" s="13">
        <f t="shared" si="40"/>
        <v>139.95433789954348</v>
      </c>
      <c r="T245" s="11"/>
      <c r="U245" s="12"/>
      <c r="V245" s="97"/>
      <c r="W245" s="13"/>
      <c r="X245" s="13"/>
      <c r="Y245" s="13"/>
      <c r="AA245" s="11"/>
      <c r="AB245" s="98"/>
      <c r="AC245" s="97"/>
      <c r="AD245" s="13"/>
      <c r="AE245" s="13"/>
      <c r="AF245" s="13"/>
      <c r="AH245" s="235"/>
      <c r="AI245" s="236"/>
      <c r="AJ245" s="90"/>
      <c r="AK245" s="91"/>
      <c r="AM245" s="235"/>
      <c r="AN245" s="236"/>
      <c r="AO245" s="90"/>
      <c r="AP245" s="91"/>
      <c r="AR245" s="106">
        <v>238254604.03</v>
      </c>
      <c r="AS245" s="565">
        <v>0.02</v>
      </c>
      <c r="AT245" s="565">
        <v>0.02</v>
      </c>
      <c r="AU245" s="106">
        <v>14492.88</v>
      </c>
      <c r="AV245" s="106">
        <v>2921.75</v>
      </c>
      <c r="AW245" s="19"/>
    </row>
    <row r="246" spans="2:49" x14ac:dyDescent="0.25">
      <c r="B246" s="9" t="str">
        <f t="shared" si="31"/>
        <v>8 2025</v>
      </c>
      <c r="C246" s="10">
        <f t="shared" si="33"/>
        <v>45898</v>
      </c>
      <c r="D246" s="10">
        <f t="shared" si="34"/>
        <v>45899</v>
      </c>
      <c r="E246" s="11">
        <f t="shared" si="32"/>
        <v>1</v>
      </c>
      <c r="G246" s="11" t="s">
        <v>7</v>
      </c>
      <c r="H246" s="106">
        <f>H245+90000</f>
        <v>15800000</v>
      </c>
      <c r="I246" s="14">
        <f t="shared" si="36"/>
        <v>1.7500000000000002E-2</v>
      </c>
      <c r="J246" s="112">
        <f t="shared" si="37"/>
        <v>768.05555555555554</v>
      </c>
      <c r="K246" s="13">
        <f t="shared" si="38"/>
        <v>321665.13888888928</v>
      </c>
      <c r="M246" s="11" t="s">
        <v>7</v>
      </c>
      <c r="N246" s="12">
        <f t="shared" si="41"/>
        <v>12000000</v>
      </c>
      <c r="O246" s="97">
        <f t="shared" si="42"/>
        <v>2.1698630136986304E-2</v>
      </c>
      <c r="P246" s="183">
        <f t="shared" si="39"/>
        <v>723.28767123287685</v>
      </c>
      <c r="Q246" s="13">
        <f t="shared" si="43"/>
        <v>50498.630136986387</v>
      </c>
      <c r="R246" s="13">
        <f t="shared" si="40"/>
        <v>139.95433789954348</v>
      </c>
      <c r="T246" s="11"/>
      <c r="U246" s="12"/>
      <c r="V246" s="97"/>
      <c r="W246" s="13"/>
      <c r="X246" s="13"/>
      <c r="Y246" s="13"/>
      <c r="AA246" s="11"/>
      <c r="AB246" s="98"/>
      <c r="AC246" s="97"/>
      <c r="AD246" s="13"/>
      <c r="AE246" s="13"/>
      <c r="AF246" s="13"/>
      <c r="AH246" s="235"/>
      <c r="AI246" s="236"/>
      <c r="AJ246" s="90"/>
      <c r="AK246" s="91"/>
      <c r="AM246" s="235"/>
      <c r="AN246" s="236"/>
      <c r="AO246" s="90"/>
      <c r="AP246" s="91"/>
      <c r="AR246" s="106">
        <v>238345872.18000001</v>
      </c>
      <c r="AS246" s="565">
        <v>0.02</v>
      </c>
      <c r="AT246" s="565">
        <v>0.02</v>
      </c>
      <c r="AU246" s="106">
        <v>13269.36</v>
      </c>
      <c r="AV246" s="106">
        <v>1693.86</v>
      </c>
      <c r="AW246" s="19"/>
    </row>
    <row r="247" spans="2:49" x14ac:dyDescent="0.25">
      <c r="B247" s="9" t="str">
        <f t="shared" si="31"/>
        <v>8 2025</v>
      </c>
      <c r="C247" s="142">
        <f t="shared" si="33"/>
        <v>45899</v>
      </c>
      <c r="D247" s="142">
        <f t="shared" si="34"/>
        <v>45900</v>
      </c>
      <c r="E247" s="143">
        <f t="shared" si="32"/>
        <v>1</v>
      </c>
      <c r="F247" s="17"/>
      <c r="G247" s="143" t="s">
        <v>7</v>
      </c>
      <c r="H247" s="144">
        <f t="shared" si="35"/>
        <v>15800000</v>
      </c>
      <c r="I247" s="145">
        <f t="shared" si="36"/>
        <v>1.7500000000000002E-2</v>
      </c>
      <c r="J247" s="321">
        <f t="shared" si="37"/>
        <v>768.05555555555554</v>
      </c>
      <c r="K247" s="146">
        <f t="shared" si="38"/>
        <v>322433.19444444485</v>
      </c>
      <c r="L247" s="17"/>
      <c r="M247" s="143" t="s">
        <v>7</v>
      </c>
      <c r="N247" s="144">
        <f t="shared" si="41"/>
        <v>12000000</v>
      </c>
      <c r="O247" s="145">
        <f t="shared" si="42"/>
        <v>2.1698630136986304E-2</v>
      </c>
      <c r="P247" s="298">
        <f t="shared" si="39"/>
        <v>723.28767123287685</v>
      </c>
      <c r="Q247" s="146">
        <f t="shared" si="43"/>
        <v>51221.917808219267</v>
      </c>
      <c r="R247" s="146">
        <f t="shared" si="40"/>
        <v>139.95433789954348</v>
      </c>
      <c r="S247" s="17"/>
      <c r="T247" s="11"/>
      <c r="U247" s="12"/>
      <c r="V247" s="97"/>
      <c r="W247" s="13"/>
      <c r="X247" s="13"/>
      <c r="Y247" s="13"/>
      <c r="Z247" s="17"/>
      <c r="AA247" s="143"/>
      <c r="AB247" s="144"/>
      <c r="AC247" s="145"/>
      <c r="AD247" s="146"/>
      <c r="AE247" s="146"/>
      <c r="AF247" s="146"/>
      <c r="AG247" s="141"/>
      <c r="AH247" s="234"/>
      <c r="AI247" s="236"/>
      <c r="AJ247" s="90"/>
      <c r="AK247" s="91"/>
      <c r="AM247" s="234"/>
      <c r="AN247" s="236"/>
      <c r="AO247" s="90"/>
      <c r="AP247" s="91"/>
      <c r="AR247" s="106">
        <v>238345872.18000001</v>
      </c>
      <c r="AS247" s="565">
        <v>0.02</v>
      </c>
      <c r="AT247" s="565">
        <v>0.02</v>
      </c>
      <c r="AU247" s="106">
        <v>12001.21</v>
      </c>
      <c r="AV247" s="106">
        <v>425.7</v>
      </c>
      <c r="AW247" s="19"/>
    </row>
    <row r="248" spans="2:49" x14ac:dyDescent="0.25">
      <c r="B248" s="9" t="str">
        <f t="shared" si="31"/>
        <v>9 2025</v>
      </c>
      <c r="C248" s="10">
        <f t="shared" si="33"/>
        <v>45900</v>
      </c>
      <c r="D248" s="10">
        <f t="shared" si="34"/>
        <v>45901</v>
      </c>
      <c r="E248" s="11">
        <f t="shared" si="32"/>
        <v>1</v>
      </c>
      <c r="G248" s="11" t="s">
        <v>7</v>
      </c>
      <c r="H248" s="12">
        <f t="shared" si="35"/>
        <v>15800000</v>
      </c>
      <c r="I248" s="14">
        <f t="shared" si="36"/>
        <v>1.7500000000000002E-2</v>
      </c>
      <c r="J248" s="112">
        <f t="shared" si="37"/>
        <v>768.05555555555554</v>
      </c>
      <c r="K248" s="13">
        <f t="shared" si="38"/>
        <v>323201.25000000041</v>
      </c>
      <c r="M248" s="11" t="s">
        <v>7</v>
      </c>
      <c r="N248" s="12">
        <f t="shared" si="41"/>
        <v>12000000</v>
      </c>
      <c r="O248" s="97">
        <f t="shared" si="42"/>
        <v>2.1698630136986304E-2</v>
      </c>
      <c r="P248" s="183">
        <f t="shared" si="39"/>
        <v>723.28767123287685</v>
      </c>
      <c r="Q248" s="13">
        <f t="shared" si="43"/>
        <v>51945.205479452146</v>
      </c>
      <c r="R248" s="13">
        <f t="shared" si="40"/>
        <v>139.95433789954348</v>
      </c>
      <c r="T248" s="11"/>
      <c r="U248" s="12"/>
      <c r="V248" s="97"/>
      <c r="W248" s="13"/>
      <c r="X248" s="13"/>
      <c r="Y248" s="13"/>
      <c r="AA248" s="11"/>
      <c r="AB248" s="98"/>
      <c r="AC248" s="97"/>
      <c r="AD248" s="13"/>
      <c r="AE248" s="13"/>
      <c r="AF248" s="13"/>
      <c r="AH248" s="235"/>
      <c r="AI248" s="236"/>
      <c r="AJ248" s="90"/>
      <c r="AK248" s="91"/>
      <c r="AM248" s="235"/>
      <c r="AN248" s="236"/>
      <c r="AO248" s="90"/>
      <c r="AP248" s="91"/>
      <c r="AR248" s="106">
        <v>238345872.18000001</v>
      </c>
      <c r="AS248" s="565">
        <v>0.02</v>
      </c>
      <c r="AT248" s="565">
        <v>0.02</v>
      </c>
      <c r="AU248" s="106">
        <v>12001.21</v>
      </c>
      <c r="AV248" s="106">
        <v>425.7</v>
      </c>
      <c r="AW248" s="19"/>
    </row>
    <row r="249" spans="2:49" x14ac:dyDescent="0.25">
      <c r="B249" s="9" t="str">
        <f t="shared" si="31"/>
        <v>9 2025</v>
      </c>
      <c r="C249" s="10">
        <f t="shared" si="33"/>
        <v>45901</v>
      </c>
      <c r="D249" s="10">
        <f t="shared" si="34"/>
        <v>45902</v>
      </c>
      <c r="E249" s="11">
        <f t="shared" si="32"/>
        <v>1</v>
      </c>
      <c r="G249" s="11" t="s">
        <v>7</v>
      </c>
      <c r="H249" s="106">
        <f>H248-2130000</f>
        <v>13670000</v>
      </c>
      <c r="I249" s="14">
        <f t="shared" si="36"/>
        <v>1.7500000000000002E-2</v>
      </c>
      <c r="J249" s="112">
        <f t="shared" si="37"/>
        <v>664.51388888888891</v>
      </c>
      <c r="K249" s="13">
        <f t="shared" si="38"/>
        <v>323865.76388888928</v>
      </c>
      <c r="M249" s="11" t="s">
        <v>7</v>
      </c>
      <c r="N249" s="12">
        <f t="shared" si="41"/>
        <v>12000000</v>
      </c>
      <c r="O249" s="97">
        <f t="shared" si="42"/>
        <v>2.1698630136986304E-2</v>
      </c>
      <c r="P249" s="183">
        <f t="shared" si="39"/>
        <v>723.28767123287685</v>
      </c>
      <c r="Q249" s="13">
        <f t="shared" si="43"/>
        <v>52668.493150685026</v>
      </c>
      <c r="R249" s="13">
        <f t="shared" si="40"/>
        <v>139.95433789954348</v>
      </c>
      <c r="T249" s="11"/>
      <c r="U249" s="12"/>
      <c r="V249" s="97"/>
      <c r="W249" s="13"/>
      <c r="X249" s="13"/>
      <c r="Y249" s="13"/>
      <c r="AA249" s="11"/>
      <c r="AB249" s="98"/>
      <c r="AC249" s="97"/>
      <c r="AD249" s="13"/>
      <c r="AE249" s="13"/>
      <c r="AF249" s="13"/>
      <c r="AH249" s="235"/>
      <c r="AI249" s="236"/>
      <c r="AJ249" s="90"/>
      <c r="AK249" s="91"/>
      <c r="AM249" s="235"/>
      <c r="AN249" s="236"/>
      <c r="AO249" s="90"/>
      <c r="AP249" s="91"/>
      <c r="AR249" s="106">
        <v>236219616.25</v>
      </c>
      <c r="AS249" s="565">
        <v>0.02</v>
      </c>
      <c r="AT249" s="565">
        <v>0.02</v>
      </c>
      <c r="AU249" s="106">
        <v>15641.73</v>
      </c>
      <c r="AV249" s="106">
        <v>4169.7700000000004</v>
      </c>
      <c r="AW249" s="19"/>
    </row>
    <row r="250" spans="2:49" x14ac:dyDescent="0.25">
      <c r="B250" s="9" t="str">
        <f t="shared" si="31"/>
        <v>9 2025</v>
      </c>
      <c r="C250" s="10">
        <f t="shared" si="33"/>
        <v>45902</v>
      </c>
      <c r="D250" s="10">
        <f t="shared" si="34"/>
        <v>45903</v>
      </c>
      <c r="E250" s="11">
        <f t="shared" si="32"/>
        <v>1</v>
      </c>
      <c r="G250" s="11" t="s">
        <v>7</v>
      </c>
      <c r="H250" s="12">
        <f t="shared" si="35"/>
        <v>13670000</v>
      </c>
      <c r="I250" s="14">
        <f t="shared" si="36"/>
        <v>1.7500000000000002E-2</v>
      </c>
      <c r="J250" s="112">
        <f t="shared" si="37"/>
        <v>664.51388888888891</v>
      </c>
      <c r="K250" s="13">
        <f t="shared" si="38"/>
        <v>324530.27777777816</v>
      </c>
      <c r="M250" s="11" t="s">
        <v>7</v>
      </c>
      <c r="N250" s="12">
        <f t="shared" si="41"/>
        <v>12000000</v>
      </c>
      <c r="O250" s="97">
        <f t="shared" si="42"/>
        <v>2.1698630136986304E-2</v>
      </c>
      <c r="P250" s="183">
        <f t="shared" si="39"/>
        <v>723.28767123287685</v>
      </c>
      <c r="Q250" s="13">
        <f t="shared" si="43"/>
        <v>53391.780821917906</v>
      </c>
      <c r="R250" s="13">
        <f t="shared" si="40"/>
        <v>139.95433789954348</v>
      </c>
      <c r="T250" s="11"/>
      <c r="U250" s="12"/>
      <c r="V250" s="97"/>
      <c r="W250" s="13"/>
      <c r="X250" s="13"/>
      <c r="Y250" s="13"/>
      <c r="AA250" s="11"/>
      <c r="AB250" s="98"/>
      <c r="AC250" s="97"/>
      <c r="AD250" s="13"/>
      <c r="AE250" s="13"/>
      <c r="AF250" s="13"/>
      <c r="AH250" s="235"/>
      <c r="AI250" s="236"/>
      <c r="AJ250" s="90"/>
      <c r="AK250" s="91"/>
      <c r="AM250" s="235"/>
      <c r="AN250" s="236"/>
      <c r="AO250" s="90"/>
      <c r="AP250" s="91"/>
      <c r="AR250" s="106">
        <v>236220884.40000001</v>
      </c>
      <c r="AS250" s="565">
        <v>0.02</v>
      </c>
      <c r="AT250" s="565">
        <v>0.02</v>
      </c>
      <c r="AU250" s="106">
        <v>13165.82</v>
      </c>
      <c r="AV250" s="106">
        <v>1693.86</v>
      </c>
      <c r="AW250" s="19"/>
    </row>
    <row r="251" spans="2:49" x14ac:dyDescent="0.25">
      <c r="B251" s="9" t="str">
        <f t="shared" si="31"/>
        <v>9 2025</v>
      </c>
      <c r="C251" s="10">
        <f t="shared" si="33"/>
        <v>45903</v>
      </c>
      <c r="D251" s="10">
        <f t="shared" si="34"/>
        <v>45904</v>
      </c>
      <c r="E251" s="11">
        <f t="shared" si="32"/>
        <v>1</v>
      </c>
      <c r="G251" s="11" t="s">
        <v>7</v>
      </c>
      <c r="H251" s="12">
        <f t="shared" si="35"/>
        <v>13670000</v>
      </c>
      <c r="I251" s="14">
        <f t="shared" si="36"/>
        <v>1.7500000000000002E-2</v>
      </c>
      <c r="J251" s="112">
        <f t="shared" si="37"/>
        <v>664.51388888888891</v>
      </c>
      <c r="K251" s="13">
        <f t="shared" si="38"/>
        <v>325194.79166666704</v>
      </c>
      <c r="M251" s="11" t="s">
        <v>7</v>
      </c>
      <c r="N251" s="12">
        <f t="shared" si="41"/>
        <v>12000000</v>
      </c>
      <c r="O251" s="97">
        <f t="shared" si="42"/>
        <v>2.1698630136986304E-2</v>
      </c>
      <c r="P251" s="183">
        <f t="shared" si="39"/>
        <v>723.28767123287685</v>
      </c>
      <c r="Q251" s="13">
        <f t="shared" si="43"/>
        <v>54115.068493150786</v>
      </c>
      <c r="R251" s="13">
        <f t="shared" si="40"/>
        <v>139.95433789954348</v>
      </c>
      <c r="T251" s="11"/>
      <c r="U251" s="12"/>
      <c r="V251" s="97"/>
      <c r="W251" s="13"/>
      <c r="X251" s="13"/>
      <c r="Y251" s="13"/>
      <c r="AA251" s="11"/>
      <c r="AB251" s="98"/>
      <c r="AC251" s="97"/>
      <c r="AD251" s="13"/>
      <c r="AE251" s="13"/>
      <c r="AF251" s="13"/>
      <c r="AH251" s="235"/>
      <c r="AI251" s="236"/>
      <c r="AJ251" s="90"/>
      <c r="AK251" s="91"/>
      <c r="AM251" s="235"/>
      <c r="AN251" s="236"/>
      <c r="AO251" s="90"/>
      <c r="AP251" s="91"/>
      <c r="AR251" s="106">
        <v>236220884.40000001</v>
      </c>
      <c r="AS251" s="565">
        <v>0.02</v>
      </c>
      <c r="AT251" s="565">
        <v>0.02</v>
      </c>
      <c r="AU251" s="106">
        <v>11897.66</v>
      </c>
      <c r="AV251" s="106">
        <v>425.7</v>
      </c>
      <c r="AW251" s="19"/>
    </row>
    <row r="252" spans="2:49" x14ac:dyDescent="0.25">
      <c r="B252" s="9" t="str">
        <f t="shared" si="31"/>
        <v>9 2025</v>
      </c>
      <c r="C252" s="10">
        <f t="shared" si="33"/>
        <v>45904</v>
      </c>
      <c r="D252" s="10">
        <f t="shared" si="34"/>
        <v>45905</v>
      </c>
      <c r="E252" s="11">
        <f t="shared" si="32"/>
        <v>1</v>
      </c>
      <c r="G252" s="11" t="s">
        <v>7</v>
      </c>
      <c r="H252" s="106">
        <f>H251+6885000</f>
        <v>20555000</v>
      </c>
      <c r="I252" s="14">
        <f t="shared" si="36"/>
        <v>1.7500000000000002E-2</v>
      </c>
      <c r="J252" s="112">
        <f t="shared" si="37"/>
        <v>999.20138888888903</v>
      </c>
      <c r="K252" s="13">
        <f t="shared" si="38"/>
        <v>326193.99305555591</v>
      </c>
      <c r="M252" s="11" t="s">
        <v>7</v>
      </c>
      <c r="N252" s="12">
        <f t="shared" si="41"/>
        <v>12000000</v>
      </c>
      <c r="O252" s="97">
        <f t="shared" si="42"/>
        <v>2.1698630136986304E-2</v>
      </c>
      <c r="P252" s="183">
        <f t="shared" si="39"/>
        <v>723.28767123287685</v>
      </c>
      <c r="Q252" s="13">
        <f t="shared" si="43"/>
        <v>54838.356164383666</v>
      </c>
      <c r="R252" s="13">
        <f t="shared" si="40"/>
        <v>139.95433789954348</v>
      </c>
      <c r="T252" s="11"/>
      <c r="U252" s="12"/>
      <c r="V252" s="97"/>
      <c r="W252" s="13"/>
      <c r="X252" s="13"/>
      <c r="Y252" s="13"/>
      <c r="AA252" s="11"/>
      <c r="AB252" s="98"/>
      <c r="AC252" s="97"/>
      <c r="AD252" s="13"/>
      <c r="AE252" s="13"/>
      <c r="AF252" s="13"/>
      <c r="AH252" s="235"/>
      <c r="AI252" s="236"/>
      <c r="AJ252" s="90"/>
      <c r="AK252" s="91"/>
      <c r="AM252" s="235"/>
      <c r="AN252" s="236"/>
      <c r="AO252" s="90"/>
      <c r="AP252" s="91"/>
      <c r="AR252" s="106">
        <v>243108380.44999999</v>
      </c>
      <c r="AS252" s="565">
        <v>0.02</v>
      </c>
      <c r="AT252" s="565">
        <v>0.02</v>
      </c>
      <c r="AU252" s="106">
        <v>14728.4</v>
      </c>
      <c r="AV252" s="106">
        <v>2921.75</v>
      </c>
      <c r="AW252" s="19"/>
    </row>
    <row r="253" spans="2:49" x14ac:dyDescent="0.25">
      <c r="B253" s="9" t="str">
        <f t="shared" si="31"/>
        <v>9 2025</v>
      </c>
      <c r="C253" s="10">
        <f t="shared" si="33"/>
        <v>45905</v>
      </c>
      <c r="D253" s="10">
        <f t="shared" si="34"/>
        <v>45906</v>
      </c>
      <c r="E253" s="11">
        <f t="shared" si="32"/>
        <v>1</v>
      </c>
      <c r="G253" s="11" t="s">
        <v>7</v>
      </c>
      <c r="H253" s="135">
        <f>H252+200000</f>
        <v>20755000</v>
      </c>
      <c r="I253" s="14">
        <f t="shared" si="36"/>
        <v>1.7500000000000002E-2</v>
      </c>
      <c r="J253" s="112">
        <f t="shared" si="37"/>
        <v>1008.9236111111113</v>
      </c>
      <c r="K253" s="13">
        <f t="shared" si="38"/>
        <v>327202.91666666704</v>
      </c>
      <c r="M253" s="11" t="s">
        <v>7</v>
      </c>
      <c r="N253" s="12">
        <f t="shared" si="41"/>
        <v>12000000</v>
      </c>
      <c r="O253" s="97">
        <f t="shared" si="42"/>
        <v>2.1698630136986304E-2</v>
      </c>
      <c r="P253" s="183">
        <f t="shared" si="39"/>
        <v>723.28767123287685</v>
      </c>
      <c r="Q253" s="13">
        <f t="shared" si="43"/>
        <v>55561.643835616545</v>
      </c>
      <c r="R253" s="13">
        <f t="shared" si="40"/>
        <v>139.95433789954348</v>
      </c>
      <c r="T253" s="11"/>
      <c r="U253" s="12"/>
      <c r="V253" s="97"/>
      <c r="W253" s="13"/>
      <c r="X253" s="13"/>
      <c r="Y253" s="13"/>
      <c r="AA253" s="11"/>
      <c r="AB253" s="98"/>
      <c r="AC253" s="97"/>
      <c r="AD253" s="13"/>
      <c r="AE253" s="13"/>
      <c r="AF253" s="13"/>
      <c r="AH253" s="235"/>
      <c r="AI253" s="236"/>
      <c r="AJ253" s="90"/>
      <c r="AK253" s="91"/>
      <c r="AM253" s="235"/>
      <c r="AN253" s="236"/>
      <c r="AO253" s="90"/>
      <c r="AP253" s="91"/>
      <c r="AR253" s="106">
        <v>243309628.47</v>
      </c>
      <c r="AS253" s="565">
        <v>0.02</v>
      </c>
      <c r="AT253" s="565">
        <v>0.02</v>
      </c>
      <c r="AU253" s="106">
        <v>13493.11</v>
      </c>
      <c r="AV253" s="106">
        <v>1676.74</v>
      </c>
      <c r="AW253" s="19"/>
    </row>
    <row r="254" spans="2:49" x14ac:dyDescent="0.25">
      <c r="B254" s="9" t="str">
        <f t="shared" si="31"/>
        <v>9 2025</v>
      </c>
      <c r="C254" s="10">
        <f t="shared" si="33"/>
        <v>45906</v>
      </c>
      <c r="D254" s="10">
        <f t="shared" si="34"/>
        <v>45907</v>
      </c>
      <c r="E254" s="11">
        <f t="shared" si="32"/>
        <v>1</v>
      </c>
      <c r="G254" s="11" t="s">
        <v>7</v>
      </c>
      <c r="H254" s="12">
        <f t="shared" si="35"/>
        <v>20755000</v>
      </c>
      <c r="I254" s="14">
        <f t="shared" si="36"/>
        <v>1.7500000000000002E-2</v>
      </c>
      <c r="J254" s="112">
        <f t="shared" si="37"/>
        <v>1008.9236111111113</v>
      </c>
      <c r="K254" s="13">
        <f t="shared" si="38"/>
        <v>328211.84027777816</v>
      </c>
      <c r="M254" s="11" t="s">
        <v>7</v>
      </c>
      <c r="N254" s="12">
        <f t="shared" si="41"/>
        <v>12000000</v>
      </c>
      <c r="O254" s="97">
        <f t="shared" si="42"/>
        <v>2.1698630136986304E-2</v>
      </c>
      <c r="P254" s="112">
        <f t="shared" ref="P254:P285" si="44">O254*N254*E254/360</f>
        <v>723.28767123287685</v>
      </c>
      <c r="Q254" s="13">
        <f t="shared" si="43"/>
        <v>56284.931506849425</v>
      </c>
      <c r="R254" s="13">
        <f t="shared" ref="R254:R285" si="45">P254-(+N254*I254*$E254/360)</f>
        <v>139.95433789954348</v>
      </c>
      <c r="T254" s="11"/>
      <c r="U254" s="12"/>
      <c r="V254" s="97"/>
      <c r="W254" s="13"/>
      <c r="X254" s="13"/>
      <c r="Y254" s="13"/>
      <c r="AA254" s="11"/>
      <c r="AB254" s="98"/>
      <c r="AC254" s="97"/>
      <c r="AD254" s="13"/>
      <c r="AE254" s="13"/>
      <c r="AF254" s="13"/>
      <c r="AH254" s="235"/>
      <c r="AI254" s="236"/>
      <c r="AJ254" s="90"/>
      <c r="AK254" s="91"/>
      <c r="AM254" s="235"/>
      <c r="AN254" s="236"/>
      <c r="AO254" s="90"/>
      <c r="AP254" s="91"/>
      <c r="AR254" s="106">
        <v>243309628.47</v>
      </c>
      <c r="AS254" s="565">
        <v>0.02</v>
      </c>
      <c r="AT254" s="565">
        <v>0.02</v>
      </c>
      <c r="AU254" s="106">
        <v>12245.09</v>
      </c>
      <c r="AV254" s="106">
        <v>428.72</v>
      </c>
      <c r="AW254" s="19"/>
    </row>
    <row r="255" spans="2:49" x14ac:dyDescent="0.25">
      <c r="B255" s="9" t="str">
        <f t="shared" si="31"/>
        <v>9 2025</v>
      </c>
      <c r="C255" s="10">
        <f t="shared" si="33"/>
        <v>45907</v>
      </c>
      <c r="D255" s="10">
        <f t="shared" si="34"/>
        <v>45908</v>
      </c>
      <c r="E255" s="11">
        <f t="shared" si="32"/>
        <v>1</v>
      </c>
      <c r="G255" s="11" t="s">
        <v>7</v>
      </c>
      <c r="H255" s="12">
        <f t="shared" si="35"/>
        <v>20755000</v>
      </c>
      <c r="I255" s="14">
        <f t="shared" si="36"/>
        <v>1.7500000000000002E-2</v>
      </c>
      <c r="J255" s="112">
        <f t="shared" si="37"/>
        <v>1008.9236111111113</v>
      </c>
      <c r="K255" s="13">
        <f t="shared" si="38"/>
        <v>329220.76388888928</v>
      </c>
      <c r="M255" s="11" t="s">
        <v>7</v>
      </c>
      <c r="N255" s="12">
        <f t="shared" si="41"/>
        <v>12000000</v>
      </c>
      <c r="O255" s="97">
        <f t="shared" si="42"/>
        <v>2.1698630136986304E-2</v>
      </c>
      <c r="P255" s="112">
        <f t="shared" si="44"/>
        <v>723.28767123287685</v>
      </c>
      <c r="Q255" s="13">
        <f t="shared" si="43"/>
        <v>57008.219178082305</v>
      </c>
      <c r="R255" s="13">
        <f t="shared" si="45"/>
        <v>139.95433789954348</v>
      </c>
      <c r="T255" s="11"/>
      <c r="U255" s="12"/>
      <c r="V255" s="97"/>
      <c r="W255" s="13"/>
      <c r="X255" s="13"/>
      <c r="Y255" s="13"/>
      <c r="AA255" s="11"/>
      <c r="AB255" s="98"/>
      <c r="AC255" s="97"/>
      <c r="AD255" s="13"/>
      <c r="AE255" s="13"/>
      <c r="AF255" s="13"/>
      <c r="AH255" s="235"/>
      <c r="AI255" s="236"/>
      <c r="AJ255" s="90"/>
      <c r="AK255" s="91"/>
      <c r="AM255" s="235"/>
      <c r="AN255" s="236"/>
      <c r="AO255" s="90"/>
      <c r="AP255" s="91"/>
      <c r="AR255" s="106">
        <v>243309628.47</v>
      </c>
      <c r="AS255" s="565">
        <v>0.02</v>
      </c>
      <c r="AT255" s="565">
        <v>0.02</v>
      </c>
      <c r="AU255" s="106">
        <v>12245.09</v>
      </c>
      <c r="AV255" s="106">
        <v>428.72</v>
      </c>
      <c r="AW255" s="19"/>
    </row>
    <row r="256" spans="2:49" x14ac:dyDescent="0.25">
      <c r="B256" s="9" t="str">
        <f t="shared" si="31"/>
        <v>9 2025</v>
      </c>
      <c r="C256" s="10">
        <f t="shared" si="33"/>
        <v>45908</v>
      </c>
      <c r="D256" s="10">
        <f t="shared" si="34"/>
        <v>45909</v>
      </c>
      <c r="E256" s="11">
        <f t="shared" si="32"/>
        <v>1</v>
      </c>
      <c r="G256" s="11" t="s">
        <v>7</v>
      </c>
      <c r="H256" s="12">
        <f t="shared" si="35"/>
        <v>20755000</v>
      </c>
      <c r="I256" s="14">
        <f t="shared" si="36"/>
        <v>1.7500000000000002E-2</v>
      </c>
      <c r="J256" s="112">
        <f t="shared" si="37"/>
        <v>1008.9236111111113</v>
      </c>
      <c r="K256" s="13">
        <f t="shared" si="38"/>
        <v>330229.68750000041</v>
      </c>
      <c r="M256" s="11" t="s">
        <v>7</v>
      </c>
      <c r="N256" s="12">
        <f t="shared" si="41"/>
        <v>12000000</v>
      </c>
      <c r="O256" s="97">
        <f t="shared" si="42"/>
        <v>2.1698630136986304E-2</v>
      </c>
      <c r="P256" s="112">
        <f t="shared" si="44"/>
        <v>723.28767123287685</v>
      </c>
      <c r="Q256" s="13">
        <f t="shared" si="43"/>
        <v>57731.506849315185</v>
      </c>
      <c r="R256" s="13">
        <f t="shared" si="45"/>
        <v>139.95433789954348</v>
      </c>
      <c r="T256" s="11"/>
      <c r="U256" s="12"/>
      <c r="V256" s="97"/>
      <c r="W256" s="13"/>
      <c r="X256" s="13"/>
      <c r="Y256" s="13"/>
      <c r="AA256" s="11"/>
      <c r="AB256" s="98"/>
      <c r="AC256" s="97"/>
      <c r="AD256" s="13"/>
      <c r="AE256" s="13"/>
      <c r="AF256" s="13"/>
      <c r="AH256" s="235"/>
      <c r="AI256" s="236"/>
      <c r="AJ256" s="90"/>
      <c r="AK256" s="91"/>
      <c r="AM256" s="235"/>
      <c r="AN256" s="236"/>
      <c r="AO256" s="90"/>
      <c r="AP256" s="91"/>
      <c r="AR256" s="106">
        <v>243313392.66999999</v>
      </c>
      <c r="AS256" s="565">
        <v>0.02</v>
      </c>
      <c r="AT256" s="565">
        <v>0.02</v>
      </c>
      <c r="AU256" s="106">
        <v>16009.28</v>
      </c>
      <c r="AV256" s="106">
        <v>4192.91</v>
      </c>
      <c r="AW256" s="19"/>
    </row>
    <row r="257" spans="2:49" x14ac:dyDescent="0.25">
      <c r="B257" s="9" t="str">
        <f t="shared" si="31"/>
        <v>9 2025</v>
      </c>
      <c r="C257" s="10">
        <f t="shared" si="33"/>
        <v>45909</v>
      </c>
      <c r="D257" s="10">
        <f t="shared" si="34"/>
        <v>45910</v>
      </c>
      <c r="E257" s="11">
        <f t="shared" si="32"/>
        <v>1</v>
      </c>
      <c r="G257" s="11" t="s">
        <v>7</v>
      </c>
      <c r="H257" s="12">
        <f t="shared" si="35"/>
        <v>20755000</v>
      </c>
      <c r="I257" s="14">
        <f t="shared" si="36"/>
        <v>1.7500000000000002E-2</v>
      </c>
      <c r="J257" s="112">
        <f t="shared" si="37"/>
        <v>1008.9236111111113</v>
      </c>
      <c r="K257" s="13">
        <f t="shared" si="38"/>
        <v>331238.61111111153</v>
      </c>
      <c r="M257" s="11" t="s">
        <v>7</v>
      </c>
      <c r="N257" s="12">
        <f t="shared" si="41"/>
        <v>12000000</v>
      </c>
      <c r="O257" s="97">
        <f t="shared" si="42"/>
        <v>2.1698630136986304E-2</v>
      </c>
      <c r="P257" s="112">
        <f t="shared" si="44"/>
        <v>723.28767123287685</v>
      </c>
      <c r="Q257" s="13">
        <f t="shared" si="43"/>
        <v>58454.794520548065</v>
      </c>
      <c r="R257" s="13">
        <f t="shared" si="45"/>
        <v>139.95433789954348</v>
      </c>
      <c r="T257" s="11"/>
      <c r="U257" s="12"/>
      <c r="V257" s="97"/>
      <c r="W257" s="13"/>
      <c r="X257" s="13"/>
      <c r="Y257" s="13"/>
      <c r="AA257" s="11"/>
      <c r="AB257" s="98"/>
      <c r="AC257" s="97"/>
      <c r="AD257" s="13"/>
      <c r="AE257" s="13"/>
      <c r="AF257" s="13"/>
      <c r="AH257" s="235"/>
      <c r="AI257" s="236"/>
      <c r="AJ257" s="90"/>
      <c r="AK257" s="91"/>
      <c r="AM257" s="235"/>
      <c r="AN257" s="236"/>
      <c r="AO257" s="90"/>
      <c r="AP257" s="91"/>
      <c r="AR257" s="106">
        <v>243314640.69</v>
      </c>
      <c r="AS257" s="565">
        <v>0.02</v>
      </c>
      <c r="AT257" s="565">
        <v>0.02</v>
      </c>
      <c r="AU257" s="106">
        <v>13493.11</v>
      </c>
      <c r="AV257" s="106">
        <v>1676.74</v>
      </c>
      <c r="AW257" s="19"/>
    </row>
    <row r="258" spans="2:49" x14ac:dyDescent="0.25">
      <c r="B258" s="9" t="str">
        <f t="shared" si="31"/>
        <v>9 2025</v>
      </c>
      <c r="C258" s="10">
        <f t="shared" si="33"/>
        <v>45910</v>
      </c>
      <c r="D258" s="10">
        <f t="shared" si="34"/>
        <v>45911</v>
      </c>
      <c r="E258" s="11">
        <f t="shared" si="32"/>
        <v>1</v>
      </c>
      <c r="G258" s="11" t="s">
        <v>7</v>
      </c>
      <c r="H258" s="106">
        <f>H257-1920000</f>
        <v>18835000</v>
      </c>
      <c r="I258" s="14">
        <f t="shared" si="36"/>
        <v>1.7500000000000002E-2</v>
      </c>
      <c r="J258" s="112">
        <f t="shared" si="37"/>
        <v>915.59027777777794</v>
      </c>
      <c r="K258" s="13">
        <f t="shared" si="38"/>
        <v>332154.20138888928</v>
      </c>
      <c r="M258" s="11" t="s">
        <v>7</v>
      </c>
      <c r="N258" s="12">
        <f t="shared" si="41"/>
        <v>12000000</v>
      </c>
      <c r="O258" s="97">
        <f t="shared" si="42"/>
        <v>2.1698630136986304E-2</v>
      </c>
      <c r="P258" s="112">
        <f t="shared" si="44"/>
        <v>723.28767123287685</v>
      </c>
      <c r="Q258" s="13">
        <f t="shared" si="43"/>
        <v>59178.082191780944</v>
      </c>
      <c r="R258" s="13">
        <f t="shared" si="45"/>
        <v>139.95433789954348</v>
      </c>
      <c r="T258" s="11"/>
      <c r="U258" s="12"/>
      <c r="V258" s="97"/>
      <c r="W258" s="13"/>
      <c r="X258" s="13"/>
      <c r="Y258" s="13"/>
      <c r="AA258" s="11"/>
      <c r="AB258" s="98"/>
      <c r="AC258" s="97"/>
      <c r="AD258" s="13"/>
      <c r="AE258" s="13"/>
      <c r="AF258" s="13"/>
      <c r="AH258" s="235"/>
      <c r="AI258" s="236"/>
      <c r="AJ258" s="90"/>
      <c r="AK258" s="91"/>
      <c r="AM258" s="235"/>
      <c r="AN258" s="236"/>
      <c r="AO258" s="90"/>
      <c r="AP258" s="91"/>
      <c r="AR258" s="106">
        <v>241395888.71000001</v>
      </c>
      <c r="AS258" s="565">
        <v>0.02</v>
      </c>
      <c r="AT258" s="565">
        <v>0.02</v>
      </c>
      <c r="AU258" s="106">
        <v>13399.78</v>
      </c>
      <c r="AV258" s="106">
        <v>1676.74</v>
      </c>
      <c r="AW258" s="19"/>
    </row>
    <row r="259" spans="2:49" x14ac:dyDescent="0.25">
      <c r="B259" s="9" t="str">
        <f t="shared" si="31"/>
        <v>9 2025</v>
      </c>
      <c r="C259" s="10">
        <f t="shared" si="33"/>
        <v>45911</v>
      </c>
      <c r="D259" s="10">
        <f t="shared" si="34"/>
        <v>45912</v>
      </c>
      <c r="E259" s="11">
        <f t="shared" si="32"/>
        <v>1</v>
      </c>
      <c r="G259" s="11" t="s">
        <v>7</v>
      </c>
      <c r="H259" s="135">
        <f>H258+6200000</f>
        <v>25035000</v>
      </c>
      <c r="I259" s="14">
        <f t="shared" si="36"/>
        <v>1.7500000000000002E-2</v>
      </c>
      <c r="J259" s="112">
        <f t="shared" si="37"/>
        <v>1216.9791666666667</v>
      </c>
      <c r="K259" s="13">
        <f t="shared" si="38"/>
        <v>333371.18055555597</v>
      </c>
      <c r="M259" s="11" t="s">
        <v>7</v>
      </c>
      <c r="N259" s="12">
        <f t="shared" si="41"/>
        <v>12000000</v>
      </c>
      <c r="O259" s="97">
        <f t="shared" si="42"/>
        <v>2.1698630136986304E-2</v>
      </c>
      <c r="P259" s="112">
        <f t="shared" si="44"/>
        <v>723.28767123287685</v>
      </c>
      <c r="Q259" s="13">
        <f t="shared" si="43"/>
        <v>59901.369863013824</v>
      </c>
      <c r="R259" s="13">
        <f t="shared" si="45"/>
        <v>139.95433789954348</v>
      </c>
      <c r="T259" s="11" t="s">
        <v>7</v>
      </c>
      <c r="U259" s="12">
        <v>20000000</v>
      </c>
      <c r="V259" s="97">
        <f>2.15%*360/365</f>
        <v>2.1205479452054792E-2</v>
      </c>
      <c r="W259" s="183">
        <f>V259*U259*E259/360</f>
        <v>1178.0821917808219</v>
      </c>
      <c r="X259" s="13">
        <f>W259</f>
        <v>1178.0821917808219</v>
      </c>
      <c r="Y259" s="13">
        <f>W259-(+U259*$I259*$E259/360)</f>
        <v>205.85996955859946</v>
      </c>
      <c r="AA259" s="11"/>
      <c r="AB259" s="98"/>
      <c r="AC259" s="97"/>
      <c r="AD259" s="13"/>
      <c r="AE259" s="13"/>
      <c r="AF259" s="13"/>
      <c r="AH259" s="235"/>
      <c r="AI259" s="236"/>
      <c r="AJ259" s="90"/>
      <c r="AK259" s="91"/>
      <c r="AM259" s="235"/>
      <c r="AN259" s="236"/>
      <c r="AO259" s="90"/>
      <c r="AP259" s="91"/>
      <c r="AR259" s="106">
        <v>310597136.93000001</v>
      </c>
      <c r="AS259" s="565">
        <v>0.02</v>
      </c>
      <c r="AT259" s="565">
        <v>1.49E-2</v>
      </c>
      <c r="AU259" s="106">
        <v>10268.48</v>
      </c>
      <c r="AV259" s="106">
        <v>1646.83</v>
      </c>
      <c r="AW259" s="19"/>
    </row>
    <row r="260" spans="2:49" x14ac:dyDescent="0.25">
      <c r="B260" s="9" t="str">
        <f t="shared" si="31"/>
        <v>9 2025</v>
      </c>
      <c r="C260" s="10">
        <f t="shared" si="33"/>
        <v>45912</v>
      </c>
      <c r="D260" s="10">
        <f t="shared" si="34"/>
        <v>45913</v>
      </c>
      <c r="E260" s="11">
        <f t="shared" si="32"/>
        <v>1</v>
      </c>
      <c r="G260" s="11" t="s">
        <v>7</v>
      </c>
      <c r="H260" s="12">
        <f t="shared" si="35"/>
        <v>25035000</v>
      </c>
      <c r="I260" s="14">
        <f t="shared" si="36"/>
        <v>1.7500000000000002E-2</v>
      </c>
      <c r="J260" s="112">
        <f t="shared" si="37"/>
        <v>1216.9791666666667</v>
      </c>
      <c r="K260" s="13">
        <f t="shared" si="38"/>
        <v>334588.15972222266</v>
      </c>
      <c r="M260" s="11" t="s">
        <v>7</v>
      </c>
      <c r="N260" s="12">
        <f t="shared" si="41"/>
        <v>12000000</v>
      </c>
      <c r="O260" s="97">
        <f t="shared" si="42"/>
        <v>2.1698630136986304E-2</v>
      </c>
      <c r="P260" s="112">
        <f t="shared" si="44"/>
        <v>723.28767123287685</v>
      </c>
      <c r="Q260" s="13">
        <f t="shared" si="43"/>
        <v>60624.657534246704</v>
      </c>
      <c r="R260" s="13">
        <f t="shared" si="45"/>
        <v>139.95433789954348</v>
      </c>
      <c r="T260" s="11" t="str">
        <f>T259</f>
        <v>SG</v>
      </c>
      <c r="U260" s="12">
        <f>U259</f>
        <v>20000000</v>
      </c>
      <c r="V260" s="97">
        <f>V259</f>
        <v>2.1205479452054792E-2</v>
      </c>
      <c r="W260" s="183">
        <f>V260*U260*E260/360</f>
        <v>1178.0821917808219</v>
      </c>
      <c r="X260" s="13">
        <f>X259+W260</f>
        <v>2356.1643835616437</v>
      </c>
      <c r="Y260" s="13">
        <f t="shared" ref="Y260" si="46">W260-(+U260*$I260*$E260/360)</f>
        <v>205.85996955859946</v>
      </c>
      <c r="AA260" s="11"/>
      <c r="AB260" s="98"/>
      <c r="AC260" s="97"/>
      <c r="AD260" s="13"/>
      <c r="AE260" s="13"/>
      <c r="AF260" s="13"/>
      <c r="AH260" s="235"/>
      <c r="AI260" s="236"/>
      <c r="AJ260" s="90"/>
      <c r="AK260" s="91"/>
      <c r="AM260" s="235"/>
      <c r="AN260" s="236"/>
      <c r="AO260" s="90"/>
      <c r="AP260" s="91"/>
      <c r="AR260" s="106">
        <v>220601057.06</v>
      </c>
      <c r="AS260" s="565">
        <v>0.02</v>
      </c>
      <c r="AT260" s="565">
        <v>2.1000000000000001E-2</v>
      </c>
      <c r="AU260" s="106">
        <v>12940.41</v>
      </c>
      <c r="AV260" s="106">
        <v>2228.48</v>
      </c>
      <c r="AW260" s="19"/>
    </row>
    <row r="261" spans="2:49" x14ac:dyDescent="0.25">
      <c r="B261" s="9" t="str">
        <f t="shared" si="31"/>
        <v>9 2025</v>
      </c>
      <c r="C261" s="10">
        <f t="shared" si="33"/>
        <v>45913</v>
      </c>
      <c r="D261" s="10">
        <f t="shared" si="34"/>
        <v>45914</v>
      </c>
      <c r="E261" s="11">
        <f t="shared" si="32"/>
        <v>1</v>
      </c>
      <c r="G261" s="11" t="s">
        <v>7</v>
      </c>
      <c r="H261" s="12">
        <f t="shared" si="35"/>
        <v>25035000</v>
      </c>
      <c r="I261" s="14">
        <f t="shared" si="36"/>
        <v>1.7500000000000002E-2</v>
      </c>
      <c r="J261" s="112">
        <f t="shared" si="37"/>
        <v>1216.9791666666667</v>
      </c>
      <c r="K261" s="13">
        <f t="shared" si="38"/>
        <v>335805.13888888934</v>
      </c>
      <c r="M261" s="11" t="s">
        <v>7</v>
      </c>
      <c r="N261" s="12">
        <f t="shared" si="41"/>
        <v>12000000</v>
      </c>
      <c r="O261" s="97">
        <f t="shared" si="42"/>
        <v>2.1698630136986304E-2</v>
      </c>
      <c r="P261" s="112">
        <f t="shared" si="44"/>
        <v>723.28767123287685</v>
      </c>
      <c r="Q261" s="13">
        <f t="shared" si="43"/>
        <v>61347.945205479584</v>
      </c>
      <c r="R261" s="13">
        <f t="shared" si="45"/>
        <v>139.95433789954348</v>
      </c>
      <c r="T261" s="11" t="str">
        <f t="shared" ref="T261:T324" si="47">T260</f>
        <v>SG</v>
      </c>
      <c r="U261" s="12">
        <f t="shared" ref="U261:U324" si="48">U260</f>
        <v>20000000</v>
      </c>
      <c r="V261" s="97">
        <f t="shared" ref="V261:V324" si="49">V260</f>
        <v>2.1205479452054792E-2</v>
      </c>
      <c r="W261" s="183">
        <f t="shared" ref="W261:W324" si="50">V261*U261*E261/360</f>
        <v>1178.0821917808219</v>
      </c>
      <c r="X261" s="13">
        <f t="shared" ref="X261:X324" si="51">X260+W261</f>
        <v>3534.2465753424658</v>
      </c>
      <c r="Y261" s="13">
        <f t="shared" ref="Y261:Y324" si="52">W261-(+U261*$I261*$E261/360)</f>
        <v>205.85996955859946</v>
      </c>
      <c r="AA261" s="11"/>
      <c r="AB261" s="98"/>
      <c r="AC261" s="97"/>
      <c r="AD261" s="13"/>
      <c r="AE261" s="13"/>
      <c r="AF261" s="13"/>
      <c r="AH261" s="235"/>
      <c r="AI261" s="236"/>
      <c r="AJ261" s="90"/>
      <c r="AK261" s="91"/>
      <c r="AM261" s="235"/>
      <c r="AN261" s="236"/>
      <c r="AO261" s="90"/>
      <c r="AP261" s="91"/>
      <c r="AR261" s="106">
        <v>220601057.06</v>
      </c>
      <c r="AS261" s="565">
        <v>0.02</v>
      </c>
      <c r="AT261" s="565">
        <v>2.1000000000000001E-2</v>
      </c>
      <c r="AU261" s="106">
        <v>9020.27</v>
      </c>
      <c r="AV261" s="106">
        <v>-1691.66</v>
      </c>
      <c r="AW261" s="19"/>
    </row>
    <row r="262" spans="2:49" x14ac:dyDescent="0.25">
      <c r="B262" s="9" t="str">
        <f t="shared" ref="B262:B325" si="53">CONCATENATE(MONTH(D262)," ",YEAR(D262))</f>
        <v>9 2025</v>
      </c>
      <c r="C262" s="10">
        <f t="shared" si="33"/>
        <v>45914</v>
      </c>
      <c r="D262" s="10">
        <f t="shared" si="34"/>
        <v>45915</v>
      </c>
      <c r="E262" s="11">
        <f t="shared" ref="E262:E325" si="54">D262-C262</f>
        <v>1</v>
      </c>
      <c r="G262" s="11" t="s">
        <v>7</v>
      </c>
      <c r="H262" s="12">
        <f t="shared" si="35"/>
        <v>25035000</v>
      </c>
      <c r="I262" s="14">
        <f t="shared" si="36"/>
        <v>1.7500000000000002E-2</v>
      </c>
      <c r="J262" s="112">
        <f t="shared" si="37"/>
        <v>1216.9791666666667</v>
      </c>
      <c r="K262" s="13">
        <f t="shared" si="38"/>
        <v>337022.11805555603</v>
      </c>
      <c r="M262" s="11" t="s">
        <v>7</v>
      </c>
      <c r="N262" s="12">
        <f t="shared" si="41"/>
        <v>12000000</v>
      </c>
      <c r="O262" s="97">
        <f t="shared" si="42"/>
        <v>2.1698630136986304E-2</v>
      </c>
      <c r="P262" s="112">
        <f t="shared" si="44"/>
        <v>723.28767123287685</v>
      </c>
      <c r="Q262" s="13">
        <f t="shared" si="43"/>
        <v>62071.232876712464</v>
      </c>
      <c r="R262" s="13">
        <f t="shared" si="45"/>
        <v>139.95433789954348</v>
      </c>
      <c r="T262" s="11" t="str">
        <f t="shared" si="47"/>
        <v>SG</v>
      </c>
      <c r="U262" s="12">
        <f t="shared" si="48"/>
        <v>20000000</v>
      </c>
      <c r="V262" s="97">
        <f t="shared" si="49"/>
        <v>2.1205479452054792E-2</v>
      </c>
      <c r="W262" s="183">
        <f t="shared" si="50"/>
        <v>1178.0821917808219</v>
      </c>
      <c r="X262" s="13">
        <f t="shared" si="51"/>
        <v>4712.3287671232874</v>
      </c>
      <c r="Y262" s="13">
        <f t="shared" si="52"/>
        <v>205.85996955859946</v>
      </c>
      <c r="AA262" s="11"/>
      <c r="AB262" s="98"/>
      <c r="AC262" s="97"/>
      <c r="AD262" s="13"/>
      <c r="AE262" s="13"/>
      <c r="AF262" s="13"/>
      <c r="AH262" s="235"/>
      <c r="AI262" s="236"/>
      <c r="AJ262" s="90"/>
      <c r="AK262" s="91"/>
      <c r="AM262" s="235"/>
      <c r="AN262" s="236"/>
      <c r="AO262" s="90"/>
      <c r="AP262" s="91"/>
      <c r="AR262" s="106">
        <v>220601057.06</v>
      </c>
      <c r="AS262" s="565">
        <v>0.02</v>
      </c>
      <c r="AT262" s="565">
        <v>2.1000000000000001E-2</v>
      </c>
      <c r="AU262" s="106">
        <v>9020.27</v>
      </c>
      <c r="AV262" s="106">
        <v>-1691.66</v>
      </c>
      <c r="AW262" s="19"/>
    </row>
    <row r="263" spans="2:49" x14ac:dyDescent="0.25">
      <c r="B263" s="9" t="str">
        <f t="shared" si="53"/>
        <v>9 2025</v>
      </c>
      <c r="C263" s="10">
        <f t="shared" si="33"/>
        <v>45915</v>
      </c>
      <c r="D263" s="10">
        <f t="shared" si="34"/>
        <v>45916</v>
      </c>
      <c r="E263" s="11">
        <f t="shared" si="54"/>
        <v>1</v>
      </c>
      <c r="G263" s="11" t="s">
        <v>7</v>
      </c>
      <c r="H263" s="12">
        <f t="shared" si="35"/>
        <v>25035000</v>
      </c>
      <c r="I263" s="14">
        <f t="shared" si="36"/>
        <v>1.7500000000000002E-2</v>
      </c>
      <c r="J263" s="112">
        <f t="shared" si="37"/>
        <v>1216.9791666666667</v>
      </c>
      <c r="K263" s="13">
        <f t="shared" si="38"/>
        <v>338239.09722222271</v>
      </c>
      <c r="M263" s="11" t="s">
        <v>7</v>
      </c>
      <c r="N263" s="12">
        <f t="shared" si="41"/>
        <v>12000000</v>
      </c>
      <c r="O263" s="97">
        <f t="shared" si="42"/>
        <v>2.1698630136986304E-2</v>
      </c>
      <c r="P263" s="112">
        <f t="shared" si="44"/>
        <v>723.28767123287685</v>
      </c>
      <c r="Q263" s="13">
        <f t="shared" si="43"/>
        <v>62794.520547945343</v>
      </c>
      <c r="R263" s="13">
        <f t="shared" si="45"/>
        <v>139.95433789954348</v>
      </c>
      <c r="T263" s="11" t="str">
        <f t="shared" si="47"/>
        <v>SG</v>
      </c>
      <c r="U263" s="12">
        <f t="shared" si="48"/>
        <v>20000000</v>
      </c>
      <c r="V263" s="97">
        <f t="shared" si="49"/>
        <v>2.1205479452054792E-2</v>
      </c>
      <c r="W263" s="183">
        <f t="shared" si="50"/>
        <v>1178.0821917808219</v>
      </c>
      <c r="X263" s="13">
        <f t="shared" si="51"/>
        <v>5890.4109589041091</v>
      </c>
      <c r="Y263" s="13">
        <f t="shared" si="52"/>
        <v>205.85996955859946</v>
      </c>
      <c r="AA263" s="11"/>
      <c r="AB263" s="98"/>
      <c r="AC263" s="97"/>
      <c r="AD263" s="13"/>
      <c r="AE263" s="13"/>
      <c r="AF263" s="13"/>
      <c r="AH263" s="235"/>
      <c r="AI263" s="236"/>
      <c r="AJ263" s="90"/>
      <c r="AK263" s="91"/>
      <c r="AM263" s="235"/>
      <c r="AN263" s="236"/>
      <c r="AO263" s="90"/>
      <c r="AP263" s="91"/>
      <c r="AR263" s="106">
        <v>220612630.81</v>
      </c>
      <c r="AS263" s="565">
        <v>0.02</v>
      </c>
      <c r="AT263" s="565">
        <v>2.1000000000000001E-2</v>
      </c>
      <c r="AU263" s="106">
        <v>20594.009999999998</v>
      </c>
      <c r="AV263" s="106">
        <v>9882.09</v>
      </c>
      <c r="AW263" s="19"/>
    </row>
    <row r="264" spans="2:49" x14ac:dyDescent="0.25">
      <c r="B264" s="9" t="str">
        <f t="shared" si="53"/>
        <v>9 2025</v>
      </c>
      <c r="C264" s="10">
        <f t="shared" ref="C264:C308" si="55">D263</f>
        <v>45916</v>
      </c>
      <c r="D264" s="10">
        <f t="shared" ref="D264:D308" si="56">D263+1</f>
        <v>45917</v>
      </c>
      <c r="E264" s="11">
        <f t="shared" si="54"/>
        <v>1</v>
      </c>
      <c r="G264" s="11" t="s">
        <v>7</v>
      </c>
      <c r="H264" s="135">
        <f>H263-190000</f>
        <v>24845000</v>
      </c>
      <c r="I264" s="14">
        <f t="shared" ref="I264:I327" si="57">I263</f>
        <v>1.7500000000000002E-2</v>
      </c>
      <c r="J264" s="112">
        <f t="shared" ref="J264:J327" si="58">+H264*I264*E264/360</f>
        <v>1207.7430555555557</v>
      </c>
      <c r="K264" s="13">
        <f t="shared" ref="K264:K327" si="59">K263+J264</f>
        <v>339446.84027777828</v>
      </c>
      <c r="M264" s="11" t="s">
        <v>7</v>
      </c>
      <c r="N264" s="12">
        <f t="shared" si="41"/>
        <v>12000000</v>
      </c>
      <c r="O264" s="97">
        <f t="shared" si="42"/>
        <v>2.1698630136986304E-2</v>
      </c>
      <c r="P264" s="112">
        <f t="shared" si="44"/>
        <v>723.28767123287685</v>
      </c>
      <c r="Q264" s="13">
        <f t="shared" si="43"/>
        <v>63517.808219178223</v>
      </c>
      <c r="R264" s="13">
        <f t="shared" si="45"/>
        <v>139.95433789954348</v>
      </c>
      <c r="T264" s="11" t="str">
        <f t="shared" si="47"/>
        <v>SG</v>
      </c>
      <c r="U264" s="12">
        <f t="shared" si="48"/>
        <v>20000000</v>
      </c>
      <c r="V264" s="97">
        <f t="shared" si="49"/>
        <v>2.1205479452054792E-2</v>
      </c>
      <c r="W264" s="183">
        <f t="shared" si="50"/>
        <v>1178.0821917808219</v>
      </c>
      <c r="X264" s="13">
        <f t="shared" si="51"/>
        <v>7068.4931506849307</v>
      </c>
      <c r="Y264" s="13">
        <f t="shared" si="52"/>
        <v>205.85996955859946</v>
      </c>
      <c r="AA264" s="11"/>
      <c r="AB264" s="98"/>
      <c r="AC264" s="97"/>
      <c r="AD264" s="13"/>
      <c r="AE264" s="13"/>
      <c r="AF264" s="13"/>
      <c r="AH264" s="235"/>
      <c r="AI264" s="236"/>
      <c r="AJ264" s="90"/>
      <c r="AK264" s="91"/>
      <c r="AM264" s="235"/>
      <c r="AN264" s="236"/>
      <c r="AO264" s="90"/>
      <c r="AP264" s="91"/>
      <c r="AR264" s="106">
        <v>220426550.94999999</v>
      </c>
      <c r="AS264" s="565">
        <v>0.02</v>
      </c>
      <c r="AT264" s="565">
        <v>2.1100000000000001E-2</v>
      </c>
      <c r="AU264" s="106">
        <v>12931.17</v>
      </c>
      <c r="AV264" s="106">
        <v>2228.48</v>
      </c>
      <c r="AW264" s="19"/>
    </row>
    <row r="265" spans="2:49" x14ac:dyDescent="0.25">
      <c r="B265" s="9" t="str">
        <f t="shared" si="53"/>
        <v>9 2025</v>
      </c>
      <c r="C265" s="10">
        <f t="shared" si="55"/>
        <v>45917</v>
      </c>
      <c r="D265" s="10">
        <f t="shared" si="56"/>
        <v>45918</v>
      </c>
      <c r="E265" s="11">
        <f t="shared" si="54"/>
        <v>1</v>
      </c>
      <c r="G265" s="11" t="s">
        <v>7</v>
      </c>
      <c r="H265" s="12">
        <f t="shared" ref="H265:H326" si="60">H264</f>
        <v>24845000</v>
      </c>
      <c r="I265" s="14">
        <f t="shared" si="57"/>
        <v>1.7500000000000002E-2</v>
      </c>
      <c r="J265" s="112">
        <f t="shared" si="58"/>
        <v>1207.7430555555557</v>
      </c>
      <c r="K265" s="13">
        <f t="shared" si="59"/>
        <v>340654.58333333384</v>
      </c>
      <c r="M265" s="11" t="s">
        <v>7</v>
      </c>
      <c r="N265" s="12">
        <f t="shared" si="41"/>
        <v>12000000</v>
      </c>
      <c r="O265" s="97">
        <f t="shared" si="42"/>
        <v>2.1698630136986304E-2</v>
      </c>
      <c r="P265" s="112">
        <f t="shared" si="44"/>
        <v>723.28767123287685</v>
      </c>
      <c r="Q265" s="13">
        <f t="shared" si="43"/>
        <v>64241.095890411103</v>
      </c>
      <c r="R265" s="13">
        <f t="shared" si="45"/>
        <v>139.95433789954348</v>
      </c>
      <c r="T265" s="11" t="str">
        <f t="shared" si="47"/>
        <v>SG</v>
      </c>
      <c r="U265" s="12">
        <f t="shared" si="48"/>
        <v>20000000</v>
      </c>
      <c r="V265" s="97">
        <f t="shared" si="49"/>
        <v>2.1205479452054792E-2</v>
      </c>
      <c r="W265" s="183">
        <f t="shared" si="50"/>
        <v>1178.0821917808219</v>
      </c>
      <c r="X265" s="13">
        <f t="shared" si="51"/>
        <v>8246.5753424657523</v>
      </c>
      <c r="Y265" s="13">
        <f t="shared" si="52"/>
        <v>205.85996955859946</v>
      </c>
      <c r="AA265" s="11"/>
      <c r="AB265" s="98"/>
      <c r="AC265" s="97"/>
      <c r="AD265" s="13"/>
      <c r="AE265" s="13"/>
      <c r="AF265" s="13"/>
      <c r="AH265" s="235"/>
      <c r="AI265" s="236"/>
      <c r="AJ265" s="90"/>
      <c r="AK265" s="91"/>
      <c r="AM265" s="235"/>
      <c r="AN265" s="236"/>
      <c r="AO265" s="90"/>
      <c r="AP265" s="91"/>
      <c r="AR265" s="106">
        <v>220430408.86000001</v>
      </c>
      <c r="AS265" s="565">
        <v>0.02</v>
      </c>
      <c r="AT265" s="565">
        <v>2.1100000000000001E-2</v>
      </c>
      <c r="AU265" s="106">
        <v>12868.95</v>
      </c>
      <c r="AV265" s="106">
        <v>2166.2600000000002</v>
      </c>
      <c r="AW265" s="19"/>
    </row>
    <row r="266" spans="2:49" x14ac:dyDescent="0.25">
      <c r="B266" s="9" t="str">
        <f t="shared" si="53"/>
        <v>9 2025</v>
      </c>
      <c r="C266" s="10">
        <f t="shared" si="55"/>
        <v>45918</v>
      </c>
      <c r="D266" s="10">
        <f t="shared" si="56"/>
        <v>45919</v>
      </c>
      <c r="E266" s="11">
        <f t="shared" si="54"/>
        <v>1</v>
      </c>
      <c r="G266" s="11" t="s">
        <v>7</v>
      </c>
      <c r="H266" s="12">
        <f t="shared" si="60"/>
        <v>24845000</v>
      </c>
      <c r="I266" s="14">
        <f t="shared" si="57"/>
        <v>1.7500000000000002E-2</v>
      </c>
      <c r="J266" s="112">
        <f t="shared" si="58"/>
        <v>1207.7430555555557</v>
      </c>
      <c r="K266" s="13">
        <f t="shared" si="59"/>
        <v>341862.3263888894</v>
      </c>
      <c r="M266" s="11" t="s">
        <v>7</v>
      </c>
      <c r="N266" s="12">
        <f t="shared" si="41"/>
        <v>12000000</v>
      </c>
      <c r="O266" s="97">
        <f t="shared" si="42"/>
        <v>2.1698630136986304E-2</v>
      </c>
      <c r="P266" s="112">
        <f t="shared" si="44"/>
        <v>723.28767123287685</v>
      </c>
      <c r="Q266" s="13">
        <f t="shared" si="43"/>
        <v>64964.383561643983</v>
      </c>
      <c r="R266" s="13">
        <f t="shared" si="45"/>
        <v>139.95433789954348</v>
      </c>
      <c r="T266" s="11" t="str">
        <f t="shared" si="47"/>
        <v>SG</v>
      </c>
      <c r="U266" s="12">
        <f t="shared" si="48"/>
        <v>20000000</v>
      </c>
      <c r="V266" s="97">
        <f t="shared" si="49"/>
        <v>2.1205479452054792E-2</v>
      </c>
      <c r="W266" s="183">
        <f t="shared" si="50"/>
        <v>1178.0821917808219</v>
      </c>
      <c r="X266" s="13">
        <f t="shared" si="51"/>
        <v>9424.6575342465749</v>
      </c>
      <c r="Y266" s="13">
        <f t="shared" si="52"/>
        <v>205.85996955859946</v>
      </c>
      <c r="AA266" s="11"/>
      <c r="AB266" s="98"/>
      <c r="AC266" s="97"/>
      <c r="AD266" s="13"/>
      <c r="AE266" s="13"/>
      <c r="AF266" s="13"/>
      <c r="AH266" s="235"/>
      <c r="AI266" s="236"/>
      <c r="AJ266" s="90"/>
      <c r="AK266" s="91"/>
      <c r="AM266" s="235"/>
      <c r="AN266" s="236"/>
      <c r="AO266" s="90"/>
      <c r="AP266" s="91"/>
      <c r="AR266" s="106">
        <v>220434266.78</v>
      </c>
      <c r="AS266" s="565">
        <v>0.02</v>
      </c>
      <c r="AT266" s="565">
        <v>2.1100000000000001E-2</v>
      </c>
      <c r="AU266" s="106">
        <v>12868.95</v>
      </c>
      <c r="AV266" s="106">
        <v>2166.2600000000002</v>
      </c>
      <c r="AW266" s="19"/>
    </row>
    <row r="267" spans="2:49" x14ac:dyDescent="0.25">
      <c r="B267" s="9" t="str">
        <f t="shared" si="53"/>
        <v>9 2025</v>
      </c>
      <c r="C267" s="10">
        <f t="shared" si="55"/>
        <v>45919</v>
      </c>
      <c r="D267" s="10">
        <f t="shared" si="56"/>
        <v>45920</v>
      </c>
      <c r="E267" s="11">
        <f t="shared" si="54"/>
        <v>1</v>
      </c>
      <c r="G267" s="11" t="s">
        <v>7</v>
      </c>
      <c r="H267" s="12">
        <f t="shared" si="60"/>
        <v>24845000</v>
      </c>
      <c r="I267" s="14">
        <f t="shared" si="57"/>
        <v>1.7500000000000002E-2</v>
      </c>
      <c r="J267" s="112">
        <f t="shared" si="58"/>
        <v>1207.7430555555557</v>
      </c>
      <c r="K267" s="13">
        <f t="shared" si="59"/>
        <v>343070.06944444496</v>
      </c>
      <c r="M267" s="11" t="s">
        <v>7</v>
      </c>
      <c r="N267" s="12">
        <f t="shared" si="41"/>
        <v>12000000</v>
      </c>
      <c r="O267" s="97">
        <f t="shared" si="42"/>
        <v>2.1698630136986304E-2</v>
      </c>
      <c r="P267" s="112">
        <f t="shared" si="44"/>
        <v>723.28767123287685</v>
      </c>
      <c r="Q267" s="13">
        <f t="shared" si="43"/>
        <v>65687.671232876863</v>
      </c>
      <c r="R267" s="13">
        <f t="shared" si="45"/>
        <v>139.95433789954348</v>
      </c>
      <c r="T267" s="11" t="str">
        <f t="shared" si="47"/>
        <v>SG</v>
      </c>
      <c r="U267" s="12">
        <f t="shared" si="48"/>
        <v>20000000</v>
      </c>
      <c r="V267" s="97">
        <f t="shared" si="49"/>
        <v>2.1205479452054792E-2</v>
      </c>
      <c r="W267" s="183">
        <f t="shared" si="50"/>
        <v>1178.0821917808219</v>
      </c>
      <c r="X267" s="13">
        <f t="shared" si="51"/>
        <v>10602.739726027397</v>
      </c>
      <c r="Y267" s="13">
        <f t="shared" si="52"/>
        <v>205.85996955859946</v>
      </c>
      <c r="AA267" s="11"/>
      <c r="AB267" s="98"/>
      <c r="AC267" s="97"/>
      <c r="AD267" s="13"/>
      <c r="AE267" s="13"/>
      <c r="AF267" s="13"/>
      <c r="AH267" s="235"/>
      <c r="AI267" s="236"/>
      <c r="AJ267" s="90"/>
      <c r="AK267" s="91"/>
      <c r="AM267" s="235"/>
      <c r="AN267" s="236"/>
      <c r="AO267" s="90"/>
      <c r="AP267" s="91"/>
      <c r="AR267" s="106">
        <v>220438124.69</v>
      </c>
      <c r="AS267" s="565">
        <v>0.02</v>
      </c>
      <c r="AT267" s="565">
        <v>2.1100000000000001E-2</v>
      </c>
      <c r="AU267" s="106">
        <v>12868.95</v>
      </c>
      <c r="AV267" s="106">
        <v>2166.2600000000002</v>
      </c>
      <c r="AW267" s="19"/>
    </row>
    <row r="268" spans="2:49" x14ac:dyDescent="0.25">
      <c r="B268" s="9" t="str">
        <f t="shared" si="53"/>
        <v>9 2025</v>
      </c>
      <c r="C268" s="10">
        <f t="shared" si="55"/>
        <v>45920</v>
      </c>
      <c r="D268" s="10">
        <f t="shared" si="56"/>
        <v>45921</v>
      </c>
      <c r="E268" s="11">
        <f t="shared" si="54"/>
        <v>1</v>
      </c>
      <c r="G268" s="11" t="s">
        <v>7</v>
      </c>
      <c r="H268" s="12">
        <f t="shared" si="60"/>
        <v>24845000</v>
      </c>
      <c r="I268" s="14">
        <f t="shared" si="57"/>
        <v>1.7500000000000002E-2</v>
      </c>
      <c r="J268" s="112">
        <f t="shared" si="58"/>
        <v>1207.7430555555557</v>
      </c>
      <c r="K268" s="13">
        <f t="shared" si="59"/>
        <v>344277.81250000052</v>
      </c>
      <c r="M268" s="11" t="s">
        <v>7</v>
      </c>
      <c r="N268" s="12">
        <f t="shared" si="41"/>
        <v>12000000</v>
      </c>
      <c r="O268" s="97">
        <f t="shared" si="42"/>
        <v>2.1698630136986304E-2</v>
      </c>
      <c r="P268" s="112">
        <f t="shared" si="44"/>
        <v>723.28767123287685</v>
      </c>
      <c r="Q268" s="13">
        <f t="shared" si="43"/>
        <v>66410.958904109735</v>
      </c>
      <c r="R268" s="13">
        <f t="shared" si="45"/>
        <v>139.95433789954348</v>
      </c>
      <c r="T268" s="11" t="str">
        <f t="shared" si="47"/>
        <v>SG</v>
      </c>
      <c r="U268" s="12">
        <f t="shared" si="48"/>
        <v>20000000</v>
      </c>
      <c r="V268" s="97">
        <f t="shared" si="49"/>
        <v>2.1205479452054792E-2</v>
      </c>
      <c r="W268" s="183">
        <f t="shared" si="50"/>
        <v>1178.0821917808219</v>
      </c>
      <c r="X268" s="13">
        <f t="shared" si="51"/>
        <v>11780.82191780822</v>
      </c>
      <c r="Y268" s="13">
        <f t="shared" si="52"/>
        <v>205.85996955859946</v>
      </c>
      <c r="AA268" s="11"/>
      <c r="AB268" s="98"/>
      <c r="AC268" s="97"/>
      <c r="AD268" s="13"/>
      <c r="AE268" s="13"/>
      <c r="AF268" s="13"/>
      <c r="AH268" s="235"/>
      <c r="AI268" s="236"/>
      <c r="AJ268" s="90"/>
      <c r="AK268" s="91"/>
      <c r="AM268" s="235"/>
      <c r="AN268" s="236"/>
      <c r="AO268" s="90"/>
      <c r="AP268" s="91"/>
      <c r="AR268" s="106">
        <v>220438124.69</v>
      </c>
      <c r="AS268" s="565">
        <v>0.02</v>
      </c>
      <c r="AT268" s="565">
        <v>2.1100000000000001E-2</v>
      </c>
      <c r="AU268" s="106">
        <v>9011.0300000000007</v>
      </c>
      <c r="AV268" s="106">
        <v>-1691.66</v>
      </c>
      <c r="AW268" s="19"/>
    </row>
    <row r="269" spans="2:49" x14ac:dyDescent="0.25">
      <c r="B269" s="9" t="str">
        <f t="shared" si="53"/>
        <v>9 2025</v>
      </c>
      <c r="C269" s="10">
        <f t="shared" si="55"/>
        <v>45921</v>
      </c>
      <c r="D269" s="10">
        <f t="shared" si="56"/>
        <v>45922</v>
      </c>
      <c r="E269" s="11">
        <f t="shared" si="54"/>
        <v>1</v>
      </c>
      <c r="G269" s="11" t="s">
        <v>7</v>
      </c>
      <c r="H269" s="12">
        <f t="shared" si="60"/>
        <v>24845000</v>
      </c>
      <c r="I269" s="14">
        <f t="shared" si="57"/>
        <v>1.7500000000000002E-2</v>
      </c>
      <c r="J269" s="112">
        <f t="shared" si="58"/>
        <v>1207.7430555555557</v>
      </c>
      <c r="K269" s="13">
        <f t="shared" si="59"/>
        <v>345485.55555555609</v>
      </c>
      <c r="M269" s="11" t="s">
        <v>7</v>
      </c>
      <c r="N269" s="12">
        <f t="shared" si="41"/>
        <v>12000000</v>
      </c>
      <c r="O269" s="97">
        <f t="shared" si="42"/>
        <v>2.1698630136986304E-2</v>
      </c>
      <c r="P269" s="112">
        <f t="shared" si="44"/>
        <v>723.28767123287685</v>
      </c>
      <c r="Q269" s="13">
        <f t="shared" si="43"/>
        <v>67134.246575342608</v>
      </c>
      <c r="R269" s="13">
        <f t="shared" si="45"/>
        <v>139.95433789954348</v>
      </c>
      <c r="T269" s="11" t="str">
        <f t="shared" si="47"/>
        <v>SG</v>
      </c>
      <c r="U269" s="12">
        <f t="shared" si="48"/>
        <v>20000000</v>
      </c>
      <c r="V269" s="97">
        <f t="shared" si="49"/>
        <v>2.1205479452054792E-2</v>
      </c>
      <c r="W269" s="183">
        <f t="shared" si="50"/>
        <v>1178.0821917808219</v>
      </c>
      <c r="X269" s="13">
        <f t="shared" si="51"/>
        <v>12958.904109589042</v>
      </c>
      <c r="Y269" s="13">
        <f t="shared" si="52"/>
        <v>205.85996955859946</v>
      </c>
      <c r="AA269" s="11"/>
      <c r="AB269" s="98"/>
      <c r="AC269" s="97"/>
      <c r="AD269" s="13"/>
      <c r="AE269" s="13"/>
      <c r="AF269" s="13"/>
      <c r="AH269" s="235"/>
      <c r="AI269" s="236"/>
      <c r="AJ269" s="90"/>
      <c r="AK269" s="91"/>
      <c r="AM269" s="235"/>
      <c r="AN269" s="236"/>
      <c r="AO269" s="90"/>
      <c r="AP269" s="91"/>
      <c r="AR269" s="106">
        <v>220438124.69</v>
      </c>
      <c r="AS269" s="565">
        <v>0.02</v>
      </c>
      <c r="AT269" s="565">
        <v>2.1100000000000001E-2</v>
      </c>
      <c r="AU269" s="106">
        <v>9011.0300000000007</v>
      </c>
      <c r="AV269" s="106">
        <v>-1691.66</v>
      </c>
      <c r="AW269" s="19"/>
    </row>
    <row r="270" spans="2:49" x14ac:dyDescent="0.25">
      <c r="B270" s="9" t="str">
        <f t="shared" si="53"/>
        <v>9 2025</v>
      </c>
      <c r="C270" s="10">
        <f t="shared" si="55"/>
        <v>45922</v>
      </c>
      <c r="D270" s="10">
        <f t="shared" si="56"/>
        <v>45923</v>
      </c>
      <c r="E270" s="11">
        <f t="shared" si="54"/>
        <v>1</v>
      </c>
      <c r="G270" s="11" t="s">
        <v>7</v>
      </c>
      <c r="H270" s="12">
        <f t="shared" si="60"/>
        <v>24845000</v>
      </c>
      <c r="I270" s="14">
        <f t="shared" si="57"/>
        <v>1.7500000000000002E-2</v>
      </c>
      <c r="J270" s="112">
        <f t="shared" si="58"/>
        <v>1207.7430555555557</v>
      </c>
      <c r="K270" s="13">
        <f t="shared" si="59"/>
        <v>346693.29861111165</v>
      </c>
      <c r="M270" s="11" t="s">
        <v>7</v>
      </c>
      <c r="N270" s="12">
        <f t="shared" si="41"/>
        <v>12000000</v>
      </c>
      <c r="O270" s="97">
        <f t="shared" si="42"/>
        <v>2.1698630136986304E-2</v>
      </c>
      <c r="P270" s="112">
        <f t="shared" si="44"/>
        <v>723.28767123287685</v>
      </c>
      <c r="Q270" s="13">
        <f t="shared" si="43"/>
        <v>67857.53424657548</v>
      </c>
      <c r="R270" s="13">
        <f t="shared" si="45"/>
        <v>139.95433789954348</v>
      </c>
      <c r="T270" s="11" t="str">
        <f t="shared" si="47"/>
        <v>SG</v>
      </c>
      <c r="U270" s="12">
        <f t="shared" si="48"/>
        <v>20000000</v>
      </c>
      <c r="V270" s="97">
        <f t="shared" si="49"/>
        <v>2.1205479452054792E-2</v>
      </c>
      <c r="W270" s="183">
        <f t="shared" si="50"/>
        <v>1178.0821917808219</v>
      </c>
      <c r="X270" s="13">
        <f t="shared" si="51"/>
        <v>14136.986301369865</v>
      </c>
      <c r="Y270" s="13">
        <f t="shared" si="52"/>
        <v>205.85996955859946</v>
      </c>
      <c r="AA270" s="11"/>
      <c r="AB270" s="98"/>
      <c r="AC270" s="97"/>
      <c r="AD270" s="13"/>
      <c r="AE270" s="13"/>
      <c r="AF270" s="13"/>
      <c r="AH270" s="235"/>
      <c r="AI270" s="236"/>
      <c r="AJ270" s="90"/>
      <c r="AK270" s="91"/>
      <c r="AM270" s="235"/>
      <c r="AN270" s="236"/>
      <c r="AO270" s="90"/>
      <c r="AP270" s="91"/>
      <c r="AR270" s="106">
        <v>220449822.88999999</v>
      </c>
      <c r="AS270" s="565">
        <v>0.02</v>
      </c>
      <c r="AT270" s="565">
        <v>2.1100000000000001E-2</v>
      </c>
      <c r="AU270" s="106">
        <v>20709.22</v>
      </c>
      <c r="AV270" s="106">
        <v>10006.530000000001</v>
      </c>
      <c r="AW270" s="19"/>
    </row>
    <row r="271" spans="2:49" x14ac:dyDescent="0.25">
      <c r="B271" s="9" t="str">
        <f t="shared" si="53"/>
        <v>9 2025</v>
      </c>
      <c r="C271" s="10">
        <f t="shared" si="55"/>
        <v>45923</v>
      </c>
      <c r="D271" s="10">
        <f t="shared" si="56"/>
        <v>45924</v>
      </c>
      <c r="E271" s="11">
        <f t="shared" si="54"/>
        <v>1</v>
      </c>
      <c r="G271" s="11" t="s">
        <v>7</v>
      </c>
      <c r="H271" s="106">
        <f>H270-70000</f>
        <v>24775000</v>
      </c>
      <c r="I271" s="14">
        <f t="shared" si="57"/>
        <v>1.7500000000000002E-2</v>
      </c>
      <c r="J271" s="112">
        <f t="shared" si="58"/>
        <v>1204.3402777777778</v>
      </c>
      <c r="K271" s="13">
        <f t="shared" si="59"/>
        <v>347897.6388888894</v>
      </c>
      <c r="M271" s="11" t="s">
        <v>7</v>
      </c>
      <c r="N271" s="12">
        <f t="shared" si="41"/>
        <v>12000000</v>
      </c>
      <c r="O271" s="97">
        <f t="shared" si="42"/>
        <v>2.1698630136986304E-2</v>
      </c>
      <c r="P271" s="112">
        <f t="shared" si="44"/>
        <v>723.28767123287685</v>
      </c>
      <c r="Q271" s="13">
        <f t="shared" si="43"/>
        <v>68580.821917808353</v>
      </c>
      <c r="R271" s="13">
        <f t="shared" si="45"/>
        <v>139.95433789954348</v>
      </c>
      <c r="T271" s="11" t="str">
        <f t="shared" si="47"/>
        <v>SG</v>
      </c>
      <c r="U271" s="12">
        <f t="shared" si="48"/>
        <v>20000000</v>
      </c>
      <c r="V271" s="97">
        <f t="shared" si="49"/>
        <v>2.1205479452054792E-2</v>
      </c>
      <c r="W271" s="183">
        <f t="shared" si="50"/>
        <v>1178.0821917808219</v>
      </c>
      <c r="X271" s="13">
        <f t="shared" si="51"/>
        <v>15315.068493150688</v>
      </c>
      <c r="Y271" s="13">
        <f t="shared" si="52"/>
        <v>205.85996955859946</v>
      </c>
      <c r="AA271" s="11"/>
      <c r="AB271" s="98"/>
      <c r="AC271" s="97"/>
      <c r="AD271" s="13"/>
      <c r="AE271" s="13"/>
      <c r="AF271" s="13"/>
      <c r="AH271" s="235"/>
      <c r="AI271" s="236"/>
      <c r="AJ271" s="90"/>
      <c r="AK271" s="91"/>
      <c r="AM271" s="235"/>
      <c r="AN271" s="236"/>
      <c r="AO271" s="90"/>
      <c r="AP271" s="91"/>
      <c r="AR271" s="106">
        <v>220383680.80000001</v>
      </c>
      <c r="AS271" s="565">
        <v>0.02</v>
      </c>
      <c r="AT271" s="565">
        <v>2.1100000000000001E-2</v>
      </c>
      <c r="AU271" s="106">
        <v>12865.54</v>
      </c>
      <c r="AV271" s="106">
        <v>2166.2600000000002</v>
      </c>
      <c r="AW271" s="19"/>
    </row>
    <row r="272" spans="2:49" x14ac:dyDescent="0.25">
      <c r="B272" s="9" t="str">
        <f t="shared" si="53"/>
        <v>9 2025</v>
      </c>
      <c r="C272" s="10">
        <f t="shared" si="55"/>
        <v>45924</v>
      </c>
      <c r="D272" s="10">
        <f t="shared" si="56"/>
        <v>45925</v>
      </c>
      <c r="E272" s="11">
        <f t="shared" si="54"/>
        <v>1</v>
      </c>
      <c r="G272" s="11" t="s">
        <v>7</v>
      </c>
      <c r="H272" s="12">
        <f t="shared" si="60"/>
        <v>24775000</v>
      </c>
      <c r="I272" s="14">
        <f t="shared" si="57"/>
        <v>1.7500000000000002E-2</v>
      </c>
      <c r="J272" s="112">
        <f t="shared" si="58"/>
        <v>1204.3402777777778</v>
      </c>
      <c r="K272" s="13">
        <f t="shared" si="59"/>
        <v>349101.97916666715</v>
      </c>
      <c r="M272" s="11" t="s">
        <v>7</v>
      </c>
      <c r="N272" s="12">
        <f t="shared" si="41"/>
        <v>12000000</v>
      </c>
      <c r="O272" s="97">
        <f t="shared" si="42"/>
        <v>2.1698630136986304E-2</v>
      </c>
      <c r="P272" s="112">
        <f t="shared" si="44"/>
        <v>723.28767123287685</v>
      </c>
      <c r="Q272" s="13">
        <f t="shared" si="43"/>
        <v>69304.109589041225</v>
      </c>
      <c r="R272" s="13">
        <f t="shared" si="45"/>
        <v>139.95433789954348</v>
      </c>
      <c r="T272" s="11" t="str">
        <f t="shared" si="47"/>
        <v>SG</v>
      </c>
      <c r="U272" s="12">
        <f t="shared" si="48"/>
        <v>20000000</v>
      </c>
      <c r="V272" s="97">
        <f t="shared" si="49"/>
        <v>2.1205479452054792E-2</v>
      </c>
      <c r="W272" s="183">
        <f t="shared" si="50"/>
        <v>1178.0821917808219</v>
      </c>
      <c r="X272" s="13">
        <f t="shared" si="51"/>
        <v>16493.150684931508</v>
      </c>
      <c r="Y272" s="13">
        <f t="shared" si="52"/>
        <v>205.85996955859946</v>
      </c>
      <c r="AA272" s="11"/>
      <c r="AB272" s="98"/>
      <c r="AC272" s="97"/>
      <c r="AD272" s="13"/>
      <c r="AE272" s="13"/>
      <c r="AF272" s="13"/>
      <c r="AH272" s="235"/>
      <c r="AI272" s="236"/>
      <c r="AJ272" s="90"/>
      <c r="AK272" s="91"/>
      <c r="AM272" s="235"/>
      <c r="AN272" s="236"/>
      <c r="AO272" s="90"/>
      <c r="AP272" s="91"/>
      <c r="AR272" s="106">
        <v>220387538.72</v>
      </c>
      <c r="AS272" s="565">
        <v>0.02</v>
      </c>
      <c r="AT272" s="565">
        <v>2.1100000000000001E-2</v>
      </c>
      <c r="AU272" s="106">
        <v>12865.54</v>
      </c>
      <c r="AV272" s="106">
        <v>2166.2600000000002</v>
      </c>
      <c r="AW272" s="19"/>
    </row>
    <row r="273" spans="2:49" x14ac:dyDescent="0.25">
      <c r="B273" s="9" t="str">
        <f t="shared" si="53"/>
        <v>9 2025</v>
      </c>
      <c r="C273" s="10">
        <f t="shared" si="55"/>
        <v>45925</v>
      </c>
      <c r="D273" s="10">
        <f t="shared" si="56"/>
        <v>45926</v>
      </c>
      <c r="E273" s="11">
        <f t="shared" si="54"/>
        <v>1</v>
      </c>
      <c r="G273" s="11" t="s">
        <v>7</v>
      </c>
      <c r="H273" s="135">
        <f>H272-15030000</f>
        <v>9745000</v>
      </c>
      <c r="I273" s="14">
        <f t="shared" si="57"/>
        <v>1.7500000000000002E-2</v>
      </c>
      <c r="J273" s="112">
        <f t="shared" si="58"/>
        <v>473.71527777777789</v>
      </c>
      <c r="K273" s="13">
        <f t="shared" si="59"/>
        <v>349575.6944444449</v>
      </c>
      <c r="M273" s="11" t="s">
        <v>7</v>
      </c>
      <c r="N273" s="12">
        <f t="shared" si="41"/>
        <v>12000000</v>
      </c>
      <c r="O273" s="97">
        <f t="shared" si="42"/>
        <v>2.1698630136986304E-2</v>
      </c>
      <c r="P273" s="112">
        <f t="shared" si="44"/>
        <v>723.28767123287685</v>
      </c>
      <c r="Q273" s="13">
        <f t="shared" si="43"/>
        <v>70027.397260274098</v>
      </c>
      <c r="R273" s="13">
        <f t="shared" si="45"/>
        <v>139.95433789954348</v>
      </c>
      <c r="T273" s="11" t="str">
        <f t="shared" si="47"/>
        <v>SG</v>
      </c>
      <c r="U273" s="12">
        <f t="shared" si="48"/>
        <v>20000000</v>
      </c>
      <c r="V273" s="97">
        <f t="shared" si="49"/>
        <v>2.1205479452054792E-2</v>
      </c>
      <c r="W273" s="183">
        <f t="shared" si="50"/>
        <v>1178.0821917808219</v>
      </c>
      <c r="X273" s="13">
        <f t="shared" si="51"/>
        <v>17671.232876712329</v>
      </c>
      <c r="Y273" s="13">
        <f t="shared" si="52"/>
        <v>205.85996955859946</v>
      </c>
      <c r="AA273" s="11"/>
      <c r="AB273" s="98"/>
      <c r="AC273" s="97"/>
      <c r="AD273" s="13"/>
      <c r="AE273" s="13"/>
      <c r="AF273" s="13"/>
      <c r="AH273" s="235"/>
      <c r="AI273" s="236"/>
      <c r="AJ273" s="90"/>
      <c r="AK273" s="91"/>
      <c r="AM273" s="235"/>
      <c r="AN273" s="236"/>
      <c r="AO273" s="90"/>
      <c r="AP273" s="91"/>
      <c r="AR273" s="106">
        <v>205361458.86000001</v>
      </c>
      <c r="AS273" s="565">
        <v>0.02</v>
      </c>
      <c r="AT273" s="565">
        <v>2.1299999999999999E-2</v>
      </c>
      <c r="AU273" s="106">
        <v>12197.14</v>
      </c>
      <c r="AV273" s="106">
        <v>2228.48</v>
      </c>
      <c r="AW273" s="19"/>
    </row>
    <row r="274" spans="2:49" x14ac:dyDescent="0.25">
      <c r="B274" s="9" t="str">
        <f t="shared" si="53"/>
        <v>9 2025</v>
      </c>
      <c r="C274" s="10">
        <f t="shared" si="55"/>
        <v>45926</v>
      </c>
      <c r="D274" s="10">
        <f t="shared" si="56"/>
        <v>45927</v>
      </c>
      <c r="E274" s="11">
        <f t="shared" si="54"/>
        <v>1</v>
      </c>
      <c r="G274" s="11" t="s">
        <v>7</v>
      </c>
      <c r="H274" s="106">
        <f>H273-270000-60000</f>
        <v>9415000</v>
      </c>
      <c r="I274" s="14">
        <f t="shared" si="57"/>
        <v>1.7500000000000002E-2</v>
      </c>
      <c r="J274" s="112">
        <f t="shared" si="58"/>
        <v>457.6736111111112</v>
      </c>
      <c r="K274" s="13">
        <f t="shared" si="59"/>
        <v>350033.36805555603</v>
      </c>
      <c r="M274" s="11" t="s">
        <v>7</v>
      </c>
      <c r="N274" s="12">
        <f t="shared" si="41"/>
        <v>12000000</v>
      </c>
      <c r="O274" s="97">
        <f t="shared" si="42"/>
        <v>2.1698630136986304E-2</v>
      </c>
      <c r="P274" s="112">
        <f t="shared" si="44"/>
        <v>723.28767123287685</v>
      </c>
      <c r="Q274" s="13">
        <f t="shared" si="43"/>
        <v>70750.68493150697</v>
      </c>
      <c r="R274" s="13">
        <f t="shared" si="45"/>
        <v>139.95433789954348</v>
      </c>
      <c r="T274" s="11" t="str">
        <f t="shared" si="47"/>
        <v>SG</v>
      </c>
      <c r="U274" s="12">
        <f t="shared" si="48"/>
        <v>20000000</v>
      </c>
      <c r="V274" s="97">
        <f t="shared" si="49"/>
        <v>2.1205479452054792E-2</v>
      </c>
      <c r="W274" s="183">
        <f t="shared" si="50"/>
        <v>1178.0821917808219</v>
      </c>
      <c r="X274" s="13">
        <f t="shared" si="51"/>
        <v>18849.31506849315</v>
      </c>
      <c r="Y274" s="13">
        <f t="shared" si="52"/>
        <v>205.85996955859946</v>
      </c>
      <c r="AA274" s="11"/>
      <c r="AB274" s="98"/>
      <c r="AC274" s="97"/>
      <c r="AD274" s="13"/>
      <c r="AE274" s="13"/>
      <c r="AF274" s="13"/>
      <c r="AH274" s="235"/>
      <c r="AI274" s="236"/>
      <c r="AJ274" s="90"/>
      <c r="AK274" s="91"/>
      <c r="AM274" s="235"/>
      <c r="AN274" s="236"/>
      <c r="AO274" s="90"/>
      <c r="AP274" s="91"/>
      <c r="AR274" s="106">
        <v>205035316.77000001</v>
      </c>
      <c r="AS274" s="565">
        <v>0.02</v>
      </c>
      <c r="AT274" s="565">
        <v>2.1299999999999999E-2</v>
      </c>
      <c r="AU274" s="106">
        <v>12118.88</v>
      </c>
      <c r="AV274" s="106">
        <v>2166.2600000000002</v>
      </c>
      <c r="AW274" s="19"/>
    </row>
    <row r="275" spans="2:49" x14ac:dyDescent="0.25">
      <c r="B275" s="9" t="str">
        <f t="shared" si="53"/>
        <v>9 2025</v>
      </c>
      <c r="C275" s="10">
        <f t="shared" si="55"/>
        <v>45927</v>
      </c>
      <c r="D275" s="10">
        <f t="shared" si="56"/>
        <v>45928</v>
      </c>
      <c r="E275" s="11">
        <f t="shared" si="54"/>
        <v>1</v>
      </c>
      <c r="G275" s="11" t="s">
        <v>7</v>
      </c>
      <c r="H275" s="12">
        <f t="shared" si="60"/>
        <v>9415000</v>
      </c>
      <c r="I275" s="14">
        <f t="shared" si="57"/>
        <v>1.7500000000000002E-2</v>
      </c>
      <c r="J275" s="112">
        <f t="shared" si="58"/>
        <v>457.6736111111112</v>
      </c>
      <c r="K275" s="13">
        <f t="shared" si="59"/>
        <v>350491.04166666715</v>
      </c>
      <c r="M275" s="11" t="s">
        <v>7</v>
      </c>
      <c r="N275" s="12">
        <f t="shared" si="41"/>
        <v>12000000</v>
      </c>
      <c r="O275" s="97">
        <f t="shared" si="42"/>
        <v>2.1698630136986304E-2</v>
      </c>
      <c r="P275" s="112">
        <f t="shared" si="44"/>
        <v>723.28767123287685</v>
      </c>
      <c r="Q275" s="13">
        <f t="shared" si="43"/>
        <v>71473.972602739843</v>
      </c>
      <c r="R275" s="13">
        <f t="shared" si="45"/>
        <v>139.95433789954348</v>
      </c>
      <c r="T275" s="11" t="str">
        <f t="shared" si="47"/>
        <v>SG</v>
      </c>
      <c r="U275" s="12">
        <f t="shared" si="48"/>
        <v>20000000</v>
      </c>
      <c r="V275" s="97">
        <f t="shared" si="49"/>
        <v>2.1205479452054792E-2</v>
      </c>
      <c r="W275" s="183">
        <f t="shared" si="50"/>
        <v>1178.0821917808219</v>
      </c>
      <c r="X275" s="13">
        <f t="shared" si="51"/>
        <v>20027.39726027397</v>
      </c>
      <c r="Y275" s="13">
        <f t="shared" si="52"/>
        <v>205.85996955859946</v>
      </c>
      <c r="AA275" s="11"/>
      <c r="AB275" s="98"/>
      <c r="AC275" s="97"/>
      <c r="AD275" s="13"/>
      <c r="AE275" s="13"/>
      <c r="AF275" s="13"/>
      <c r="AH275" s="235"/>
      <c r="AI275" s="236"/>
      <c r="AJ275" s="90"/>
      <c r="AK275" s="91"/>
      <c r="AM275" s="235"/>
      <c r="AN275" s="236"/>
      <c r="AO275" s="90"/>
      <c r="AP275" s="91"/>
      <c r="AR275" s="106">
        <v>205035316.77000001</v>
      </c>
      <c r="AS275" s="565">
        <v>0.02</v>
      </c>
      <c r="AT275" s="565">
        <v>2.1299999999999999E-2</v>
      </c>
      <c r="AU275" s="106">
        <v>8260.9599999999991</v>
      </c>
      <c r="AV275" s="106">
        <v>-1691.66</v>
      </c>
      <c r="AW275" s="19"/>
    </row>
    <row r="276" spans="2:49" x14ac:dyDescent="0.25">
      <c r="B276" s="9" t="str">
        <f t="shared" si="53"/>
        <v>9 2025</v>
      </c>
      <c r="C276" s="10">
        <f t="shared" si="55"/>
        <v>45928</v>
      </c>
      <c r="D276" s="10">
        <f t="shared" si="56"/>
        <v>45929</v>
      </c>
      <c r="E276" s="11">
        <f t="shared" si="54"/>
        <v>1</v>
      </c>
      <c r="G276" s="11" t="s">
        <v>7</v>
      </c>
      <c r="H276" s="12">
        <f t="shared" si="60"/>
        <v>9415000</v>
      </c>
      <c r="I276" s="14">
        <f t="shared" si="57"/>
        <v>1.7500000000000002E-2</v>
      </c>
      <c r="J276" s="112">
        <f t="shared" si="58"/>
        <v>457.6736111111112</v>
      </c>
      <c r="K276" s="13">
        <f t="shared" si="59"/>
        <v>350948.71527777828</v>
      </c>
      <c r="M276" s="11" t="s">
        <v>7</v>
      </c>
      <c r="N276" s="12">
        <f t="shared" si="41"/>
        <v>12000000</v>
      </c>
      <c r="O276" s="97">
        <f t="shared" si="42"/>
        <v>2.1698630136986304E-2</v>
      </c>
      <c r="P276" s="112">
        <f t="shared" si="44"/>
        <v>723.28767123287685</v>
      </c>
      <c r="Q276" s="13">
        <f t="shared" si="43"/>
        <v>72197.260273972715</v>
      </c>
      <c r="R276" s="13">
        <f t="shared" si="45"/>
        <v>139.95433789954348</v>
      </c>
      <c r="T276" s="11" t="str">
        <f t="shared" si="47"/>
        <v>SG</v>
      </c>
      <c r="U276" s="12">
        <f t="shared" si="48"/>
        <v>20000000</v>
      </c>
      <c r="V276" s="97">
        <f t="shared" si="49"/>
        <v>2.1205479452054792E-2</v>
      </c>
      <c r="W276" s="183">
        <f t="shared" si="50"/>
        <v>1178.0821917808219</v>
      </c>
      <c r="X276" s="13">
        <f t="shared" si="51"/>
        <v>21205.479452054791</v>
      </c>
      <c r="Y276" s="13">
        <f t="shared" si="52"/>
        <v>205.85996955859946</v>
      </c>
      <c r="AA276" s="11"/>
      <c r="AB276" s="98"/>
      <c r="AC276" s="97"/>
      <c r="AD276" s="13"/>
      <c r="AE276" s="13"/>
      <c r="AF276" s="13"/>
      <c r="AH276" s="235"/>
      <c r="AI276" s="236"/>
      <c r="AJ276" s="90"/>
      <c r="AK276" s="91"/>
      <c r="AM276" s="235"/>
      <c r="AN276" s="236"/>
      <c r="AO276" s="90"/>
      <c r="AP276" s="91"/>
      <c r="AR276" s="106">
        <v>205035316.77000001</v>
      </c>
      <c r="AS276" s="565">
        <v>0.02</v>
      </c>
      <c r="AT276" s="565">
        <v>2.1299999999999999E-2</v>
      </c>
      <c r="AU276" s="106">
        <v>8260.9599999999991</v>
      </c>
      <c r="AV276" s="106">
        <v>-1691.66</v>
      </c>
      <c r="AW276" s="19"/>
    </row>
    <row r="277" spans="2:49" x14ac:dyDescent="0.25">
      <c r="B277" s="9" t="str">
        <f t="shared" si="53"/>
        <v>9 2025</v>
      </c>
      <c r="C277" s="142">
        <f t="shared" si="55"/>
        <v>45929</v>
      </c>
      <c r="D277" s="142">
        <f t="shared" si="56"/>
        <v>45930</v>
      </c>
      <c r="E277" s="143">
        <f t="shared" si="54"/>
        <v>1</v>
      </c>
      <c r="F277" s="17"/>
      <c r="G277" s="143" t="s">
        <v>7</v>
      </c>
      <c r="H277" s="144">
        <f t="shared" si="60"/>
        <v>9415000</v>
      </c>
      <c r="I277" s="145">
        <f t="shared" si="57"/>
        <v>1.7500000000000002E-2</v>
      </c>
      <c r="J277" s="321">
        <f t="shared" si="58"/>
        <v>457.6736111111112</v>
      </c>
      <c r="K277" s="146">
        <f t="shared" si="59"/>
        <v>351406.3888888894</v>
      </c>
      <c r="L277" s="17"/>
      <c r="M277" s="143" t="s">
        <v>7</v>
      </c>
      <c r="N277" s="144">
        <f t="shared" si="41"/>
        <v>12000000</v>
      </c>
      <c r="O277" s="145">
        <f t="shared" si="42"/>
        <v>2.1698630136986304E-2</v>
      </c>
      <c r="P277" s="321">
        <f t="shared" si="44"/>
        <v>723.28767123287685</v>
      </c>
      <c r="Q277" s="146">
        <f t="shared" si="43"/>
        <v>72920.547945205588</v>
      </c>
      <c r="R277" s="146">
        <f t="shared" si="45"/>
        <v>139.95433789954348</v>
      </c>
      <c r="S277" s="17"/>
      <c r="T277" s="310" t="str">
        <f t="shared" si="47"/>
        <v>SG</v>
      </c>
      <c r="U277" s="311">
        <f t="shared" si="48"/>
        <v>20000000</v>
      </c>
      <c r="V277" s="312">
        <f t="shared" si="49"/>
        <v>2.1205479452054792E-2</v>
      </c>
      <c r="W277" s="298">
        <f t="shared" si="50"/>
        <v>1178.0821917808219</v>
      </c>
      <c r="X277" s="313">
        <f t="shared" si="51"/>
        <v>22383.561643835612</v>
      </c>
      <c r="Y277" s="313">
        <f t="shared" si="52"/>
        <v>205.85996955859946</v>
      </c>
      <c r="Z277" s="17"/>
      <c r="AA277" s="143"/>
      <c r="AB277" s="144"/>
      <c r="AC277" s="145"/>
      <c r="AD277" s="146"/>
      <c r="AE277" s="146"/>
      <c r="AF277" s="146"/>
      <c r="AG277" s="141"/>
      <c r="AH277" s="234"/>
      <c r="AI277" s="236"/>
      <c r="AJ277" s="90"/>
      <c r="AK277" s="91"/>
      <c r="AM277" s="235"/>
      <c r="AN277" s="236"/>
      <c r="AO277" s="90"/>
      <c r="AP277" s="91"/>
      <c r="AR277" s="106">
        <v>205046952.74000001</v>
      </c>
      <c r="AS277" s="565">
        <v>0.02</v>
      </c>
      <c r="AT277" s="565">
        <v>2.1299999999999999E-2</v>
      </c>
      <c r="AU277" s="106">
        <v>19896.93</v>
      </c>
      <c r="AV277" s="106">
        <v>9944.31</v>
      </c>
      <c r="AW277" s="19"/>
    </row>
    <row r="278" spans="2:49" x14ac:dyDescent="0.25">
      <c r="B278" s="9" t="str">
        <f t="shared" si="53"/>
        <v>10 2025</v>
      </c>
      <c r="C278" s="10">
        <f t="shared" si="55"/>
        <v>45930</v>
      </c>
      <c r="D278" s="10">
        <f t="shared" si="56"/>
        <v>45931</v>
      </c>
      <c r="E278" s="11">
        <f t="shared" si="54"/>
        <v>1</v>
      </c>
      <c r="G278" s="11" t="s">
        <v>7</v>
      </c>
      <c r="H278" s="315">
        <f>H277+30000</f>
        <v>9445000</v>
      </c>
      <c r="I278" s="14">
        <f t="shared" si="57"/>
        <v>1.7500000000000002E-2</v>
      </c>
      <c r="J278" s="183">
        <f t="shared" si="58"/>
        <v>459.13194444444451</v>
      </c>
      <c r="K278" s="13">
        <f t="shared" si="59"/>
        <v>351865.52083333384</v>
      </c>
      <c r="M278" s="11" t="s">
        <v>7</v>
      </c>
      <c r="N278" s="12">
        <f t="shared" si="41"/>
        <v>12000000</v>
      </c>
      <c r="O278" s="97">
        <f t="shared" si="42"/>
        <v>2.1698630136986304E-2</v>
      </c>
      <c r="P278" s="112">
        <f t="shared" si="44"/>
        <v>723.28767123287685</v>
      </c>
      <c r="Q278" s="13">
        <f t="shared" si="43"/>
        <v>73643.83561643846</v>
      </c>
      <c r="R278" s="13">
        <f t="shared" si="45"/>
        <v>139.95433789954348</v>
      </c>
      <c r="T278" s="11" t="str">
        <f t="shared" si="47"/>
        <v>SG</v>
      </c>
      <c r="U278" s="12">
        <f t="shared" si="48"/>
        <v>20000000</v>
      </c>
      <c r="V278" s="97">
        <f t="shared" si="49"/>
        <v>2.1205479452054792E-2</v>
      </c>
      <c r="W278" s="183">
        <f t="shared" si="50"/>
        <v>1178.0821917808219</v>
      </c>
      <c r="X278" s="13">
        <f t="shared" si="51"/>
        <v>23561.643835616433</v>
      </c>
      <c r="Y278" s="13">
        <f t="shared" si="52"/>
        <v>205.85996955859946</v>
      </c>
      <c r="AA278" s="11"/>
      <c r="AB278" s="98"/>
      <c r="AC278" s="97"/>
      <c r="AD278" s="13"/>
      <c r="AE278" s="13"/>
      <c r="AF278" s="13"/>
      <c r="AH278" s="235"/>
      <c r="AI278" s="236"/>
      <c r="AJ278" s="90"/>
      <c r="AK278" s="91"/>
      <c r="AM278" s="235"/>
      <c r="AN278" s="236"/>
      <c r="AO278" s="90"/>
      <c r="AP278" s="91"/>
      <c r="AR278" s="106">
        <v>205080810.66</v>
      </c>
      <c r="AS278" s="565">
        <v>0.02</v>
      </c>
      <c r="AT278" s="565">
        <v>2.1299999999999999E-2</v>
      </c>
      <c r="AU278" s="106">
        <v>12120.33</v>
      </c>
      <c r="AV278" s="106">
        <v>2166.2600000000002</v>
      </c>
      <c r="AW278" s="19"/>
    </row>
    <row r="279" spans="2:49" x14ac:dyDescent="0.25">
      <c r="B279" s="9" t="str">
        <f t="shared" si="53"/>
        <v>10 2025</v>
      </c>
      <c r="C279" s="10">
        <f t="shared" si="55"/>
        <v>45931</v>
      </c>
      <c r="D279" s="10">
        <f t="shared" si="56"/>
        <v>45932</v>
      </c>
      <c r="E279" s="11">
        <f t="shared" si="54"/>
        <v>1</v>
      </c>
      <c r="G279" s="11" t="s">
        <v>7</v>
      </c>
      <c r="H279" s="106">
        <f>H278-2320000</f>
        <v>7125000</v>
      </c>
      <c r="I279" s="14">
        <f t="shared" si="57"/>
        <v>1.7500000000000002E-2</v>
      </c>
      <c r="J279" s="183">
        <f t="shared" si="58"/>
        <v>346.35416666666669</v>
      </c>
      <c r="K279" s="13">
        <f t="shared" si="59"/>
        <v>352211.87500000052</v>
      </c>
      <c r="M279" s="11" t="s">
        <v>7</v>
      </c>
      <c r="N279" s="12">
        <f t="shared" si="41"/>
        <v>12000000</v>
      </c>
      <c r="O279" s="97">
        <f t="shared" si="42"/>
        <v>2.1698630136986304E-2</v>
      </c>
      <c r="P279" s="112">
        <f t="shared" si="44"/>
        <v>723.28767123287685</v>
      </c>
      <c r="Q279" s="13">
        <f t="shared" si="43"/>
        <v>74367.123287671333</v>
      </c>
      <c r="R279" s="13">
        <f t="shared" si="45"/>
        <v>139.95433789954348</v>
      </c>
      <c r="T279" s="11" t="str">
        <f t="shared" si="47"/>
        <v>SG</v>
      </c>
      <c r="U279" s="12">
        <f t="shared" si="48"/>
        <v>20000000</v>
      </c>
      <c r="V279" s="97">
        <f t="shared" si="49"/>
        <v>2.1205479452054792E-2</v>
      </c>
      <c r="W279" s="183">
        <f t="shared" si="50"/>
        <v>1178.0821917808219</v>
      </c>
      <c r="X279" s="13">
        <f t="shared" si="51"/>
        <v>24739.726027397253</v>
      </c>
      <c r="Y279" s="13">
        <f t="shared" si="52"/>
        <v>205.85996955859946</v>
      </c>
      <c r="AA279" s="11"/>
      <c r="AB279" s="98"/>
      <c r="AC279" s="97"/>
      <c r="AD279" s="13"/>
      <c r="AE279" s="13"/>
      <c r="AF279" s="13"/>
      <c r="AH279" s="235"/>
      <c r="AI279" s="236"/>
      <c r="AJ279" s="90"/>
      <c r="AK279" s="91"/>
      <c r="AM279" s="235"/>
      <c r="AN279" s="236"/>
      <c r="AO279" s="90"/>
      <c r="AP279" s="91"/>
      <c r="AR279" s="106">
        <v>202764730.80000001</v>
      </c>
      <c r="AS279" s="565">
        <v>0.02</v>
      </c>
      <c r="AT279" s="565">
        <v>2.1399999999999999E-2</v>
      </c>
      <c r="AU279" s="106">
        <v>12069.78</v>
      </c>
      <c r="AV279" s="106">
        <v>2228.48</v>
      </c>
      <c r="AW279" s="19"/>
    </row>
    <row r="280" spans="2:49" x14ac:dyDescent="0.25">
      <c r="B280" s="9" t="str">
        <f t="shared" si="53"/>
        <v>10 2025</v>
      </c>
      <c r="C280" s="10">
        <f t="shared" si="55"/>
        <v>45932</v>
      </c>
      <c r="D280" s="10">
        <f t="shared" si="56"/>
        <v>45933</v>
      </c>
      <c r="E280" s="11">
        <f t="shared" si="54"/>
        <v>1</v>
      </c>
      <c r="G280" s="11" t="s">
        <v>7</v>
      </c>
      <c r="H280" s="12">
        <f t="shared" si="60"/>
        <v>7125000</v>
      </c>
      <c r="I280" s="14">
        <f t="shared" si="57"/>
        <v>1.7500000000000002E-2</v>
      </c>
      <c r="J280" s="183">
        <f t="shared" si="58"/>
        <v>346.35416666666669</v>
      </c>
      <c r="K280" s="13">
        <f t="shared" si="59"/>
        <v>352558.22916666721</v>
      </c>
      <c r="M280" s="11" t="s">
        <v>7</v>
      </c>
      <c r="N280" s="12">
        <f t="shared" si="41"/>
        <v>12000000</v>
      </c>
      <c r="O280" s="97">
        <f t="shared" si="42"/>
        <v>2.1698630136986304E-2</v>
      </c>
      <c r="P280" s="112">
        <f t="shared" si="44"/>
        <v>723.28767123287685</v>
      </c>
      <c r="Q280" s="13">
        <f t="shared" si="43"/>
        <v>75090.410958904205</v>
      </c>
      <c r="R280" s="13">
        <f t="shared" si="45"/>
        <v>139.95433789954348</v>
      </c>
      <c r="T280" s="11" t="str">
        <f t="shared" si="47"/>
        <v>SG</v>
      </c>
      <c r="U280" s="12">
        <f t="shared" si="48"/>
        <v>20000000</v>
      </c>
      <c r="V280" s="97">
        <f t="shared" si="49"/>
        <v>2.1205479452054792E-2</v>
      </c>
      <c r="W280" s="183">
        <f t="shared" si="50"/>
        <v>1178.0821917808219</v>
      </c>
      <c r="X280" s="13">
        <f t="shared" si="51"/>
        <v>25917.808219178074</v>
      </c>
      <c r="Y280" s="13">
        <f t="shared" si="52"/>
        <v>205.85996955859946</v>
      </c>
      <c r="AA280" s="11"/>
      <c r="AB280" s="98"/>
      <c r="AC280" s="97"/>
      <c r="AD280" s="13"/>
      <c r="AE280" s="13"/>
      <c r="AF280" s="13"/>
      <c r="AH280" s="235"/>
      <c r="AI280" s="236"/>
      <c r="AJ280" s="90"/>
      <c r="AK280" s="91"/>
      <c r="AM280" s="235"/>
      <c r="AN280" s="236"/>
      <c r="AO280" s="90"/>
      <c r="AP280" s="91"/>
      <c r="AR280" s="106">
        <v>202768588.71000001</v>
      </c>
      <c r="AS280" s="565">
        <v>0.02</v>
      </c>
      <c r="AT280" s="565">
        <v>2.1399999999999999E-2</v>
      </c>
      <c r="AU280" s="106">
        <v>12007.56</v>
      </c>
      <c r="AV280" s="106">
        <v>2166.2600000000002</v>
      </c>
      <c r="AW280" s="19"/>
    </row>
    <row r="281" spans="2:49" x14ac:dyDescent="0.25">
      <c r="B281" s="9" t="str">
        <f t="shared" si="53"/>
        <v>10 2025</v>
      </c>
      <c r="C281" s="10">
        <f t="shared" si="55"/>
        <v>45933</v>
      </c>
      <c r="D281" s="10">
        <f t="shared" si="56"/>
        <v>45934</v>
      </c>
      <c r="E281" s="11">
        <f t="shared" si="54"/>
        <v>1</v>
      </c>
      <c r="G281" s="11" t="s">
        <v>7</v>
      </c>
      <c r="H281" s="12">
        <f t="shared" si="60"/>
        <v>7125000</v>
      </c>
      <c r="I281" s="14">
        <f t="shared" si="57"/>
        <v>1.7500000000000002E-2</v>
      </c>
      <c r="J281" s="183">
        <f t="shared" si="58"/>
        <v>346.35416666666669</v>
      </c>
      <c r="K281" s="13">
        <f t="shared" si="59"/>
        <v>352904.5833333339</v>
      </c>
      <c r="M281" s="11" t="s">
        <v>7</v>
      </c>
      <c r="N281" s="12">
        <f t="shared" si="41"/>
        <v>12000000</v>
      </c>
      <c r="O281" s="97">
        <f t="shared" si="42"/>
        <v>2.1698630136986304E-2</v>
      </c>
      <c r="P281" s="112">
        <f t="shared" si="44"/>
        <v>723.28767123287685</v>
      </c>
      <c r="Q281" s="13">
        <f t="shared" si="43"/>
        <v>75813.698630137078</v>
      </c>
      <c r="R281" s="13">
        <f t="shared" si="45"/>
        <v>139.95433789954348</v>
      </c>
      <c r="T281" s="11" t="str">
        <f t="shared" si="47"/>
        <v>SG</v>
      </c>
      <c r="U281" s="12">
        <f t="shared" si="48"/>
        <v>20000000</v>
      </c>
      <c r="V281" s="97">
        <f t="shared" si="49"/>
        <v>2.1205479452054792E-2</v>
      </c>
      <c r="W281" s="183">
        <f t="shared" si="50"/>
        <v>1178.0821917808219</v>
      </c>
      <c r="X281" s="13">
        <f t="shared" si="51"/>
        <v>27095.890410958895</v>
      </c>
      <c r="Y281" s="13">
        <f t="shared" si="52"/>
        <v>205.85996955859946</v>
      </c>
      <c r="AA281" s="11"/>
      <c r="AB281" s="98"/>
      <c r="AC281" s="97"/>
      <c r="AD281" s="13"/>
      <c r="AE281" s="13"/>
      <c r="AF281" s="13"/>
      <c r="AH281" s="235"/>
      <c r="AI281" s="236"/>
      <c r="AJ281" s="90"/>
      <c r="AK281" s="91"/>
      <c r="AM281" s="235"/>
      <c r="AN281" s="236"/>
      <c r="AO281" s="90"/>
      <c r="AP281" s="91"/>
      <c r="AR281" s="106">
        <v>202772508.84999999</v>
      </c>
      <c r="AS281" s="565">
        <v>0.02</v>
      </c>
      <c r="AT281" s="565">
        <v>2.1399999999999999E-2</v>
      </c>
      <c r="AU281" s="106">
        <v>12069.78</v>
      </c>
      <c r="AV281" s="106">
        <v>2228.48</v>
      </c>
      <c r="AW281" s="19"/>
    </row>
    <row r="282" spans="2:49" x14ac:dyDescent="0.25">
      <c r="B282" s="9" t="str">
        <f t="shared" si="53"/>
        <v>10 2025</v>
      </c>
      <c r="C282" s="10">
        <f t="shared" si="55"/>
        <v>45934</v>
      </c>
      <c r="D282" s="10">
        <f t="shared" si="56"/>
        <v>45935</v>
      </c>
      <c r="E282" s="11">
        <f t="shared" si="54"/>
        <v>1</v>
      </c>
      <c r="G282" s="11" t="s">
        <v>7</v>
      </c>
      <c r="H282" s="12">
        <f t="shared" si="60"/>
        <v>7125000</v>
      </c>
      <c r="I282" s="14">
        <f t="shared" si="57"/>
        <v>1.7500000000000002E-2</v>
      </c>
      <c r="J282" s="183">
        <f t="shared" si="58"/>
        <v>346.35416666666669</v>
      </c>
      <c r="K282" s="13">
        <f t="shared" si="59"/>
        <v>353250.93750000058</v>
      </c>
      <c r="M282" s="11" t="s">
        <v>7</v>
      </c>
      <c r="N282" s="12">
        <f t="shared" si="41"/>
        <v>12000000</v>
      </c>
      <c r="O282" s="97">
        <f t="shared" si="42"/>
        <v>2.1698630136986304E-2</v>
      </c>
      <c r="P282" s="112">
        <f t="shared" si="44"/>
        <v>723.28767123287685</v>
      </c>
      <c r="Q282" s="13">
        <f t="shared" si="43"/>
        <v>76536.986301369951</v>
      </c>
      <c r="R282" s="13">
        <f t="shared" si="45"/>
        <v>139.95433789954348</v>
      </c>
      <c r="T282" s="11" t="str">
        <f t="shared" si="47"/>
        <v>SG</v>
      </c>
      <c r="U282" s="12">
        <f t="shared" si="48"/>
        <v>20000000</v>
      </c>
      <c r="V282" s="97">
        <f t="shared" si="49"/>
        <v>2.1205479452054792E-2</v>
      </c>
      <c r="W282" s="183">
        <f t="shared" si="50"/>
        <v>1178.0821917808219</v>
      </c>
      <c r="X282" s="13">
        <f t="shared" si="51"/>
        <v>28273.972602739716</v>
      </c>
      <c r="Y282" s="13">
        <f t="shared" si="52"/>
        <v>205.85996955859946</v>
      </c>
      <c r="AA282" s="11"/>
      <c r="AB282" s="98"/>
      <c r="AC282" s="97"/>
      <c r="AD282" s="13"/>
      <c r="AE282" s="13"/>
      <c r="AF282" s="13"/>
      <c r="AH282" s="235"/>
      <c r="AI282" s="236"/>
      <c r="AJ282" s="90"/>
      <c r="AK282" s="91"/>
      <c r="AM282" s="235"/>
      <c r="AN282" s="236"/>
      <c r="AO282" s="90"/>
      <c r="AP282" s="91"/>
      <c r="AR282" s="106">
        <v>202772508.84999999</v>
      </c>
      <c r="AS282" s="565">
        <v>0.02</v>
      </c>
      <c r="AT282" s="565">
        <v>2.1399999999999999E-2</v>
      </c>
      <c r="AU282" s="106">
        <v>8149.64</v>
      </c>
      <c r="AV282" s="106">
        <v>-1691.66</v>
      </c>
      <c r="AW282" s="19"/>
    </row>
    <row r="283" spans="2:49" x14ac:dyDescent="0.25">
      <c r="B283" s="9" t="str">
        <f t="shared" si="53"/>
        <v>10 2025</v>
      </c>
      <c r="C283" s="10">
        <f t="shared" si="55"/>
        <v>45935</v>
      </c>
      <c r="D283" s="10">
        <f t="shared" si="56"/>
        <v>45936</v>
      </c>
      <c r="E283" s="11">
        <f t="shared" si="54"/>
        <v>1</v>
      </c>
      <c r="G283" s="11" t="s">
        <v>7</v>
      </c>
      <c r="H283" s="12">
        <f t="shared" si="60"/>
        <v>7125000</v>
      </c>
      <c r="I283" s="14">
        <f t="shared" si="57"/>
        <v>1.7500000000000002E-2</v>
      </c>
      <c r="J283" s="183">
        <f t="shared" si="58"/>
        <v>346.35416666666669</v>
      </c>
      <c r="K283" s="13">
        <f t="shared" si="59"/>
        <v>353597.29166666727</v>
      </c>
      <c r="M283" s="11" t="s">
        <v>7</v>
      </c>
      <c r="N283" s="12">
        <f t="shared" si="41"/>
        <v>12000000</v>
      </c>
      <c r="O283" s="97">
        <f t="shared" si="42"/>
        <v>2.1698630136986304E-2</v>
      </c>
      <c r="P283" s="112">
        <f t="shared" si="44"/>
        <v>723.28767123287685</v>
      </c>
      <c r="Q283" s="13">
        <f t="shared" si="43"/>
        <v>77260.273972602823</v>
      </c>
      <c r="R283" s="13">
        <f t="shared" si="45"/>
        <v>139.95433789954348</v>
      </c>
      <c r="T283" s="11" t="str">
        <f t="shared" si="47"/>
        <v>SG</v>
      </c>
      <c r="U283" s="12">
        <f t="shared" si="48"/>
        <v>20000000</v>
      </c>
      <c r="V283" s="97">
        <f t="shared" si="49"/>
        <v>2.1205479452054792E-2</v>
      </c>
      <c r="W283" s="183">
        <f t="shared" si="50"/>
        <v>1178.0821917808219</v>
      </c>
      <c r="X283" s="13">
        <f t="shared" si="51"/>
        <v>29452.054794520536</v>
      </c>
      <c r="Y283" s="13">
        <f t="shared" si="52"/>
        <v>205.85996955859946</v>
      </c>
      <c r="AA283" s="11"/>
      <c r="AB283" s="98"/>
      <c r="AC283" s="97"/>
      <c r="AD283" s="13"/>
      <c r="AE283" s="13"/>
      <c r="AF283" s="13"/>
      <c r="AH283" s="235"/>
      <c r="AI283" s="236"/>
      <c r="AJ283" s="90"/>
      <c r="AK283" s="91"/>
      <c r="AM283" s="235"/>
      <c r="AN283" s="236"/>
      <c r="AO283" s="90"/>
      <c r="AP283" s="91"/>
      <c r="AR283" s="106">
        <v>107772508.84999999</v>
      </c>
      <c r="AS283" s="565">
        <v>0.02</v>
      </c>
      <c r="AT283" s="565">
        <v>2.1499999999999998E-2</v>
      </c>
      <c r="AU283" s="106">
        <v>2543.08</v>
      </c>
      <c r="AV283" s="106">
        <v>-2680.17</v>
      </c>
      <c r="AW283" s="19"/>
    </row>
    <row r="284" spans="2:49" x14ac:dyDescent="0.25">
      <c r="B284" s="9" t="str">
        <f t="shared" si="53"/>
        <v>10 2025</v>
      </c>
      <c r="C284" s="10">
        <f t="shared" si="55"/>
        <v>45936</v>
      </c>
      <c r="D284" s="10">
        <f t="shared" si="56"/>
        <v>45937</v>
      </c>
      <c r="E284" s="11">
        <f t="shared" si="54"/>
        <v>1</v>
      </c>
      <c r="G284" s="11" t="s">
        <v>7</v>
      </c>
      <c r="H284" s="106">
        <f>H283+95180000</f>
        <v>102305000</v>
      </c>
      <c r="I284" s="14">
        <f t="shared" si="57"/>
        <v>1.7500000000000002E-2</v>
      </c>
      <c r="J284" s="183">
        <f t="shared" si="58"/>
        <v>4973.1597222222226</v>
      </c>
      <c r="K284" s="13">
        <f t="shared" si="59"/>
        <v>358570.45138888952</v>
      </c>
      <c r="M284" s="11" t="s">
        <v>7</v>
      </c>
      <c r="N284" s="12">
        <f t="shared" si="41"/>
        <v>12000000</v>
      </c>
      <c r="O284" s="97">
        <f t="shared" si="42"/>
        <v>2.1698630136986304E-2</v>
      </c>
      <c r="P284" s="183">
        <f t="shared" si="44"/>
        <v>723.28767123287685</v>
      </c>
      <c r="Q284" s="13">
        <f t="shared" si="43"/>
        <v>77983.561643835696</v>
      </c>
      <c r="R284" s="13">
        <f t="shared" si="45"/>
        <v>139.95433789954348</v>
      </c>
      <c r="T284" s="11" t="str">
        <f t="shared" si="47"/>
        <v>SG</v>
      </c>
      <c r="U284" s="12">
        <f t="shared" si="48"/>
        <v>20000000</v>
      </c>
      <c r="V284" s="97">
        <f t="shared" si="49"/>
        <v>2.1205479452054792E-2</v>
      </c>
      <c r="W284" s="183">
        <f t="shared" si="50"/>
        <v>1178.0821917808219</v>
      </c>
      <c r="X284" s="13">
        <f t="shared" si="51"/>
        <v>30630.136986301357</v>
      </c>
      <c r="Y284" s="13">
        <f t="shared" si="52"/>
        <v>205.85996955859946</v>
      </c>
      <c r="AA284" s="11"/>
      <c r="AB284" s="98"/>
      <c r="AC284" s="97"/>
      <c r="AD284" s="13"/>
      <c r="AE284" s="13"/>
      <c r="AF284" s="13"/>
      <c r="AH284" s="235"/>
      <c r="AI284" s="236"/>
      <c r="AJ284" s="90"/>
      <c r="AK284" s="91"/>
      <c r="AM284" s="235"/>
      <c r="AN284" s="236"/>
      <c r="AO284" s="90"/>
      <c r="AP284" s="91"/>
      <c r="AR284" s="106">
        <v>202964082.59999999</v>
      </c>
      <c r="AS284" s="565">
        <v>0.02</v>
      </c>
      <c r="AT284" s="565">
        <v>1.9599999999999999E-2</v>
      </c>
      <c r="AU284" s="106">
        <v>18743.63</v>
      </c>
      <c r="AV284" s="106">
        <v>8893.58</v>
      </c>
      <c r="AW284" s="19"/>
    </row>
    <row r="285" spans="2:49" x14ac:dyDescent="0.25">
      <c r="B285" s="9" t="str">
        <f t="shared" si="53"/>
        <v>10 2025</v>
      </c>
      <c r="C285" s="10">
        <f t="shared" si="55"/>
        <v>45937</v>
      </c>
      <c r="D285" s="10">
        <f t="shared" si="56"/>
        <v>45938</v>
      </c>
      <c r="E285" s="11">
        <f t="shared" si="54"/>
        <v>1</v>
      </c>
      <c r="G285" s="11" t="s">
        <v>7</v>
      </c>
      <c r="H285" s="12">
        <f t="shared" si="60"/>
        <v>102305000</v>
      </c>
      <c r="I285" s="14">
        <f t="shared" si="57"/>
        <v>1.7500000000000002E-2</v>
      </c>
      <c r="J285" s="183">
        <f t="shared" si="58"/>
        <v>4973.1597222222226</v>
      </c>
      <c r="K285" s="13">
        <f t="shared" si="59"/>
        <v>363543.61111111176</v>
      </c>
      <c r="M285" s="11" t="s">
        <v>7</v>
      </c>
      <c r="N285" s="12">
        <f t="shared" si="41"/>
        <v>12000000</v>
      </c>
      <c r="O285" s="97">
        <f t="shared" si="42"/>
        <v>2.1698630136986304E-2</v>
      </c>
      <c r="P285" s="183">
        <f t="shared" si="44"/>
        <v>723.28767123287685</v>
      </c>
      <c r="Q285" s="13">
        <f t="shared" si="43"/>
        <v>78706.849315068568</v>
      </c>
      <c r="R285" s="13">
        <f t="shared" si="45"/>
        <v>139.95433789954348</v>
      </c>
      <c r="T285" s="11" t="str">
        <f t="shared" si="47"/>
        <v>SG</v>
      </c>
      <c r="U285" s="12">
        <f t="shared" si="48"/>
        <v>20000000</v>
      </c>
      <c r="V285" s="97">
        <f t="shared" si="49"/>
        <v>2.1205479452054792E-2</v>
      </c>
      <c r="W285" s="183">
        <f t="shared" si="50"/>
        <v>1178.0821917808219</v>
      </c>
      <c r="X285" s="13">
        <f t="shared" si="51"/>
        <v>31808.219178082178</v>
      </c>
      <c r="Y285" s="13">
        <f t="shared" si="52"/>
        <v>205.85996955859946</v>
      </c>
      <c r="AA285" s="11"/>
      <c r="AB285" s="98"/>
      <c r="AC285" s="97"/>
      <c r="AD285" s="13"/>
      <c r="AE285" s="13"/>
      <c r="AF285" s="13"/>
      <c r="AH285" s="235"/>
      <c r="AI285" s="236"/>
      <c r="AJ285" s="90"/>
      <c r="AK285" s="91"/>
      <c r="AM285" s="235"/>
      <c r="AN285" s="236"/>
      <c r="AO285" s="90"/>
      <c r="AP285" s="91"/>
      <c r="AR285" s="106">
        <v>202967940.50999999</v>
      </c>
      <c r="AS285" s="565">
        <v>0.02</v>
      </c>
      <c r="AT285" s="565">
        <v>1.9599999999999999E-2</v>
      </c>
      <c r="AU285" s="106">
        <v>11027.8</v>
      </c>
      <c r="AV285" s="106">
        <v>1177.75</v>
      </c>
      <c r="AW285" s="19"/>
    </row>
    <row r="286" spans="2:49" x14ac:dyDescent="0.25">
      <c r="B286" s="9" t="str">
        <f t="shared" si="53"/>
        <v>10 2025</v>
      </c>
      <c r="C286" s="10">
        <f t="shared" si="55"/>
        <v>45938</v>
      </c>
      <c r="D286" s="10">
        <f t="shared" si="56"/>
        <v>45939</v>
      </c>
      <c r="E286" s="11">
        <f t="shared" si="54"/>
        <v>1</v>
      </c>
      <c r="G286" s="11" t="s">
        <v>7</v>
      </c>
      <c r="H286" s="12">
        <f t="shared" si="60"/>
        <v>102305000</v>
      </c>
      <c r="I286" s="14">
        <f t="shared" si="57"/>
        <v>1.7500000000000002E-2</v>
      </c>
      <c r="J286" s="183">
        <f t="shared" si="58"/>
        <v>4973.1597222222226</v>
      </c>
      <c r="K286" s="13">
        <f t="shared" si="59"/>
        <v>368516.77083333401</v>
      </c>
      <c r="M286" s="11" t="s">
        <v>7</v>
      </c>
      <c r="N286" s="12">
        <f t="shared" si="41"/>
        <v>12000000</v>
      </c>
      <c r="O286" s="97">
        <f t="shared" si="42"/>
        <v>2.1698630136986304E-2</v>
      </c>
      <c r="P286" s="183">
        <f t="shared" ref="P286:P317" si="61">O286*N286*E286/360</f>
        <v>723.28767123287685</v>
      </c>
      <c r="Q286" s="13">
        <f t="shared" si="43"/>
        <v>79430.136986301441</v>
      </c>
      <c r="R286" s="13">
        <f t="shared" ref="R286:R317" si="62">P286-(+N286*I286*$E286/360)</f>
        <v>139.95433789954348</v>
      </c>
      <c r="T286" s="11" t="str">
        <f t="shared" si="47"/>
        <v>SG</v>
      </c>
      <c r="U286" s="12">
        <f t="shared" si="48"/>
        <v>20000000</v>
      </c>
      <c r="V286" s="97">
        <f t="shared" si="49"/>
        <v>2.1205479452054792E-2</v>
      </c>
      <c r="W286" s="183">
        <f t="shared" si="50"/>
        <v>1178.0821917808219</v>
      </c>
      <c r="X286" s="13">
        <f t="shared" si="51"/>
        <v>32986.301369863002</v>
      </c>
      <c r="Y286" s="13">
        <f t="shared" si="52"/>
        <v>205.85996955859946</v>
      </c>
      <c r="AA286" s="11"/>
      <c r="AB286" s="98"/>
      <c r="AC286" s="97"/>
      <c r="AD286" s="13"/>
      <c r="AE286" s="13"/>
      <c r="AF286" s="13"/>
      <c r="AH286" s="235"/>
      <c r="AI286" s="236"/>
      <c r="AJ286" s="90"/>
      <c r="AK286" s="91"/>
      <c r="AM286" s="235"/>
      <c r="AN286" s="236"/>
      <c r="AO286" s="90"/>
      <c r="AP286" s="91"/>
      <c r="AR286" s="106">
        <v>202971860.65000001</v>
      </c>
      <c r="AS286" s="565">
        <v>0.02</v>
      </c>
      <c r="AT286" s="565">
        <v>1.9599999999999999E-2</v>
      </c>
      <c r="AU286" s="106">
        <v>11090.03</v>
      </c>
      <c r="AV286" s="106">
        <v>1239.97</v>
      </c>
      <c r="AW286" s="19"/>
    </row>
    <row r="287" spans="2:49" x14ac:dyDescent="0.25">
      <c r="B287" s="9" t="str">
        <f t="shared" si="53"/>
        <v>10 2025</v>
      </c>
      <c r="C287" s="10">
        <f t="shared" si="55"/>
        <v>45939</v>
      </c>
      <c r="D287" s="10">
        <f t="shared" si="56"/>
        <v>45940</v>
      </c>
      <c r="E287" s="11">
        <f t="shared" si="54"/>
        <v>1</v>
      </c>
      <c r="G287" s="11" t="s">
        <v>7</v>
      </c>
      <c r="H287" s="12">
        <f t="shared" si="60"/>
        <v>102305000</v>
      </c>
      <c r="I287" s="14">
        <f t="shared" si="57"/>
        <v>1.7500000000000002E-2</v>
      </c>
      <c r="J287" s="183">
        <f t="shared" si="58"/>
        <v>4973.1597222222226</v>
      </c>
      <c r="K287" s="13">
        <f t="shared" si="59"/>
        <v>373489.93055555626</v>
      </c>
      <c r="M287" s="11" t="s">
        <v>7</v>
      </c>
      <c r="N287" s="12">
        <f t="shared" si="41"/>
        <v>12000000</v>
      </c>
      <c r="O287" s="97">
        <f t="shared" si="42"/>
        <v>2.1698630136986304E-2</v>
      </c>
      <c r="P287" s="183">
        <f t="shared" si="61"/>
        <v>723.28767123287685</v>
      </c>
      <c r="Q287" s="13">
        <f t="shared" si="43"/>
        <v>80153.424657534313</v>
      </c>
      <c r="R287" s="13">
        <f t="shared" si="62"/>
        <v>139.95433789954348</v>
      </c>
      <c r="T287" s="11" t="str">
        <f t="shared" si="47"/>
        <v>SG</v>
      </c>
      <c r="U287" s="12">
        <f t="shared" si="48"/>
        <v>20000000</v>
      </c>
      <c r="V287" s="97">
        <f t="shared" si="49"/>
        <v>2.1205479452054792E-2</v>
      </c>
      <c r="W287" s="183">
        <f t="shared" si="50"/>
        <v>1178.0821917808219</v>
      </c>
      <c r="X287" s="13">
        <f t="shared" si="51"/>
        <v>34164.383561643823</v>
      </c>
      <c r="Y287" s="13">
        <f t="shared" si="52"/>
        <v>205.85996955859946</v>
      </c>
      <c r="AA287" s="11"/>
      <c r="AB287" s="98"/>
      <c r="AC287" s="97"/>
      <c r="AD287" s="13"/>
      <c r="AE287" s="13"/>
      <c r="AF287" s="13"/>
      <c r="AH287" s="235"/>
      <c r="AI287" s="236"/>
      <c r="AJ287" s="90"/>
      <c r="AK287" s="91"/>
      <c r="AM287" s="235">
        <f>'codeis €'!Z287</f>
        <v>0</v>
      </c>
      <c r="AN287" s="236">
        <f>'codeis €'!AF287</f>
        <v>0</v>
      </c>
      <c r="AO287" s="90">
        <f>'codeis €'!AC287</f>
        <v>0</v>
      </c>
      <c r="AP287" s="91">
        <f>'codeis €'!AI287</f>
        <v>0</v>
      </c>
      <c r="AR287" s="106">
        <v>202975718.56999999</v>
      </c>
      <c r="AS287" s="565">
        <v>0.02</v>
      </c>
      <c r="AT287" s="565">
        <v>1.9599999999999999E-2</v>
      </c>
      <c r="AU287" s="106">
        <v>11027.8</v>
      </c>
      <c r="AV287" s="106">
        <v>1177.75</v>
      </c>
      <c r="AW287" s="19"/>
    </row>
    <row r="288" spans="2:49" x14ac:dyDescent="0.25">
      <c r="B288" s="9" t="str">
        <f t="shared" si="53"/>
        <v>10 2025</v>
      </c>
      <c r="C288" s="10">
        <f t="shared" si="55"/>
        <v>45940</v>
      </c>
      <c r="D288" s="10">
        <f t="shared" si="56"/>
        <v>45941</v>
      </c>
      <c r="E288" s="11">
        <f t="shared" si="54"/>
        <v>1</v>
      </c>
      <c r="G288" s="11" t="s">
        <v>7</v>
      </c>
      <c r="H288" s="106">
        <f>H287-89290000</f>
        <v>13015000</v>
      </c>
      <c r="I288" s="14">
        <f t="shared" si="57"/>
        <v>1.7500000000000002E-2</v>
      </c>
      <c r="J288" s="183">
        <f t="shared" si="58"/>
        <v>632.6736111111112</v>
      </c>
      <c r="K288" s="13">
        <f t="shared" si="59"/>
        <v>374122.60416666738</v>
      </c>
      <c r="M288" s="11" t="s">
        <v>7</v>
      </c>
      <c r="N288" s="12">
        <f t="shared" ref="N288:N351" si="63">N287</f>
        <v>12000000</v>
      </c>
      <c r="O288" s="97">
        <f t="shared" ref="O288:O351" si="64">O287</f>
        <v>2.1698630136986304E-2</v>
      </c>
      <c r="P288" s="183">
        <f t="shared" si="61"/>
        <v>723.28767123287685</v>
      </c>
      <c r="Q288" s="13">
        <f t="shared" ref="Q288:Q351" si="65">Q287+P288</f>
        <v>80876.712328767186</v>
      </c>
      <c r="R288" s="13">
        <f t="shared" si="62"/>
        <v>139.95433789954348</v>
      </c>
      <c r="T288" s="11" t="str">
        <f t="shared" si="47"/>
        <v>SG</v>
      </c>
      <c r="U288" s="12">
        <f t="shared" si="48"/>
        <v>20000000</v>
      </c>
      <c r="V288" s="97">
        <f t="shared" si="49"/>
        <v>2.1205479452054792E-2</v>
      </c>
      <c r="W288" s="183">
        <f t="shared" si="50"/>
        <v>1178.0821917808219</v>
      </c>
      <c r="X288" s="13">
        <f t="shared" si="51"/>
        <v>35342.465753424643</v>
      </c>
      <c r="Y288" s="13">
        <f t="shared" si="52"/>
        <v>205.85996955859946</v>
      </c>
      <c r="AA288" s="11"/>
      <c r="AB288" s="98"/>
      <c r="AC288" s="97"/>
      <c r="AD288" s="13"/>
      <c r="AE288" s="13"/>
      <c r="AF288" s="13"/>
      <c r="AH288" s="235"/>
      <c r="AI288" s="236"/>
      <c r="AJ288" s="90"/>
      <c r="AK288" s="91"/>
      <c r="AM288" s="235">
        <f>'codeis €'!Z288</f>
        <v>88037892.800000012</v>
      </c>
      <c r="AN288" s="236">
        <f>'codeis €'!AF288</f>
        <v>2.0776281006125479E-2</v>
      </c>
      <c r="AO288" s="90">
        <f>'codeis €'!AC288</f>
        <v>0</v>
      </c>
      <c r="AP288" s="91">
        <f>'codeis €'!AI288</f>
        <v>0</v>
      </c>
      <c r="AR288" s="106">
        <v>201727469.28</v>
      </c>
      <c r="AS288" s="565">
        <v>0.02</v>
      </c>
      <c r="AT288" s="565">
        <v>2.1100000000000001E-2</v>
      </c>
      <c r="AU288" s="106">
        <v>6687.31</v>
      </c>
      <c r="AV288" s="106">
        <v>1177.75</v>
      </c>
      <c r="AW288" s="19"/>
    </row>
    <row r="289" spans="2:49" x14ac:dyDescent="0.25">
      <c r="B289" s="9" t="str">
        <f t="shared" si="53"/>
        <v>10 2025</v>
      </c>
      <c r="C289" s="10">
        <f t="shared" si="55"/>
        <v>45941</v>
      </c>
      <c r="D289" s="10">
        <f t="shared" si="56"/>
        <v>45942</v>
      </c>
      <c r="E289" s="11">
        <f t="shared" si="54"/>
        <v>1</v>
      </c>
      <c r="G289" s="11" t="s">
        <v>7</v>
      </c>
      <c r="H289" s="12">
        <f t="shared" si="60"/>
        <v>13015000</v>
      </c>
      <c r="I289" s="14">
        <f t="shared" si="57"/>
        <v>1.7500000000000002E-2</v>
      </c>
      <c r="J289" s="183">
        <f t="shared" si="58"/>
        <v>632.6736111111112</v>
      </c>
      <c r="K289" s="13">
        <f t="shared" si="59"/>
        <v>374755.27777777851</v>
      </c>
      <c r="M289" s="11" t="s">
        <v>7</v>
      </c>
      <c r="N289" s="12">
        <f t="shared" si="63"/>
        <v>12000000</v>
      </c>
      <c r="O289" s="97">
        <f t="shared" si="64"/>
        <v>2.1698630136986304E-2</v>
      </c>
      <c r="P289" s="183">
        <f t="shared" si="61"/>
        <v>723.28767123287685</v>
      </c>
      <c r="Q289" s="13">
        <f t="shared" si="65"/>
        <v>81600.000000000058</v>
      </c>
      <c r="R289" s="13">
        <f t="shared" si="62"/>
        <v>139.95433789954348</v>
      </c>
      <c r="T289" s="11" t="str">
        <f t="shared" si="47"/>
        <v>SG</v>
      </c>
      <c r="U289" s="106">
        <f>U288+35342.47</f>
        <v>20035342.469999999</v>
      </c>
      <c r="V289" s="97">
        <f t="shared" si="49"/>
        <v>2.1205479452054792E-2</v>
      </c>
      <c r="W289" s="112">
        <f t="shared" si="50"/>
        <v>1180.1640085068491</v>
      </c>
      <c r="X289" s="13">
        <f t="shared" si="51"/>
        <v>36522.629761931494</v>
      </c>
      <c r="Y289" s="13">
        <f t="shared" si="52"/>
        <v>206.2237495485158</v>
      </c>
      <c r="AA289" s="11"/>
      <c r="AB289" s="98"/>
      <c r="AC289" s="97"/>
      <c r="AD289" s="13"/>
      <c r="AE289" s="13"/>
      <c r="AF289" s="13"/>
      <c r="AH289" s="235"/>
      <c r="AI289" s="236"/>
      <c r="AJ289" s="90"/>
      <c r="AK289" s="91"/>
      <c r="AM289" s="235">
        <f>'codeis €'!Z289</f>
        <v>88037892.800000012</v>
      </c>
      <c r="AN289" s="236">
        <f>'codeis €'!AF289</f>
        <v>2.0776281006125479E-2</v>
      </c>
      <c r="AO289" s="90">
        <f>'codeis €'!AC289</f>
        <v>0</v>
      </c>
      <c r="AP289" s="91">
        <f>'codeis €'!AI289</f>
        <v>-4279.6197888888892</v>
      </c>
      <c r="AR289" s="106">
        <v>201762811.75</v>
      </c>
      <c r="AS289" s="565">
        <v>0.02</v>
      </c>
      <c r="AT289" s="565">
        <v>2.1100000000000001E-2</v>
      </c>
      <c r="AU289" s="106">
        <v>2831.48</v>
      </c>
      <c r="AV289" s="106">
        <v>-6959.42</v>
      </c>
      <c r="AW289" s="19"/>
    </row>
    <row r="290" spans="2:49" x14ac:dyDescent="0.25">
      <c r="B290" s="9" t="str">
        <f t="shared" si="53"/>
        <v>10 2025</v>
      </c>
      <c r="C290" s="10">
        <f t="shared" si="55"/>
        <v>45942</v>
      </c>
      <c r="D290" s="10">
        <f t="shared" si="56"/>
        <v>45943</v>
      </c>
      <c r="E290" s="11">
        <f t="shared" si="54"/>
        <v>1</v>
      </c>
      <c r="G290" s="11" t="s">
        <v>7</v>
      </c>
      <c r="H290" s="98">
        <f>H289</f>
        <v>13015000</v>
      </c>
      <c r="I290" s="14">
        <f t="shared" si="57"/>
        <v>1.7500000000000002E-2</v>
      </c>
      <c r="J290" s="183">
        <f t="shared" si="58"/>
        <v>632.6736111111112</v>
      </c>
      <c r="K290" s="13">
        <f t="shared" si="59"/>
        <v>375387.95138888963</v>
      </c>
      <c r="M290" s="11" t="s">
        <v>7</v>
      </c>
      <c r="N290" s="12">
        <f t="shared" si="63"/>
        <v>12000000</v>
      </c>
      <c r="O290" s="97">
        <f t="shared" si="64"/>
        <v>2.1698630136986304E-2</v>
      </c>
      <c r="P290" s="183">
        <f t="shared" si="61"/>
        <v>723.28767123287685</v>
      </c>
      <c r="Q290" s="13">
        <f t="shared" si="65"/>
        <v>82323.287671232931</v>
      </c>
      <c r="R290" s="13">
        <f t="shared" si="62"/>
        <v>139.95433789954348</v>
      </c>
      <c r="T290" s="11" t="str">
        <f t="shared" si="47"/>
        <v>SG</v>
      </c>
      <c r="U290" s="12">
        <f t="shared" si="48"/>
        <v>20035342.469999999</v>
      </c>
      <c r="V290" s="97">
        <f t="shared" si="49"/>
        <v>2.1205479452054792E-2</v>
      </c>
      <c r="W290" s="112">
        <f t="shared" si="50"/>
        <v>1180.1640085068491</v>
      </c>
      <c r="X290" s="13">
        <f t="shared" si="51"/>
        <v>37702.793770438344</v>
      </c>
      <c r="Y290" s="13">
        <f t="shared" si="52"/>
        <v>206.2237495485158</v>
      </c>
      <c r="AA290" s="11"/>
      <c r="AB290" s="98"/>
      <c r="AC290" s="97"/>
      <c r="AD290" s="13"/>
      <c r="AE290" s="13"/>
      <c r="AF290" s="13"/>
      <c r="AH290" s="235"/>
      <c r="AI290" s="236"/>
      <c r="AJ290" s="90"/>
      <c r="AK290" s="91"/>
      <c r="AM290" s="235">
        <f>'codeis €'!Z290</f>
        <v>88037892.800000012</v>
      </c>
      <c r="AN290" s="236">
        <f>'codeis €'!AF290</f>
        <v>2.0776281006125479E-2</v>
      </c>
      <c r="AO290" s="90">
        <f>'codeis €'!AC290</f>
        <v>0</v>
      </c>
      <c r="AP290" s="91">
        <f>'codeis €'!AI290</f>
        <v>-4279.6197888888892</v>
      </c>
      <c r="AR290" s="106">
        <v>201762811.75</v>
      </c>
      <c r="AS290" s="565">
        <v>0.02</v>
      </c>
      <c r="AT290" s="565">
        <v>2.1100000000000001E-2</v>
      </c>
      <c r="AU290" s="106">
        <v>2831.48</v>
      </c>
      <c r="AV290" s="106">
        <v>-6959.42</v>
      </c>
      <c r="AW290" s="19"/>
    </row>
    <row r="291" spans="2:49" x14ac:dyDescent="0.25">
      <c r="B291" s="9" t="str">
        <f t="shared" si="53"/>
        <v>10 2025</v>
      </c>
      <c r="C291" s="10">
        <f t="shared" si="55"/>
        <v>45943</v>
      </c>
      <c r="D291" s="10">
        <f t="shared" si="56"/>
        <v>45944</v>
      </c>
      <c r="E291" s="11">
        <f t="shared" si="54"/>
        <v>1</v>
      </c>
      <c r="G291" s="11" t="s">
        <v>7</v>
      </c>
      <c r="H291" s="135">
        <f>H290+30000</f>
        <v>13045000</v>
      </c>
      <c r="I291" s="14">
        <f t="shared" si="57"/>
        <v>1.7500000000000002E-2</v>
      </c>
      <c r="J291" s="183">
        <f t="shared" si="58"/>
        <v>634.13194444444457</v>
      </c>
      <c r="K291" s="13">
        <f t="shared" si="59"/>
        <v>376022.08333333407</v>
      </c>
      <c r="M291" s="11" t="s">
        <v>7</v>
      </c>
      <c r="N291" s="12">
        <f t="shared" si="63"/>
        <v>12000000</v>
      </c>
      <c r="O291" s="97">
        <f t="shared" si="64"/>
        <v>2.1698630136986304E-2</v>
      </c>
      <c r="P291" s="183">
        <f t="shared" si="61"/>
        <v>723.28767123287685</v>
      </c>
      <c r="Q291" s="13">
        <f t="shared" si="65"/>
        <v>83046.575342465803</v>
      </c>
      <c r="R291" s="13">
        <f t="shared" si="62"/>
        <v>139.95433789954348</v>
      </c>
      <c r="T291" s="11" t="str">
        <f t="shared" si="47"/>
        <v>SG</v>
      </c>
      <c r="U291" s="12">
        <f t="shared" si="48"/>
        <v>20035342.469999999</v>
      </c>
      <c r="V291" s="97">
        <f t="shared" si="49"/>
        <v>2.1205479452054792E-2</v>
      </c>
      <c r="W291" s="112">
        <f t="shared" si="50"/>
        <v>1180.1640085068491</v>
      </c>
      <c r="X291" s="13">
        <f t="shared" si="51"/>
        <v>38882.957778945194</v>
      </c>
      <c r="Y291" s="13">
        <f t="shared" si="52"/>
        <v>206.2237495485158</v>
      </c>
      <c r="AA291" s="11"/>
      <c r="AB291" s="98"/>
      <c r="AC291" s="97"/>
      <c r="AD291" s="13"/>
      <c r="AE291" s="13"/>
      <c r="AF291" s="13"/>
      <c r="AH291" s="235"/>
      <c r="AI291" s="236"/>
      <c r="AJ291" s="90"/>
      <c r="AK291" s="91"/>
      <c r="AM291" s="235">
        <f>'codeis €'!Z291</f>
        <v>88053135.300000012</v>
      </c>
      <c r="AN291" s="236">
        <f>'codeis €'!AF291</f>
        <v>2.0776281006125479E-2</v>
      </c>
      <c r="AO291" s="90">
        <f>'codeis €'!AC291</f>
        <v>15242.5</v>
      </c>
      <c r="AP291" s="91">
        <f>'codeis €'!AI291</f>
        <v>10962.880211111111</v>
      </c>
      <c r="AR291" s="106">
        <v>201819690.22</v>
      </c>
      <c r="AS291" s="565">
        <v>0.02</v>
      </c>
      <c r="AT291" s="565">
        <v>2.1100000000000001E-2</v>
      </c>
      <c r="AU291" s="106">
        <v>29711.41</v>
      </c>
      <c r="AV291" s="106">
        <v>19919.05</v>
      </c>
      <c r="AW291" s="19"/>
    </row>
    <row r="292" spans="2:49" x14ac:dyDescent="0.25">
      <c r="B292" s="9" t="str">
        <f t="shared" si="53"/>
        <v>10 2025</v>
      </c>
      <c r="C292" s="10">
        <f t="shared" si="55"/>
        <v>45944</v>
      </c>
      <c r="D292" s="10">
        <f t="shared" si="56"/>
        <v>45945</v>
      </c>
      <c r="E292" s="11">
        <f t="shared" si="54"/>
        <v>1</v>
      </c>
      <c r="G292" s="11" t="s">
        <v>7</v>
      </c>
      <c r="H292" s="12">
        <f t="shared" si="60"/>
        <v>13045000</v>
      </c>
      <c r="I292" s="14">
        <f t="shared" si="57"/>
        <v>1.7500000000000002E-2</v>
      </c>
      <c r="J292" s="183">
        <f t="shared" si="58"/>
        <v>634.13194444444457</v>
      </c>
      <c r="K292" s="13">
        <f t="shared" si="59"/>
        <v>376656.21527777851</v>
      </c>
      <c r="M292" s="11" t="s">
        <v>7</v>
      </c>
      <c r="N292" s="12">
        <f t="shared" si="63"/>
        <v>12000000</v>
      </c>
      <c r="O292" s="97">
        <f t="shared" si="64"/>
        <v>2.1698630136986304E-2</v>
      </c>
      <c r="P292" s="183">
        <f t="shared" si="61"/>
        <v>723.28767123287685</v>
      </c>
      <c r="Q292" s="13">
        <f t="shared" si="65"/>
        <v>83769.863013698676</v>
      </c>
      <c r="R292" s="13">
        <f t="shared" si="62"/>
        <v>139.95433789954348</v>
      </c>
      <c r="T292" s="11" t="str">
        <f t="shared" si="47"/>
        <v>SG</v>
      </c>
      <c r="U292" s="12">
        <f t="shared" si="48"/>
        <v>20035342.469999999</v>
      </c>
      <c r="V292" s="97">
        <f t="shared" si="49"/>
        <v>2.1205479452054792E-2</v>
      </c>
      <c r="W292" s="112">
        <f t="shared" si="50"/>
        <v>1180.1640085068491</v>
      </c>
      <c r="X292" s="13">
        <f t="shared" si="51"/>
        <v>40063.121787452044</v>
      </c>
      <c r="Y292" s="13">
        <f t="shared" si="52"/>
        <v>206.2237495485158</v>
      </c>
      <c r="AA292" s="11"/>
      <c r="AB292" s="98"/>
      <c r="AC292" s="97"/>
      <c r="AD292" s="13"/>
      <c r="AE292" s="13"/>
      <c r="AF292" s="13"/>
      <c r="AH292" s="235"/>
      <c r="AI292" s="236"/>
      <c r="AJ292" s="90"/>
      <c r="AK292" s="91"/>
      <c r="AM292" s="235">
        <f>'codeis €'!Z292</f>
        <v>88058187.100000009</v>
      </c>
      <c r="AN292" s="236">
        <f>'codeis €'!AF292</f>
        <v>2.0776281006125479E-2</v>
      </c>
      <c r="AO292" s="90">
        <f>'codeis €'!AC292</f>
        <v>5051.7999999970198</v>
      </c>
      <c r="AP292" s="91">
        <f>'codeis €'!AI292</f>
        <v>772.18021110813061</v>
      </c>
      <c r="AR292" s="106">
        <v>201828662.16</v>
      </c>
      <c r="AS292" s="565">
        <v>0.02</v>
      </c>
      <c r="AT292" s="565">
        <v>2.1100000000000001E-2</v>
      </c>
      <c r="AU292" s="106">
        <v>11804.88</v>
      </c>
      <c r="AV292" s="106">
        <v>2012.52</v>
      </c>
      <c r="AW292" s="19"/>
    </row>
    <row r="293" spans="2:49" x14ac:dyDescent="0.25">
      <c r="B293" s="9" t="str">
        <f t="shared" si="53"/>
        <v>10 2025</v>
      </c>
      <c r="C293" s="10">
        <f t="shared" si="55"/>
        <v>45945</v>
      </c>
      <c r="D293" s="10">
        <f t="shared" si="56"/>
        <v>45946</v>
      </c>
      <c r="E293" s="11">
        <f t="shared" si="54"/>
        <v>1</v>
      </c>
      <c r="G293" s="11" t="s">
        <v>7</v>
      </c>
      <c r="H293" s="135">
        <f>H292-1560000</f>
        <v>11485000</v>
      </c>
      <c r="I293" s="14">
        <f t="shared" si="57"/>
        <v>1.7500000000000002E-2</v>
      </c>
      <c r="J293" s="183">
        <f t="shared" si="58"/>
        <v>558.2986111111112</v>
      </c>
      <c r="K293" s="13">
        <f t="shared" si="59"/>
        <v>377214.51388888963</v>
      </c>
      <c r="M293" s="11" t="s">
        <v>7</v>
      </c>
      <c r="N293" s="12">
        <f t="shared" si="63"/>
        <v>12000000</v>
      </c>
      <c r="O293" s="97">
        <f t="shared" si="64"/>
        <v>2.1698630136986304E-2</v>
      </c>
      <c r="P293" s="183">
        <f t="shared" si="61"/>
        <v>723.28767123287685</v>
      </c>
      <c r="Q293" s="13">
        <f t="shared" si="65"/>
        <v>84493.150684931548</v>
      </c>
      <c r="R293" s="13">
        <f t="shared" si="62"/>
        <v>139.95433789954348</v>
      </c>
      <c r="T293" s="11" t="str">
        <f t="shared" si="47"/>
        <v>SG</v>
      </c>
      <c r="U293" s="12">
        <f t="shared" si="48"/>
        <v>20035342.469999999</v>
      </c>
      <c r="V293" s="97">
        <f t="shared" si="49"/>
        <v>2.1205479452054792E-2</v>
      </c>
      <c r="W293" s="112">
        <f t="shared" si="50"/>
        <v>1180.1640085068491</v>
      </c>
      <c r="X293" s="13">
        <f t="shared" si="51"/>
        <v>41243.285795958895</v>
      </c>
      <c r="Y293" s="13">
        <f t="shared" si="52"/>
        <v>206.2237495485158</v>
      </c>
      <c r="AA293" s="11"/>
      <c r="AB293" s="98"/>
      <c r="AC293" s="97"/>
      <c r="AD293" s="13"/>
      <c r="AE293" s="13"/>
      <c r="AF293" s="13"/>
      <c r="AH293" s="235"/>
      <c r="AI293" s="236"/>
      <c r="AJ293" s="90"/>
      <c r="AK293" s="91"/>
      <c r="AM293" s="235">
        <f>'codeis €'!Z293</f>
        <v>88063238.900000006</v>
      </c>
      <c r="AN293" s="236">
        <f>'codeis €'!AF293</f>
        <v>2.0776281006125479E-2</v>
      </c>
      <c r="AO293" s="90">
        <f>'codeis €'!AC293</f>
        <v>5051.7999999970198</v>
      </c>
      <c r="AP293" s="91">
        <f>'codeis €'!AI293</f>
        <v>772.18021110813061</v>
      </c>
      <c r="AR293" s="106">
        <v>200277571.88</v>
      </c>
      <c r="AS293" s="565">
        <v>0.02</v>
      </c>
      <c r="AT293" s="565">
        <v>2.1100000000000001E-2</v>
      </c>
      <c r="AU293" s="106">
        <v>11666.82</v>
      </c>
      <c r="AV293" s="106">
        <v>1950.29</v>
      </c>
      <c r="AW293" s="19"/>
    </row>
    <row r="294" spans="2:49" x14ac:dyDescent="0.25">
      <c r="B294" s="9" t="str">
        <f t="shared" si="53"/>
        <v>10 2025</v>
      </c>
      <c r="C294" s="10">
        <f t="shared" si="55"/>
        <v>45946</v>
      </c>
      <c r="D294" s="10">
        <f t="shared" si="56"/>
        <v>45947</v>
      </c>
      <c r="E294" s="11">
        <f t="shared" si="54"/>
        <v>1</v>
      </c>
      <c r="G294" s="11" t="s">
        <v>7</v>
      </c>
      <c r="H294" s="12">
        <f t="shared" si="60"/>
        <v>11485000</v>
      </c>
      <c r="I294" s="14">
        <f t="shared" si="57"/>
        <v>1.7500000000000002E-2</v>
      </c>
      <c r="J294" s="183">
        <f t="shared" si="58"/>
        <v>558.2986111111112</v>
      </c>
      <c r="K294" s="13">
        <f t="shared" si="59"/>
        <v>377772.81250000076</v>
      </c>
      <c r="M294" s="11" t="s">
        <v>7</v>
      </c>
      <c r="N294" s="12">
        <f t="shared" si="63"/>
        <v>12000000</v>
      </c>
      <c r="O294" s="97">
        <f t="shared" si="64"/>
        <v>2.1698630136986304E-2</v>
      </c>
      <c r="P294" s="183">
        <f t="shared" si="61"/>
        <v>723.28767123287685</v>
      </c>
      <c r="Q294" s="13">
        <f t="shared" si="65"/>
        <v>85216.438356164421</v>
      </c>
      <c r="R294" s="13">
        <f t="shared" si="62"/>
        <v>139.95433789954348</v>
      </c>
      <c r="T294" s="11" t="str">
        <f t="shared" si="47"/>
        <v>SG</v>
      </c>
      <c r="U294" s="12">
        <f t="shared" si="48"/>
        <v>20035342.469999999</v>
      </c>
      <c r="V294" s="97">
        <f t="shared" si="49"/>
        <v>2.1205479452054792E-2</v>
      </c>
      <c r="W294" s="112">
        <f t="shared" si="50"/>
        <v>1180.1640085068491</v>
      </c>
      <c r="X294" s="13">
        <f t="shared" si="51"/>
        <v>42423.449804465745</v>
      </c>
      <c r="Y294" s="13">
        <f t="shared" si="52"/>
        <v>206.2237495485158</v>
      </c>
      <c r="AA294" s="11"/>
      <c r="AB294" s="98"/>
      <c r="AC294" s="97"/>
      <c r="AD294" s="13"/>
      <c r="AE294" s="13"/>
      <c r="AF294" s="13"/>
      <c r="AH294" s="235"/>
      <c r="AI294" s="236"/>
      <c r="AJ294" s="90"/>
      <c r="AK294" s="91"/>
      <c r="AM294" s="235">
        <f>'codeis €'!Z294</f>
        <v>88068377.799999997</v>
      </c>
      <c r="AN294" s="236">
        <f>'codeis €'!AF294</f>
        <v>2.0776281006125479E-2</v>
      </c>
      <c r="AO294" s="90">
        <f>'codeis €'!AC294</f>
        <v>5138.8999999910593</v>
      </c>
      <c r="AP294" s="91">
        <f>'codeis €'!AI294</f>
        <v>859.28021110217014</v>
      </c>
      <c r="AR294" s="106">
        <v>200286568.69</v>
      </c>
      <c r="AS294" s="565">
        <v>0.02</v>
      </c>
      <c r="AT294" s="565">
        <v>2.1100000000000001E-2</v>
      </c>
      <c r="AU294" s="106">
        <v>11753.92</v>
      </c>
      <c r="AV294" s="106">
        <v>2037.39</v>
      </c>
      <c r="AW294" s="19"/>
    </row>
    <row r="295" spans="2:49" x14ac:dyDescent="0.25">
      <c r="B295" s="9" t="str">
        <f t="shared" si="53"/>
        <v>10 2025</v>
      </c>
      <c r="C295" s="10">
        <f t="shared" si="55"/>
        <v>45947</v>
      </c>
      <c r="D295" s="10">
        <f t="shared" si="56"/>
        <v>45948</v>
      </c>
      <c r="E295" s="11">
        <f t="shared" si="54"/>
        <v>1</v>
      </c>
      <c r="G295" s="11" t="s">
        <v>7</v>
      </c>
      <c r="H295" s="12">
        <f t="shared" si="60"/>
        <v>11485000</v>
      </c>
      <c r="I295" s="14">
        <f t="shared" si="57"/>
        <v>1.7500000000000002E-2</v>
      </c>
      <c r="J295" s="183">
        <f t="shared" si="58"/>
        <v>558.2986111111112</v>
      </c>
      <c r="K295" s="13">
        <f t="shared" si="59"/>
        <v>378331.11111111188</v>
      </c>
      <c r="M295" s="11" t="s">
        <v>7</v>
      </c>
      <c r="N295" s="12">
        <f t="shared" si="63"/>
        <v>12000000</v>
      </c>
      <c r="O295" s="97">
        <f t="shared" si="64"/>
        <v>2.1698630136986304E-2</v>
      </c>
      <c r="P295" s="183">
        <f t="shared" si="61"/>
        <v>723.28767123287685</v>
      </c>
      <c r="Q295" s="13">
        <f t="shared" si="65"/>
        <v>85939.726027397293</v>
      </c>
      <c r="R295" s="13">
        <f t="shared" si="62"/>
        <v>139.95433789954348</v>
      </c>
      <c r="T295" s="11" t="str">
        <f t="shared" si="47"/>
        <v>SG</v>
      </c>
      <c r="U295" s="12">
        <f t="shared" si="48"/>
        <v>20035342.469999999</v>
      </c>
      <c r="V295" s="97">
        <f t="shared" si="49"/>
        <v>2.1205479452054792E-2</v>
      </c>
      <c r="W295" s="112">
        <f t="shared" si="50"/>
        <v>1180.1640085068491</v>
      </c>
      <c r="X295" s="13">
        <f t="shared" si="51"/>
        <v>43603.613812972595</v>
      </c>
      <c r="Y295" s="13">
        <f t="shared" si="52"/>
        <v>206.2237495485158</v>
      </c>
      <c r="AA295" s="11"/>
      <c r="AB295" s="98"/>
      <c r="AC295" s="97"/>
      <c r="AD295" s="13"/>
      <c r="AE295" s="13"/>
      <c r="AF295" s="13"/>
      <c r="AH295" s="235"/>
      <c r="AI295" s="236"/>
      <c r="AJ295" s="90"/>
      <c r="AK295" s="91"/>
      <c r="AM295" s="235">
        <f>'codeis €'!Z295</f>
        <v>88073429.599999994</v>
      </c>
      <c r="AN295" s="236">
        <f>'codeis €'!AF295</f>
        <v>2.0776281006125479E-2</v>
      </c>
      <c r="AO295" s="90">
        <f>'codeis €'!AC295</f>
        <v>5051.7999999970198</v>
      </c>
      <c r="AP295" s="91">
        <f>'codeis €'!AI295</f>
        <v>772.18021110813061</v>
      </c>
      <c r="AR295" s="106">
        <v>200295540.63</v>
      </c>
      <c r="AS295" s="565">
        <v>0.02</v>
      </c>
      <c r="AT295" s="565">
        <v>2.1100000000000001E-2</v>
      </c>
      <c r="AU295" s="106">
        <v>11729.05</v>
      </c>
      <c r="AV295" s="106">
        <v>2012.52</v>
      </c>
      <c r="AW295" s="19"/>
    </row>
    <row r="296" spans="2:49" x14ac:dyDescent="0.25">
      <c r="B296" s="9" t="str">
        <f t="shared" si="53"/>
        <v>10 2025</v>
      </c>
      <c r="C296" s="10">
        <f t="shared" si="55"/>
        <v>45948</v>
      </c>
      <c r="D296" s="10">
        <f t="shared" si="56"/>
        <v>45949</v>
      </c>
      <c r="E296" s="11">
        <f t="shared" si="54"/>
        <v>1</v>
      </c>
      <c r="G296" s="11" t="s">
        <v>7</v>
      </c>
      <c r="H296" s="12">
        <f t="shared" si="60"/>
        <v>11485000</v>
      </c>
      <c r="I296" s="14">
        <f t="shared" si="57"/>
        <v>1.7500000000000002E-2</v>
      </c>
      <c r="J296" s="183">
        <f t="shared" si="58"/>
        <v>558.2986111111112</v>
      </c>
      <c r="K296" s="13">
        <f t="shared" si="59"/>
        <v>378889.409722223</v>
      </c>
      <c r="M296" s="11" t="s">
        <v>7</v>
      </c>
      <c r="N296" s="12">
        <f t="shared" si="63"/>
        <v>12000000</v>
      </c>
      <c r="O296" s="97">
        <f t="shared" si="64"/>
        <v>2.1698630136986304E-2</v>
      </c>
      <c r="P296" s="183">
        <f t="shared" si="61"/>
        <v>723.28767123287685</v>
      </c>
      <c r="Q296" s="13">
        <f t="shared" si="65"/>
        <v>86663.013698630166</v>
      </c>
      <c r="R296" s="13">
        <f t="shared" si="62"/>
        <v>139.95433789954348</v>
      </c>
      <c r="T296" s="11" t="str">
        <f t="shared" si="47"/>
        <v>SG</v>
      </c>
      <c r="U296" s="12">
        <f t="shared" si="48"/>
        <v>20035342.469999999</v>
      </c>
      <c r="V296" s="97">
        <f t="shared" si="49"/>
        <v>2.1205479452054792E-2</v>
      </c>
      <c r="W296" s="112">
        <f t="shared" si="50"/>
        <v>1180.1640085068491</v>
      </c>
      <c r="X296" s="13">
        <f t="shared" si="51"/>
        <v>44783.777821479445</v>
      </c>
      <c r="Y296" s="13">
        <f t="shared" si="52"/>
        <v>206.2237495485158</v>
      </c>
      <c r="AA296" s="11"/>
      <c r="AB296" s="98"/>
      <c r="AC296" s="97"/>
      <c r="AD296" s="13"/>
      <c r="AE296" s="13"/>
      <c r="AF296" s="13"/>
      <c r="AH296" s="235"/>
      <c r="AI296" s="236"/>
      <c r="AJ296" s="90"/>
      <c r="AK296" s="91"/>
      <c r="AM296" s="235">
        <f>'codeis €'!Z296</f>
        <v>88073429.599999994</v>
      </c>
      <c r="AN296" s="236">
        <f>'codeis €'!AF296</f>
        <v>2.0776281006125479E-2</v>
      </c>
      <c r="AO296" s="90">
        <f>'codeis €'!AC296</f>
        <v>0</v>
      </c>
      <c r="AP296" s="91">
        <f>'codeis €'!AI296</f>
        <v>-4279.6197888888892</v>
      </c>
      <c r="AR296" s="106">
        <v>200295540.63</v>
      </c>
      <c r="AS296" s="565">
        <v>0.02</v>
      </c>
      <c r="AT296" s="565">
        <v>2.1100000000000001E-2</v>
      </c>
      <c r="AU296" s="106">
        <v>2757.11</v>
      </c>
      <c r="AV296" s="106">
        <v>-6959.42</v>
      </c>
      <c r="AW296" s="19"/>
    </row>
    <row r="297" spans="2:49" x14ac:dyDescent="0.25">
      <c r="B297" s="9" t="str">
        <f t="shared" si="53"/>
        <v>10 2025</v>
      </c>
      <c r="C297" s="10">
        <f t="shared" si="55"/>
        <v>45949</v>
      </c>
      <c r="D297" s="10">
        <f t="shared" si="56"/>
        <v>45950</v>
      </c>
      <c r="E297" s="11">
        <f t="shared" si="54"/>
        <v>1</v>
      </c>
      <c r="G297" s="11" t="s">
        <v>7</v>
      </c>
      <c r="H297" s="12">
        <f t="shared" si="60"/>
        <v>11485000</v>
      </c>
      <c r="I297" s="14">
        <f t="shared" si="57"/>
        <v>1.7500000000000002E-2</v>
      </c>
      <c r="J297" s="183">
        <f t="shared" si="58"/>
        <v>558.2986111111112</v>
      </c>
      <c r="K297" s="13">
        <f t="shared" si="59"/>
        <v>379447.70833333413</v>
      </c>
      <c r="M297" s="11" t="s">
        <v>7</v>
      </c>
      <c r="N297" s="12">
        <f t="shared" si="63"/>
        <v>12000000</v>
      </c>
      <c r="O297" s="97">
        <f t="shared" si="64"/>
        <v>2.1698630136986304E-2</v>
      </c>
      <c r="P297" s="183">
        <f t="shared" si="61"/>
        <v>723.28767123287685</v>
      </c>
      <c r="Q297" s="13">
        <f t="shared" si="65"/>
        <v>87386.301369863038</v>
      </c>
      <c r="R297" s="13">
        <f t="shared" si="62"/>
        <v>139.95433789954348</v>
      </c>
      <c r="T297" s="11" t="str">
        <f t="shared" si="47"/>
        <v>SG</v>
      </c>
      <c r="U297" s="12">
        <f t="shared" si="48"/>
        <v>20035342.469999999</v>
      </c>
      <c r="V297" s="97">
        <f t="shared" si="49"/>
        <v>2.1205479452054792E-2</v>
      </c>
      <c r="W297" s="112">
        <f t="shared" si="50"/>
        <v>1180.1640085068491</v>
      </c>
      <c r="X297" s="13">
        <f t="shared" si="51"/>
        <v>45963.941829986295</v>
      </c>
      <c r="Y297" s="13">
        <f t="shared" si="52"/>
        <v>206.2237495485158</v>
      </c>
      <c r="AA297" s="11"/>
      <c r="AB297" s="98"/>
      <c r="AC297" s="97"/>
      <c r="AD297" s="13"/>
      <c r="AE297" s="13"/>
      <c r="AF297" s="13"/>
      <c r="AH297" s="235"/>
      <c r="AI297" s="236"/>
      <c r="AJ297" s="90"/>
      <c r="AK297" s="91"/>
      <c r="AM297" s="235">
        <f>'codeis €'!Z297</f>
        <v>88073429.599999994</v>
      </c>
      <c r="AN297" s="236">
        <f>'codeis €'!AF297</f>
        <v>2.0776281006125479E-2</v>
      </c>
      <c r="AO297" s="90">
        <f>'codeis €'!AC297</f>
        <v>0</v>
      </c>
      <c r="AP297" s="91">
        <f>'codeis €'!AI297</f>
        <v>-4279.6197888888892</v>
      </c>
      <c r="AR297" s="106">
        <v>200295540.63</v>
      </c>
      <c r="AS297" s="565">
        <v>0.02</v>
      </c>
      <c r="AT297" s="565">
        <v>2.1100000000000001E-2</v>
      </c>
      <c r="AU297" s="106">
        <v>2757.11</v>
      </c>
      <c r="AV297" s="106">
        <v>-6959.42</v>
      </c>
      <c r="AW297" s="19"/>
    </row>
    <row r="298" spans="2:49" x14ac:dyDescent="0.25">
      <c r="B298" s="9" t="str">
        <f t="shared" si="53"/>
        <v>10 2025</v>
      </c>
      <c r="C298" s="10">
        <f t="shared" si="55"/>
        <v>45950</v>
      </c>
      <c r="D298" s="10">
        <f t="shared" si="56"/>
        <v>45951</v>
      </c>
      <c r="E298" s="11">
        <f t="shared" si="54"/>
        <v>1</v>
      </c>
      <c r="G298" s="11" t="s">
        <v>7</v>
      </c>
      <c r="H298" s="12">
        <f t="shared" si="60"/>
        <v>11485000</v>
      </c>
      <c r="I298" s="14">
        <f t="shared" si="57"/>
        <v>1.7500000000000002E-2</v>
      </c>
      <c r="J298" s="183">
        <f t="shared" si="58"/>
        <v>558.2986111111112</v>
      </c>
      <c r="K298" s="13">
        <f t="shared" si="59"/>
        <v>380006.00694444525</v>
      </c>
      <c r="M298" s="11" t="s">
        <v>7</v>
      </c>
      <c r="N298" s="12">
        <f t="shared" si="63"/>
        <v>12000000</v>
      </c>
      <c r="O298" s="97">
        <f t="shared" si="64"/>
        <v>2.1698630136986304E-2</v>
      </c>
      <c r="P298" s="183">
        <f t="shared" si="61"/>
        <v>723.28767123287685</v>
      </c>
      <c r="Q298" s="13">
        <f t="shared" si="65"/>
        <v>88109.589041095911</v>
      </c>
      <c r="R298" s="13">
        <f t="shared" si="62"/>
        <v>139.95433789954348</v>
      </c>
      <c r="T298" s="11" t="str">
        <f t="shared" si="47"/>
        <v>SG</v>
      </c>
      <c r="U298" s="12">
        <f t="shared" si="48"/>
        <v>20035342.469999999</v>
      </c>
      <c r="V298" s="97">
        <f t="shared" si="49"/>
        <v>2.1205479452054792E-2</v>
      </c>
      <c r="W298" s="112">
        <f t="shared" si="50"/>
        <v>1180.1640085068491</v>
      </c>
      <c r="X298" s="13">
        <f t="shared" si="51"/>
        <v>47144.105838493146</v>
      </c>
      <c r="Y298" s="13">
        <f t="shared" si="52"/>
        <v>206.2237495485158</v>
      </c>
      <c r="AA298" s="11"/>
      <c r="AB298" s="98"/>
      <c r="AC298" s="97"/>
      <c r="AD298" s="13"/>
      <c r="AE298" s="13"/>
      <c r="AF298" s="13"/>
      <c r="AH298" s="235"/>
      <c r="AI298" s="236"/>
      <c r="AJ298" s="90"/>
      <c r="AK298" s="91"/>
      <c r="AM298" s="235">
        <f>'codeis €'!Z298</f>
        <v>88088672.099999994</v>
      </c>
      <c r="AN298" s="236">
        <f>'codeis €'!AF298</f>
        <v>2.0776281006125479E-2</v>
      </c>
      <c r="AO298" s="90">
        <f>'codeis €'!AC298</f>
        <v>15242.5</v>
      </c>
      <c r="AP298" s="91">
        <f>'codeis €'!AI298</f>
        <v>10962.880211111111</v>
      </c>
      <c r="AR298" s="106">
        <v>200322419.09999999</v>
      </c>
      <c r="AS298" s="565">
        <v>0.02</v>
      </c>
      <c r="AT298" s="565">
        <v>2.1100000000000001E-2</v>
      </c>
      <c r="AU298" s="106">
        <v>29635.58</v>
      </c>
      <c r="AV298" s="106">
        <v>19919.05</v>
      </c>
      <c r="AW298" s="19"/>
    </row>
    <row r="299" spans="2:49" x14ac:dyDescent="0.25">
      <c r="B299" s="9" t="str">
        <f t="shared" si="53"/>
        <v>10 2025</v>
      </c>
      <c r="C299" s="10">
        <f t="shared" si="55"/>
        <v>45951</v>
      </c>
      <c r="D299" s="10">
        <f t="shared" si="56"/>
        <v>45952</v>
      </c>
      <c r="E299" s="11">
        <f t="shared" si="54"/>
        <v>1</v>
      </c>
      <c r="G299" s="11" t="s">
        <v>7</v>
      </c>
      <c r="H299" s="12">
        <f t="shared" si="60"/>
        <v>11485000</v>
      </c>
      <c r="I299" s="14">
        <f t="shared" si="57"/>
        <v>1.7500000000000002E-2</v>
      </c>
      <c r="J299" s="183">
        <f t="shared" si="58"/>
        <v>558.2986111111112</v>
      </c>
      <c r="K299" s="13">
        <f t="shared" si="59"/>
        <v>380564.30555555638</v>
      </c>
      <c r="M299" s="11" t="s">
        <v>7</v>
      </c>
      <c r="N299" s="12">
        <f t="shared" si="63"/>
        <v>12000000</v>
      </c>
      <c r="O299" s="97">
        <f t="shared" si="64"/>
        <v>2.1698630136986304E-2</v>
      </c>
      <c r="P299" s="183">
        <f t="shared" si="61"/>
        <v>723.28767123287685</v>
      </c>
      <c r="Q299" s="13">
        <f t="shared" si="65"/>
        <v>88832.876712328783</v>
      </c>
      <c r="R299" s="13">
        <f t="shared" si="62"/>
        <v>139.95433789954348</v>
      </c>
      <c r="T299" s="11" t="str">
        <f t="shared" si="47"/>
        <v>SG</v>
      </c>
      <c r="U299" s="12">
        <f t="shared" si="48"/>
        <v>20035342.469999999</v>
      </c>
      <c r="V299" s="97">
        <f t="shared" si="49"/>
        <v>2.1205479452054792E-2</v>
      </c>
      <c r="W299" s="112">
        <f t="shared" si="50"/>
        <v>1180.1640085068491</v>
      </c>
      <c r="X299" s="13">
        <f t="shared" si="51"/>
        <v>48324.269846999996</v>
      </c>
      <c r="Y299" s="13">
        <f t="shared" si="52"/>
        <v>206.2237495485158</v>
      </c>
      <c r="AA299" s="11"/>
      <c r="AB299" s="98"/>
      <c r="AC299" s="97"/>
      <c r="AD299" s="13"/>
      <c r="AE299" s="13"/>
      <c r="AF299" s="13"/>
      <c r="AH299" s="235"/>
      <c r="AI299" s="236"/>
      <c r="AJ299" s="90"/>
      <c r="AK299" s="91"/>
      <c r="AM299" s="235">
        <f>'codeis €'!Z299</f>
        <v>88093723.900000006</v>
      </c>
      <c r="AN299" s="236">
        <f>'codeis €'!AF299</f>
        <v>2.0776281006125479E-2</v>
      </c>
      <c r="AO299" s="90">
        <f>'codeis €'!AC299</f>
        <v>5051.8000000119209</v>
      </c>
      <c r="AP299" s="91">
        <f>'codeis €'!AI299</f>
        <v>772.18021112303177</v>
      </c>
      <c r="AR299" s="106">
        <v>200331391.03999999</v>
      </c>
      <c r="AS299" s="565">
        <v>0.02</v>
      </c>
      <c r="AT299" s="565">
        <v>2.1100000000000001E-2</v>
      </c>
      <c r="AU299" s="106">
        <v>11729.05</v>
      </c>
      <c r="AV299" s="106">
        <v>2012.52</v>
      </c>
      <c r="AW299" s="19"/>
    </row>
    <row r="300" spans="2:49" x14ac:dyDescent="0.25">
      <c r="B300" s="9" t="str">
        <f t="shared" si="53"/>
        <v>10 2025</v>
      </c>
      <c r="C300" s="10">
        <f t="shared" si="55"/>
        <v>45952</v>
      </c>
      <c r="D300" s="10">
        <f t="shared" si="56"/>
        <v>45953</v>
      </c>
      <c r="E300" s="11">
        <f t="shared" si="54"/>
        <v>1</v>
      </c>
      <c r="G300" s="11" t="s">
        <v>7</v>
      </c>
      <c r="H300" s="135">
        <f>H299-65000</f>
        <v>11420000</v>
      </c>
      <c r="I300" s="14">
        <f t="shared" si="57"/>
        <v>1.7500000000000002E-2</v>
      </c>
      <c r="J300" s="183">
        <f t="shared" si="58"/>
        <v>555.13888888888891</v>
      </c>
      <c r="K300" s="13">
        <f t="shared" si="59"/>
        <v>381119.44444444525</v>
      </c>
      <c r="M300" s="11" t="s">
        <v>7</v>
      </c>
      <c r="N300" s="12">
        <f t="shared" si="63"/>
        <v>12000000</v>
      </c>
      <c r="O300" s="97">
        <f t="shared" si="64"/>
        <v>2.1698630136986304E-2</v>
      </c>
      <c r="P300" s="183">
        <f t="shared" si="61"/>
        <v>723.28767123287685</v>
      </c>
      <c r="Q300" s="13">
        <f t="shared" si="65"/>
        <v>89556.164383561656</v>
      </c>
      <c r="R300" s="13">
        <f t="shared" si="62"/>
        <v>139.95433789954348</v>
      </c>
      <c r="T300" s="11" t="str">
        <f t="shared" si="47"/>
        <v>SG</v>
      </c>
      <c r="U300" s="12">
        <f t="shared" si="48"/>
        <v>20035342.469999999</v>
      </c>
      <c r="V300" s="97">
        <f t="shared" si="49"/>
        <v>2.1205479452054792E-2</v>
      </c>
      <c r="W300" s="112">
        <f t="shared" si="50"/>
        <v>1180.1640085068491</v>
      </c>
      <c r="X300" s="13">
        <f t="shared" si="51"/>
        <v>49504.433855506846</v>
      </c>
      <c r="Y300" s="13">
        <f t="shared" si="52"/>
        <v>206.2237495485158</v>
      </c>
      <c r="AA300" s="11"/>
      <c r="AB300" s="98"/>
      <c r="AC300" s="97"/>
      <c r="AD300" s="13"/>
      <c r="AE300" s="13"/>
      <c r="AF300" s="13"/>
      <c r="AH300" s="235"/>
      <c r="AI300" s="236"/>
      <c r="AJ300" s="90"/>
      <c r="AK300" s="91"/>
      <c r="AM300" s="235">
        <f>'codeis €'!Z300</f>
        <v>88098862.799999997</v>
      </c>
      <c r="AN300" s="236">
        <f>'codeis €'!AF300</f>
        <v>2.0776281006125479E-2</v>
      </c>
      <c r="AO300" s="90">
        <f>'codeis €'!AC300</f>
        <v>5138.8999999910593</v>
      </c>
      <c r="AP300" s="91">
        <f>'codeis €'!AI300</f>
        <v>859.28021110217014</v>
      </c>
      <c r="AR300" s="106">
        <v>200275387.84999999</v>
      </c>
      <c r="AS300" s="565">
        <v>0.02</v>
      </c>
      <c r="AT300" s="565">
        <v>2.1100000000000001E-2</v>
      </c>
      <c r="AU300" s="106">
        <v>11750.76</v>
      </c>
      <c r="AV300" s="106">
        <v>2037.39</v>
      </c>
      <c r="AW300" s="19"/>
    </row>
    <row r="301" spans="2:49" x14ac:dyDescent="0.25">
      <c r="B301" s="9" t="str">
        <f t="shared" si="53"/>
        <v>10 2025</v>
      </c>
      <c r="C301" s="10">
        <f t="shared" si="55"/>
        <v>45953</v>
      </c>
      <c r="D301" s="10">
        <f t="shared" si="56"/>
        <v>45954</v>
      </c>
      <c r="E301" s="11">
        <f t="shared" si="54"/>
        <v>1</v>
      </c>
      <c r="G301" s="11" t="s">
        <v>7</v>
      </c>
      <c r="H301" s="12">
        <f t="shared" si="60"/>
        <v>11420000</v>
      </c>
      <c r="I301" s="14">
        <f t="shared" si="57"/>
        <v>1.7500000000000002E-2</v>
      </c>
      <c r="J301" s="183">
        <f t="shared" si="58"/>
        <v>555.13888888888891</v>
      </c>
      <c r="K301" s="13">
        <f t="shared" si="59"/>
        <v>381674.58333333413</v>
      </c>
      <c r="M301" s="11" t="s">
        <v>7</v>
      </c>
      <c r="N301" s="12">
        <f t="shared" si="63"/>
        <v>12000000</v>
      </c>
      <c r="O301" s="97">
        <f t="shared" si="64"/>
        <v>2.1698630136986304E-2</v>
      </c>
      <c r="P301" s="183">
        <f t="shared" si="61"/>
        <v>723.28767123287685</v>
      </c>
      <c r="Q301" s="13">
        <f t="shared" si="65"/>
        <v>90279.452054794529</v>
      </c>
      <c r="R301" s="13">
        <f t="shared" si="62"/>
        <v>139.95433789954348</v>
      </c>
      <c r="T301" s="11" t="str">
        <f t="shared" si="47"/>
        <v>SG</v>
      </c>
      <c r="U301" s="12">
        <f t="shared" si="48"/>
        <v>20035342.469999999</v>
      </c>
      <c r="V301" s="97">
        <f t="shared" si="49"/>
        <v>2.1205479452054792E-2</v>
      </c>
      <c r="W301" s="112">
        <f t="shared" si="50"/>
        <v>1180.1640085068491</v>
      </c>
      <c r="X301" s="13">
        <f t="shared" si="51"/>
        <v>50684.597864013696</v>
      </c>
      <c r="Y301" s="13">
        <f t="shared" si="52"/>
        <v>206.2237495485158</v>
      </c>
      <c r="AA301" s="11"/>
      <c r="AB301" s="98"/>
      <c r="AC301" s="97"/>
      <c r="AD301" s="13"/>
      <c r="AE301" s="13"/>
      <c r="AF301" s="13"/>
      <c r="AH301" s="235"/>
      <c r="AI301" s="236"/>
      <c r="AJ301" s="90"/>
      <c r="AK301" s="91"/>
      <c r="AM301" s="235">
        <f>'codeis €'!Z301</f>
        <v>88103914.600000009</v>
      </c>
      <c r="AN301" s="236">
        <f>'codeis €'!AF301</f>
        <v>2.0776281006125479E-2</v>
      </c>
      <c r="AO301" s="90">
        <f>'codeis €'!AC301</f>
        <v>5051.8000000119209</v>
      </c>
      <c r="AP301" s="91">
        <f>'codeis €'!AI301</f>
        <v>772.18021112303177</v>
      </c>
      <c r="AR301" s="106">
        <v>200284359.78999999</v>
      </c>
      <c r="AS301" s="565">
        <v>0.02</v>
      </c>
      <c r="AT301" s="565">
        <v>2.1100000000000001E-2</v>
      </c>
      <c r="AU301" s="106">
        <v>11725.89</v>
      </c>
      <c r="AV301" s="106">
        <v>2012.52</v>
      </c>
      <c r="AW301" s="19"/>
    </row>
    <row r="302" spans="2:49" x14ac:dyDescent="0.25">
      <c r="B302" s="9" t="str">
        <f t="shared" si="53"/>
        <v>10 2025</v>
      </c>
      <c r="C302" s="10">
        <f t="shared" si="55"/>
        <v>45954</v>
      </c>
      <c r="D302" s="10">
        <f t="shared" si="56"/>
        <v>45955</v>
      </c>
      <c r="E302" s="11">
        <f t="shared" si="54"/>
        <v>1</v>
      </c>
      <c r="G302" s="11" t="s">
        <v>7</v>
      </c>
      <c r="H302" s="106">
        <f>H301+210000</f>
        <v>11630000</v>
      </c>
      <c r="I302" s="14">
        <f t="shared" si="57"/>
        <v>1.7500000000000002E-2</v>
      </c>
      <c r="J302" s="183">
        <f t="shared" si="58"/>
        <v>565.34722222222229</v>
      </c>
      <c r="K302" s="13">
        <f t="shared" si="59"/>
        <v>382239.93055555638</v>
      </c>
      <c r="M302" s="11" t="s">
        <v>7</v>
      </c>
      <c r="N302" s="12">
        <f t="shared" si="63"/>
        <v>12000000</v>
      </c>
      <c r="O302" s="97">
        <f t="shared" si="64"/>
        <v>2.1698630136986304E-2</v>
      </c>
      <c r="P302" s="183">
        <f t="shared" si="61"/>
        <v>723.28767123287685</v>
      </c>
      <c r="Q302" s="13">
        <f t="shared" si="65"/>
        <v>91002.739726027401</v>
      </c>
      <c r="R302" s="13">
        <f t="shared" si="62"/>
        <v>139.95433789954348</v>
      </c>
      <c r="T302" s="11" t="str">
        <f t="shared" si="47"/>
        <v>SG</v>
      </c>
      <c r="U302" s="12">
        <f t="shared" si="48"/>
        <v>20035342.469999999</v>
      </c>
      <c r="V302" s="97">
        <f t="shared" si="49"/>
        <v>2.1205479452054792E-2</v>
      </c>
      <c r="W302" s="112">
        <f t="shared" si="50"/>
        <v>1180.1640085068491</v>
      </c>
      <c r="X302" s="13">
        <f t="shared" si="51"/>
        <v>51864.761872520547</v>
      </c>
      <c r="Y302" s="13">
        <f t="shared" si="52"/>
        <v>206.2237495485158</v>
      </c>
      <c r="AA302" s="11"/>
      <c r="AB302" s="98"/>
      <c r="AC302" s="97"/>
      <c r="AD302" s="13"/>
      <c r="AE302" s="13"/>
      <c r="AF302" s="13"/>
      <c r="AH302" s="235"/>
      <c r="AI302" s="236"/>
      <c r="AJ302" s="90"/>
      <c r="AK302" s="91"/>
      <c r="AM302" s="235">
        <f>'codeis €'!Z302</f>
        <v>88108966.400000006</v>
      </c>
      <c r="AN302" s="236">
        <f>'codeis €'!AF302</f>
        <v>2.0776281006125479E-2</v>
      </c>
      <c r="AO302" s="90">
        <f>'codeis €'!AC302</f>
        <v>5051.7999999970198</v>
      </c>
      <c r="AP302" s="91">
        <f>'codeis €'!AI302</f>
        <v>772.18021110813061</v>
      </c>
      <c r="AR302" s="106">
        <v>200503269.50999999</v>
      </c>
      <c r="AS302" s="565">
        <v>0.02</v>
      </c>
      <c r="AT302" s="565">
        <v>2.1100000000000001E-2</v>
      </c>
      <c r="AU302" s="106">
        <v>11673.87</v>
      </c>
      <c r="AV302" s="106">
        <v>1950.29</v>
      </c>
      <c r="AW302" s="19"/>
    </row>
    <row r="303" spans="2:49" x14ac:dyDescent="0.25">
      <c r="B303" s="9" t="str">
        <f t="shared" si="53"/>
        <v>10 2025</v>
      </c>
      <c r="C303" s="10">
        <f t="shared" si="55"/>
        <v>45955</v>
      </c>
      <c r="D303" s="10">
        <f t="shared" si="56"/>
        <v>45956</v>
      </c>
      <c r="E303" s="11">
        <f t="shared" si="54"/>
        <v>1</v>
      </c>
      <c r="G303" s="11" t="s">
        <v>7</v>
      </c>
      <c r="H303" s="12">
        <f t="shared" si="60"/>
        <v>11630000</v>
      </c>
      <c r="I303" s="14">
        <f t="shared" si="57"/>
        <v>1.7500000000000002E-2</v>
      </c>
      <c r="J303" s="183">
        <f t="shared" si="58"/>
        <v>565.34722222222229</v>
      </c>
      <c r="K303" s="13">
        <f t="shared" si="59"/>
        <v>382805.27777777863</v>
      </c>
      <c r="M303" s="11" t="s">
        <v>7</v>
      </c>
      <c r="N303" s="12">
        <f t="shared" si="63"/>
        <v>12000000</v>
      </c>
      <c r="O303" s="97">
        <f t="shared" si="64"/>
        <v>2.1698630136986304E-2</v>
      </c>
      <c r="P303" s="183">
        <f t="shared" si="61"/>
        <v>723.28767123287685</v>
      </c>
      <c r="Q303" s="13">
        <f t="shared" si="65"/>
        <v>91726.027397260274</v>
      </c>
      <c r="R303" s="13">
        <f t="shared" si="62"/>
        <v>139.95433789954348</v>
      </c>
      <c r="T303" s="11" t="str">
        <f t="shared" si="47"/>
        <v>SG</v>
      </c>
      <c r="U303" s="12">
        <f t="shared" si="48"/>
        <v>20035342.469999999</v>
      </c>
      <c r="V303" s="97">
        <f t="shared" si="49"/>
        <v>2.1205479452054792E-2</v>
      </c>
      <c r="W303" s="112">
        <f t="shared" si="50"/>
        <v>1180.1640085068491</v>
      </c>
      <c r="X303" s="13">
        <f t="shared" si="51"/>
        <v>53044.925881027397</v>
      </c>
      <c r="Y303" s="13">
        <f t="shared" si="52"/>
        <v>206.2237495485158</v>
      </c>
      <c r="AA303" s="11"/>
      <c r="AB303" s="98"/>
      <c r="AC303" s="97"/>
      <c r="AD303" s="13"/>
      <c r="AE303" s="13"/>
      <c r="AF303" s="13"/>
      <c r="AH303" s="235"/>
      <c r="AI303" s="236"/>
      <c r="AJ303" s="90"/>
      <c r="AK303" s="91"/>
      <c r="AM303" s="235">
        <f>'codeis €'!Z303</f>
        <v>88108966.400000006</v>
      </c>
      <c r="AN303" s="236">
        <f>'codeis €'!AF303</f>
        <v>2.0776281006125479E-2</v>
      </c>
      <c r="AO303" s="90">
        <f>'codeis €'!AC303</f>
        <v>0</v>
      </c>
      <c r="AP303" s="91">
        <f>'codeis €'!AI303</f>
        <v>-4279.6197888888892</v>
      </c>
      <c r="AR303" s="106">
        <v>200503269.50999999</v>
      </c>
      <c r="AS303" s="565">
        <v>0.02</v>
      </c>
      <c r="AT303" s="565">
        <v>2.1100000000000001E-2</v>
      </c>
      <c r="AU303" s="106">
        <v>2764.16</v>
      </c>
      <c r="AV303" s="106">
        <v>-6959.42</v>
      </c>
      <c r="AW303" s="19"/>
    </row>
    <row r="304" spans="2:49" x14ac:dyDescent="0.25">
      <c r="B304" s="9" t="str">
        <f t="shared" si="53"/>
        <v>10 2025</v>
      </c>
      <c r="C304" s="10">
        <f t="shared" si="55"/>
        <v>45956</v>
      </c>
      <c r="D304" s="10">
        <f t="shared" si="56"/>
        <v>45957</v>
      </c>
      <c r="E304" s="11">
        <f t="shared" si="54"/>
        <v>1</v>
      </c>
      <c r="G304" s="11" t="s">
        <v>7</v>
      </c>
      <c r="H304" s="12">
        <f t="shared" si="60"/>
        <v>11630000</v>
      </c>
      <c r="I304" s="14">
        <f t="shared" si="57"/>
        <v>1.7500000000000002E-2</v>
      </c>
      <c r="J304" s="183">
        <f t="shared" si="58"/>
        <v>565.34722222222229</v>
      </c>
      <c r="K304" s="13">
        <f t="shared" si="59"/>
        <v>383370.62500000087</v>
      </c>
      <c r="M304" s="11" t="s">
        <v>7</v>
      </c>
      <c r="N304" s="12">
        <f t="shared" si="63"/>
        <v>12000000</v>
      </c>
      <c r="O304" s="97">
        <f t="shared" si="64"/>
        <v>2.1698630136986304E-2</v>
      </c>
      <c r="P304" s="183">
        <f t="shared" si="61"/>
        <v>723.28767123287685</v>
      </c>
      <c r="Q304" s="13">
        <f t="shared" si="65"/>
        <v>92449.315068493146</v>
      </c>
      <c r="R304" s="13">
        <f t="shared" si="62"/>
        <v>139.95433789954348</v>
      </c>
      <c r="T304" s="11" t="str">
        <f t="shared" si="47"/>
        <v>SG</v>
      </c>
      <c r="U304" s="12">
        <f t="shared" si="48"/>
        <v>20035342.469999999</v>
      </c>
      <c r="V304" s="97">
        <f t="shared" si="49"/>
        <v>2.1205479452054792E-2</v>
      </c>
      <c r="W304" s="112">
        <f t="shared" si="50"/>
        <v>1180.1640085068491</v>
      </c>
      <c r="X304" s="13">
        <f t="shared" si="51"/>
        <v>54225.089889534247</v>
      </c>
      <c r="Y304" s="13">
        <f t="shared" si="52"/>
        <v>206.2237495485158</v>
      </c>
      <c r="AA304" s="11"/>
      <c r="AB304" s="98"/>
      <c r="AC304" s="97"/>
      <c r="AD304" s="13"/>
      <c r="AE304" s="13"/>
      <c r="AF304" s="13"/>
      <c r="AH304" s="235"/>
      <c r="AI304" s="236"/>
      <c r="AJ304" s="90"/>
      <c r="AK304" s="91"/>
      <c r="AM304" s="235">
        <f>'codeis €'!Z304</f>
        <v>88108966.400000006</v>
      </c>
      <c r="AN304" s="236">
        <f>'codeis €'!AF304</f>
        <v>2.0776281006125479E-2</v>
      </c>
      <c r="AO304" s="90">
        <f>'codeis €'!AC304</f>
        <v>0</v>
      </c>
      <c r="AP304" s="91">
        <f>'codeis €'!AI304</f>
        <v>-4279.6197888888892</v>
      </c>
      <c r="AR304" s="106">
        <v>200503269.50999999</v>
      </c>
      <c r="AS304" s="565">
        <v>0.02</v>
      </c>
      <c r="AT304" s="565">
        <v>2.1100000000000001E-2</v>
      </c>
      <c r="AU304" s="106">
        <v>2764.16</v>
      </c>
      <c r="AV304" s="106">
        <v>-6959.42</v>
      </c>
      <c r="AW304" s="19"/>
    </row>
    <row r="305" spans="2:49" x14ac:dyDescent="0.25">
      <c r="B305" s="9" t="str">
        <f t="shared" si="53"/>
        <v>10 2025</v>
      </c>
      <c r="C305" s="10">
        <f t="shared" si="55"/>
        <v>45957</v>
      </c>
      <c r="D305" s="10">
        <f t="shared" si="56"/>
        <v>45958</v>
      </c>
      <c r="E305" s="11">
        <f t="shared" si="54"/>
        <v>1</v>
      </c>
      <c r="G305" s="11" t="s">
        <v>7</v>
      </c>
      <c r="H305" s="106">
        <f>H304-4980000</f>
        <v>6650000</v>
      </c>
      <c r="I305" s="14">
        <f t="shared" si="57"/>
        <v>1.7500000000000002E-2</v>
      </c>
      <c r="J305" s="183">
        <f t="shared" si="58"/>
        <v>323.26388888888891</v>
      </c>
      <c r="K305" s="13">
        <f t="shared" si="59"/>
        <v>383693.88888888975</v>
      </c>
      <c r="M305" s="11" t="s">
        <v>7</v>
      </c>
      <c r="N305" s="12">
        <f t="shared" si="63"/>
        <v>12000000</v>
      </c>
      <c r="O305" s="97">
        <f t="shared" si="64"/>
        <v>2.1698630136986304E-2</v>
      </c>
      <c r="P305" s="183">
        <f t="shared" si="61"/>
        <v>723.28767123287685</v>
      </c>
      <c r="Q305" s="13">
        <f t="shared" si="65"/>
        <v>93172.602739726019</v>
      </c>
      <c r="R305" s="13">
        <f t="shared" si="62"/>
        <v>139.95433789954348</v>
      </c>
      <c r="T305" s="11" t="str">
        <f t="shared" si="47"/>
        <v>SG</v>
      </c>
      <c r="U305" s="12">
        <f t="shared" si="48"/>
        <v>20035342.469999999</v>
      </c>
      <c r="V305" s="97">
        <f t="shared" si="49"/>
        <v>2.1205479452054792E-2</v>
      </c>
      <c r="W305" s="112">
        <f t="shared" si="50"/>
        <v>1180.1640085068491</v>
      </c>
      <c r="X305" s="13">
        <f t="shared" si="51"/>
        <v>55405.253898041097</v>
      </c>
      <c r="Y305" s="13">
        <f t="shared" si="52"/>
        <v>206.2237495485158</v>
      </c>
      <c r="AA305" s="11"/>
      <c r="AB305" s="98"/>
      <c r="AC305" s="97"/>
      <c r="AD305" s="13"/>
      <c r="AE305" s="13"/>
      <c r="AF305" s="13"/>
      <c r="AH305" s="235"/>
      <c r="AI305" s="236"/>
      <c r="AJ305" s="90"/>
      <c r="AK305" s="91"/>
      <c r="AM305" s="235">
        <f>'codeis €'!Z305</f>
        <v>88124296</v>
      </c>
      <c r="AN305" s="236">
        <f>'codeis €'!AF305</f>
        <v>2.0776281006125479E-2</v>
      </c>
      <c r="AO305" s="90">
        <f>'codeis €'!AC305</f>
        <v>15329.59999999404</v>
      </c>
      <c r="AP305" s="91">
        <f>'codeis €'!AI305</f>
        <v>11049.98021110515</v>
      </c>
      <c r="AR305" s="106">
        <v>195550297.30000001</v>
      </c>
      <c r="AS305" s="565">
        <v>0.02</v>
      </c>
      <c r="AT305" s="565">
        <v>2.12E-2</v>
      </c>
      <c r="AU305" s="106">
        <v>29549.87</v>
      </c>
      <c r="AV305" s="106">
        <v>20068.37</v>
      </c>
      <c r="AW305" s="19"/>
    </row>
    <row r="306" spans="2:49" x14ac:dyDescent="0.25">
      <c r="B306" s="9" t="str">
        <f t="shared" si="53"/>
        <v>10 2025</v>
      </c>
      <c r="C306" s="10">
        <f t="shared" si="55"/>
        <v>45958</v>
      </c>
      <c r="D306" s="10">
        <f t="shared" si="56"/>
        <v>45959</v>
      </c>
      <c r="E306" s="11">
        <f t="shared" si="54"/>
        <v>1</v>
      </c>
      <c r="G306" s="11" t="s">
        <v>7</v>
      </c>
      <c r="H306" s="135">
        <f>H305+4860000</f>
        <v>11510000</v>
      </c>
      <c r="I306" s="14">
        <f t="shared" si="57"/>
        <v>1.7500000000000002E-2</v>
      </c>
      <c r="J306" s="183">
        <f t="shared" si="58"/>
        <v>559.51388888888891</v>
      </c>
      <c r="K306" s="13">
        <f t="shared" si="59"/>
        <v>384253.40277777863</v>
      </c>
      <c r="M306" s="11" t="s">
        <v>7</v>
      </c>
      <c r="N306" s="12">
        <f t="shared" si="63"/>
        <v>12000000</v>
      </c>
      <c r="O306" s="97">
        <f t="shared" si="64"/>
        <v>2.1698630136986304E-2</v>
      </c>
      <c r="P306" s="183">
        <f t="shared" si="61"/>
        <v>723.28767123287685</v>
      </c>
      <c r="Q306" s="13">
        <f t="shared" si="65"/>
        <v>93895.890410958891</v>
      </c>
      <c r="R306" s="13">
        <f t="shared" si="62"/>
        <v>139.95433789954348</v>
      </c>
      <c r="T306" s="11" t="str">
        <f t="shared" si="47"/>
        <v>SG</v>
      </c>
      <c r="U306" s="12">
        <f t="shared" si="48"/>
        <v>20035342.469999999</v>
      </c>
      <c r="V306" s="97">
        <f t="shared" si="49"/>
        <v>2.1205479452054792E-2</v>
      </c>
      <c r="W306" s="112">
        <f t="shared" si="50"/>
        <v>1180.1640085068491</v>
      </c>
      <c r="X306" s="13">
        <f t="shared" si="51"/>
        <v>56585.417906547947</v>
      </c>
      <c r="Y306" s="13">
        <f t="shared" si="52"/>
        <v>206.2237495485158</v>
      </c>
      <c r="AA306" s="11"/>
      <c r="AB306" s="98"/>
      <c r="AC306" s="97"/>
      <c r="AD306" s="13"/>
      <c r="AE306" s="13"/>
      <c r="AF306" s="13"/>
      <c r="AH306" s="235"/>
      <c r="AI306" s="236"/>
      <c r="AJ306" s="90"/>
      <c r="AK306" s="91"/>
      <c r="AM306" s="235">
        <f>'codeis €'!Z306</f>
        <v>88129347.799999997</v>
      </c>
      <c r="AN306" s="236">
        <f>'codeis €'!AF306</f>
        <v>2.0776281006125479E-2</v>
      </c>
      <c r="AO306" s="90">
        <f>'codeis €'!AC306</f>
        <v>5051.7999999970198</v>
      </c>
      <c r="AP306" s="91">
        <f>'codeis €'!AI306</f>
        <v>772.18021110813061</v>
      </c>
      <c r="AR306" s="106">
        <v>200419207.02000001</v>
      </c>
      <c r="AS306" s="565">
        <v>0.02</v>
      </c>
      <c r="AT306" s="565">
        <v>2.1100000000000001E-2</v>
      </c>
      <c r="AU306" s="106">
        <v>11668.04</v>
      </c>
      <c r="AV306" s="106">
        <v>1950.29</v>
      </c>
      <c r="AW306" s="19"/>
    </row>
    <row r="307" spans="2:49" x14ac:dyDescent="0.25">
      <c r="B307" s="9" t="str">
        <f t="shared" si="53"/>
        <v>10 2025</v>
      </c>
      <c r="C307" s="10">
        <f t="shared" si="55"/>
        <v>45959</v>
      </c>
      <c r="D307" s="10">
        <f t="shared" si="56"/>
        <v>45960</v>
      </c>
      <c r="E307" s="11">
        <f t="shared" si="54"/>
        <v>1</v>
      </c>
      <c r="G307" s="11" t="s">
        <v>7</v>
      </c>
      <c r="H307" s="135">
        <f>H306-266000</f>
        <v>11244000</v>
      </c>
      <c r="I307" s="14">
        <f t="shared" si="57"/>
        <v>1.7500000000000002E-2</v>
      </c>
      <c r="J307" s="183">
        <f t="shared" si="58"/>
        <v>546.58333333333337</v>
      </c>
      <c r="K307" s="13">
        <f t="shared" si="59"/>
        <v>384799.98611111194</v>
      </c>
      <c r="M307" s="11" t="s">
        <v>7</v>
      </c>
      <c r="N307" s="12">
        <f t="shared" si="63"/>
        <v>12000000</v>
      </c>
      <c r="O307" s="97">
        <f t="shared" si="64"/>
        <v>2.1698630136986304E-2</v>
      </c>
      <c r="P307" s="183">
        <f t="shared" si="61"/>
        <v>723.28767123287685</v>
      </c>
      <c r="Q307" s="13">
        <f t="shared" si="65"/>
        <v>94619.178082191764</v>
      </c>
      <c r="R307" s="13">
        <f t="shared" si="62"/>
        <v>139.95433789954348</v>
      </c>
      <c r="T307" s="11" t="str">
        <f t="shared" si="47"/>
        <v>SG</v>
      </c>
      <c r="U307" s="12">
        <f t="shared" si="48"/>
        <v>20035342.469999999</v>
      </c>
      <c r="V307" s="97">
        <f t="shared" si="49"/>
        <v>2.1205479452054792E-2</v>
      </c>
      <c r="W307" s="112">
        <f t="shared" si="50"/>
        <v>1180.1640085068491</v>
      </c>
      <c r="X307" s="13">
        <f t="shared" si="51"/>
        <v>57765.581915054798</v>
      </c>
      <c r="Y307" s="13">
        <f t="shared" si="52"/>
        <v>206.2237495485158</v>
      </c>
      <c r="AA307" s="11"/>
      <c r="AB307" s="98"/>
      <c r="AC307" s="97"/>
      <c r="AD307" s="13"/>
      <c r="AE307" s="13"/>
      <c r="AF307" s="13"/>
      <c r="AH307" s="235"/>
      <c r="AI307" s="236"/>
      <c r="AJ307" s="90"/>
      <c r="AK307" s="91"/>
      <c r="AM307" s="235">
        <f>'codeis €'!Z307</f>
        <v>88134486.700000018</v>
      </c>
      <c r="AN307" s="236">
        <f>'codeis €'!AF307</f>
        <v>2.0776281006125479E-2</v>
      </c>
      <c r="AO307" s="90">
        <f>'codeis €'!AC307</f>
        <v>5138.9000000208616</v>
      </c>
      <c r="AP307" s="91">
        <f>'codeis €'!AI307</f>
        <v>859.28021113197246</v>
      </c>
      <c r="AR307" s="106">
        <v>200162266.06</v>
      </c>
      <c r="AS307" s="565">
        <v>0.02</v>
      </c>
      <c r="AT307" s="565">
        <v>2.1100000000000001E-2</v>
      </c>
      <c r="AU307" s="106">
        <v>11804.43</v>
      </c>
      <c r="AV307" s="106">
        <v>2099.62</v>
      </c>
      <c r="AW307" s="19"/>
    </row>
    <row r="308" spans="2:49" x14ac:dyDescent="0.25">
      <c r="B308" s="9" t="str">
        <f t="shared" si="53"/>
        <v>10 2025</v>
      </c>
      <c r="C308" s="142">
        <f t="shared" si="55"/>
        <v>45960</v>
      </c>
      <c r="D308" s="142">
        <f t="shared" si="56"/>
        <v>45961</v>
      </c>
      <c r="E308" s="143">
        <f t="shared" si="54"/>
        <v>1</v>
      </c>
      <c r="F308" s="17"/>
      <c r="G308" s="143" t="s">
        <v>7</v>
      </c>
      <c r="H308" s="144">
        <f t="shared" si="60"/>
        <v>11244000</v>
      </c>
      <c r="I308" s="145">
        <f t="shared" si="57"/>
        <v>1.7500000000000002E-2</v>
      </c>
      <c r="J308" s="298">
        <f t="shared" si="58"/>
        <v>546.58333333333337</v>
      </c>
      <c r="K308" s="146">
        <f t="shared" si="59"/>
        <v>385346.56944444525</v>
      </c>
      <c r="L308" s="17"/>
      <c r="M308" s="143" t="s">
        <v>7</v>
      </c>
      <c r="N308" s="144">
        <f t="shared" si="63"/>
        <v>12000000</v>
      </c>
      <c r="O308" s="145">
        <f t="shared" si="64"/>
        <v>2.1698630136986304E-2</v>
      </c>
      <c r="P308" s="298">
        <f t="shared" si="61"/>
        <v>723.28767123287685</v>
      </c>
      <c r="Q308" s="146">
        <f t="shared" si="65"/>
        <v>95342.465753424636</v>
      </c>
      <c r="R308" s="146">
        <f t="shared" si="62"/>
        <v>139.95433789954348</v>
      </c>
      <c r="S308" s="17"/>
      <c r="T308" s="310" t="str">
        <f t="shared" si="47"/>
        <v>SG</v>
      </c>
      <c r="U308" s="311">
        <f t="shared" si="48"/>
        <v>20035342.469999999</v>
      </c>
      <c r="V308" s="312">
        <f t="shared" si="49"/>
        <v>2.1205479452054792E-2</v>
      </c>
      <c r="W308" s="321">
        <f t="shared" si="50"/>
        <v>1180.1640085068491</v>
      </c>
      <c r="X308" s="313">
        <f t="shared" si="51"/>
        <v>58945.745923561648</v>
      </c>
      <c r="Y308" s="313">
        <f t="shared" si="52"/>
        <v>206.2237495485158</v>
      </c>
      <c r="Z308" s="17"/>
      <c r="AA308" s="143"/>
      <c r="AB308" s="144"/>
      <c r="AC308" s="145"/>
      <c r="AD308" s="146"/>
      <c r="AE308" s="146"/>
      <c r="AF308" s="146"/>
      <c r="AG308" s="141"/>
      <c r="AH308" s="234"/>
      <c r="AI308" s="236"/>
      <c r="AJ308" s="90"/>
      <c r="AK308" s="91"/>
      <c r="AM308" s="235">
        <f>'codeis €'!Z308</f>
        <v>88139538.5</v>
      </c>
      <c r="AN308" s="236">
        <f>'codeis €'!AF308</f>
        <v>2.0776281006125479E-2</v>
      </c>
      <c r="AO308" s="90">
        <f>'codeis €'!AC308</f>
        <v>5051.7999999821186</v>
      </c>
      <c r="AP308" s="91">
        <f>'codeis €'!AI308</f>
        <v>772.18021109322945</v>
      </c>
      <c r="AR308" s="106">
        <v>200171175.77000001</v>
      </c>
      <c r="AS308" s="565">
        <v>0.02</v>
      </c>
      <c r="AT308" s="565">
        <v>2.1100000000000001E-2</v>
      </c>
      <c r="AU308" s="106">
        <v>11655.11</v>
      </c>
      <c r="AV308" s="106">
        <v>1950.29</v>
      </c>
      <c r="AW308" s="19"/>
    </row>
    <row r="309" spans="2:49" x14ac:dyDescent="0.25">
      <c r="B309" s="9" t="str">
        <f t="shared" si="53"/>
        <v>11 2025</v>
      </c>
      <c r="C309" s="10">
        <f>D308</f>
        <v>45961</v>
      </c>
      <c r="D309" s="10">
        <f>D308+1</f>
        <v>45962</v>
      </c>
      <c r="E309" s="11">
        <f t="shared" si="54"/>
        <v>1</v>
      </c>
      <c r="G309" s="11" t="s">
        <v>7</v>
      </c>
      <c r="H309" s="12">
        <f t="shared" si="60"/>
        <v>11244000</v>
      </c>
      <c r="I309" s="14">
        <f t="shared" si="57"/>
        <v>1.7500000000000002E-2</v>
      </c>
      <c r="J309" s="112">
        <f t="shared" si="58"/>
        <v>546.58333333333337</v>
      </c>
      <c r="K309" s="13">
        <f t="shared" si="59"/>
        <v>385893.15277777857</v>
      </c>
      <c r="M309" s="11" t="s">
        <v>7</v>
      </c>
      <c r="N309" s="12">
        <f t="shared" si="63"/>
        <v>12000000</v>
      </c>
      <c r="O309" s="97">
        <f t="shared" si="64"/>
        <v>2.1698630136986304E-2</v>
      </c>
      <c r="P309" s="183">
        <f t="shared" si="61"/>
        <v>723.28767123287685</v>
      </c>
      <c r="Q309" s="13">
        <f t="shared" si="65"/>
        <v>96065.753424657509</v>
      </c>
      <c r="R309" s="13">
        <f t="shared" si="62"/>
        <v>139.95433789954348</v>
      </c>
      <c r="T309" s="11" t="str">
        <f t="shared" si="47"/>
        <v>SG</v>
      </c>
      <c r="U309" s="12">
        <f t="shared" si="48"/>
        <v>20035342.469999999</v>
      </c>
      <c r="V309" s="97">
        <f t="shared" si="49"/>
        <v>2.1205479452054792E-2</v>
      </c>
      <c r="W309" s="112">
        <f t="shared" si="50"/>
        <v>1180.1640085068491</v>
      </c>
      <c r="X309" s="13">
        <f t="shared" si="51"/>
        <v>60125.909932068498</v>
      </c>
      <c r="Y309" s="13">
        <f t="shared" si="52"/>
        <v>206.2237495485158</v>
      </c>
      <c r="AA309" s="11"/>
      <c r="AB309" s="98"/>
      <c r="AC309" s="97"/>
      <c r="AD309" s="13"/>
      <c r="AE309" s="13"/>
      <c r="AF309" s="13"/>
      <c r="AH309" s="235">
        <f>'CT- € Ellipsis BNP'!X309</f>
        <v>99999999.666366011</v>
      </c>
      <c r="AI309" s="236">
        <f>'CT- € Ellipsis BNP'!AA309</f>
        <v>2.2461114297369633E-2</v>
      </c>
      <c r="AJ309" s="90">
        <f>'CT- € Ellipsis BNP'!W309</f>
        <v>-0.33363398909568787</v>
      </c>
      <c r="AK309" s="91">
        <f>'CT- € Ellipsis BNP'!AC309</f>
        <v>-0.33363398909568787</v>
      </c>
      <c r="AM309" s="235">
        <f>'codeis €'!Z309</f>
        <v>51915240.899999999</v>
      </c>
      <c r="AN309" s="236">
        <f>'codeis €'!AF309</f>
        <v>2.0776281006125479E-2</v>
      </c>
      <c r="AO309" s="90">
        <f>'codeis €'!AC309</f>
        <v>5051.7999999970198</v>
      </c>
      <c r="AP309" s="91">
        <f>'codeis €'!AI309</f>
        <v>772.18021110813061</v>
      </c>
      <c r="AR309" s="106">
        <v>263950797.97999999</v>
      </c>
      <c r="AS309" s="565">
        <v>0.02</v>
      </c>
      <c r="AT309" s="565">
        <v>2.1600000000000001E-2</v>
      </c>
      <c r="AU309" s="106">
        <v>11717</v>
      </c>
      <c r="AV309" s="106">
        <v>2012.18</v>
      </c>
      <c r="AW309" s="19"/>
    </row>
    <row r="310" spans="2:49" x14ac:dyDescent="0.25">
      <c r="B310" s="9" t="str">
        <f t="shared" si="53"/>
        <v>11 2025</v>
      </c>
      <c r="C310" s="10">
        <f t="shared" ref="C310:C369" si="66">D309</f>
        <v>45962</v>
      </c>
      <c r="D310" s="10">
        <f t="shared" ref="D310:D369" si="67">D309+1</f>
        <v>45963</v>
      </c>
      <c r="E310" s="11">
        <f t="shared" si="54"/>
        <v>1</v>
      </c>
      <c r="G310" s="11" t="s">
        <v>7</v>
      </c>
      <c r="H310" s="12">
        <f t="shared" si="60"/>
        <v>11244000</v>
      </c>
      <c r="I310" s="14">
        <f t="shared" si="57"/>
        <v>1.7500000000000002E-2</v>
      </c>
      <c r="J310" s="112">
        <f t="shared" si="58"/>
        <v>546.58333333333337</v>
      </c>
      <c r="K310" s="13">
        <f t="shared" si="59"/>
        <v>386439.73611111188</v>
      </c>
      <c r="M310" s="11" t="s">
        <v>7</v>
      </c>
      <c r="N310" s="12">
        <f t="shared" si="63"/>
        <v>12000000</v>
      </c>
      <c r="O310" s="97">
        <f t="shared" si="64"/>
        <v>2.1698630136986304E-2</v>
      </c>
      <c r="P310" s="183">
        <f t="shared" si="61"/>
        <v>723.28767123287685</v>
      </c>
      <c r="Q310" s="13">
        <f t="shared" si="65"/>
        <v>96789.041095890381</v>
      </c>
      <c r="R310" s="13">
        <f t="shared" si="62"/>
        <v>139.95433789954348</v>
      </c>
      <c r="T310" s="11" t="str">
        <f t="shared" si="47"/>
        <v>SG</v>
      </c>
      <c r="U310" s="12">
        <f t="shared" si="48"/>
        <v>20035342.469999999</v>
      </c>
      <c r="V310" s="97">
        <f t="shared" si="49"/>
        <v>2.1205479452054792E-2</v>
      </c>
      <c r="W310" s="112">
        <f t="shared" si="50"/>
        <v>1180.1640085068491</v>
      </c>
      <c r="X310" s="13">
        <f t="shared" si="51"/>
        <v>61306.073940575348</v>
      </c>
      <c r="Y310" s="13">
        <f t="shared" si="52"/>
        <v>206.2237495485158</v>
      </c>
      <c r="AA310" s="11"/>
      <c r="AB310" s="98"/>
      <c r="AC310" s="97"/>
      <c r="AD310" s="13"/>
      <c r="AE310" s="13"/>
      <c r="AF310" s="13"/>
      <c r="AH310" s="235">
        <f>'CT- € Ellipsis BNP'!X310</f>
        <v>99999999.666366011</v>
      </c>
      <c r="AI310" s="236">
        <f>'CT- € Ellipsis BNP'!AA310</f>
        <v>2.2461114297369633E-2</v>
      </c>
      <c r="AJ310" s="90">
        <f>'CT- € Ellipsis BNP'!W310</f>
        <v>0</v>
      </c>
      <c r="AK310" s="91">
        <f>'CT- € Ellipsis BNP'!AC310</f>
        <v>-4861.1111111111113</v>
      </c>
      <c r="AM310" s="235">
        <f>'codeis €'!Z310</f>
        <v>51915240.899999999</v>
      </c>
      <c r="AN310" s="236">
        <f>'codeis €'!AF310</f>
        <v>2.0810420625438919E-2</v>
      </c>
      <c r="AO310" s="90">
        <f>'codeis €'!AC310</f>
        <v>0</v>
      </c>
      <c r="AP310" s="91">
        <f>'codeis €'!AI310</f>
        <v>-2520.6026999999999</v>
      </c>
      <c r="AR310" s="106">
        <v>200194583.03999999</v>
      </c>
      <c r="AS310" s="565">
        <v>0.02</v>
      </c>
      <c r="AT310" s="565">
        <v>2.1600000000000001E-2</v>
      </c>
      <c r="AU310" s="106">
        <v>2745.39</v>
      </c>
      <c r="AV310" s="106">
        <v>-6983.24</v>
      </c>
      <c r="AW310" s="19"/>
    </row>
    <row r="311" spans="2:49" x14ac:dyDescent="0.25">
      <c r="B311" s="9" t="str">
        <f t="shared" si="53"/>
        <v>11 2025</v>
      </c>
      <c r="C311" s="10">
        <f t="shared" si="66"/>
        <v>45963</v>
      </c>
      <c r="D311" s="10">
        <f t="shared" si="67"/>
        <v>45964</v>
      </c>
      <c r="E311" s="11">
        <f t="shared" si="54"/>
        <v>1</v>
      </c>
      <c r="G311" s="11" t="s">
        <v>7</v>
      </c>
      <c r="H311" s="12">
        <f t="shared" si="60"/>
        <v>11244000</v>
      </c>
      <c r="I311" s="14">
        <f t="shared" si="57"/>
        <v>1.7500000000000002E-2</v>
      </c>
      <c r="J311" s="112">
        <f t="shared" si="58"/>
        <v>546.58333333333337</v>
      </c>
      <c r="K311" s="13">
        <f t="shared" si="59"/>
        <v>386986.31944444519</v>
      </c>
      <c r="M311" s="11" t="s">
        <v>7</v>
      </c>
      <c r="N311" s="12">
        <f t="shared" si="63"/>
        <v>12000000</v>
      </c>
      <c r="O311" s="97">
        <f t="shared" si="64"/>
        <v>2.1698630136986304E-2</v>
      </c>
      <c r="P311" s="183">
        <f t="shared" si="61"/>
        <v>723.28767123287685</v>
      </c>
      <c r="Q311" s="13">
        <f t="shared" si="65"/>
        <v>97512.328767123254</v>
      </c>
      <c r="R311" s="13">
        <f t="shared" si="62"/>
        <v>139.95433789954348</v>
      </c>
      <c r="T311" s="11" t="str">
        <f t="shared" si="47"/>
        <v>SG</v>
      </c>
      <c r="U311" s="12">
        <f t="shared" si="48"/>
        <v>20035342.469999999</v>
      </c>
      <c r="V311" s="97">
        <f t="shared" si="49"/>
        <v>2.1205479452054792E-2</v>
      </c>
      <c r="W311" s="112">
        <f t="shared" si="50"/>
        <v>1180.1640085068491</v>
      </c>
      <c r="X311" s="13">
        <f t="shared" si="51"/>
        <v>62486.237949082199</v>
      </c>
      <c r="Y311" s="13">
        <f t="shared" si="52"/>
        <v>206.2237495485158</v>
      </c>
      <c r="AA311" s="11"/>
      <c r="AB311" s="98"/>
      <c r="AC311" s="97"/>
      <c r="AD311" s="13"/>
      <c r="AE311" s="13"/>
      <c r="AF311" s="13"/>
      <c r="AH311" s="235">
        <f>'CT- € Ellipsis BNP'!X311</f>
        <v>99999999.666366011</v>
      </c>
      <c r="AI311" s="236">
        <f>'CT- € Ellipsis BNP'!AA311</f>
        <v>2.2461114297369633E-2</v>
      </c>
      <c r="AJ311" s="90">
        <f>'CT- € Ellipsis BNP'!W311</f>
        <v>0</v>
      </c>
      <c r="AK311" s="91">
        <f>'CT- € Ellipsis BNP'!AC311</f>
        <v>-4861.1111111111113</v>
      </c>
      <c r="AM311" s="235">
        <f>'codeis €'!Z311</f>
        <v>51915240.899999999</v>
      </c>
      <c r="AN311" s="236">
        <f>'codeis €'!AF311</f>
        <v>2.0810420625438919E-2</v>
      </c>
      <c r="AO311" s="90">
        <f>'codeis €'!AC311</f>
        <v>0</v>
      </c>
      <c r="AP311" s="91">
        <f>'codeis €'!AI311</f>
        <v>-2520.6026999999999</v>
      </c>
      <c r="AR311" s="106">
        <v>200194583.03999999</v>
      </c>
      <c r="AS311" s="565">
        <v>0.02</v>
      </c>
      <c r="AT311" s="565">
        <v>2.1600000000000001E-2</v>
      </c>
      <c r="AU311" s="106">
        <v>2745.39</v>
      </c>
      <c r="AV311" s="106">
        <v>-6983.24</v>
      </c>
      <c r="AW311" s="19"/>
    </row>
    <row r="312" spans="2:49" x14ac:dyDescent="0.25">
      <c r="B312" s="9" t="str">
        <f t="shared" si="53"/>
        <v>11 2025</v>
      </c>
      <c r="C312" s="10">
        <f t="shared" si="66"/>
        <v>45964</v>
      </c>
      <c r="D312" s="10">
        <f t="shared" si="67"/>
        <v>45965</v>
      </c>
      <c r="E312" s="11">
        <f t="shared" si="54"/>
        <v>1</v>
      </c>
      <c r="G312" s="11" t="s">
        <v>7</v>
      </c>
      <c r="H312" s="135">
        <f>H311-2220000</f>
        <v>9024000</v>
      </c>
      <c r="I312" s="14">
        <f t="shared" si="57"/>
        <v>1.7500000000000002E-2</v>
      </c>
      <c r="J312" s="112">
        <f t="shared" si="58"/>
        <v>438.66666666666674</v>
      </c>
      <c r="K312" s="13">
        <f t="shared" si="59"/>
        <v>387424.98611111188</v>
      </c>
      <c r="M312" s="11" t="s">
        <v>7</v>
      </c>
      <c r="N312" s="12">
        <f t="shared" si="63"/>
        <v>12000000</v>
      </c>
      <c r="O312" s="97">
        <f t="shared" si="64"/>
        <v>2.1698630136986304E-2</v>
      </c>
      <c r="P312" s="183">
        <f t="shared" si="61"/>
        <v>723.28767123287685</v>
      </c>
      <c r="Q312" s="13">
        <f t="shared" si="65"/>
        <v>98235.616438356126</v>
      </c>
      <c r="R312" s="13">
        <f t="shared" si="62"/>
        <v>139.95433789954348</v>
      </c>
      <c r="T312" s="11" t="str">
        <f t="shared" si="47"/>
        <v>SG</v>
      </c>
      <c r="U312" s="12">
        <f t="shared" si="48"/>
        <v>20035342.469999999</v>
      </c>
      <c r="V312" s="97">
        <f t="shared" si="49"/>
        <v>2.1205479452054792E-2</v>
      </c>
      <c r="W312" s="112">
        <f t="shared" si="50"/>
        <v>1180.1640085068491</v>
      </c>
      <c r="X312" s="13">
        <f t="shared" si="51"/>
        <v>63666.401957589049</v>
      </c>
      <c r="Y312" s="13">
        <f t="shared" si="52"/>
        <v>206.2237495485158</v>
      </c>
      <c r="AA312" s="11"/>
      <c r="AB312" s="98"/>
      <c r="AC312" s="97"/>
      <c r="AD312" s="13"/>
      <c r="AE312" s="13"/>
      <c r="AF312" s="13"/>
      <c r="AH312" s="235">
        <f>'CT- € Ellipsis BNP'!X312</f>
        <v>100018692.49840221</v>
      </c>
      <c r="AI312" s="236">
        <f>'CT- € Ellipsis BNP'!AA312</f>
        <v>2.2461114297369633E-2</v>
      </c>
      <c r="AJ312" s="90">
        <f>'CT- € Ellipsis BNP'!W312</f>
        <v>18692.832036197186</v>
      </c>
      <c r="AK312" s="91">
        <f>'CT- € Ellipsis BNP'!AC312</f>
        <v>13831.720925086074</v>
      </c>
      <c r="AM312" s="235">
        <f>'codeis €'!Z312</f>
        <v>51924269.699999996</v>
      </c>
      <c r="AN312" s="236">
        <f>'codeis €'!AF312</f>
        <v>2.0810420625438919E-2</v>
      </c>
      <c r="AO312" s="90">
        <f>'codeis €'!AC312</f>
        <v>9028.7999999970198</v>
      </c>
      <c r="AP312" s="91">
        <f>'codeis €'!AI312</f>
        <v>6508.1972999970203</v>
      </c>
      <c r="AR312" s="106">
        <v>198002304.66999999</v>
      </c>
      <c r="AS312" s="565">
        <v>0.02</v>
      </c>
      <c r="AT312" s="565">
        <v>2.1600000000000001E-2</v>
      </c>
      <c r="AU312" s="106">
        <v>30359.11</v>
      </c>
      <c r="AV312" s="106">
        <v>20738.400000000001</v>
      </c>
      <c r="AW312" s="19"/>
    </row>
    <row r="313" spans="2:49" x14ac:dyDescent="0.25">
      <c r="B313" s="9" t="str">
        <f t="shared" si="53"/>
        <v>11 2025</v>
      </c>
      <c r="C313" s="10">
        <f t="shared" si="66"/>
        <v>45965</v>
      </c>
      <c r="D313" s="10">
        <f t="shared" si="67"/>
        <v>45966</v>
      </c>
      <c r="E313" s="11">
        <f t="shared" si="54"/>
        <v>1</v>
      </c>
      <c r="G313" s="11" t="s">
        <v>7</v>
      </c>
      <c r="H313" s="12">
        <f t="shared" si="60"/>
        <v>9024000</v>
      </c>
      <c r="I313" s="14">
        <f t="shared" si="57"/>
        <v>1.7500000000000002E-2</v>
      </c>
      <c r="J313" s="112">
        <f t="shared" si="58"/>
        <v>438.66666666666674</v>
      </c>
      <c r="K313" s="13">
        <f t="shared" si="59"/>
        <v>387863.65277777857</v>
      </c>
      <c r="M313" s="11" t="s">
        <v>7</v>
      </c>
      <c r="N313" s="12">
        <f t="shared" si="63"/>
        <v>12000000</v>
      </c>
      <c r="O313" s="97">
        <f t="shared" si="64"/>
        <v>2.1698630136986304E-2</v>
      </c>
      <c r="P313" s="183">
        <f t="shared" si="61"/>
        <v>723.28767123287685</v>
      </c>
      <c r="Q313" s="13">
        <f t="shared" si="65"/>
        <v>98958.904109588999</v>
      </c>
      <c r="R313" s="13">
        <f t="shared" si="62"/>
        <v>139.95433789954348</v>
      </c>
      <c r="T313" s="11" t="str">
        <f t="shared" si="47"/>
        <v>SG</v>
      </c>
      <c r="U313" s="12">
        <f t="shared" si="48"/>
        <v>20035342.469999999</v>
      </c>
      <c r="V313" s="97">
        <f t="shared" si="49"/>
        <v>2.1205479452054792E-2</v>
      </c>
      <c r="W313" s="112">
        <f t="shared" si="50"/>
        <v>1180.1640085068491</v>
      </c>
      <c r="X313" s="13">
        <f t="shared" si="51"/>
        <v>64846.565966095899</v>
      </c>
      <c r="Y313" s="13">
        <f t="shared" si="52"/>
        <v>206.2237495485158</v>
      </c>
      <c r="AA313" s="11"/>
      <c r="AB313" s="98"/>
      <c r="AC313" s="97"/>
      <c r="AD313" s="13"/>
      <c r="AE313" s="13"/>
      <c r="AF313" s="13"/>
      <c r="AH313" s="235">
        <f>'CT- € Ellipsis BNP'!X313</f>
        <v>100024956.45994648</v>
      </c>
      <c r="AI313" s="236">
        <f>'CT- € Ellipsis BNP'!AA313</f>
        <v>2.2461114297369633E-2</v>
      </c>
      <c r="AJ313" s="90">
        <f>'CT- € Ellipsis BNP'!W313</f>
        <v>6263.9615442752838</v>
      </c>
      <c r="AK313" s="91">
        <f>'CT- € Ellipsis BNP'!AC313</f>
        <v>1402.8504331641725</v>
      </c>
      <c r="AM313" s="235">
        <f>'codeis €'!Z313</f>
        <v>51927245.100000001</v>
      </c>
      <c r="AN313" s="236">
        <f>'codeis €'!AF313</f>
        <v>2.0810420625438919E-2</v>
      </c>
      <c r="AO313" s="90">
        <f>'codeis €'!AC313</f>
        <v>2975.4000000059605</v>
      </c>
      <c r="AP313" s="91">
        <f>'codeis €'!AI313</f>
        <v>454.79730000596055</v>
      </c>
      <c r="AR313" s="106">
        <v>198011544.03</v>
      </c>
      <c r="AS313" s="565">
        <v>0.02</v>
      </c>
      <c r="AT313" s="565">
        <v>2.1600000000000001E-2</v>
      </c>
      <c r="AU313" s="106">
        <v>11876.84</v>
      </c>
      <c r="AV313" s="106">
        <v>2256.13</v>
      </c>
      <c r="AW313" s="19"/>
    </row>
    <row r="314" spans="2:49" x14ac:dyDescent="0.25">
      <c r="B314" s="9" t="str">
        <f t="shared" si="53"/>
        <v>11 2025</v>
      </c>
      <c r="C314" s="10">
        <f t="shared" si="66"/>
        <v>45966</v>
      </c>
      <c r="D314" s="10">
        <f t="shared" si="67"/>
        <v>45967</v>
      </c>
      <c r="E314" s="11">
        <f t="shared" si="54"/>
        <v>1</v>
      </c>
      <c r="G314" s="11" t="s">
        <v>7</v>
      </c>
      <c r="H314" s="243">
        <f>H313+5056000</f>
        <v>14080000</v>
      </c>
      <c r="I314" s="14">
        <f t="shared" si="57"/>
        <v>1.7500000000000002E-2</v>
      </c>
      <c r="J314" s="112">
        <f t="shared" si="58"/>
        <v>684.44444444444457</v>
      </c>
      <c r="K314" s="13">
        <f t="shared" si="59"/>
        <v>388548.097222223</v>
      </c>
      <c r="M314" s="11" t="s">
        <v>7</v>
      </c>
      <c r="N314" s="12">
        <f t="shared" si="63"/>
        <v>12000000</v>
      </c>
      <c r="O314" s="97">
        <f t="shared" si="64"/>
        <v>2.1698630136986304E-2</v>
      </c>
      <c r="P314" s="183">
        <f t="shared" si="61"/>
        <v>723.28767123287685</v>
      </c>
      <c r="Q314" s="13">
        <f t="shared" si="65"/>
        <v>99682.191780821871</v>
      </c>
      <c r="R314" s="13">
        <f t="shared" si="62"/>
        <v>139.95433789954348</v>
      </c>
      <c r="T314" s="11" t="str">
        <f t="shared" si="47"/>
        <v>SG</v>
      </c>
      <c r="U314" s="12">
        <f t="shared" si="48"/>
        <v>20035342.469999999</v>
      </c>
      <c r="V314" s="97">
        <f t="shared" si="49"/>
        <v>2.1205479452054792E-2</v>
      </c>
      <c r="W314" s="112">
        <f t="shared" si="50"/>
        <v>1180.1640085068491</v>
      </c>
      <c r="X314" s="13">
        <f t="shared" si="51"/>
        <v>66026.729974602742</v>
      </c>
      <c r="Y314" s="13">
        <f t="shared" si="52"/>
        <v>206.2237495485158</v>
      </c>
      <c r="AA314" s="11" t="s">
        <v>189</v>
      </c>
      <c r="AB314" s="98">
        <v>15000000</v>
      </c>
      <c r="AC314" s="97">
        <f>2.199%+0.38%</f>
        <v>2.579E-2</v>
      </c>
      <c r="AD314" s="13">
        <f t="shared" ref="AD314:AD369" si="68">+AB314*AC314*$E314/360</f>
        <v>1074.5833333333333</v>
      </c>
      <c r="AE314" s="13">
        <f t="shared" ref="AE314:AE369" si="69">AE313+AD314</f>
        <v>1074.5833333333333</v>
      </c>
      <c r="AF314" s="13">
        <f>AD314-((+AB314*$I314*$E314/360))</f>
        <v>345.41666666666663</v>
      </c>
      <c r="AH314" s="235">
        <f>'CT- € Ellipsis BNP'!X314</f>
        <v>100031220.29436885</v>
      </c>
      <c r="AI314" s="236">
        <f>'CT- € Ellipsis BNP'!AA314</f>
        <v>2.2425954265440362E-2</v>
      </c>
      <c r="AJ314" s="90">
        <f>'CT- € Ellipsis BNP'!W314</f>
        <v>6263.834422364831</v>
      </c>
      <c r="AK314" s="91">
        <f>'CT- € Ellipsis BNP'!AC314</f>
        <v>1402.7233112537197</v>
      </c>
      <c r="AM314" s="235">
        <f>'codeis €'!Z314</f>
        <v>36847210.399999999</v>
      </c>
      <c r="AN314" s="236">
        <f>'codeis €'!AF314</f>
        <v>2.0810420625438919E-2</v>
      </c>
      <c r="AO314" s="90">
        <f>'codeis €'!AC314</f>
        <v>3026.6999999955297</v>
      </c>
      <c r="AP314" s="91">
        <f>'codeis €'!AI314</f>
        <v>506.09729999552974</v>
      </c>
      <c r="AR314" s="106">
        <v>197993773.16</v>
      </c>
      <c r="AS314" s="565">
        <v>0.02</v>
      </c>
      <c r="AT314" s="565">
        <v>2.1899999999999999E-2</v>
      </c>
      <c r="AU314" s="106">
        <v>12953.01</v>
      </c>
      <c r="AV314" s="106">
        <v>2600.42</v>
      </c>
      <c r="AW314" s="19"/>
    </row>
    <row r="315" spans="2:49" x14ac:dyDescent="0.25">
      <c r="B315" s="9" t="str">
        <f t="shared" si="53"/>
        <v>11 2025</v>
      </c>
      <c r="C315" s="10">
        <f t="shared" si="66"/>
        <v>45967</v>
      </c>
      <c r="D315" s="10">
        <f t="shared" si="67"/>
        <v>45968</v>
      </c>
      <c r="E315" s="11">
        <f t="shared" si="54"/>
        <v>1</v>
      </c>
      <c r="G315" s="11" t="s">
        <v>7</v>
      </c>
      <c r="H315" s="12">
        <f t="shared" si="60"/>
        <v>14080000</v>
      </c>
      <c r="I315" s="14">
        <f t="shared" si="57"/>
        <v>1.7500000000000002E-2</v>
      </c>
      <c r="J315" s="112">
        <f t="shared" si="58"/>
        <v>684.44444444444457</v>
      </c>
      <c r="K315" s="13">
        <f t="shared" si="59"/>
        <v>389232.54166666744</v>
      </c>
      <c r="M315" s="11" t="s">
        <v>7</v>
      </c>
      <c r="N315" s="12">
        <f t="shared" si="63"/>
        <v>12000000</v>
      </c>
      <c r="O315" s="97">
        <f t="shared" si="64"/>
        <v>2.1698630136986304E-2</v>
      </c>
      <c r="P315" s="112">
        <f t="shared" si="61"/>
        <v>723.28767123287685</v>
      </c>
      <c r="Q315" s="13">
        <f t="shared" si="65"/>
        <v>100405.47945205474</v>
      </c>
      <c r="R315" s="13">
        <f t="shared" si="62"/>
        <v>139.95433789954348</v>
      </c>
      <c r="T315" s="11" t="str">
        <f t="shared" si="47"/>
        <v>SG</v>
      </c>
      <c r="U315" s="12">
        <f t="shared" si="48"/>
        <v>20035342.469999999</v>
      </c>
      <c r="V315" s="97">
        <f t="shared" si="49"/>
        <v>2.1205479452054792E-2</v>
      </c>
      <c r="W315" s="112">
        <f t="shared" si="50"/>
        <v>1180.1640085068491</v>
      </c>
      <c r="X315" s="13">
        <f t="shared" si="51"/>
        <v>67206.893983109592</v>
      </c>
      <c r="Y315" s="13">
        <f t="shared" si="52"/>
        <v>206.2237495485158</v>
      </c>
      <c r="AA315" s="11" t="s">
        <v>189</v>
      </c>
      <c r="AB315" s="98">
        <f>AB314</f>
        <v>15000000</v>
      </c>
      <c r="AC315" s="97">
        <f>AC314</f>
        <v>2.579E-2</v>
      </c>
      <c r="AD315" s="13">
        <f t="shared" si="68"/>
        <v>1074.5833333333333</v>
      </c>
      <c r="AE315" s="13">
        <f t="shared" si="69"/>
        <v>2149.1666666666665</v>
      </c>
      <c r="AF315" s="13">
        <f t="shared" ref="AF315:AF369" si="70">AD315-((+AB315*$I315*$E315/360))</f>
        <v>345.41666666666663</v>
      </c>
      <c r="AH315" s="235">
        <f>'CT- € Ellipsis BNP'!X315</f>
        <v>100037385.58468223</v>
      </c>
      <c r="AI315" s="236">
        <f>'CT- € Ellipsis BNP'!AA315</f>
        <v>2.2425954265440362E-2</v>
      </c>
      <c r="AJ315" s="90">
        <f>'CT- € Ellipsis BNP'!W315</f>
        <v>6165.2903133779764</v>
      </c>
      <c r="AK315" s="91">
        <f>'CT- € Ellipsis BNP'!AC315</f>
        <v>1304.1792022668651</v>
      </c>
      <c r="AM315" s="235">
        <f>'codeis €'!Z315</f>
        <v>36849321.599999994</v>
      </c>
      <c r="AN315" s="236">
        <f>'codeis €'!AF315</f>
        <v>2.0810420625438919E-2</v>
      </c>
      <c r="AO315" s="90">
        <f>'codeis €'!AC315</f>
        <v>2111.1999999955297</v>
      </c>
      <c r="AP315" s="91">
        <f>'codeis €'!AI315</f>
        <v>322.70217777330777</v>
      </c>
      <c r="AR315" s="106">
        <v>198002049.65000001</v>
      </c>
      <c r="AS315" s="565">
        <v>0.02</v>
      </c>
      <c r="AT315" s="565">
        <v>2.1899999999999999E-2</v>
      </c>
      <c r="AU315" s="106">
        <v>11938.97</v>
      </c>
      <c r="AV315" s="106">
        <v>2318.48</v>
      </c>
      <c r="AW315" s="19"/>
    </row>
    <row r="316" spans="2:49" x14ac:dyDescent="0.25">
      <c r="B316" s="9" t="str">
        <f t="shared" si="53"/>
        <v>11 2025</v>
      </c>
      <c r="C316" s="10">
        <f t="shared" si="66"/>
        <v>45968</v>
      </c>
      <c r="D316" s="10">
        <f t="shared" si="67"/>
        <v>45969</v>
      </c>
      <c r="E316" s="11">
        <f t="shared" si="54"/>
        <v>1</v>
      </c>
      <c r="G316" s="11" t="s">
        <v>7</v>
      </c>
      <c r="H316" s="12">
        <f t="shared" si="60"/>
        <v>14080000</v>
      </c>
      <c r="I316" s="14">
        <f t="shared" si="57"/>
        <v>1.7500000000000002E-2</v>
      </c>
      <c r="J316" s="112">
        <f t="shared" si="58"/>
        <v>684.44444444444457</v>
      </c>
      <c r="K316" s="13">
        <f t="shared" si="59"/>
        <v>389916.98611111188</v>
      </c>
      <c r="M316" s="11" t="s">
        <v>7</v>
      </c>
      <c r="N316" s="12">
        <f t="shared" si="63"/>
        <v>12000000</v>
      </c>
      <c r="O316" s="97">
        <f t="shared" si="64"/>
        <v>2.1698630136986304E-2</v>
      </c>
      <c r="P316" s="112">
        <f t="shared" si="61"/>
        <v>723.28767123287685</v>
      </c>
      <c r="Q316" s="13">
        <f t="shared" si="65"/>
        <v>101128.76712328762</v>
      </c>
      <c r="R316" s="13">
        <f t="shared" si="62"/>
        <v>139.95433789954348</v>
      </c>
      <c r="T316" s="11" t="str">
        <f t="shared" si="47"/>
        <v>SG</v>
      </c>
      <c r="U316" s="12">
        <f t="shared" si="48"/>
        <v>20035342.469999999</v>
      </c>
      <c r="V316" s="97">
        <f t="shared" si="49"/>
        <v>2.1205479452054792E-2</v>
      </c>
      <c r="W316" s="112">
        <f t="shared" si="50"/>
        <v>1180.1640085068491</v>
      </c>
      <c r="X316" s="13">
        <f t="shared" si="51"/>
        <v>68387.057991616442</v>
      </c>
      <c r="Y316" s="13">
        <f t="shared" si="52"/>
        <v>206.2237495485158</v>
      </c>
      <c r="AA316" s="11" t="s">
        <v>189</v>
      </c>
      <c r="AB316" s="98">
        <f t="shared" ref="AB316:AB369" si="71">AB315</f>
        <v>15000000</v>
      </c>
      <c r="AC316" s="97">
        <f t="shared" ref="AC316:AC369" si="72">AC315</f>
        <v>2.579E-2</v>
      </c>
      <c r="AD316" s="13">
        <f t="shared" si="68"/>
        <v>1074.5833333333333</v>
      </c>
      <c r="AE316" s="13">
        <f t="shared" si="69"/>
        <v>3223.75</v>
      </c>
      <c r="AF316" s="13">
        <f t="shared" si="70"/>
        <v>345.41666666666663</v>
      </c>
      <c r="AH316" s="235">
        <f>'CT- € Ellipsis BNP'!X316</f>
        <v>100043649.41910459</v>
      </c>
      <c r="AI316" s="236">
        <f>'CT- € Ellipsis BNP'!AA316</f>
        <v>2.2425954265440362E-2</v>
      </c>
      <c r="AJ316" s="90">
        <f>'CT- € Ellipsis BNP'!W316</f>
        <v>6263.834422364831</v>
      </c>
      <c r="AK316" s="91">
        <f>'CT- € Ellipsis BNP'!AC316</f>
        <v>1402.7233112537197</v>
      </c>
      <c r="AM316" s="235">
        <f>'codeis €'!Z316</f>
        <v>36851469.199999996</v>
      </c>
      <c r="AN316" s="236">
        <f>'codeis €'!AF316</f>
        <v>2.0810420625438919E-2</v>
      </c>
      <c r="AO316" s="90">
        <f>'codeis €'!AC316</f>
        <v>2147.6000000014901</v>
      </c>
      <c r="AP316" s="91">
        <f>'codeis €'!AI316</f>
        <v>359.10217777926823</v>
      </c>
      <c r="AR316" s="106">
        <v>198010461.09</v>
      </c>
      <c r="AS316" s="565">
        <v>0.02</v>
      </c>
      <c r="AT316" s="565">
        <v>2.1899999999999999E-2</v>
      </c>
      <c r="AU316" s="106">
        <v>12073.91</v>
      </c>
      <c r="AV316" s="106">
        <v>2453.42</v>
      </c>
      <c r="AW316" s="19"/>
    </row>
    <row r="317" spans="2:49" x14ac:dyDescent="0.25">
      <c r="B317" s="9" t="str">
        <f t="shared" si="53"/>
        <v>11 2025</v>
      </c>
      <c r="C317" s="10">
        <f t="shared" si="66"/>
        <v>45969</v>
      </c>
      <c r="D317" s="10">
        <f t="shared" si="67"/>
        <v>45970</v>
      </c>
      <c r="E317" s="11">
        <f t="shared" si="54"/>
        <v>1</v>
      </c>
      <c r="G317" s="11" t="s">
        <v>7</v>
      </c>
      <c r="H317" s="12">
        <f t="shared" si="60"/>
        <v>14080000</v>
      </c>
      <c r="I317" s="14">
        <f t="shared" si="57"/>
        <v>1.7500000000000002E-2</v>
      </c>
      <c r="J317" s="112">
        <f t="shared" si="58"/>
        <v>684.44444444444457</v>
      </c>
      <c r="K317" s="13">
        <f t="shared" si="59"/>
        <v>390601.43055555632</v>
      </c>
      <c r="M317" s="11" t="s">
        <v>7</v>
      </c>
      <c r="N317" s="12">
        <f t="shared" si="63"/>
        <v>12000000</v>
      </c>
      <c r="O317" s="97">
        <f t="shared" si="64"/>
        <v>2.1698630136986304E-2</v>
      </c>
      <c r="P317" s="112">
        <f t="shared" si="61"/>
        <v>723.28767123287685</v>
      </c>
      <c r="Q317" s="13">
        <f t="shared" si="65"/>
        <v>101852.05479452049</v>
      </c>
      <c r="R317" s="13">
        <f t="shared" si="62"/>
        <v>139.95433789954348</v>
      </c>
      <c r="T317" s="11" t="str">
        <f t="shared" si="47"/>
        <v>SG</v>
      </c>
      <c r="U317" s="12">
        <f t="shared" si="48"/>
        <v>20035342.469999999</v>
      </c>
      <c r="V317" s="97">
        <f t="shared" si="49"/>
        <v>2.1205479452054792E-2</v>
      </c>
      <c r="W317" s="112">
        <f t="shared" si="50"/>
        <v>1180.1640085068491</v>
      </c>
      <c r="X317" s="13">
        <f t="shared" si="51"/>
        <v>69567.222000123293</v>
      </c>
      <c r="Y317" s="13">
        <f t="shared" si="52"/>
        <v>206.2237495485158</v>
      </c>
      <c r="AA317" s="11" t="s">
        <v>189</v>
      </c>
      <c r="AB317" s="98">
        <f t="shared" si="71"/>
        <v>15000000</v>
      </c>
      <c r="AC317" s="97">
        <f t="shared" si="72"/>
        <v>2.579E-2</v>
      </c>
      <c r="AD317" s="13">
        <f t="shared" si="68"/>
        <v>1074.5833333333333</v>
      </c>
      <c r="AE317" s="13">
        <f t="shared" si="69"/>
        <v>4298.333333333333</v>
      </c>
      <c r="AF317" s="13">
        <f t="shared" si="70"/>
        <v>345.41666666666663</v>
      </c>
      <c r="AH317" s="235">
        <f>'CT- € Ellipsis BNP'!X317</f>
        <v>100043649.41910459</v>
      </c>
      <c r="AI317" s="236">
        <f>'CT- € Ellipsis BNP'!AA317</f>
        <v>2.2425954265440362E-2</v>
      </c>
      <c r="AJ317" s="90">
        <f>'CT- € Ellipsis BNP'!W317</f>
        <v>0</v>
      </c>
      <c r="AK317" s="91">
        <f>'CT- € Ellipsis BNP'!AC317</f>
        <v>-4861.1111111111113</v>
      </c>
      <c r="AM317" s="235">
        <f>'codeis €'!Z317</f>
        <v>36851469.199999996</v>
      </c>
      <c r="AN317" s="236">
        <f>'codeis €'!AF317</f>
        <v>2.0810420625438919E-2</v>
      </c>
      <c r="AO317" s="90">
        <f>'codeis €'!AC317</f>
        <v>0</v>
      </c>
      <c r="AP317" s="91">
        <f>'codeis €'!AI317</f>
        <v>-1788.4978222222219</v>
      </c>
      <c r="AR317" s="106">
        <v>198010461.09</v>
      </c>
      <c r="AS317" s="565">
        <v>0.02</v>
      </c>
      <c r="AT317" s="565">
        <v>2.1899999999999999E-2</v>
      </c>
      <c r="AU317" s="106">
        <v>3662.48</v>
      </c>
      <c r="AV317" s="106">
        <v>-5958.01</v>
      </c>
      <c r="AW317" s="19"/>
    </row>
    <row r="318" spans="2:49" x14ac:dyDescent="0.25">
      <c r="B318" s="9" t="str">
        <f t="shared" si="53"/>
        <v>11 2025</v>
      </c>
      <c r="C318" s="10">
        <f t="shared" si="66"/>
        <v>45970</v>
      </c>
      <c r="D318" s="10">
        <f t="shared" si="67"/>
        <v>45971</v>
      </c>
      <c r="E318" s="11">
        <f t="shared" si="54"/>
        <v>1</v>
      </c>
      <c r="G318" s="11" t="s">
        <v>7</v>
      </c>
      <c r="H318" s="12">
        <f t="shared" si="60"/>
        <v>14080000</v>
      </c>
      <c r="I318" s="14">
        <f t="shared" si="57"/>
        <v>1.7500000000000002E-2</v>
      </c>
      <c r="J318" s="112">
        <f t="shared" si="58"/>
        <v>684.44444444444457</v>
      </c>
      <c r="K318" s="13">
        <f t="shared" si="59"/>
        <v>391285.87500000076</v>
      </c>
      <c r="M318" s="11" t="s">
        <v>7</v>
      </c>
      <c r="N318" s="12">
        <f t="shared" si="63"/>
        <v>12000000</v>
      </c>
      <c r="O318" s="97">
        <f t="shared" si="64"/>
        <v>2.1698630136986304E-2</v>
      </c>
      <c r="P318" s="112">
        <f t="shared" ref="P318:P349" si="73">O318*N318*E318/360</f>
        <v>723.28767123287685</v>
      </c>
      <c r="Q318" s="13">
        <f t="shared" si="65"/>
        <v>102575.34246575336</v>
      </c>
      <c r="R318" s="13">
        <f t="shared" ref="R318:R349" si="74">P318-(+N318*I318*$E318/360)</f>
        <v>139.95433789954348</v>
      </c>
      <c r="T318" s="11" t="str">
        <f t="shared" si="47"/>
        <v>SG</v>
      </c>
      <c r="U318" s="12">
        <f t="shared" si="48"/>
        <v>20035342.469999999</v>
      </c>
      <c r="V318" s="97">
        <f t="shared" si="49"/>
        <v>2.1205479452054792E-2</v>
      </c>
      <c r="W318" s="112">
        <f t="shared" si="50"/>
        <v>1180.1640085068491</v>
      </c>
      <c r="X318" s="13">
        <f t="shared" si="51"/>
        <v>70747.386008630143</v>
      </c>
      <c r="Y318" s="13">
        <f t="shared" si="52"/>
        <v>206.2237495485158</v>
      </c>
      <c r="AA318" s="11" t="s">
        <v>189</v>
      </c>
      <c r="AB318" s="98">
        <f t="shared" si="71"/>
        <v>15000000</v>
      </c>
      <c r="AC318" s="97">
        <f t="shared" si="72"/>
        <v>2.579E-2</v>
      </c>
      <c r="AD318" s="13">
        <f t="shared" si="68"/>
        <v>1074.5833333333333</v>
      </c>
      <c r="AE318" s="13">
        <f t="shared" si="69"/>
        <v>5372.9166666666661</v>
      </c>
      <c r="AF318" s="13">
        <f t="shared" si="70"/>
        <v>345.41666666666663</v>
      </c>
      <c r="AH318" s="235">
        <f>'CT- € Ellipsis BNP'!X318</f>
        <v>100043649.41910459</v>
      </c>
      <c r="AI318" s="236">
        <f>'CT- € Ellipsis BNP'!AA318</f>
        <v>2.2425954265440362E-2</v>
      </c>
      <c r="AJ318" s="90">
        <f>'CT- € Ellipsis BNP'!W318</f>
        <v>0</v>
      </c>
      <c r="AK318" s="91">
        <f>'CT- € Ellipsis BNP'!AC318</f>
        <v>-4861.1111111111113</v>
      </c>
      <c r="AM318" s="235">
        <f>'codeis €'!Z318</f>
        <v>36851469.199999996</v>
      </c>
      <c r="AN318" s="236">
        <f>'codeis €'!AF318</f>
        <v>2.0810420625438919E-2</v>
      </c>
      <c r="AO318" s="90">
        <f>'codeis €'!AC318</f>
        <v>0</v>
      </c>
      <c r="AP318" s="91">
        <f>'codeis €'!AI318</f>
        <v>-1788.4978222222219</v>
      </c>
      <c r="AR318" s="106">
        <v>198010461.09</v>
      </c>
      <c r="AS318" s="565">
        <v>0.02</v>
      </c>
      <c r="AT318" s="565">
        <v>2.1899999999999999E-2</v>
      </c>
      <c r="AU318" s="106">
        <v>3662.48</v>
      </c>
      <c r="AV318" s="106">
        <v>-5958.01</v>
      </c>
      <c r="AW318" s="19"/>
    </row>
    <row r="319" spans="2:49" x14ac:dyDescent="0.25">
      <c r="B319" s="9" t="str">
        <f t="shared" si="53"/>
        <v>11 2025</v>
      </c>
      <c r="C319" s="10">
        <f t="shared" si="66"/>
        <v>45971</v>
      </c>
      <c r="D319" s="10">
        <f t="shared" si="67"/>
        <v>45972</v>
      </c>
      <c r="E319" s="11">
        <f t="shared" si="54"/>
        <v>1</v>
      </c>
      <c r="G319" s="11" t="s">
        <v>7</v>
      </c>
      <c r="H319" s="12">
        <f t="shared" si="60"/>
        <v>14080000</v>
      </c>
      <c r="I319" s="14">
        <f t="shared" si="57"/>
        <v>1.7500000000000002E-2</v>
      </c>
      <c r="J319" s="112">
        <f t="shared" si="58"/>
        <v>684.44444444444457</v>
      </c>
      <c r="K319" s="13">
        <f t="shared" si="59"/>
        <v>391970.31944444519</v>
      </c>
      <c r="M319" s="11" t="s">
        <v>7</v>
      </c>
      <c r="N319" s="12">
        <f t="shared" si="63"/>
        <v>12000000</v>
      </c>
      <c r="O319" s="97">
        <f t="shared" si="64"/>
        <v>2.1698630136986304E-2</v>
      </c>
      <c r="P319" s="112">
        <f t="shared" si="73"/>
        <v>723.28767123287685</v>
      </c>
      <c r="Q319" s="13">
        <f t="shared" si="65"/>
        <v>103298.63013698623</v>
      </c>
      <c r="R319" s="13">
        <f t="shared" si="74"/>
        <v>139.95433789954348</v>
      </c>
      <c r="T319" s="11" t="str">
        <f t="shared" si="47"/>
        <v>SG</v>
      </c>
      <c r="U319" s="12">
        <f t="shared" si="48"/>
        <v>20035342.469999999</v>
      </c>
      <c r="V319" s="97">
        <f t="shared" si="49"/>
        <v>2.1205479452054792E-2</v>
      </c>
      <c r="W319" s="112">
        <f t="shared" si="50"/>
        <v>1180.1640085068491</v>
      </c>
      <c r="X319" s="13">
        <f t="shared" si="51"/>
        <v>71927.550017136993</v>
      </c>
      <c r="Y319" s="13">
        <f t="shared" si="52"/>
        <v>206.2237495485158</v>
      </c>
      <c r="AA319" s="11" t="s">
        <v>189</v>
      </c>
      <c r="AB319" s="98">
        <f t="shared" si="71"/>
        <v>15000000</v>
      </c>
      <c r="AC319" s="97">
        <f t="shared" si="72"/>
        <v>2.579E-2</v>
      </c>
      <c r="AD319" s="13">
        <f t="shared" si="68"/>
        <v>1074.5833333333333</v>
      </c>
      <c r="AE319" s="13">
        <f t="shared" si="69"/>
        <v>6447.4999999999991</v>
      </c>
      <c r="AF319" s="13">
        <f t="shared" si="70"/>
        <v>345.41666666666663</v>
      </c>
      <c r="AH319" s="235">
        <f>'CT- € Ellipsis BNP'!X319</f>
        <v>100062342.37826271</v>
      </c>
      <c r="AI319" s="236">
        <f>'CT- € Ellipsis BNP'!AA319</f>
        <v>2.2425954265440362E-2</v>
      </c>
      <c r="AJ319" s="90">
        <f>'CT- € Ellipsis BNP'!W319</f>
        <v>18692.95915812254</v>
      </c>
      <c r="AK319" s="91">
        <f>'CT- € Ellipsis BNP'!AC319</f>
        <v>13831.848047011428</v>
      </c>
      <c r="AM319" s="235">
        <f>'codeis €'!Z319</f>
        <v>36857839.199999996</v>
      </c>
      <c r="AN319" s="236">
        <f>'codeis €'!AF319</f>
        <v>2.0810420625438919E-2</v>
      </c>
      <c r="AO319" s="90">
        <f>'codeis €'!AC319</f>
        <v>6370</v>
      </c>
      <c r="AP319" s="91">
        <f>'codeis €'!AI319</f>
        <v>4581.5021777777783</v>
      </c>
      <c r="AR319" s="106">
        <v>198035524.05000001</v>
      </c>
      <c r="AS319" s="565">
        <v>0.02</v>
      </c>
      <c r="AT319" s="565">
        <v>2.1899999999999999E-2</v>
      </c>
      <c r="AU319" s="106">
        <v>28725.439999999999</v>
      </c>
      <c r="AV319" s="106">
        <v>19104.939999999999</v>
      </c>
      <c r="AW319" s="19"/>
    </row>
    <row r="320" spans="2:49" x14ac:dyDescent="0.25">
      <c r="B320" s="9" t="str">
        <f t="shared" si="53"/>
        <v>11 2025</v>
      </c>
      <c r="C320" s="10">
        <f t="shared" si="66"/>
        <v>45972</v>
      </c>
      <c r="D320" s="10">
        <f t="shared" si="67"/>
        <v>45973</v>
      </c>
      <c r="E320" s="11">
        <f t="shared" si="54"/>
        <v>1</v>
      </c>
      <c r="G320" s="11" t="s">
        <v>7</v>
      </c>
      <c r="H320" s="12">
        <f t="shared" si="60"/>
        <v>14080000</v>
      </c>
      <c r="I320" s="14">
        <f t="shared" si="57"/>
        <v>1.7500000000000002E-2</v>
      </c>
      <c r="J320" s="112">
        <f t="shared" si="58"/>
        <v>684.44444444444457</v>
      </c>
      <c r="K320" s="13">
        <f t="shared" si="59"/>
        <v>392654.76388888963</v>
      </c>
      <c r="M320" s="11" t="s">
        <v>7</v>
      </c>
      <c r="N320" s="12">
        <f t="shared" si="63"/>
        <v>12000000</v>
      </c>
      <c r="O320" s="97">
        <f t="shared" si="64"/>
        <v>2.1698630136986304E-2</v>
      </c>
      <c r="P320" s="112">
        <f t="shared" si="73"/>
        <v>723.28767123287685</v>
      </c>
      <c r="Q320" s="13">
        <f t="shared" si="65"/>
        <v>104021.91780821911</v>
      </c>
      <c r="R320" s="13">
        <f t="shared" si="74"/>
        <v>139.95433789954348</v>
      </c>
      <c r="T320" s="11" t="str">
        <f t="shared" si="47"/>
        <v>SG</v>
      </c>
      <c r="U320" s="111">
        <v>20071927.550000001</v>
      </c>
      <c r="V320" s="97">
        <f t="shared" si="49"/>
        <v>2.1205479452054792E-2</v>
      </c>
      <c r="W320" s="183">
        <f t="shared" si="50"/>
        <v>1182.319020068493</v>
      </c>
      <c r="X320" s="13">
        <f t="shared" si="51"/>
        <v>73109.869037205484</v>
      </c>
      <c r="Y320" s="13">
        <f t="shared" si="52"/>
        <v>206.60031972127069</v>
      </c>
      <c r="Z320" s="19">
        <f>SUM(W320:W349)</f>
        <v>35469.570602054766</v>
      </c>
      <c r="AA320" s="11" t="s">
        <v>189</v>
      </c>
      <c r="AB320" s="98">
        <f t="shared" si="71"/>
        <v>15000000</v>
      </c>
      <c r="AC320" s="97">
        <f t="shared" si="72"/>
        <v>2.579E-2</v>
      </c>
      <c r="AD320" s="13">
        <f t="shared" si="68"/>
        <v>1074.5833333333333</v>
      </c>
      <c r="AE320" s="13">
        <f t="shared" si="69"/>
        <v>7522.0833333333321</v>
      </c>
      <c r="AF320" s="13">
        <f t="shared" si="70"/>
        <v>345.41666666666663</v>
      </c>
      <c r="AH320" s="235">
        <f>'CT- € Ellipsis BNP'!X320</f>
        <v>100062342.37826271</v>
      </c>
      <c r="AI320" s="236">
        <f>'CT- € Ellipsis BNP'!AA320</f>
        <v>2.2425954265440362E-2</v>
      </c>
      <c r="AJ320" s="90">
        <f>'CT- € Ellipsis BNP'!W320</f>
        <v>0</v>
      </c>
      <c r="AK320" s="91">
        <f>'CT- € Ellipsis BNP'!AC320</f>
        <v>-4861.1111111111113</v>
      </c>
      <c r="AM320" s="235">
        <f>'codeis €'!Z320</f>
        <v>36859986.799999997</v>
      </c>
      <c r="AN320" s="236">
        <f>'codeis €'!AF320</f>
        <v>2.0810420625438919E-2</v>
      </c>
      <c r="AO320" s="90">
        <f>'codeis €'!AC320</f>
        <v>2147.6000000014901</v>
      </c>
      <c r="AP320" s="91">
        <f>'codeis €'!AI320</f>
        <v>359.10217777926823</v>
      </c>
      <c r="AR320" s="106">
        <v>198074256.72999999</v>
      </c>
      <c r="AS320" s="565">
        <v>0.02</v>
      </c>
      <c r="AT320" s="565">
        <v>2.1899999999999999E-2</v>
      </c>
      <c r="AU320" s="106">
        <v>5812.23</v>
      </c>
      <c r="AV320" s="106">
        <v>-3810.04</v>
      </c>
      <c r="AW320" s="19"/>
    </row>
    <row r="321" spans="2:49" x14ac:dyDescent="0.25">
      <c r="B321" s="9" t="str">
        <f t="shared" si="53"/>
        <v>11 2025</v>
      </c>
      <c r="C321" s="10">
        <f t="shared" si="66"/>
        <v>45973</v>
      </c>
      <c r="D321" s="10">
        <f t="shared" si="67"/>
        <v>45974</v>
      </c>
      <c r="E321" s="11">
        <f t="shared" si="54"/>
        <v>1</v>
      </c>
      <c r="G321" s="11" t="s">
        <v>7</v>
      </c>
      <c r="H321" s="12">
        <f t="shared" si="60"/>
        <v>14080000</v>
      </c>
      <c r="I321" s="14">
        <f t="shared" si="57"/>
        <v>1.7500000000000002E-2</v>
      </c>
      <c r="J321" s="112">
        <f t="shared" si="58"/>
        <v>684.44444444444457</v>
      </c>
      <c r="K321" s="13">
        <f t="shared" si="59"/>
        <v>393339.20833333407</v>
      </c>
      <c r="M321" s="11" t="s">
        <v>7</v>
      </c>
      <c r="N321" s="12">
        <f t="shared" si="63"/>
        <v>12000000</v>
      </c>
      <c r="O321" s="97">
        <f t="shared" si="64"/>
        <v>2.1698630136986304E-2</v>
      </c>
      <c r="P321" s="112">
        <f t="shared" si="73"/>
        <v>723.28767123287685</v>
      </c>
      <c r="Q321" s="13">
        <f t="shared" si="65"/>
        <v>104745.20547945198</v>
      </c>
      <c r="R321" s="13">
        <f t="shared" si="74"/>
        <v>139.95433789954348</v>
      </c>
      <c r="T321" s="11" t="str">
        <f t="shared" si="47"/>
        <v>SG</v>
      </c>
      <c r="U321" s="12">
        <f t="shared" si="48"/>
        <v>20071927.550000001</v>
      </c>
      <c r="V321" s="97">
        <f t="shared" si="49"/>
        <v>2.1205479452054792E-2</v>
      </c>
      <c r="W321" s="183">
        <f t="shared" si="50"/>
        <v>1182.319020068493</v>
      </c>
      <c r="X321" s="13">
        <f t="shared" si="51"/>
        <v>74292.188057273976</v>
      </c>
      <c r="Y321" s="13">
        <f t="shared" si="52"/>
        <v>206.60031972127069</v>
      </c>
      <c r="AA321" s="11" t="s">
        <v>189</v>
      </c>
      <c r="AB321" s="98">
        <f t="shared" si="71"/>
        <v>15000000</v>
      </c>
      <c r="AC321" s="97">
        <f t="shared" si="72"/>
        <v>2.579E-2</v>
      </c>
      <c r="AD321" s="13">
        <f t="shared" si="68"/>
        <v>1074.5833333333333</v>
      </c>
      <c r="AE321" s="13">
        <f t="shared" si="69"/>
        <v>8596.6666666666661</v>
      </c>
      <c r="AF321" s="13">
        <f t="shared" si="70"/>
        <v>345.41666666666663</v>
      </c>
      <c r="AH321" s="235">
        <f>'CT- € Ellipsis BNP'!X321</f>
        <v>100074771.50299846</v>
      </c>
      <c r="AI321" s="236">
        <f>'CT- € Ellipsis BNP'!AA321</f>
        <v>2.2425954265440362E-2</v>
      </c>
      <c r="AJ321" s="90">
        <f>'CT- € Ellipsis BNP'!W321</f>
        <v>12429.124735742807</v>
      </c>
      <c r="AK321" s="91">
        <f>'CT- € Ellipsis BNP'!AC321</f>
        <v>7568.0136246316961</v>
      </c>
      <c r="AM321" s="235">
        <f>'codeis €'!Z321</f>
        <v>36862098</v>
      </c>
      <c r="AN321" s="236">
        <f>'codeis €'!AF321</f>
        <v>2.0810420625438919E-2</v>
      </c>
      <c r="AO321" s="90">
        <f>'codeis €'!AC321</f>
        <v>2111.2000000029802</v>
      </c>
      <c r="AP321" s="91">
        <f>'codeis €'!AI321</f>
        <v>322.70217778075835</v>
      </c>
      <c r="AR321" s="106">
        <v>198088797.05000001</v>
      </c>
      <c r="AS321" s="565">
        <v>0.02</v>
      </c>
      <c r="AT321" s="565">
        <v>2.1899999999999999E-2</v>
      </c>
      <c r="AU321" s="106">
        <v>18204.96</v>
      </c>
      <c r="AV321" s="106">
        <v>8582.69</v>
      </c>
      <c r="AW321" s="19"/>
    </row>
    <row r="322" spans="2:49" x14ac:dyDescent="0.25">
      <c r="B322" s="9" t="str">
        <f t="shared" si="53"/>
        <v>11 2025</v>
      </c>
      <c r="C322" s="10">
        <f t="shared" si="66"/>
        <v>45974</v>
      </c>
      <c r="D322" s="10">
        <f t="shared" si="67"/>
        <v>45975</v>
      </c>
      <c r="E322" s="11">
        <f t="shared" si="54"/>
        <v>1</v>
      </c>
      <c r="G322" s="11" t="s">
        <v>7</v>
      </c>
      <c r="H322" s="135">
        <f>H321-1920000</f>
        <v>12160000</v>
      </c>
      <c r="I322" s="14">
        <f t="shared" si="57"/>
        <v>1.7500000000000002E-2</v>
      </c>
      <c r="J322" s="112">
        <f t="shared" si="58"/>
        <v>591.1111111111112</v>
      </c>
      <c r="K322" s="13">
        <f t="shared" si="59"/>
        <v>393930.31944444519</v>
      </c>
      <c r="M322" s="11" t="s">
        <v>7</v>
      </c>
      <c r="N322" s="12">
        <f t="shared" si="63"/>
        <v>12000000</v>
      </c>
      <c r="O322" s="97">
        <f t="shared" si="64"/>
        <v>2.1698630136986304E-2</v>
      </c>
      <c r="P322" s="112">
        <f t="shared" si="73"/>
        <v>723.28767123287685</v>
      </c>
      <c r="Q322" s="13">
        <f t="shared" si="65"/>
        <v>105468.49315068485</v>
      </c>
      <c r="R322" s="13">
        <f t="shared" si="74"/>
        <v>139.95433789954348</v>
      </c>
      <c r="T322" s="11" t="str">
        <f t="shared" si="47"/>
        <v>SG</v>
      </c>
      <c r="U322" s="12">
        <f t="shared" si="48"/>
        <v>20071927.550000001</v>
      </c>
      <c r="V322" s="97">
        <f t="shared" si="49"/>
        <v>2.1205479452054792E-2</v>
      </c>
      <c r="W322" s="183">
        <f t="shared" si="50"/>
        <v>1182.319020068493</v>
      </c>
      <c r="X322" s="13">
        <f t="shared" si="51"/>
        <v>75474.507077342467</v>
      </c>
      <c r="Y322" s="13">
        <f t="shared" si="52"/>
        <v>206.60031972127069</v>
      </c>
      <c r="AA322" s="11" t="s">
        <v>189</v>
      </c>
      <c r="AB322" s="98">
        <f t="shared" si="71"/>
        <v>15000000</v>
      </c>
      <c r="AC322" s="97">
        <f t="shared" si="72"/>
        <v>2.579E-2</v>
      </c>
      <c r="AD322" s="13">
        <f t="shared" si="68"/>
        <v>1074.5833333333333</v>
      </c>
      <c r="AE322" s="13">
        <f t="shared" si="69"/>
        <v>9671.25</v>
      </c>
      <c r="AF322" s="13">
        <f t="shared" si="70"/>
        <v>345.41666666666663</v>
      </c>
      <c r="AH322" s="235">
        <f>'CT- € Ellipsis BNP'!X322</f>
        <v>100081035.33742081</v>
      </c>
      <c r="AI322" s="236">
        <f>'CT- € Ellipsis BNP'!AA322</f>
        <v>2.2425954265440362E-2</v>
      </c>
      <c r="AJ322" s="90">
        <f>'CT- € Ellipsis BNP'!W322</f>
        <v>6263.8344223499298</v>
      </c>
      <c r="AK322" s="91">
        <f>'CT- € Ellipsis BNP'!AC322</f>
        <v>1402.7233112388185</v>
      </c>
      <c r="AM322" s="235">
        <f>'codeis €'!Z322</f>
        <v>36864245.600000009</v>
      </c>
      <c r="AN322" s="236">
        <f>'codeis €'!AF322</f>
        <v>2.0810420625438919E-2</v>
      </c>
      <c r="AO322" s="90">
        <f>'codeis €'!AC322</f>
        <v>2147.6000000089407</v>
      </c>
      <c r="AP322" s="91">
        <f>'codeis €'!AI322</f>
        <v>359.10217778671881</v>
      </c>
      <c r="AR322" s="106">
        <v>196177208.49000001</v>
      </c>
      <c r="AS322" s="565">
        <v>0.02</v>
      </c>
      <c r="AT322" s="565">
        <v>2.1899999999999999E-2</v>
      </c>
      <c r="AU322" s="106">
        <v>11982.74</v>
      </c>
      <c r="AV322" s="106">
        <v>2453.8000000000002</v>
      </c>
      <c r="AW322" s="19"/>
    </row>
    <row r="323" spans="2:49" x14ac:dyDescent="0.25">
      <c r="B323" s="9" t="str">
        <f t="shared" si="53"/>
        <v>11 2025</v>
      </c>
      <c r="C323" s="10">
        <f t="shared" si="66"/>
        <v>45975</v>
      </c>
      <c r="D323" s="10">
        <f t="shared" si="67"/>
        <v>45976</v>
      </c>
      <c r="E323" s="11">
        <f t="shared" si="54"/>
        <v>1</v>
      </c>
      <c r="G323" s="11" t="s">
        <v>7</v>
      </c>
      <c r="H323" s="12">
        <f t="shared" si="60"/>
        <v>12160000</v>
      </c>
      <c r="I323" s="14">
        <f t="shared" si="57"/>
        <v>1.7500000000000002E-2</v>
      </c>
      <c r="J323" s="112">
        <f t="shared" si="58"/>
        <v>591.1111111111112</v>
      </c>
      <c r="K323" s="13">
        <f t="shared" si="59"/>
        <v>394521.43055555632</v>
      </c>
      <c r="M323" s="11" t="s">
        <v>7</v>
      </c>
      <c r="N323" s="12">
        <f t="shared" si="63"/>
        <v>12000000</v>
      </c>
      <c r="O323" s="97">
        <f t="shared" si="64"/>
        <v>2.1698630136986304E-2</v>
      </c>
      <c r="P323" s="112">
        <f t="shared" si="73"/>
        <v>723.28767123287685</v>
      </c>
      <c r="Q323" s="13">
        <f t="shared" si="65"/>
        <v>106191.78082191772</v>
      </c>
      <c r="R323" s="13">
        <f t="shared" si="74"/>
        <v>139.95433789954348</v>
      </c>
      <c r="T323" s="11" t="str">
        <f t="shared" si="47"/>
        <v>SG</v>
      </c>
      <c r="U323" s="12">
        <f t="shared" si="48"/>
        <v>20071927.550000001</v>
      </c>
      <c r="V323" s="97">
        <f t="shared" si="49"/>
        <v>2.1205479452054792E-2</v>
      </c>
      <c r="W323" s="183">
        <f t="shared" si="50"/>
        <v>1182.319020068493</v>
      </c>
      <c r="X323" s="13">
        <f t="shared" si="51"/>
        <v>76656.826097410958</v>
      </c>
      <c r="Y323" s="13">
        <f t="shared" si="52"/>
        <v>206.60031972127069</v>
      </c>
      <c r="AA323" s="11" t="s">
        <v>189</v>
      </c>
      <c r="AB323" s="98">
        <f t="shared" si="71"/>
        <v>15000000</v>
      </c>
      <c r="AC323" s="97">
        <f t="shared" si="72"/>
        <v>2.579E-2</v>
      </c>
      <c r="AD323" s="13">
        <f t="shared" si="68"/>
        <v>1074.5833333333333</v>
      </c>
      <c r="AE323" s="13">
        <f t="shared" si="69"/>
        <v>10745.833333333334</v>
      </c>
      <c r="AF323" s="13">
        <f t="shared" si="70"/>
        <v>345.41666666666663</v>
      </c>
      <c r="AH323" s="235">
        <f>'CT- € Ellipsis BNP'!X323</f>
        <v>100087299.1718432</v>
      </c>
      <c r="AI323" s="236">
        <f>'CT- € Ellipsis BNP'!AA323</f>
        <v>2.2425954265440362E-2</v>
      </c>
      <c r="AJ323" s="90">
        <f>'CT- € Ellipsis BNP'!W323</f>
        <v>6263.8344223946333</v>
      </c>
      <c r="AK323" s="91">
        <f>'CT- € Ellipsis BNP'!AC323</f>
        <v>1402.723311283522</v>
      </c>
      <c r="AM323" s="235">
        <f>'codeis €'!Z323</f>
        <v>36866356.800000004</v>
      </c>
      <c r="AN323" s="236">
        <f>'codeis €'!AF323</f>
        <v>2.0810420625438919E-2</v>
      </c>
      <c r="AO323" s="90">
        <f>'codeis €'!AC323</f>
        <v>2111.1999999955297</v>
      </c>
      <c r="AP323" s="91">
        <f>'codeis €'!AI323</f>
        <v>322.70217777330777</v>
      </c>
      <c r="AR323" s="106">
        <v>196185583.52000001</v>
      </c>
      <c r="AS323" s="565">
        <v>0.02</v>
      </c>
      <c r="AT323" s="565">
        <v>2.1899999999999999E-2</v>
      </c>
      <c r="AU323" s="106">
        <v>11946.34</v>
      </c>
      <c r="AV323" s="106">
        <v>2417.4</v>
      </c>
      <c r="AW323" s="19"/>
    </row>
    <row r="324" spans="2:49" x14ac:dyDescent="0.25">
      <c r="B324" s="9" t="str">
        <f t="shared" si="53"/>
        <v>11 2025</v>
      </c>
      <c r="C324" s="10">
        <f t="shared" si="66"/>
        <v>45976</v>
      </c>
      <c r="D324" s="10">
        <f t="shared" si="67"/>
        <v>45977</v>
      </c>
      <c r="E324" s="11">
        <f t="shared" si="54"/>
        <v>1</v>
      </c>
      <c r="G324" s="11" t="s">
        <v>7</v>
      </c>
      <c r="H324" s="12">
        <f t="shared" si="60"/>
        <v>12160000</v>
      </c>
      <c r="I324" s="14">
        <f t="shared" si="57"/>
        <v>1.7500000000000002E-2</v>
      </c>
      <c r="J324" s="112">
        <f t="shared" si="58"/>
        <v>591.1111111111112</v>
      </c>
      <c r="K324" s="13">
        <f t="shared" si="59"/>
        <v>395112.54166666744</v>
      </c>
      <c r="M324" s="11" t="s">
        <v>7</v>
      </c>
      <c r="N324" s="12">
        <f t="shared" si="63"/>
        <v>12000000</v>
      </c>
      <c r="O324" s="97">
        <f t="shared" si="64"/>
        <v>2.1698630136986304E-2</v>
      </c>
      <c r="P324" s="112">
        <f t="shared" si="73"/>
        <v>723.28767123287685</v>
      </c>
      <c r="Q324" s="13">
        <f t="shared" si="65"/>
        <v>106915.0684931506</v>
      </c>
      <c r="R324" s="13">
        <f t="shared" si="74"/>
        <v>139.95433789954348</v>
      </c>
      <c r="T324" s="11" t="str">
        <f t="shared" si="47"/>
        <v>SG</v>
      </c>
      <c r="U324" s="12">
        <f t="shared" si="48"/>
        <v>20071927.550000001</v>
      </c>
      <c r="V324" s="97">
        <f t="shared" si="49"/>
        <v>2.1205479452054792E-2</v>
      </c>
      <c r="W324" s="183">
        <f t="shared" si="50"/>
        <v>1182.319020068493</v>
      </c>
      <c r="X324" s="13">
        <f t="shared" si="51"/>
        <v>77839.145117479449</v>
      </c>
      <c r="Y324" s="13">
        <f t="shared" si="52"/>
        <v>206.60031972127069</v>
      </c>
      <c r="AA324" s="11" t="s">
        <v>189</v>
      </c>
      <c r="AB324" s="98">
        <f t="shared" si="71"/>
        <v>15000000</v>
      </c>
      <c r="AC324" s="97">
        <f t="shared" si="72"/>
        <v>2.579E-2</v>
      </c>
      <c r="AD324" s="13">
        <f t="shared" si="68"/>
        <v>1074.5833333333333</v>
      </c>
      <c r="AE324" s="13">
        <f t="shared" si="69"/>
        <v>11820.416666666668</v>
      </c>
      <c r="AF324" s="13">
        <f t="shared" si="70"/>
        <v>345.41666666666663</v>
      </c>
      <c r="AH324" s="235">
        <f>'CT- € Ellipsis BNP'!X324</f>
        <v>100087299.1718432</v>
      </c>
      <c r="AI324" s="236">
        <f>'CT- € Ellipsis BNP'!AA324</f>
        <v>2.2425954265440362E-2</v>
      </c>
      <c r="AJ324" s="90">
        <f>'CT- € Ellipsis BNP'!W324</f>
        <v>0</v>
      </c>
      <c r="AK324" s="91">
        <f>'CT- € Ellipsis BNP'!AC324</f>
        <v>-4861.1111111111113</v>
      </c>
      <c r="AM324" s="235">
        <f>'codeis €'!Z324</f>
        <v>36866356.800000004</v>
      </c>
      <c r="AN324" s="236">
        <f>'codeis €'!AF324</f>
        <v>2.0810420625438919E-2</v>
      </c>
      <c r="AO324" s="90">
        <f>'codeis €'!AC324</f>
        <v>0</v>
      </c>
      <c r="AP324" s="91">
        <f>'codeis €'!AI324</f>
        <v>-1788.4978222222219</v>
      </c>
      <c r="AR324" s="106">
        <v>196185583.52000001</v>
      </c>
      <c r="AS324" s="565">
        <v>0.02</v>
      </c>
      <c r="AT324" s="565">
        <v>2.1899999999999999E-2</v>
      </c>
      <c r="AU324" s="106">
        <v>3571.3</v>
      </c>
      <c r="AV324" s="106">
        <v>-5957.64</v>
      </c>
      <c r="AW324" s="19"/>
    </row>
    <row r="325" spans="2:49" x14ac:dyDescent="0.25">
      <c r="B325" s="9" t="str">
        <f t="shared" si="53"/>
        <v>11 2025</v>
      </c>
      <c r="C325" s="10">
        <f t="shared" si="66"/>
        <v>45977</v>
      </c>
      <c r="D325" s="10">
        <f t="shared" si="67"/>
        <v>45978</v>
      </c>
      <c r="E325" s="11">
        <f t="shared" si="54"/>
        <v>1</v>
      </c>
      <c r="G325" s="11" t="s">
        <v>7</v>
      </c>
      <c r="H325" s="12">
        <f t="shared" si="60"/>
        <v>12160000</v>
      </c>
      <c r="I325" s="14">
        <f t="shared" si="57"/>
        <v>1.7500000000000002E-2</v>
      </c>
      <c r="J325" s="112">
        <f t="shared" si="58"/>
        <v>591.1111111111112</v>
      </c>
      <c r="K325" s="13">
        <f t="shared" si="59"/>
        <v>395703.65277777857</v>
      </c>
      <c r="M325" s="11" t="s">
        <v>7</v>
      </c>
      <c r="N325" s="12">
        <f t="shared" si="63"/>
        <v>12000000</v>
      </c>
      <c r="O325" s="97">
        <f t="shared" si="64"/>
        <v>2.1698630136986304E-2</v>
      </c>
      <c r="P325" s="112">
        <f t="shared" si="73"/>
        <v>723.28767123287685</v>
      </c>
      <c r="Q325" s="13">
        <f t="shared" si="65"/>
        <v>107638.35616438347</v>
      </c>
      <c r="R325" s="13">
        <f t="shared" si="74"/>
        <v>139.95433789954348</v>
      </c>
      <c r="T325" s="11" t="str">
        <f t="shared" ref="T325:T369" si="75">T324</f>
        <v>SG</v>
      </c>
      <c r="U325" s="12">
        <f t="shared" ref="U325:U369" si="76">U324</f>
        <v>20071927.550000001</v>
      </c>
      <c r="V325" s="97">
        <f t="shared" ref="V325:V369" si="77">V324</f>
        <v>2.1205479452054792E-2</v>
      </c>
      <c r="W325" s="183">
        <f t="shared" ref="W325:W369" si="78">V325*U325*E325/360</f>
        <v>1182.319020068493</v>
      </c>
      <c r="X325" s="13">
        <f t="shared" ref="X325:X369" si="79">X324+W325</f>
        <v>79021.46413754794</v>
      </c>
      <c r="Y325" s="13">
        <f t="shared" ref="Y325:Y369" si="80">W325-(+U325*$I325*$E325/360)</f>
        <v>206.60031972127069</v>
      </c>
      <c r="AA325" s="11" t="s">
        <v>189</v>
      </c>
      <c r="AB325" s="98">
        <f t="shared" si="71"/>
        <v>15000000</v>
      </c>
      <c r="AC325" s="97">
        <f t="shared" si="72"/>
        <v>2.579E-2</v>
      </c>
      <c r="AD325" s="13">
        <f t="shared" si="68"/>
        <v>1074.5833333333333</v>
      </c>
      <c r="AE325" s="13">
        <f t="shared" si="69"/>
        <v>12895.000000000002</v>
      </c>
      <c r="AF325" s="13">
        <f t="shared" si="70"/>
        <v>345.41666666666663</v>
      </c>
      <c r="AH325" s="235">
        <f>'CT- € Ellipsis BNP'!X325</f>
        <v>100087299.1718432</v>
      </c>
      <c r="AI325" s="236">
        <f>'CT- € Ellipsis BNP'!AA325</f>
        <v>2.2425954265440362E-2</v>
      </c>
      <c r="AJ325" s="90">
        <f>'CT- € Ellipsis BNP'!W325</f>
        <v>0</v>
      </c>
      <c r="AK325" s="91">
        <f>'CT- € Ellipsis BNP'!AC325</f>
        <v>-4861.1111111111113</v>
      </c>
      <c r="AM325" s="235">
        <f>'codeis €'!Z325</f>
        <v>36866356.800000004</v>
      </c>
      <c r="AN325" s="236">
        <f>'codeis €'!AF325</f>
        <v>2.0810420625438919E-2</v>
      </c>
      <c r="AO325" s="90">
        <f>'codeis €'!AC325</f>
        <v>0</v>
      </c>
      <c r="AP325" s="91">
        <f>'codeis €'!AI325</f>
        <v>-1788.4978222222219</v>
      </c>
      <c r="AR325" s="106">
        <v>196185583.52000001</v>
      </c>
      <c r="AS325" s="565">
        <v>0.02</v>
      </c>
      <c r="AT325" s="565">
        <v>2.1899999999999999E-2</v>
      </c>
      <c r="AU325" s="106">
        <v>3571.3</v>
      </c>
      <c r="AV325" s="106">
        <v>-5957.64</v>
      </c>
      <c r="AW325" s="19"/>
    </row>
    <row r="326" spans="2:49" x14ac:dyDescent="0.25">
      <c r="B326" s="9" t="str">
        <f t="shared" ref="B326:B369" si="81">CONCATENATE(MONTH(D326)," ",YEAR(D326))</f>
        <v>11 2025</v>
      </c>
      <c r="C326" s="10">
        <f t="shared" si="66"/>
        <v>45978</v>
      </c>
      <c r="D326" s="10">
        <f t="shared" si="67"/>
        <v>45979</v>
      </c>
      <c r="E326" s="11">
        <f t="shared" ref="E326:E369" si="82">D326-C326</f>
        <v>1</v>
      </c>
      <c r="G326" s="11" t="s">
        <v>7</v>
      </c>
      <c r="H326" s="12">
        <f t="shared" si="60"/>
        <v>12160000</v>
      </c>
      <c r="I326" s="14">
        <f t="shared" si="57"/>
        <v>1.7500000000000002E-2</v>
      </c>
      <c r="J326" s="112">
        <f t="shared" si="58"/>
        <v>591.1111111111112</v>
      </c>
      <c r="K326" s="13">
        <f t="shared" si="59"/>
        <v>396294.76388888969</v>
      </c>
      <c r="M326" s="11" t="s">
        <v>7</v>
      </c>
      <c r="N326" s="12">
        <f t="shared" si="63"/>
        <v>12000000</v>
      </c>
      <c r="O326" s="97">
        <f t="shared" si="64"/>
        <v>2.1698630136986304E-2</v>
      </c>
      <c r="P326" s="112">
        <f t="shared" si="73"/>
        <v>723.28767123287685</v>
      </c>
      <c r="Q326" s="13">
        <f t="shared" si="65"/>
        <v>108361.64383561634</v>
      </c>
      <c r="R326" s="13">
        <f t="shared" si="74"/>
        <v>139.95433789954348</v>
      </c>
      <c r="T326" s="11" t="str">
        <f t="shared" si="75"/>
        <v>SG</v>
      </c>
      <c r="U326" s="12">
        <f t="shared" si="76"/>
        <v>20071927.550000001</v>
      </c>
      <c r="V326" s="97">
        <f t="shared" si="77"/>
        <v>2.1205479452054792E-2</v>
      </c>
      <c r="W326" s="183">
        <f t="shared" si="78"/>
        <v>1182.319020068493</v>
      </c>
      <c r="X326" s="13">
        <f t="shared" si="79"/>
        <v>80203.783157616432</v>
      </c>
      <c r="Y326" s="13">
        <f t="shared" si="80"/>
        <v>206.60031972127069</v>
      </c>
      <c r="AA326" s="11" t="s">
        <v>189</v>
      </c>
      <c r="AB326" s="98">
        <f t="shared" si="71"/>
        <v>15000000</v>
      </c>
      <c r="AC326" s="97">
        <f t="shared" si="72"/>
        <v>2.579E-2</v>
      </c>
      <c r="AD326" s="13">
        <f t="shared" si="68"/>
        <v>1074.5833333333333</v>
      </c>
      <c r="AE326" s="13">
        <f t="shared" si="69"/>
        <v>13969.583333333336</v>
      </c>
      <c r="AF326" s="13">
        <f t="shared" si="70"/>
        <v>345.41666666666663</v>
      </c>
      <c r="AH326" s="235">
        <f>'CT- € Ellipsis BNP'!X326</f>
        <v>100105992.13100131</v>
      </c>
      <c r="AI326" s="236">
        <f>'CT- € Ellipsis BNP'!AA326</f>
        <v>2.2425954265440362E-2</v>
      </c>
      <c r="AJ326" s="90">
        <f>'CT- € Ellipsis BNP'!W326</f>
        <v>18692.959158107638</v>
      </c>
      <c r="AK326" s="91">
        <f>'CT- € Ellipsis BNP'!AC326</f>
        <v>13831.848046996527</v>
      </c>
      <c r="AM326" s="235">
        <f>'codeis €'!Z326</f>
        <v>36872763.200000003</v>
      </c>
      <c r="AN326" s="236">
        <f>'codeis €'!AF326</f>
        <v>2.0810420625438919E-2</v>
      </c>
      <c r="AO326" s="90">
        <f>'codeis €'!AC326</f>
        <v>6406.3999999985099</v>
      </c>
      <c r="AP326" s="91">
        <f>'codeis €'!AI326</f>
        <v>4617.9021777762882</v>
      </c>
      <c r="AR326" s="106">
        <v>196210682.88</v>
      </c>
      <c r="AS326" s="565">
        <v>0.02</v>
      </c>
      <c r="AT326" s="565">
        <v>2.1899999999999999E-2</v>
      </c>
      <c r="AU326" s="106">
        <v>28670.66</v>
      </c>
      <c r="AV326" s="106">
        <v>19141.72</v>
      </c>
      <c r="AW326" s="19"/>
    </row>
    <row r="327" spans="2:49" x14ac:dyDescent="0.25">
      <c r="B327" s="9" t="str">
        <f t="shared" si="81"/>
        <v>11 2025</v>
      </c>
      <c r="C327" s="10">
        <f t="shared" si="66"/>
        <v>45979</v>
      </c>
      <c r="D327" s="10">
        <f t="shared" si="67"/>
        <v>45980</v>
      </c>
      <c r="E327" s="11">
        <f t="shared" si="82"/>
        <v>1</v>
      </c>
      <c r="G327" s="11" t="s">
        <v>7</v>
      </c>
      <c r="H327" s="135">
        <f>H326-210000</f>
        <v>11950000</v>
      </c>
      <c r="I327" s="14">
        <f t="shared" si="57"/>
        <v>1.7500000000000002E-2</v>
      </c>
      <c r="J327" s="112">
        <f t="shared" si="58"/>
        <v>580.90277777777783</v>
      </c>
      <c r="K327" s="13">
        <f t="shared" si="59"/>
        <v>396875.66666666744</v>
      </c>
      <c r="M327" s="11" t="s">
        <v>7</v>
      </c>
      <c r="N327" s="12">
        <f t="shared" si="63"/>
        <v>12000000</v>
      </c>
      <c r="O327" s="97">
        <f t="shared" si="64"/>
        <v>2.1698630136986304E-2</v>
      </c>
      <c r="P327" s="112">
        <f t="shared" si="73"/>
        <v>723.28767123287685</v>
      </c>
      <c r="Q327" s="13">
        <f t="shared" si="65"/>
        <v>109084.93150684921</v>
      </c>
      <c r="R327" s="13">
        <f t="shared" si="74"/>
        <v>139.95433789954348</v>
      </c>
      <c r="T327" s="11" t="str">
        <f t="shared" si="75"/>
        <v>SG</v>
      </c>
      <c r="U327" s="12">
        <f t="shared" si="76"/>
        <v>20071927.550000001</v>
      </c>
      <c r="V327" s="97">
        <f t="shared" si="77"/>
        <v>2.1205479452054792E-2</v>
      </c>
      <c r="W327" s="183">
        <f t="shared" si="78"/>
        <v>1182.319020068493</v>
      </c>
      <c r="X327" s="13">
        <f t="shared" si="79"/>
        <v>81386.102177684923</v>
      </c>
      <c r="Y327" s="13">
        <f t="shared" si="80"/>
        <v>206.60031972127069</v>
      </c>
      <c r="AA327" s="11" t="s">
        <v>189</v>
      </c>
      <c r="AB327" s="98">
        <f t="shared" si="71"/>
        <v>15000000</v>
      </c>
      <c r="AC327" s="97">
        <f t="shared" si="72"/>
        <v>2.579E-2</v>
      </c>
      <c r="AD327" s="13">
        <f t="shared" si="68"/>
        <v>1074.5833333333333</v>
      </c>
      <c r="AE327" s="13">
        <f t="shared" si="69"/>
        <v>15044.16666666667</v>
      </c>
      <c r="AF327" s="13">
        <f t="shared" si="70"/>
        <v>345.41666666666663</v>
      </c>
      <c r="AH327" s="235">
        <f>'CT- € Ellipsis BNP'!X327</f>
        <v>100112157.42131467</v>
      </c>
      <c r="AI327" s="236">
        <f>'CT- € Ellipsis BNP'!AA327</f>
        <v>2.2425954265440362E-2</v>
      </c>
      <c r="AJ327" s="90">
        <f>'CT- € Ellipsis BNP'!W327</f>
        <v>6165.2903133630753</v>
      </c>
      <c r="AK327" s="91">
        <f>'CT- € Ellipsis BNP'!AC327</f>
        <v>1304.1792022519639</v>
      </c>
      <c r="AM327" s="235">
        <f>'codeis €'!Z327</f>
        <v>36874874.399999999</v>
      </c>
      <c r="AN327" s="236">
        <f>'codeis €'!AF327</f>
        <v>2.0810420625438919E-2</v>
      </c>
      <c r="AO327" s="90">
        <f>'codeis €'!AC327</f>
        <v>2111.1999999955297</v>
      </c>
      <c r="AP327" s="91">
        <f>'codeis €'!AI327</f>
        <v>322.70217777330777</v>
      </c>
      <c r="AR327" s="106">
        <v>196008959.37</v>
      </c>
      <c r="AS327" s="565">
        <v>0.02</v>
      </c>
      <c r="AT327" s="565">
        <v>2.1899999999999999E-2</v>
      </c>
      <c r="AU327" s="106">
        <v>11837.58</v>
      </c>
      <c r="AV327" s="106">
        <v>2318.85</v>
      </c>
      <c r="AW327" s="19"/>
    </row>
    <row r="328" spans="2:49" x14ac:dyDescent="0.25">
      <c r="B328" s="9" t="str">
        <f t="shared" si="81"/>
        <v>11 2025</v>
      </c>
      <c r="C328" s="10">
        <f t="shared" si="66"/>
        <v>45980</v>
      </c>
      <c r="D328" s="10">
        <f t="shared" si="67"/>
        <v>45981</v>
      </c>
      <c r="E328" s="11">
        <f t="shared" si="82"/>
        <v>1</v>
      </c>
      <c r="G328" s="11" t="s">
        <v>7</v>
      </c>
      <c r="H328" s="106">
        <f>H327+1720000</f>
        <v>13670000</v>
      </c>
      <c r="I328" s="14">
        <f t="shared" ref="I328:I369" si="83">I327</f>
        <v>1.7500000000000002E-2</v>
      </c>
      <c r="J328" s="112">
        <f t="shared" ref="J328:J369" si="84">+H328*I328*E328/360</f>
        <v>664.51388888888891</v>
      </c>
      <c r="K328" s="13">
        <f t="shared" ref="K328:K369" si="85">K327+J328</f>
        <v>397540.18055555632</v>
      </c>
      <c r="M328" s="11" t="s">
        <v>7</v>
      </c>
      <c r="N328" s="12">
        <f t="shared" si="63"/>
        <v>12000000</v>
      </c>
      <c r="O328" s="97">
        <f t="shared" si="64"/>
        <v>2.1698630136986304E-2</v>
      </c>
      <c r="P328" s="112">
        <f t="shared" si="73"/>
        <v>723.28767123287685</v>
      </c>
      <c r="Q328" s="13">
        <f t="shared" si="65"/>
        <v>109808.21917808209</v>
      </c>
      <c r="R328" s="13">
        <f t="shared" si="74"/>
        <v>139.95433789954348</v>
      </c>
      <c r="T328" s="11" t="str">
        <f t="shared" si="75"/>
        <v>SG</v>
      </c>
      <c r="U328" s="12">
        <f t="shared" si="76"/>
        <v>20071927.550000001</v>
      </c>
      <c r="V328" s="97">
        <f t="shared" si="77"/>
        <v>2.1205479452054792E-2</v>
      </c>
      <c r="W328" s="183">
        <f t="shared" si="78"/>
        <v>1182.319020068493</v>
      </c>
      <c r="X328" s="13">
        <f t="shared" si="79"/>
        <v>82568.421197753414</v>
      </c>
      <c r="Y328" s="13">
        <f t="shared" si="80"/>
        <v>206.60031972127069</v>
      </c>
      <c r="AA328" s="11" t="s">
        <v>189</v>
      </c>
      <c r="AB328" s="98">
        <f t="shared" si="71"/>
        <v>15000000</v>
      </c>
      <c r="AC328" s="97">
        <f t="shared" si="72"/>
        <v>2.579E-2</v>
      </c>
      <c r="AD328" s="13">
        <f t="shared" si="68"/>
        <v>1074.5833333333333</v>
      </c>
      <c r="AE328" s="13">
        <f t="shared" si="69"/>
        <v>16118.750000000004</v>
      </c>
      <c r="AF328" s="13">
        <f t="shared" si="70"/>
        <v>345.41666666666663</v>
      </c>
      <c r="AH328" s="235">
        <f>'CT- € Ellipsis BNP'!X328</f>
        <v>100118421.25573704</v>
      </c>
      <c r="AI328" s="236">
        <f>'CT- € Ellipsis BNP'!AA328</f>
        <v>2.2425954265440362E-2</v>
      </c>
      <c r="AJ328" s="90">
        <f>'CT- € Ellipsis BNP'!W328</f>
        <v>6263.834422364831</v>
      </c>
      <c r="AK328" s="91">
        <f>'CT- € Ellipsis BNP'!AC328</f>
        <v>1402.7233112537197</v>
      </c>
      <c r="AM328" s="235">
        <f>'codeis €'!Z328</f>
        <v>36877022.000000007</v>
      </c>
      <c r="AN328" s="236">
        <f>'codeis €'!AF328</f>
        <v>2.0810420625438919E-2</v>
      </c>
      <c r="AO328" s="90">
        <f>'codeis €'!AC328</f>
        <v>2147.6000000089407</v>
      </c>
      <c r="AP328" s="91">
        <f>'codeis €'!AI328</f>
        <v>359.10217778671881</v>
      </c>
      <c r="AR328" s="106">
        <v>197737370.81</v>
      </c>
      <c r="AS328" s="565">
        <v>0.02</v>
      </c>
      <c r="AT328" s="565">
        <v>2.1899999999999999E-2</v>
      </c>
      <c r="AU328" s="106">
        <v>12056.14</v>
      </c>
      <c r="AV328" s="106">
        <v>2453.8000000000002</v>
      </c>
      <c r="AW328" s="19"/>
    </row>
    <row r="329" spans="2:49" x14ac:dyDescent="0.25">
      <c r="B329" s="9" t="str">
        <f t="shared" si="81"/>
        <v>11 2025</v>
      </c>
      <c r="C329" s="10">
        <f t="shared" si="66"/>
        <v>45981</v>
      </c>
      <c r="D329" s="10">
        <f t="shared" si="67"/>
        <v>45982</v>
      </c>
      <c r="E329" s="11">
        <f t="shared" si="82"/>
        <v>1</v>
      </c>
      <c r="G329" s="11" t="s">
        <v>7</v>
      </c>
      <c r="H329" s="12">
        <f t="shared" ref="H329:H369" si="86">H328</f>
        <v>13670000</v>
      </c>
      <c r="I329" s="14">
        <f t="shared" si="83"/>
        <v>1.7500000000000002E-2</v>
      </c>
      <c r="J329" s="112">
        <f t="shared" si="84"/>
        <v>664.51388888888891</v>
      </c>
      <c r="K329" s="13">
        <f t="shared" si="85"/>
        <v>398204.69444444519</v>
      </c>
      <c r="M329" s="11" t="s">
        <v>7</v>
      </c>
      <c r="N329" s="12">
        <f t="shared" si="63"/>
        <v>12000000</v>
      </c>
      <c r="O329" s="97">
        <f t="shared" si="64"/>
        <v>2.1698630136986304E-2</v>
      </c>
      <c r="P329" s="112">
        <f t="shared" si="73"/>
        <v>723.28767123287685</v>
      </c>
      <c r="Q329" s="13">
        <f t="shared" si="65"/>
        <v>110531.50684931496</v>
      </c>
      <c r="R329" s="13">
        <f t="shared" si="74"/>
        <v>139.95433789954348</v>
      </c>
      <c r="T329" s="11" t="str">
        <f t="shared" si="75"/>
        <v>SG</v>
      </c>
      <c r="U329" s="12">
        <f t="shared" si="76"/>
        <v>20071927.550000001</v>
      </c>
      <c r="V329" s="97">
        <f t="shared" si="77"/>
        <v>2.1205479452054792E-2</v>
      </c>
      <c r="W329" s="183">
        <f t="shared" si="78"/>
        <v>1182.319020068493</v>
      </c>
      <c r="X329" s="13">
        <f t="shared" si="79"/>
        <v>83750.740217821905</v>
      </c>
      <c r="Y329" s="13">
        <f t="shared" si="80"/>
        <v>206.60031972127069</v>
      </c>
      <c r="AA329" s="11" t="s">
        <v>189</v>
      </c>
      <c r="AB329" s="98">
        <f t="shared" si="71"/>
        <v>15000000</v>
      </c>
      <c r="AC329" s="97">
        <f t="shared" si="72"/>
        <v>2.579E-2</v>
      </c>
      <c r="AD329" s="13">
        <f t="shared" si="68"/>
        <v>1074.5833333333333</v>
      </c>
      <c r="AE329" s="13">
        <f t="shared" si="69"/>
        <v>17193.333333333336</v>
      </c>
      <c r="AF329" s="13">
        <f t="shared" si="70"/>
        <v>345.41666666666663</v>
      </c>
      <c r="AH329" s="235">
        <f>'CT- € Ellipsis BNP'!X329</f>
        <v>100124685.09015942</v>
      </c>
      <c r="AI329" s="236">
        <f>'CT- € Ellipsis BNP'!AA329</f>
        <v>2.2425954265440362E-2</v>
      </c>
      <c r="AJ329" s="90">
        <f>'CT- € Ellipsis BNP'!W329</f>
        <v>6263.8344223797321</v>
      </c>
      <c r="AK329" s="91">
        <f>'CT- € Ellipsis BNP'!AC329</f>
        <v>1402.7233112686208</v>
      </c>
      <c r="AM329" s="235">
        <f>'codeis €'!Z329</f>
        <v>36879133.200000003</v>
      </c>
      <c r="AN329" s="236">
        <f>'codeis €'!AF329</f>
        <v>2.0810420625438919E-2</v>
      </c>
      <c r="AO329" s="90">
        <f>'codeis €'!AC329</f>
        <v>2111.1999999955297</v>
      </c>
      <c r="AP329" s="91">
        <f>'codeis €'!AI329</f>
        <v>322.70217777330777</v>
      </c>
      <c r="AR329" s="106">
        <v>197745745.84</v>
      </c>
      <c r="AS329" s="565">
        <v>0.02</v>
      </c>
      <c r="AT329" s="565">
        <v>2.1899999999999999E-2</v>
      </c>
      <c r="AU329" s="106">
        <v>12019.74</v>
      </c>
      <c r="AV329" s="106">
        <v>2417.4</v>
      </c>
      <c r="AW329" s="19"/>
    </row>
    <row r="330" spans="2:49" x14ac:dyDescent="0.25">
      <c r="B330" s="9" t="str">
        <f t="shared" si="81"/>
        <v>11 2025</v>
      </c>
      <c r="C330" s="10">
        <f t="shared" si="66"/>
        <v>45982</v>
      </c>
      <c r="D330" s="10">
        <f t="shared" si="67"/>
        <v>45983</v>
      </c>
      <c r="E330" s="11">
        <f t="shared" si="82"/>
        <v>1</v>
      </c>
      <c r="G330" s="11" t="s">
        <v>7</v>
      </c>
      <c r="H330" s="12">
        <f t="shared" si="86"/>
        <v>13670000</v>
      </c>
      <c r="I330" s="14">
        <f t="shared" si="83"/>
        <v>1.7500000000000002E-2</v>
      </c>
      <c r="J330" s="112">
        <f t="shared" si="84"/>
        <v>664.51388888888891</v>
      </c>
      <c r="K330" s="13">
        <f t="shared" si="85"/>
        <v>398869.20833333407</v>
      </c>
      <c r="M330" s="11" t="s">
        <v>7</v>
      </c>
      <c r="N330" s="12">
        <f t="shared" si="63"/>
        <v>12000000</v>
      </c>
      <c r="O330" s="97">
        <f t="shared" si="64"/>
        <v>2.1698630136986304E-2</v>
      </c>
      <c r="P330" s="112">
        <f t="shared" si="73"/>
        <v>723.28767123287685</v>
      </c>
      <c r="Q330" s="13">
        <f t="shared" si="65"/>
        <v>111254.79452054783</v>
      </c>
      <c r="R330" s="13">
        <f t="shared" si="74"/>
        <v>139.95433789954348</v>
      </c>
      <c r="T330" s="11" t="str">
        <f t="shared" si="75"/>
        <v>SG</v>
      </c>
      <c r="U330" s="12">
        <f t="shared" si="76"/>
        <v>20071927.550000001</v>
      </c>
      <c r="V330" s="97">
        <f t="shared" si="77"/>
        <v>2.1205479452054792E-2</v>
      </c>
      <c r="W330" s="183">
        <f t="shared" si="78"/>
        <v>1182.319020068493</v>
      </c>
      <c r="X330" s="13">
        <f t="shared" si="79"/>
        <v>84933.059237890397</v>
      </c>
      <c r="Y330" s="13">
        <f t="shared" si="80"/>
        <v>206.60031972127069</v>
      </c>
      <c r="AA330" s="11" t="s">
        <v>189</v>
      </c>
      <c r="AB330" s="98">
        <f t="shared" si="71"/>
        <v>15000000</v>
      </c>
      <c r="AC330" s="97">
        <f t="shared" si="72"/>
        <v>2.579E-2</v>
      </c>
      <c r="AD330" s="13">
        <f t="shared" si="68"/>
        <v>1074.5833333333333</v>
      </c>
      <c r="AE330" s="13">
        <f t="shared" si="69"/>
        <v>18267.916666666668</v>
      </c>
      <c r="AF330" s="13">
        <f t="shared" si="70"/>
        <v>345.41666666666663</v>
      </c>
      <c r="AH330" s="235">
        <f>'CT- € Ellipsis BNP'!X330</f>
        <v>100130850.38047278</v>
      </c>
      <c r="AI330" s="236">
        <f>'CT- € Ellipsis BNP'!AA330</f>
        <v>2.2425954265440362E-2</v>
      </c>
      <c r="AJ330" s="90">
        <f>'CT- € Ellipsis BNP'!W330</f>
        <v>6165.2903133630753</v>
      </c>
      <c r="AK330" s="91">
        <f>'CT- € Ellipsis BNP'!AC330</f>
        <v>1304.1792022519639</v>
      </c>
      <c r="AM330" s="235">
        <f>'codeis €'!Z330</f>
        <v>36881280.799999997</v>
      </c>
      <c r="AN330" s="236">
        <f>'codeis €'!AF330</f>
        <v>2.0810420625438919E-2</v>
      </c>
      <c r="AO330" s="90">
        <f>'codeis €'!AC330</f>
        <v>2147.5999999940395</v>
      </c>
      <c r="AP330" s="91">
        <f>'codeis €'!AI330</f>
        <v>359.10217777181765</v>
      </c>
      <c r="AR330" s="106">
        <v>197754058.72999999</v>
      </c>
      <c r="AS330" s="565">
        <v>0.02</v>
      </c>
      <c r="AT330" s="565">
        <v>2.1899999999999999E-2</v>
      </c>
      <c r="AU330" s="106">
        <v>11957.59</v>
      </c>
      <c r="AV330" s="106">
        <v>2355.25</v>
      </c>
      <c r="AW330" s="19"/>
    </row>
    <row r="331" spans="2:49" x14ac:dyDescent="0.25">
      <c r="B331" s="9" t="str">
        <f t="shared" si="81"/>
        <v>11 2025</v>
      </c>
      <c r="C331" s="10">
        <f t="shared" si="66"/>
        <v>45983</v>
      </c>
      <c r="D331" s="10">
        <f t="shared" si="67"/>
        <v>45984</v>
      </c>
      <c r="E331" s="11">
        <f t="shared" si="82"/>
        <v>1</v>
      </c>
      <c r="G331" s="11" t="s">
        <v>7</v>
      </c>
      <c r="H331" s="12">
        <f t="shared" si="86"/>
        <v>13670000</v>
      </c>
      <c r="I331" s="14">
        <f t="shared" si="83"/>
        <v>1.7500000000000002E-2</v>
      </c>
      <c r="J331" s="112">
        <f t="shared" si="84"/>
        <v>664.51388888888891</v>
      </c>
      <c r="K331" s="13">
        <f t="shared" si="85"/>
        <v>399533.72222222295</v>
      </c>
      <c r="M331" s="11" t="s">
        <v>7</v>
      </c>
      <c r="N331" s="12">
        <f t="shared" si="63"/>
        <v>12000000</v>
      </c>
      <c r="O331" s="97">
        <f t="shared" si="64"/>
        <v>2.1698630136986304E-2</v>
      </c>
      <c r="P331" s="112">
        <f t="shared" si="73"/>
        <v>723.28767123287685</v>
      </c>
      <c r="Q331" s="13">
        <f t="shared" si="65"/>
        <v>111978.0821917807</v>
      </c>
      <c r="R331" s="13">
        <f t="shared" si="74"/>
        <v>139.95433789954348</v>
      </c>
      <c r="T331" s="11" t="str">
        <f t="shared" si="75"/>
        <v>SG</v>
      </c>
      <c r="U331" s="12">
        <f t="shared" si="76"/>
        <v>20071927.550000001</v>
      </c>
      <c r="V331" s="97">
        <f t="shared" si="77"/>
        <v>2.1205479452054792E-2</v>
      </c>
      <c r="W331" s="183">
        <f t="shared" si="78"/>
        <v>1182.319020068493</v>
      </c>
      <c r="X331" s="13">
        <f t="shared" si="79"/>
        <v>86115.378257958888</v>
      </c>
      <c r="Y331" s="13">
        <f t="shared" si="80"/>
        <v>206.60031972127069</v>
      </c>
      <c r="AA331" s="11" t="s">
        <v>189</v>
      </c>
      <c r="AB331" s="98">
        <f t="shared" si="71"/>
        <v>15000000</v>
      </c>
      <c r="AC331" s="97">
        <f t="shared" si="72"/>
        <v>2.579E-2</v>
      </c>
      <c r="AD331" s="13">
        <f t="shared" si="68"/>
        <v>1074.5833333333333</v>
      </c>
      <c r="AE331" s="13">
        <f t="shared" si="69"/>
        <v>19342.5</v>
      </c>
      <c r="AF331" s="13">
        <f t="shared" si="70"/>
        <v>345.41666666666663</v>
      </c>
      <c r="AH331" s="235">
        <f>'CT- € Ellipsis BNP'!X331</f>
        <v>100130850.38047278</v>
      </c>
      <c r="AI331" s="236">
        <f>'CT- € Ellipsis BNP'!AA331</f>
        <v>2.2425954265440362E-2</v>
      </c>
      <c r="AJ331" s="90">
        <f>'CT- € Ellipsis BNP'!W331</f>
        <v>0</v>
      </c>
      <c r="AK331" s="91">
        <f>'CT- € Ellipsis BNP'!AC331</f>
        <v>-4861.1111111111113</v>
      </c>
      <c r="AM331" s="235">
        <f>'codeis €'!Z331</f>
        <v>36881280.799999997</v>
      </c>
      <c r="AN331" s="236">
        <f>'codeis €'!AF331</f>
        <v>2.0810420625438919E-2</v>
      </c>
      <c r="AO331" s="90">
        <f>'codeis €'!AC331</f>
        <v>0</v>
      </c>
      <c r="AP331" s="91">
        <f>'codeis €'!AI331</f>
        <v>-1788.4978222222219</v>
      </c>
      <c r="AR331" s="106">
        <v>197754058.72999999</v>
      </c>
      <c r="AS331" s="565">
        <v>0.02</v>
      </c>
      <c r="AT331" s="565">
        <v>2.1899999999999999E-2</v>
      </c>
      <c r="AU331" s="106">
        <v>3644.7</v>
      </c>
      <c r="AV331" s="106">
        <v>-5957.64</v>
      </c>
      <c r="AW331" s="19"/>
    </row>
    <row r="332" spans="2:49" x14ac:dyDescent="0.25">
      <c r="B332" s="9" t="str">
        <f t="shared" si="81"/>
        <v>11 2025</v>
      </c>
      <c r="C332" s="10">
        <f t="shared" si="66"/>
        <v>45984</v>
      </c>
      <c r="D332" s="10">
        <f t="shared" si="67"/>
        <v>45985</v>
      </c>
      <c r="E332" s="11">
        <f t="shared" si="82"/>
        <v>1</v>
      </c>
      <c r="G332" s="11" t="s">
        <v>7</v>
      </c>
      <c r="H332" s="12">
        <f t="shared" si="86"/>
        <v>13670000</v>
      </c>
      <c r="I332" s="14">
        <f t="shared" si="83"/>
        <v>1.7500000000000002E-2</v>
      </c>
      <c r="J332" s="112">
        <f t="shared" si="84"/>
        <v>664.51388888888891</v>
      </c>
      <c r="K332" s="13">
        <f t="shared" si="85"/>
        <v>400198.23611111182</v>
      </c>
      <c r="M332" s="11" t="s">
        <v>7</v>
      </c>
      <c r="N332" s="12">
        <f t="shared" si="63"/>
        <v>12000000</v>
      </c>
      <c r="O332" s="97">
        <f t="shared" si="64"/>
        <v>2.1698630136986304E-2</v>
      </c>
      <c r="P332" s="112">
        <f t="shared" si="73"/>
        <v>723.28767123287685</v>
      </c>
      <c r="Q332" s="13">
        <f t="shared" si="65"/>
        <v>112701.36986301358</v>
      </c>
      <c r="R332" s="13">
        <f t="shared" si="74"/>
        <v>139.95433789954348</v>
      </c>
      <c r="T332" s="11" t="str">
        <f t="shared" si="75"/>
        <v>SG</v>
      </c>
      <c r="U332" s="12">
        <f t="shared" si="76"/>
        <v>20071927.550000001</v>
      </c>
      <c r="V332" s="97">
        <f t="shared" si="77"/>
        <v>2.1205479452054792E-2</v>
      </c>
      <c r="W332" s="183">
        <f t="shared" si="78"/>
        <v>1182.319020068493</v>
      </c>
      <c r="X332" s="13">
        <f t="shared" si="79"/>
        <v>87297.697278027379</v>
      </c>
      <c r="Y332" s="13">
        <f t="shared" si="80"/>
        <v>206.60031972127069</v>
      </c>
      <c r="AA332" s="11" t="s">
        <v>189</v>
      </c>
      <c r="AB332" s="98">
        <f t="shared" si="71"/>
        <v>15000000</v>
      </c>
      <c r="AC332" s="97">
        <f t="shared" si="72"/>
        <v>2.579E-2</v>
      </c>
      <c r="AD332" s="13">
        <f t="shared" si="68"/>
        <v>1074.5833333333333</v>
      </c>
      <c r="AE332" s="13">
        <f t="shared" si="69"/>
        <v>20417.083333333332</v>
      </c>
      <c r="AF332" s="13">
        <f t="shared" si="70"/>
        <v>345.41666666666663</v>
      </c>
      <c r="AH332" s="235">
        <f>'CT- € Ellipsis BNP'!X332</f>
        <v>100130850.38047278</v>
      </c>
      <c r="AI332" s="236">
        <f>'CT- € Ellipsis BNP'!AA332</f>
        <v>2.2425954265440362E-2</v>
      </c>
      <c r="AJ332" s="90">
        <f>'CT- € Ellipsis BNP'!W332</f>
        <v>0</v>
      </c>
      <c r="AK332" s="91">
        <f>'CT- € Ellipsis BNP'!AC332</f>
        <v>-4861.1111111111113</v>
      </c>
      <c r="AM332" s="235">
        <f>'codeis €'!Z332</f>
        <v>36881280.799999997</v>
      </c>
      <c r="AN332" s="236">
        <f>'codeis €'!AF332</f>
        <v>2.0810420625438919E-2</v>
      </c>
      <c r="AO332" s="90">
        <f>'codeis €'!AC332</f>
        <v>0</v>
      </c>
      <c r="AP332" s="91">
        <f>'codeis €'!AI332</f>
        <v>-1788.4978222222219</v>
      </c>
      <c r="AR332" s="106">
        <v>197754058.72999999</v>
      </c>
      <c r="AS332" s="565">
        <v>0.02</v>
      </c>
      <c r="AT332" s="565">
        <v>2.1899999999999999E-2</v>
      </c>
      <c r="AU332" s="106">
        <v>3644.7</v>
      </c>
      <c r="AV332" s="106">
        <v>-5957.64</v>
      </c>
      <c r="AW332" s="19"/>
    </row>
    <row r="333" spans="2:49" x14ac:dyDescent="0.25">
      <c r="B333" s="9" t="str">
        <f t="shared" si="81"/>
        <v>11 2025</v>
      </c>
      <c r="C333" s="10">
        <f t="shared" si="66"/>
        <v>45985</v>
      </c>
      <c r="D333" s="10">
        <f t="shared" si="67"/>
        <v>45986</v>
      </c>
      <c r="E333" s="11">
        <f t="shared" si="82"/>
        <v>1</v>
      </c>
      <c r="G333" s="11" t="s">
        <v>7</v>
      </c>
      <c r="H333" s="12">
        <f t="shared" si="86"/>
        <v>13670000</v>
      </c>
      <c r="I333" s="14">
        <f t="shared" si="83"/>
        <v>1.7500000000000002E-2</v>
      </c>
      <c r="J333" s="112">
        <f t="shared" si="84"/>
        <v>664.51388888888891</v>
      </c>
      <c r="K333" s="13">
        <f t="shared" si="85"/>
        <v>400862.7500000007</v>
      </c>
      <c r="M333" s="11" t="s">
        <v>7</v>
      </c>
      <c r="N333" s="12">
        <f t="shared" si="63"/>
        <v>12000000</v>
      </c>
      <c r="O333" s="97">
        <f t="shared" si="64"/>
        <v>2.1698630136986304E-2</v>
      </c>
      <c r="P333" s="112">
        <f t="shared" si="73"/>
        <v>723.28767123287685</v>
      </c>
      <c r="Q333" s="13">
        <f t="shared" si="65"/>
        <v>113424.65753424645</v>
      </c>
      <c r="R333" s="13">
        <f t="shared" si="74"/>
        <v>139.95433789954348</v>
      </c>
      <c r="T333" s="11" t="str">
        <f t="shared" si="75"/>
        <v>SG</v>
      </c>
      <c r="U333" s="12">
        <f t="shared" si="76"/>
        <v>20071927.550000001</v>
      </c>
      <c r="V333" s="97">
        <f t="shared" si="77"/>
        <v>2.1205479452054792E-2</v>
      </c>
      <c r="W333" s="183">
        <f t="shared" si="78"/>
        <v>1182.319020068493</v>
      </c>
      <c r="X333" s="13">
        <f t="shared" si="79"/>
        <v>88480.01629809587</v>
      </c>
      <c r="Y333" s="13">
        <f t="shared" si="80"/>
        <v>206.60031972127069</v>
      </c>
      <c r="AA333" s="11" t="s">
        <v>189</v>
      </c>
      <c r="AB333" s="98">
        <f t="shared" si="71"/>
        <v>15000000</v>
      </c>
      <c r="AC333" s="97">
        <f t="shared" si="72"/>
        <v>2.579E-2</v>
      </c>
      <c r="AD333" s="13">
        <f t="shared" si="68"/>
        <v>1074.5833333333333</v>
      </c>
      <c r="AE333" s="13">
        <f t="shared" si="69"/>
        <v>21491.666666666664</v>
      </c>
      <c r="AF333" s="13">
        <f t="shared" si="70"/>
        <v>345.41666666666663</v>
      </c>
      <c r="AH333" s="235">
        <f>'CT- € Ellipsis BNP'!X333</f>
        <v>100149543.3396309</v>
      </c>
      <c r="AI333" s="236">
        <f>'CT- € Ellipsis BNP'!AA333</f>
        <v>2.2425954265440362E-2</v>
      </c>
      <c r="AJ333" s="90">
        <f>'CT- € Ellipsis BNP'!W333</f>
        <v>18692.95915812254</v>
      </c>
      <c r="AK333" s="91">
        <f>'CT- € Ellipsis BNP'!AC333</f>
        <v>13831.848047011428</v>
      </c>
      <c r="AM333" s="235">
        <f>'codeis €'!Z333</f>
        <v>36887687.200000003</v>
      </c>
      <c r="AN333" s="236">
        <f>'codeis €'!AF333</f>
        <v>2.0810420625438919E-2</v>
      </c>
      <c r="AO333" s="90">
        <f>'codeis €'!AC333</f>
        <v>6406.4000000059605</v>
      </c>
      <c r="AP333" s="91">
        <f>'codeis €'!AI333</f>
        <v>4617.9021777837388</v>
      </c>
      <c r="AR333" s="106">
        <v>197779158.09</v>
      </c>
      <c r="AS333" s="565">
        <v>0.02</v>
      </c>
      <c r="AT333" s="565">
        <v>2.1899999999999999E-2</v>
      </c>
      <c r="AU333" s="106">
        <v>28744.06</v>
      </c>
      <c r="AV333" s="106">
        <v>19141.72</v>
      </c>
      <c r="AW333" s="19"/>
    </row>
    <row r="334" spans="2:49" x14ac:dyDescent="0.25">
      <c r="B334" s="9" t="str">
        <f t="shared" si="81"/>
        <v>11 2025</v>
      </c>
      <c r="C334" s="10">
        <f t="shared" si="66"/>
        <v>45986</v>
      </c>
      <c r="D334" s="10">
        <f t="shared" si="67"/>
        <v>45987</v>
      </c>
      <c r="E334" s="11">
        <f t="shared" si="82"/>
        <v>1</v>
      </c>
      <c r="G334" s="11" t="s">
        <v>7</v>
      </c>
      <c r="H334" s="135">
        <f>H333-800000</f>
        <v>12870000</v>
      </c>
      <c r="I334" s="14">
        <f t="shared" si="83"/>
        <v>1.7500000000000002E-2</v>
      </c>
      <c r="J334" s="112">
        <f t="shared" si="84"/>
        <v>625.62500000000011</v>
      </c>
      <c r="K334" s="13">
        <f t="shared" si="85"/>
        <v>401488.3750000007</v>
      </c>
      <c r="M334" s="11" t="s">
        <v>7</v>
      </c>
      <c r="N334" s="12">
        <f t="shared" si="63"/>
        <v>12000000</v>
      </c>
      <c r="O334" s="97">
        <f t="shared" si="64"/>
        <v>2.1698630136986304E-2</v>
      </c>
      <c r="P334" s="112">
        <f t="shared" si="73"/>
        <v>723.28767123287685</v>
      </c>
      <c r="Q334" s="13">
        <f t="shared" si="65"/>
        <v>114147.94520547932</v>
      </c>
      <c r="R334" s="13">
        <f t="shared" si="74"/>
        <v>139.95433789954348</v>
      </c>
      <c r="T334" s="11" t="str">
        <f t="shared" si="75"/>
        <v>SG</v>
      </c>
      <c r="U334" s="12">
        <f t="shared" si="76"/>
        <v>20071927.550000001</v>
      </c>
      <c r="V334" s="97">
        <f t="shared" si="77"/>
        <v>2.1205479452054792E-2</v>
      </c>
      <c r="W334" s="183">
        <f t="shared" si="78"/>
        <v>1182.319020068493</v>
      </c>
      <c r="X334" s="13">
        <f t="shared" si="79"/>
        <v>89662.335318164362</v>
      </c>
      <c r="Y334" s="13">
        <f t="shared" si="80"/>
        <v>206.60031972127069</v>
      </c>
      <c r="AA334" s="11" t="s">
        <v>189</v>
      </c>
      <c r="AB334" s="98">
        <f t="shared" si="71"/>
        <v>15000000</v>
      </c>
      <c r="AC334" s="97">
        <f t="shared" si="72"/>
        <v>2.579E-2</v>
      </c>
      <c r="AD334" s="13">
        <f t="shared" si="68"/>
        <v>1074.5833333333333</v>
      </c>
      <c r="AE334" s="13">
        <f t="shared" si="69"/>
        <v>22566.249999999996</v>
      </c>
      <c r="AF334" s="13">
        <f t="shared" si="70"/>
        <v>345.41666666666663</v>
      </c>
      <c r="AH334" s="235">
        <f>'CT- € Ellipsis BNP'!X334</f>
        <v>100155807.17405325</v>
      </c>
      <c r="AI334" s="236">
        <f>'CT- € Ellipsis BNP'!AA334</f>
        <v>2.2425954265440362E-2</v>
      </c>
      <c r="AJ334" s="90">
        <f>'CT- € Ellipsis BNP'!W334</f>
        <v>6263.8344223499298</v>
      </c>
      <c r="AK334" s="91">
        <f>'CT- € Ellipsis BNP'!AC334</f>
        <v>1402.7233112388185</v>
      </c>
      <c r="AM334" s="235">
        <f>'codeis €'!Z334</f>
        <v>36889798.400000006</v>
      </c>
      <c r="AN334" s="236">
        <f>'codeis €'!AF334</f>
        <v>2.0810420625438919E-2</v>
      </c>
      <c r="AO334" s="90">
        <f>'codeis €'!AC334</f>
        <v>2111.2000000029802</v>
      </c>
      <c r="AP334" s="91">
        <f>'codeis €'!AI334</f>
        <v>322.70217778075835</v>
      </c>
      <c r="AR334" s="106">
        <v>196987533.12</v>
      </c>
      <c r="AS334" s="565">
        <v>0.02</v>
      </c>
      <c r="AT334" s="565">
        <v>2.1899999999999999E-2</v>
      </c>
      <c r="AU334" s="106">
        <v>11980.85</v>
      </c>
      <c r="AV334" s="106">
        <v>2417.4</v>
      </c>
      <c r="AW334" s="19"/>
    </row>
    <row r="335" spans="2:49" x14ac:dyDescent="0.25">
      <c r="B335" s="9" t="str">
        <f t="shared" si="81"/>
        <v>11 2025</v>
      </c>
      <c r="C335" s="10">
        <f t="shared" si="66"/>
        <v>45987</v>
      </c>
      <c r="D335" s="10">
        <f t="shared" si="67"/>
        <v>45988</v>
      </c>
      <c r="E335" s="11">
        <f t="shared" si="82"/>
        <v>1</v>
      </c>
      <c r="G335" s="11" t="s">
        <v>7</v>
      </c>
      <c r="H335" s="135">
        <f>H334-3160000</f>
        <v>9710000</v>
      </c>
      <c r="I335" s="14">
        <f t="shared" si="83"/>
        <v>1.7500000000000002E-2</v>
      </c>
      <c r="J335" s="112">
        <f t="shared" si="84"/>
        <v>472.01388888888897</v>
      </c>
      <c r="K335" s="13">
        <f t="shared" si="85"/>
        <v>401960.38888888957</v>
      </c>
      <c r="M335" s="11" t="s">
        <v>7</v>
      </c>
      <c r="N335" s="12">
        <f t="shared" si="63"/>
        <v>12000000</v>
      </c>
      <c r="O335" s="97">
        <f t="shared" si="64"/>
        <v>2.1698630136986304E-2</v>
      </c>
      <c r="P335" s="112">
        <f t="shared" si="73"/>
        <v>723.28767123287685</v>
      </c>
      <c r="Q335" s="13">
        <f t="shared" si="65"/>
        <v>114871.23287671219</v>
      </c>
      <c r="R335" s="13">
        <f t="shared" si="74"/>
        <v>139.95433789954348</v>
      </c>
      <c r="T335" s="11" t="str">
        <f t="shared" si="75"/>
        <v>SG</v>
      </c>
      <c r="U335" s="12">
        <f t="shared" si="76"/>
        <v>20071927.550000001</v>
      </c>
      <c r="V335" s="97">
        <f t="shared" si="77"/>
        <v>2.1205479452054792E-2</v>
      </c>
      <c r="W335" s="183">
        <f t="shared" si="78"/>
        <v>1182.319020068493</v>
      </c>
      <c r="X335" s="13">
        <f t="shared" si="79"/>
        <v>90844.654338232853</v>
      </c>
      <c r="Y335" s="13">
        <f t="shared" si="80"/>
        <v>206.60031972127069</v>
      </c>
      <c r="AA335" s="11" t="s">
        <v>189</v>
      </c>
      <c r="AB335" s="98">
        <f t="shared" si="71"/>
        <v>15000000</v>
      </c>
      <c r="AC335" s="97">
        <f t="shared" si="72"/>
        <v>2.579E-2</v>
      </c>
      <c r="AD335" s="13">
        <f t="shared" si="68"/>
        <v>1074.5833333333333</v>
      </c>
      <c r="AE335" s="13">
        <f t="shared" si="69"/>
        <v>23640.833333333328</v>
      </c>
      <c r="AF335" s="13">
        <f t="shared" si="70"/>
        <v>345.41666666666663</v>
      </c>
      <c r="AH335" s="235">
        <f>'CT- € Ellipsis BNP'!X335</f>
        <v>100162071.00847565</v>
      </c>
      <c r="AI335" s="236">
        <f>'CT- € Ellipsis BNP'!AA335</f>
        <v>2.2425954265440362E-2</v>
      </c>
      <c r="AJ335" s="90">
        <f>'CT- € Ellipsis BNP'!W335</f>
        <v>6263.8344223946333</v>
      </c>
      <c r="AK335" s="91">
        <f>'CT- € Ellipsis BNP'!AC335</f>
        <v>1402.723311283522</v>
      </c>
      <c r="AM335" s="235">
        <f>'codeis €'!Z335</f>
        <v>36891909.600000001</v>
      </c>
      <c r="AN335" s="236">
        <f>'codeis €'!AF335</f>
        <v>2.0810420625438919E-2</v>
      </c>
      <c r="AO335" s="90">
        <f>'codeis €'!AC335</f>
        <v>2111.1999999955297</v>
      </c>
      <c r="AP335" s="91">
        <f>'codeis €'!AI335</f>
        <v>322.70217777330777</v>
      </c>
      <c r="AR335" s="106">
        <v>193835908.16</v>
      </c>
      <c r="AS335" s="565">
        <v>0.02</v>
      </c>
      <c r="AT335" s="565">
        <v>2.1999999999999999E-2</v>
      </c>
      <c r="AU335" s="106">
        <v>11827.24</v>
      </c>
      <c r="AV335" s="106">
        <v>2417.4</v>
      </c>
      <c r="AW335" s="19"/>
    </row>
    <row r="336" spans="2:49" x14ac:dyDescent="0.25">
      <c r="B336" s="9" t="str">
        <f t="shared" si="81"/>
        <v>11 2025</v>
      </c>
      <c r="C336" s="10">
        <f t="shared" si="66"/>
        <v>45988</v>
      </c>
      <c r="D336" s="10">
        <f t="shared" si="67"/>
        <v>45989</v>
      </c>
      <c r="E336" s="11">
        <f t="shared" si="82"/>
        <v>1</v>
      </c>
      <c r="G336" s="11" t="s">
        <v>7</v>
      </c>
      <c r="H336" s="12">
        <f t="shared" si="86"/>
        <v>9710000</v>
      </c>
      <c r="I336" s="14">
        <f t="shared" si="83"/>
        <v>1.7500000000000002E-2</v>
      </c>
      <c r="J336" s="112">
        <f t="shared" si="84"/>
        <v>472.01388888888897</v>
      </c>
      <c r="K336" s="13">
        <f t="shared" si="85"/>
        <v>402432.40277777845</v>
      </c>
      <c r="M336" s="11" t="s">
        <v>7</v>
      </c>
      <c r="N336" s="12">
        <f t="shared" si="63"/>
        <v>12000000</v>
      </c>
      <c r="O336" s="97">
        <f t="shared" si="64"/>
        <v>2.1698630136986304E-2</v>
      </c>
      <c r="P336" s="112">
        <f t="shared" si="73"/>
        <v>723.28767123287685</v>
      </c>
      <c r="Q336" s="13">
        <f t="shared" si="65"/>
        <v>115594.52054794507</v>
      </c>
      <c r="R336" s="13">
        <f t="shared" si="74"/>
        <v>139.95433789954348</v>
      </c>
      <c r="T336" s="11" t="str">
        <f t="shared" si="75"/>
        <v>SG</v>
      </c>
      <c r="U336" s="12">
        <f t="shared" si="76"/>
        <v>20071927.550000001</v>
      </c>
      <c r="V336" s="97">
        <f t="shared" si="77"/>
        <v>2.1205479452054792E-2</v>
      </c>
      <c r="W336" s="183">
        <f t="shared" si="78"/>
        <v>1182.319020068493</v>
      </c>
      <c r="X336" s="13">
        <f t="shared" si="79"/>
        <v>92026.973358301344</v>
      </c>
      <c r="Y336" s="13">
        <f t="shared" si="80"/>
        <v>206.60031972127069</v>
      </c>
      <c r="AA336" s="11" t="s">
        <v>189</v>
      </c>
      <c r="AB336" s="98">
        <f t="shared" si="71"/>
        <v>15000000</v>
      </c>
      <c r="AC336" s="97">
        <f t="shared" si="72"/>
        <v>2.579E-2</v>
      </c>
      <c r="AD336" s="13">
        <f t="shared" si="68"/>
        <v>1074.5833333333333</v>
      </c>
      <c r="AE336" s="13">
        <f t="shared" si="69"/>
        <v>24715.416666666661</v>
      </c>
      <c r="AF336" s="13">
        <f t="shared" si="70"/>
        <v>345.41666666666663</v>
      </c>
      <c r="AH336" s="235">
        <f>'CT- € Ellipsis BNP'!X336</f>
        <v>100168236.29878899</v>
      </c>
      <c r="AI336" s="236">
        <f>'CT- € Ellipsis BNP'!AA336</f>
        <v>2.2425954265440362E-2</v>
      </c>
      <c r="AJ336" s="90">
        <f>'CT- € Ellipsis BNP'!W336</f>
        <v>6165.2903133481741</v>
      </c>
      <c r="AK336" s="91">
        <f>'CT- € Ellipsis BNP'!AC336</f>
        <v>1304.1792022370628</v>
      </c>
      <c r="AM336" s="235">
        <f>'codeis €'!Z336</f>
        <v>36894057.200000003</v>
      </c>
      <c r="AN336" s="236">
        <f>'codeis €'!AF336</f>
        <v>2.0810420625438919E-2</v>
      </c>
      <c r="AO336" s="90">
        <f>'codeis €'!AC336</f>
        <v>2147.6000000014901</v>
      </c>
      <c r="AP336" s="91">
        <f>'codeis €'!AI336</f>
        <v>359.10217777926823</v>
      </c>
      <c r="AR336" s="106">
        <v>193844221.05000001</v>
      </c>
      <c r="AS336" s="565">
        <v>0.02</v>
      </c>
      <c r="AT336" s="565">
        <v>2.1999999999999999E-2</v>
      </c>
      <c r="AU336" s="106">
        <v>11765.09</v>
      </c>
      <c r="AV336" s="106">
        <v>2355.25</v>
      </c>
      <c r="AW336" s="19"/>
    </row>
    <row r="337" spans="2:50" x14ac:dyDescent="0.25">
      <c r="B337" s="9" t="str">
        <f t="shared" si="81"/>
        <v>11 2025</v>
      </c>
      <c r="C337" s="10">
        <f t="shared" si="66"/>
        <v>45989</v>
      </c>
      <c r="D337" s="10">
        <f t="shared" si="67"/>
        <v>45990</v>
      </c>
      <c r="E337" s="11">
        <f t="shared" si="82"/>
        <v>1</v>
      </c>
      <c r="G337" s="11" t="s">
        <v>7</v>
      </c>
      <c r="H337" s="12">
        <f t="shared" si="86"/>
        <v>9710000</v>
      </c>
      <c r="I337" s="14">
        <f t="shared" si="83"/>
        <v>1.7500000000000002E-2</v>
      </c>
      <c r="J337" s="13">
        <f t="shared" si="84"/>
        <v>472.01388888888897</v>
      </c>
      <c r="K337" s="13">
        <f t="shared" si="85"/>
        <v>402904.41666666733</v>
      </c>
      <c r="M337" s="11" t="s">
        <v>7</v>
      </c>
      <c r="N337" s="12">
        <f t="shared" si="63"/>
        <v>12000000</v>
      </c>
      <c r="O337" s="97">
        <f t="shared" si="64"/>
        <v>2.1698630136986304E-2</v>
      </c>
      <c r="P337" s="112">
        <f t="shared" si="73"/>
        <v>723.28767123287685</v>
      </c>
      <c r="Q337" s="13">
        <f t="shared" si="65"/>
        <v>116317.80821917794</v>
      </c>
      <c r="R337" s="13">
        <f t="shared" si="74"/>
        <v>139.95433789954348</v>
      </c>
      <c r="T337" s="11" t="str">
        <f t="shared" si="75"/>
        <v>SG</v>
      </c>
      <c r="U337" s="12">
        <f t="shared" si="76"/>
        <v>20071927.550000001</v>
      </c>
      <c r="V337" s="97">
        <f t="shared" si="77"/>
        <v>2.1205479452054792E-2</v>
      </c>
      <c r="W337" s="183">
        <f t="shared" si="78"/>
        <v>1182.319020068493</v>
      </c>
      <c r="X337" s="13">
        <f t="shared" si="79"/>
        <v>93209.292378369835</v>
      </c>
      <c r="Y337" s="13">
        <f t="shared" si="80"/>
        <v>206.60031972127069</v>
      </c>
      <c r="AA337" s="11" t="s">
        <v>189</v>
      </c>
      <c r="AB337" s="98">
        <f t="shared" si="71"/>
        <v>15000000</v>
      </c>
      <c r="AC337" s="97">
        <f t="shared" si="72"/>
        <v>2.579E-2</v>
      </c>
      <c r="AD337" s="13">
        <f t="shared" si="68"/>
        <v>1074.5833333333333</v>
      </c>
      <c r="AE337" s="13">
        <f t="shared" si="69"/>
        <v>25789.999999999993</v>
      </c>
      <c r="AF337" s="13">
        <f t="shared" si="70"/>
        <v>345.41666666666663</v>
      </c>
      <c r="AH337" s="235">
        <f>'CT- € Ellipsis BNP'!X337</f>
        <v>100174500.13321139</v>
      </c>
      <c r="AI337" s="236">
        <f>'CT- € Ellipsis BNP'!AA337</f>
        <v>2.2425954265440362E-2</v>
      </c>
      <c r="AJ337" s="90">
        <f>'CT- € Ellipsis BNP'!W337</f>
        <v>6263.8344223946333</v>
      </c>
      <c r="AK337" s="91">
        <f>'CT- € Ellipsis BNP'!AC337</f>
        <v>1402.723311283522</v>
      </c>
      <c r="AM337" s="235">
        <f>'codeis €'!Z337</f>
        <v>36896168.399999999</v>
      </c>
      <c r="AN337" s="236">
        <f>'codeis €'!AF337</f>
        <v>2.0810420625438919E-2</v>
      </c>
      <c r="AO337" s="90">
        <f>'codeis €'!AC337</f>
        <v>2111.1999999955297</v>
      </c>
      <c r="AP337" s="91">
        <f>'codeis €'!AI337</f>
        <v>322.70217777330777</v>
      </c>
      <c r="AR337" s="106">
        <v>193852596.08000001</v>
      </c>
      <c r="AS337" s="565">
        <v>0.02</v>
      </c>
      <c r="AT337" s="565">
        <v>2.1999999999999999E-2</v>
      </c>
      <c r="AU337" s="106">
        <v>11827.24</v>
      </c>
      <c r="AV337" s="106">
        <v>2417.4</v>
      </c>
      <c r="AW337" s="19"/>
    </row>
    <row r="338" spans="2:50" x14ac:dyDescent="0.25">
      <c r="B338" s="9" t="str">
        <f t="shared" si="81"/>
        <v>11 2025</v>
      </c>
      <c r="C338" s="142">
        <f t="shared" si="66"/>
        <v>45990</v>
      </c>
      <c r="D338" s="142">
        <f t="shared" si="67"/>
        <v>45991</v>
      </c>
      <c r="E338" s="143">
        <f t="shared" si="82"/>
        <v>1</v>
      </c>
      <c r="F338" s="17"/>
      <c r="G338" s="143" t="s">
        <v>7</v>
      </c>
      <c r="H338" s="144">
        <f t="shared" si="86"/>
        <v>9710000</v>
      </c>
      <c r="I338" s="145">
        <f t="shared" si="83"/>
        <v>1.7500000000000002E-2</v>
      </c>
      <c r="J338" s="146">
        <f t="shared" si="84"/>
        <v>472.01388888888897</v>
      </c>
      <c r="K338" s="146">
        <f t="shared" si="85"/>
        <v>403376.4305555562</v>
      </c>
      <c r="L338" s="17"/>
      <c r="M338" s="143" t="s">
        <v>7</v>
      </c>
      <c r="N338" s="144">
        <f t="shared" si="63"/>
        <v>12000000</v>
      </c>
      <c r="O338" s="145">
        <f t="shared" si="64"/>
        <v>2.1698630136986304E-2</v>
      </c>
      <c r="P338" s="321">
        <f t="shared" si="73"/>
        <v>723.28767123287685</v>
      </c>
      <c r="Q338" s="146">
        <f t="shared" si="65"/>
        <v>117041.09589041081</v>
      </c>
      <c r="R338" s="146">
        <f t="shared" si="74"/>
        <v>139.95433789954348</v>
      </c>
      <c r="S338" s="17"/>
      <c r="T338" s="310" t="str">
        <f t="shared" si="75"/>
        <v>SG</v>
      </c>
      <c r="U338" s="311">
        <f t="shared" si="76"/>
        <v>20071927.550000001</v>
      </c>
      <c r="V338" s="312">
        <f t="shared" si="77"/>
        <v>2.1205479452054792E-2</v>
      </c>
      <c r="W338" s="298">
        <f t="shared" si="78"/>
        <v>1182.319020068493</v>
      </c>
      <c r="X338" s="313">
        <f t="shared" si="79"/>
        <v>94391.611398438326</v>
      </c>
      <c r="Y338" s="313">
        <f t="shared" si="80"/>
        <v>206.60031972127069</v>
      </c>
      <c r="Z338" s="17"/>
      <c r="AA338" s="143" t="s">
        <v>189</v>
      </c>
      <c r="AB338" s="144">
        <f t="shared" si="71"/>
        <v>15000000</v>
      </c>
      <c r="AC338" s="145">
        <f t="shared" si="72"/>
        <v>2.579E-2</v>
      </c>
      <c r="AD338" s="146">
        <f t="shared" si="68"/>
        <v>1074.5833333333333</v>
      </c>
      <c r="AE338" s="146">
        <f t="shared" si="69"/>
        <v>26864.583333333325</v>
      </c>
      <c r="AF338" s="146">
        <f t="shared" si="70"/>
        <v>345.41666666666663</v>
      </c>
      <c r="AG338" s="141"/>
      <c r="AH338" s="235">
        <f>'CT- € Ellipsis BNP'!X338</f>
        <v>100174500.13321139</v>
      </c>
      <c r="AI338" s="426">
        <f>AI337</f>
        <v>2.2425954265440362E-2</v>
      </c>
      <c r="AJ338" s="90">
        <f>'CT- € Ellipsis BNP'!W338</f>
        <v>0</v>
      </c>
      <c r="AK338" s="91">
        <f>'CT- € Ellipsis BNP'!AC338</f>
        <v>-4861.1111111111113</v>
      </c>
      <c r="AM338" s="235">
        <f>'codeis €'!Z338</f>
        <v>36896168.399999999</v>
      </c>
      <c r="AN338" s="236">
        <f>'codeis €'!AF338</f>
        <v>2.0814459915079263E-2</v>
      </c>
      <c r="AO338" s="90">
        <f>'codeis €'!AC338</f>
        <v>0</v>
      </c>
      <c r="AP338" s="91">
        <f>'codeis €'!AI338</f>
        <v>-1788.4978222222219</v>
      </c>
      <c r="AR338" s="106">
        <v>193852596.08000001</v>
      </c>
      <c r="AS338" s="565">
        <v>0.02</v>
      </c>
      <c r="AT338" s="565">
        <v>2.1999999999999999E-2</v>
      </c>
      <c r="AU338" s="106">
        <v>3452.2</v>
      </c>
      <c r="AV338" s="106">
        <v>-5957.64</v>
      </c>
      <c r="AW338" s="19"/>
      <c r="AX338" s="19"/>
    </row>
    <row r="339" spans="2:50" x14ac:dyDescent="0.25">
      <c r="B339" s="9" t="str">
        <f t="shared" si="81"/>
        <v>12 2025</v>
      </c>
      <c r="C339" s="10">
        <f t="shared" si="66"/>
        <v>45991</v>
      </c>
      <c r="D339" s="10">
        <f t="shared" si="67"/>
        <v>45992</v>
      </c>
      <c r="E339" s="11">
        <f t="shared" si="82"/>
        <v>1</v>
      </c>
      <c r="G339" s="11" t="s">
        <v>7</v>
      </c>
      <c r="H339" s="12">
        <f t="shared" si="86"/>
        <v>9710000</v>
      </c>
      <c r="I339" s="14">
        <f t="shared" si="83"/>
        <v>1.7500000000000002E-2</v>
      </c>
      <c r="J339" s="13">
        <f t="shared" si="84"/>
        <v>472.01388888888897</v>
      </c>
      <c r="K339" s="13">
        <f t="shared" si="85"/>
        <v>403848.44444444508</v>
      </c>
      <c r="M339" s="11" t="s">
        <v>7</v>
      </c>
      <c r="N339" s="12">
        <f t="shared" si="63"/>
        <v>12000000</v>
      </c>
      <c r="O339" s="97">
        <f t="shared" si="64"/>
        <v>2.1698630136986304E-2</v>
      </c>
      <c r="P339" s="112">
        <f t="shared" si="73"/>
        <v>723.28767123287685</v>
      </c>
      <c r="Q339" s="13">
        <f t="shared" si="65"/>
        <v>117764.38356164368</v>
      </c>
      <c r="R339" s="13">
        <f t="shared" si="74"/>
        <v>139.95433789954348</v>
      </c>
      <c r="T339" s="11" t="str">
        <f t="shared" si="75"/>
        <v>SG</v>
      </c>
      <c r="U339" s="12">
        <f t="shared" si="76"/>
        <v>20071927.550000001</v>
      </c>
      <c r="V339" s="97">
        <f t="shared" si="77"/>
        <v>2.1205479452054792E-2</v>
      </c>
      <c r="W339" s="183">
        <f t="shared" si="78"/>
        <v>1182.319020068493</v>
      </c>
      <c r="X339" s="13">
        <f t="shared" si="79"/>
        <v>95573.930418506818</v>
      </c>
      <c r="Y339" s="13">
        <f t="shared" si="80"/>
        <v>206.60031972127069</v>
      </c>
      <c r="AA339" s="11" t="s">
        <v>189</v>
      </c>
      <c r="AB339" s="98">
        <f t="shared" si="71"/>
        <v>15000000</v>
      </c>
      <c r="AC339" s="97">
        <f t="shared" si="72"/>
        <v>2.579E-2</v>
      </c>
      <c r="AD339" s="13">
        <f t="shared" si="68"/>
        <v>1074.5833333333333</v>
      </c>
      <c r="AE339" s="13">
        <f t="shared" si="69"/>
        <v>27939.166666666657</v>
      </c>
      <c r="AF339" s="13">
        <f t="shared" si="70"/>
        <v>345.41666666666663</v>
      </c>
      <c r="AH339" s="235">
        <f>'CT- € Ellipsis BNP'!X339</f>
        <v>100174500.13321139</v>
      </c>
      <c r="AI339" s="236">
        <f>'CT- € Ellipsis BNP'!AA339</f>
        <v>2.2419458246552892E-2</v>
      </c>
      <c r="AJ339" s="90">
        <f>'CT- € Ellipsis BNP'!W339</f>
        <v>0</v>
      </c>
      <c r="AK339" s="91">
        <f>'CT- € Ellipsis BNP'!AC339</f>
        <v>-4861.1111111111113</v>
      </c>
      <c r="AM339" s="235">
        <f>'codeis €'!Z339</f>
        <v>36896168.399999999</v>
      </c>
      <c r="AN339" s="236">
        <f>'codeis €'!AF339</f>
        <v>2.0814459915079263E-2</v>
      </c>
      <c r="AO339" s="90">
        <f>'codeis €'!AC339</f>
        <v>0</v>
      </c>
      <c r="AP339" s="91">
        <f>'codeis €'!AI339</f>
        <v>-1788.4978222222219</v>
      </c>
      <c r="AR339" s="106">
        <v>193852596.08000001</v>
      </c>
      <c r="AS339" s="565">
        <v>0.02</v>
      </c>
      <c r="AT339" s="565">
        <v>2.1999999999999999E-2</v>
      </c>
      <c r="AU339" s="106">
        <v>3452.2</v>
      </c>
      <c r="AV339" s="106">
        <v>-5957.64</v>
      </c>
      <c r="AW339" s="19"/>
      <c r="AX339" s="19"/>
    </row>
    <row r="340" spans="2:50" x14ac:dyDescent="0.25">
      <c r="B340" s="9" t="str">
        <f t="shared" si="81"/>
        <v>12 2025</v>
      </c>
      <c r="C340" s="10">
        <f t="shared" si="66"/>
        <v>45992</v>
      </c>
      <c r="D340" s="10">
        <f t="shared" si="67"/>
        <v>45993</v>
      </c>
      <c r="E340" s="11">
        <f t="shared" si="82"/>
        <v>1</v>
      </c>
      <c r="G340" s="11" t="s">
        <v>7</v>
      </c>
      <c r="H340" s="106">
        <f>H339-3350000</f>
        <v>6360000</v>
      </c>
      <c r="I340" s="14">
        <f t="shared" si="83"/>
        <v>1.7500000000000002E-2</v>
      </c>
      <c r="J340" s="13">
        <f t="shared" si="84"/>
        <v>309.16666666666669</v>
      </c>
      <c r="K340" s="13">
        <f t="shared" si="85"/>
        <v>404157.61111111176</v>
      </c>
      <c r="M340" s="11" t="s">
        <v>7</v>
      </c>
      <c r="N340" s="12">
        <f t="shared" si="63"/>
        <v>12000000</v>
      </c>
      <c r="O340" s="97">
        <f t="shared" si="64"/>
        <v>2.1698630136986304E-2</v>
      </c>
      <c r="P340" s="112">
        <f t="shared" si="73"/>
        <v>723.28767123287685</v>
      </c>
      <c r="Q340" s="13">
        <f t="shared" si="65"/>
        <v>118487.67123287656</v>
      </c>
      <c r="R340" s="13">
        <f t="shared" si="74"/>
        <v>139.95433789954348</v>
      </c>
      <c r="T340" s="11" t="str">
        <f t="shared" si="75"/>
        <v>SG</v>
      </c>
      <c r="U340" s="12">
        <f t="shared" si="76"/>
        <v>20071927.550000001</v>
      </c>
      <c r="V340" s="97">
        <f t="shared" si="77"/>
        <v>2.1205479452054792E-2</v>
      </c>
      <c r="W340" s="183">
        <f t="shared" si="78"/>
        <v>1182.319020068493</v>
      </c>
      <c r="X340" s="13">
        <f t="shared" si="79"/>
        <v>96756.249438575309</v>
      </c>
      <c r="Y340" s="13">
        <f t="shared" si="80"/>
        <v>206.60031972127069</v>
      </c>
      <c r="AA340" s="11" t="s">
        <v>189</v>
      </c>
      <c r="AB340" s="98">
        <f t="shared" si="71"/>
        <v>15000000</v>
      </c>
      <c r="AC340" s="97">
        <f t="shared" si="72"/>
        <v>2.579E-2</v>
      </c>
      <c r="AD340" s="13">
        <f t="shared" si="68"/>
        <v>1074.5833333333333</v>
      </c>
      <c r="AE340" s="13">
        <f t="shared" si="69"/>
        <v>29013.749999999989</v>
      </c>
      <c r="AF340" s="13">
        <f t="shared" si="70"/>
        <v>345.41666666666663</v>
      </c>
      <c r="AH340" s="235">
        <f>'CT- € Ellipsis BNP'!X340</f>
        <v>100174500.13321139</v>
      </c>
      <c r="AI340" s="236">
        <f>'CT- € Ellipsis BNP'!AA340</f>
        <v>2.2419458246552892E-2</v>
      </c>
      <c r="AJ340" s="90">
        <f>'CT- € Ellipsis BNP'!W340</f>
        <v>0</v>
      </c>
      <c r="AK340" s="91">
        <f>'CT- € Ellipsis BNP'!AC340</f>
        <v>-4861.1111111111113</v>
      </c>
      <c r="AM340" s="235">
        <f>'codeis €'!Z340</f>
        <v>36902574.800000004</v>
      </c>
      <c r="AN340" s="236">
        <f>'codeis €'!AF340</f>
        <v>2.0814459915079263E-2</v>
      </c>
      <c r="AO340" s="90">
        <f>'codeis €'!AC340</f>
        <v>6406.4000000059605</v>
      </c>
      <c r="AP340" s="91">
        <f>'codeis €'!AI340</f>
        <v>4617.9021777837388</v>
      </c>
      <c r="AR340" s="106">
        <v>190509002.47999999</v>
      </c>
      <c r="AS340" s="565">
        <v>0.02</v>
      </c>
      <c r="AT340" s="565">
        <v>2.1999999999999999E-2</v>
      </c>
      <c r="AU340" s="106">
        <v>9695.76</v>
      </c>
      <c r="AV340" s="106">
        <v>448.76</v>
      </c>
      <c r="AW340" s="19"/>
      <c r="AX340" s="429"/>
    </row>
    <row r="341" spans="2:50" x14ac:dyDescent="0.25">
      <c r="B341" s="9" t="str">
        <f t="shared" si="81"/>
        <v>12 2025</v>
      </c>
      <c r="C341" s="10">
        <f t="shared" si="66"/>
        <v>45993</v>
      </c>
      <c r="D341" s="10">
        <f t="shared" si="67"/>
        <v>45994</v>
      </c>
      <c r="E341" s="11">
        <f t="shared" si="82"/>
        <v>1</v>
      </c>
      <c r="G341" s="11" t="s">
        <v>7</v>
      </c>
      <c r="H341" s="12">
        <f t="shared" si="86"/>
        <v>6360000</v>
      </c>
      <c r="I341" s="14">
        <f t="shared" si="83"/>
        <v>1.7500000000000002E-2</v>
      </c>
      <c r="J341" s="13">
        <f t="shared" si="84"/>
        <v>309.16666666666669</v>
      </c>
      <c r="K341" s="13">
        <f t="shared" si="85"/>
        <v>404466.77777777845</v>
      </c>
      <c r="M341" s="11" t="s">
        <v>7</v>
      </c>
      <c r="N341" s="12">
        <f t="shared" si="63"/>
        <v>12000000</v>
      </c>
      <c r="O341" s="97">
        <f t="shared" si="64"/>
        <v>2.1698630136986304E-2</v>
      </c>
      <c r="P341" s="112">
        <f t="shared" si="73"/>
        <v>723.28767123287685</v>
      </c>
      <c r="Q341" s="13">
        <f t="shared" si="65"/>
        <v>119210.95890410943</v>
      </c>
      <c r="R341" s="13">
        <f t="shared" si="74"/>
        <v>139.95433789954348</v>
      </c>
      <c r="T341" s="11" t="str">
        <f t="shared" si="75"/>
        <v>SG</v>
      </c>
      <c r="U341" s="12">
        <f t="shared" si="76"/>
        <v>20071927.550000001</v>
      </c>
      <c r="V341" s="97">
        <f t="shared" si="77"/>
        <v>2.1205479452054792E-2</v>
      </c>
      <c r="W341" s="183">
        <f t="shared" si="78"/>
        <v>1182.319020068493</v>
      </c>
      <c r="X341" s="13">
        <f t="shared" si="79"/>
        <v>97938.5684586438</v>
      </c>
      <c r="Y341" s="13">
        <f t="shared" si="80"/>
        <v>206.60031972127069</v>
      </c>
      <c r="AA341" s="11" t="s">
        <v>189</v>
      </c>
      <c r="AB341" s="98">
        <f t="shared" si="71"/>
        <v>15000000</v>
      </c>
      <c r="AC341" s="97">
        <f t="shared" si="72"/>
        <v>2.579E-2</v>
      </c>
      <c r="AD341" s="13">
        <f t="shared" si="68"/>
        <v>1074.5833333333333</v>
      </c>
      <c r="AE341" s="13">
        <f t="shared" si="69"/>
        <v>30088.333333333321</v>
      </c>
      <c r="AF341" s="13">
        <f t="shared" si="70"/>
        <v>345.41666666666663</v>
      </c>
      <c r="AH341" s="235">
        <f>'CT- € Ellipsis BNP'!X341</f>
        <v>100174500.13321139</v>
      </c>
      <c r="AI341" s="236">
        <f>'CT- € Ellipsis BNP'!AA341</f>
        <v>2.2419458246552892E-2</v>
      </c>
      <c r="AJ341" s="90">
        <f>'CT- € Ellipsis BNP'!W341</f>
        <v>0</v>
      </c>
      <c r="AK341" s="91">
        <f>'CT- € Ellipsis BNP'!AC341</f>
        <v>-4861.1111111111113</v>
      </c>
      <c r="AM341" s="235">
        <f>'codeis €'!Z341</f>
        <v>36904686</v>
      </c>
      <c r="AN341" s="236">
        <f>'codeis €'!AF341</f>
        <v>2.0814459915079263E-2</v>
      </c>
      <c r="AO341" s="90">
        <f>'codeis €'!AC341</f>
        <v>2111.1999999955297</v>
      </c>
      <c r="AP341" s="91">
        <f>'codeis €'!AI341</f>
        <v>322.70217777330777</v>
      </c>
      <c r="AR341" s="106">
        <v>190511113.68000001</v>
      </c>
      <c r="AS341" s="565">
        <v>0.02</v>
      </c>
      <c r="AT341" s="565">
        <v>2.1999999999999999E-2</v>
      </c>
      <c r="AU341" s="106">
        <v>5400.56</v>
      </c>
      <c r="AV341" s="106">
        <v>-3846.44</v>
      </c>
      <c r="AW341" s="19"/>
      <c r="AX341" s="430"/>
    </row>
    <row r="342" spans="2:50" x14ac:dyDescent="0.25">
      <c r="B342" s="9" t="str">
        <f t="shared" si="81"/>
        <v>12 2025</v>
      </c>
      <c r="C342" s="10">
        <f t="shared" si="66"/>
        <v>45994</v>
      </c>
      <c r="D342" s="10">
        <f t="shared" si="67"/>
        <v>45995</v>
      </c>
      <c r="E342" s="11">
        <f t="shared" si="82"/>
        <v>1</v>
      </c>
      <c r="G342" s="11" t="s">
        <v>7</v>
      </c>
      <c r="H342" s="12">
        <f t="shared" si="86"/>
        <v>6360000</v>
      </c>
      <c r="I342" s="14">
        <f t="shared" si="83"/>
        <v>1.7500000000000002E-2</v>
      </c>
      <c r="J342" s="13">
        <f t="shared" si="84"/>
        <v>309.16666666666669</v>
      </c>
      <c r="K342" s="13">
        <f t="shared" si="85"/>
        <v>404775.94444444514</v>
      </c>
      <c r="M342" s="11" t="s">
        <v>7</v>
      </c>
      <c r="N342" s="12">
        <f t="shared" si="63"/>
        <v>12000000</v>
      </c>
      <c r="O342" s="97">
        <f t="shared" si="64"/>
        <v>2.1698630136986304E-2</v>
      </c>
      <c r="P342" s="112">
        <f t="shared" si="73"/>
        <v>723.28767123287685</v>
      </c>
      <c r="Q342" s="13">
        <f t="shared" si="65"/>
        <v>119934.2465753423</v>
      </c>
      <c r="R342" s="13">
        <f t="shared" si="74"/>
        <v>139.95433789954348</v>
      </c>
      <c r="T342" s="11" t="str">
        <f t="shared" si="75"/>
        <v>SG</v>
      </c>
      <c r="U342" s="12">
        <f t="shared" si="76"/>
        <v>20071927.550000001</v>
      </c>
      <c r="V342" s="97">
        <f t="shared" si="77"/>
        <v>2.1205479452054792E-2</v>
      </c>
      <c r="W342" s="183">
        <f t="shared" si="78"/>
        <v>1182.319020068493</v>
      </c>
      <c r="X342" s="13">
        <f t="shared" si="79"/>
        <v>99120.887478712291</v>
      </c>
      <c r="Y342" s="13">
        <f t="shared" si="80"/>
        <v>206.60031972127069</v>
      </c>
      <c r="AA342" s="11" t="s">
        <v>189</v>
      </c>
      <c r="AB342" s="98">
        <f t="shared" si="71"/>
        <v>15000000</v>
      </c>
      <c r="AC342" s="97">
        <f t="shared" si="72"/>
        <v>2.579E-2</v>
      </c>
      <c r="AD342" s="13">
        <f t="shared" si="68"/>
        <v>1074.5833333333333</v>
      </c>
      <c r="AE342" s="13">
        <f t="shared" si="69"/>
        <v>31162.916666666653</v>
      </c>
      <c r="AF342" s="13">
        <f t="shared" si="70"/>
        <v>345.41666666666663</v>
      </c>
      <c r="AH342" s="235">
        <f>'CT- € Ellipsis BNP'!X342</f>
        <v>100205622.21710522</v>
      </c>
      <c r="AI342" s="236">
        <f>'CT- € Ellipsis BNP'!AA342</f>
        <v>2.2419458246552892E-2</v>
      </c>
      <c r="AJ342" s="90">
        <f>'CT- € Ellipsis BNP'!W342</f>
        <v>31122.083893835545</v>
      </c>
      <c r="AK342" s="91">
        <f>'CT- € Ellipsis BNP'!AC342</f>
        <v>26260.972782724435</v>
      </c>
      <c r="AM342" s="235">
        <f>'codeis €'!Z342</f>
        <v>36906833.600000001</v>
      </c>
      <c r="AN342" s="236">
        <f>'codeis €'!AF342</f>
        <v>2.0814459915079263E-2</v>
      </c>
      <c r="AO342" s="90">
        <f>'codeis €'!AC342</f>
        <v>2147.6000000014901</v>
      </c>
      <c r="AP342" s="91">
        <f>'codeis €'!AI342</f>
        <v>359.10217777926823</v>
      </c>
      <c r="AR342" s="106">
        <v>190544383.37</v>
      </c>
      <c r="AS342" s="565">
        <v>0.02</v>
      </c>
      <c r="AT342" s="565">
        <v>2.1999999999999999E-2</v>
      </c>
      <c r="AU342" s="106">
        <v>36559.040000000001</v>
      </c>
      <c r="AV342" s="106">
        <v>27312.05</v>
      </c>
      <c r="AW342" s="19"/>
    </row>
    <row r="343" spans="2:50" x14ac:dyDescent="0.25">
      <c r="B343" s="9" t="str">
        <f t="shared" si="81"/>
        <v>12 2025</v>
      </c>
      <c r="C343" s="10">
        <f t="shared" si="66"/>
        <v>45995</v>
      </c>
      <c r="D343" s="10">
        <f t="shared" si="67"/>
        <v>45996</v>
      </c>
      <c r="E343" s="11">
        <f t="shared" si="82"/>
        <v>1</v>
      </c>
      <c r="G343" s="11" t="s">
        <v>7</v>
      </c>
      <c r="H343" s="135">
        <f>H342-80000</f>
        <v>6280000</v>
      </c>
      <c r="I343" s="14">
        <f t="shared" si="83"/>
        <v>1.7500000000000002E-2</v>
      </c>
      <c r="J343" s="13">
        <f t="shared" si="84"/>
        <v>305.27777777777783</v>
      </c>
      <c r="K343" s="13">
        <f t="shared" si="85"/>
        <v>405081.22222222289</v>
      </c>
      <c r="M343" s="11" t="s">
        <v>7</v>
      </c>
      <c r="N343" s="12">
        <f t="shared" si="63"/>
        <v>12000000</v>
      </c>
      <c r="O343" s="97">
        <f t="shared" si="64"/>
        <v>2.1698630136986304E-2</v>
      </c>
      <c r="P343" s="112">
        <f t="shared" si="73"/>
        <v>723.28767123287685</v>
      </c>
      <c r="Q343" s="13">
        <f t="shared" si="65"/>
        <v>120657.53424657517</v>
      </c>
      <c r="R343" s="13">
        <f t="shared" si="74"/>
        <v>139.95433789954348</v>
      </c>
      <c r="T343" s="11" t="str">
        <f t="shared" si="75"/>
        <v>SG</v>
      </c>
      <c r="U343" s="12">
        <f t="shared" si="76"/>
        <v>20071927.550000001</v>
      </c>
      <c r="V343" s="97">
        <f t="shared" si="77"/>
        <v>2.1205479452054792E-2</v>
      </c>
      <c r="W343" s="183">
        <f t="shared" si="78"/>
        <v>1182.319020068493</v>
      </c>
      <c r="X343" s="13">
        <f t="shared" si="79"/>
        <v>100303.20649878078</v>
      </c>
      <c r="Y343" s="13">
        <f t="shared" si="80"/>
        <v>206.60031972127069</v>
      </c>
      <c r="AA343" s="11" t="s">
        <v>189</v>
      </c>
      <c r="AB343" s="98">
        <f t="shared" si="71"/>
        <v>15000000</v>
      </c>
      <c r="AC343" s="97">
        <f t="shared" si="72"/>
        <v>2.579E-2</v>
      </c>
      <c r="AD343" s="13">
        <f t="shared" si="68"/>
        <v>1074.5833333333333</v>
      </c>
      <c r="AE343" s="13">
        <f t="shared" si="69"/>
        <v>32237.499999999985</v>
      </c>
      <c r="AF343" s="13">
        <f t="shared" si="70"/>
        <v>345.41666666666663</v>
      </c>
      <c r="AH343" s="235">
        <f>'CT- € Ellipsis BNP'!X343</f>
        <v>100211886.05152757</v>
      </c>
      <c r="AI343" s="236">
        <f>'CT- € Ellipsis BNP'!AA343</f>
        <v>2.2419458246552892E-2</v>
      </c>
      <c r="AJ343" s="90">
        <f>'CT- € Ellipsis BNP'!W343</f>
        <v>6263.8344223499298</v>
      </c>
      <c r="AK343" s="91">
        <f>'CT- € Ellipsis BNP'!AC343</f>
        <v>1402.7233112388185</v>
      </c>
      <c r="AM343" s="235">
        <f>'codeis €'!Z343</f>
        <v>36908944.799999997</v>
      </c>
      <c r="AN343" s="236">
        <f>'codeis €'!AF343</f>
        <v>2.0814459915079263E-2</v>
      </c>
      <c r="AO343" s="90">
        <f>'codeis €'!AC343</f>
        <v>2111.1999999955297</v>
      </c>
      <c r="AP343" s="91">
        <f>'codeis €'!AI343</f>
        <v>322.70217777330777</v>
      </c>
      <c r="AR343" s="106">
        <v>190472758.40000001</v>
      </c>
      <c r="AS343" s="565">
        <v>0.02</v>
      </c>
      <c r="AT343" s="565">
        <v>2.1999999999999999E-2</v>
      </c>
      <c r="AU343" s="106">
        <v>11660.5</v>
      </c>
      <c r="AV343" s="106">
        <v>2417.4</v>
      </c>
      <c r="AW343" s="19"/>
    </row>
    <row r="344" spans="2:50" x14ac:dyDescent="0.25">
      <c r="B344" s="9" t="str">
        <f t="shared" si="81"/>
        <v>12 2025</v>
      </c>
      <c r="C344" s="10">
        <f t="shared" si="66"/>
        <v>45996</v>
      </c>
      <c r="D344" s="10">
        <f t="shared" si="67"/>
        <v>45997</v>
      </c>
      <c r="E344" s="11">
        <f t="shared" si="82"/>
        <v>1</v>
      </c>
      <c r="G344" s="11" t="s">
        <v>7</v>
      </c>
      <c r="H344" s="12">
        <f t="shared" si="86"/>
        <v>6280000</v>
      </c>
      <c r="I344" s="14">
        <f t="shared" si="83"/>
        <v>1.7500000000000002E-2</v>
      </c>
      <c r="J344" s="13">
        <f t="shared" si="84"/>
        <v>305.27777777777783</v>
      </c>
      <c r="K344" s="13">
        <f t="shared" si="85"/>
        <v>405386.50000000064</v>
      </c>
      <c r="M344" s="11" t="s">
        <v>7</v>
      </c>
      <c r="N344" s="12">
        <f t="shared" si="63"/>
        <v>12000000</v>
      </c>
      <c r="O344" s="97">
        <f t="shared" si="64"/>
        <v>2.1698630136986304E-2</v>
      </c>
      <c r="P344" s="112">
        <f t="shared" si="73"/>
        <v>723.28767123287685</v>
      </c>
      <c r="Q344" s="13">
        <f t="shared" si="65"/>
        <v>121380.82191780805</v>
      </c>
      <c r="R344" s="13">
        <f t="shared" si="74"/>
        <v>139.95433789954348</v>
      </c>
      <c r="T344" s="11" t="str">
        <f t="shared" si="75"/>
        <v>SG</v>
      </c>
      <c r="U344" s="12">
        <f t="shared" si="76"/>
        <v>20071927.550000001</v>
      </c>
      <c r="V344" s="97">
        <f t="shared" si="77"/>
        <v>2.1205479452054792E-2</v>
      </c>
      <c r="W344" s="183">
        <f t="shared" si="78"/>
        <v>1182.319020068493</v>
      </c>
      <c r="X344" s="13">
        <f t="shared" si="79"/>
        <v>101485.52551884927</v>
      </c>
      <c r="Y344" s="13">
        <f t="shared" si="80"/>
        <v>206.60031972127069</v>
      </c>
      <c r="AA344" s="11" t="s">
        <v>189</v>
      </c>
      <c r="AB344" s="98">
        <f t="shared" si="71"/>
        <v>15000000</v>
      </c>
      <c r="AC344" s="97">
        <f t="shared" si="72"/>
        <v>2.579E-2</v>
      </c>
      <c r="AD344" s="13">
        <f t="shared" si="68"/>
        <v>1074.5833333333333</v>
      </c>
      <c r="AE344" s="13">
        <f t="shared" si="69"/>
        <v>33312.083333333321</v>
      </c>
      <c r="AF344" s="13">
        <f t="shared" si="70"/>
        <v>345.41666666666663</v>
      </c>
      <c r="AH344" s="235">
        <f>'CT- € Ellipsis BNP'!X344</f>
        <v>100218051.34184097</v>
      </c>
      <c r="AI344" s="236">
        <f>'CT- € Ellipsis BNP'!AA344</f>
        <v>2.2419458246552892E-2</v>
      </c>
      <c r="AJ344" s="90">
        <f>'CT- € Ellipsis BNP'!W344</f>
        <v>6165.2903133928776</v>
      </c>
      <c r="AK344" s="91">
        <f>'CT- € Ellipsis BNP'!AC344</f>
        <v>1304.1792022817663</v>
      </c>
      <c r="AM344" s="235">
        <f>'codeis €'!Z344</f>
        <v>36911092.399999999</v>
      </c>
      <c r="AN344" s="236">
        <f>'codeis €'!AF344</f>
        <v>2.0814459915079263E-2</v>
      </c>
      <c r="AO344" s="90">
        <f>'codeis €'!AC344</f>
        <v>2147.6000000014901</v>
      </c>
      <c r="AP344" s="91">
        <f>'codeis €'!AI344</f>
        <v>359.10217777926823</v>
      </c>
      <c r="AR344" s="106">
        <v>190481071.28999999</v>
      </c>
      <c r="AS344" s="565">
        <v>0.02</v>
      </c>
      <c r="AT344" s="565">
        <v>2.1999999999999999E-2</v>
      </c>
      <c r="AU344" s="106">
        <v>11598.36</v>
      </c>
      <c r="AV344" s="106">
        <v>2355.25</v>
      </c>
      <c r="AW344" s="19"/>
    </row>
    <row r="345" spans="2:50" x14ac:dyDescent="0.25">
      <c r="B345" s="9" t="str">
        <f t="shared" si="81"/>
        <v>12 2025</v>
      </c>
      <c r="C345" s="10">
        <f t="shared" si="66"/>
        <v>45997</v>
      </c>
      <c r="D345" s="10">
        <f t="shared" si="67"/>
        <v>45998</v>
      </c>
      <c r="E345" s="11">
        <f t="shared" si="82"/>
        <v>1</v>
      </c>
      <c r="G345" s="11" t="s">
        <v>7</v>
      </c>
      <c r="H345" s="12">
        <f t="shared" si="86"/>
        <v>6280000</v>
      </c>
      <c r="I345" s="14">
        <f t="shared" si="83"/>
        <v>1.7500000000000002E-2</v>
      </c>
      <c r="J345" s="13">
        <f t="shared" si="84"/>
        <v>305.27777777777783</v>
      </c>
      <c r="K345" s="13">
        <f t="shared" si="85"/>
        <v>405691.77777777839</v>
      </c>
      <c r="M345" s="11" t="s">
        <v>7</v>
      </c>
      <c r="N345" s="12">
        <f t="shared" si="63"/>
        <v>12000000</v>
      </c>
      <c r="O345" s="97">
        <f t="shared" si="64"/>
        <v>2.1698630136986304E-2</v>
      </c>
      <c r="P345" s="13">
        <f t="shared" si="73"/>
        <v>723.28767123287685</v>
      </c>
      <c r="Q345" s="13">
        <f t="shared" si="65"/>
        <v>122104.10958904092</v>
      </c>
      <c r="R345" s="13">
        <f t="shared" si="74"/>
        <v>139.95433789954348</v>
      </c>
      <c r="T345" s="11" t="str">
        <f t="shared" si="75"/>
        <v>SG</v>
      </c>
      <c r="U345" s="12">
        <f t="shared" si="76"/>
        <v>20071927.550000001</v>
      </c>
      <c r="V345" s="97">
        <f t="shared" si="77"/>
        <v>2.1205479452054792E-2</v>
      </c>
      <c r="W345" s="183">
        <f t="shared" si="78"/>
        <v>1182.319020068493</v>
      </c>
      <c r="X345" s="13">
        <f t="shared" si="79"/>
        <v>102667.84453891777</v>
      </c>
      <c r="Y345" s="13">
        <f t="shared" si="80"/>
        <v>206.60031972127069</v>
      </c>
      <c r="AA345" s="11" t="s">
        <v>189</v>
      </c>
      <c r="AB345" s="98">
        <f t="shared" si="71"/>
        <v>15000000</v>
      </c>
      <c r="AC345" s="97">
        <f t="shared" si="72"/>
        <v>2.579E-2</v>
      </c>
      <c r="AD345" s="13">
        <f t="shared" si="68"/>
        <v>1074.5833333333333</v>
      </c>
      <c r="AE345" s="13">
        <f t="shared" si="69"/>
        <v>34386.666666666657</v>
      </c>
      <c r="AF345" s="13">
        <f t="shared" si="70"/>
        <v>345.41666666666663</v>
      </c>
      <c r="AH345" s="235">
        <f>'CT- € Ellipsis BNP'!X345</f>
        <v>100218051.34184097</v>
      </c>
      <c r="AI345" s="236">
        <f>'CT- € Ellipsis BNP'!AA345</f>
        <v>2.2419458246552892E-2</v>
      </c>
      <c r="AJ345" s="90">
        <f>'CT- € Ellipsis BNP'!W345</f>
        <v>0</v>
      </c>
      <c r="AK345" s="91">
        <f>'CT- € Ellipsis BNP'!AC345</f>
        <v>-4861.1111111111113</v>
      </c>
      <c r="AM345" s="235">
        <f>'codeis €'!Z345</f>
        <v>36911092.399999999</v>
      </c>
      <c r="AN345" s="236">
        <f>'codeis €'!AF345</f>
        <v>2.0814459915079263E-2</v>
      </c>
      <c r="AO345" s="90">
        <f>'codeis €'!AC345</f>
        <v>0</v>
      </c>
      <c r="AP345" s="91">
        <f>'codeis €'!AI345</f>
        <v>-1788.4978222222219</v>
      </c>
      <c r="AR345" s="106">
        <v>190481071.28999999</v>
      </c>
      <c r="AS345" s="565">
        <v>0.02</v>
      </c>
      <c r="AT345" s="565">
        <v>2.1999999999999999E-2</v>
      </c>
      <c r="AU345" s="106">
        <v>3285.47</v>
      </c>
      <c r="AV345" s="106">
        <v>-5957.64</v>
      </c>
      <c r="AW345" s="19"/>
    </row>
    <row r="346" spans="2:50" x14ac:dyDescent="0.25">
      <c r="B346" s="9" t="str">
        <f t="shared" si="81"/>
        <v>12 2025</v>
      </c>
      <c r="C346" s="10">
        <f t="shared" si="66"/>
        <v>45998</v>
      </c>
      <c r="D346" s="10">
        <f t="shared" si="67"/>
        <v>45999</v>
      </c>
      <c r="E346" s="11">
        <f t="shared" si="82"/>
        <v>1</v>
      </c>
      <c r="G346" s="11" t="s">
        <v>7</v>
      </c>
      <c r="H346" s="12">
        <f t="shared" si="86"/>
        <v>6280000</v>
      </c>
      <c r="I346" s="14">
        <f t="shared" si="83"/>
        <v>1.7500000000000002E-2</v>
      </c>
      <c r="J346" s="13">
        <f t="shared" si="84"/>
        <v>305.27777777777783</v>
      </c>
      <c r="K346" s="13">
        <f t="shared" si="85"/>
        <v>405997.05555555614</v>
      </c>
      <c r="M346" s="11" t="s">
        <v>7</v>
      </c>
      <c r="N346" s="12">
        <f t="shared" si="63"/>
        <v>12000000</v>
      </c>
      <c r="O346" s="97">
        <f t="shared" si="64"/>
        <v>2.1698630136986304E-2</v>
      </c>
      <c r="P346" s="13">
        <f t="shared" si="73"/>
        <v>723.28767123287685</v>
      </c>
      <c r="Q346" s="13">
        <f t="shared" si="65"/>
        <v>122827.39726027379</v>
      </c>
      <c r="R346" s="13">
        <f t="shared" si="74"/>
        <v>139.95433789954348</v>
      </c>
      <c r="T346" s="11" t="str">
        <f t="shared" si="75"/>
        <v>SG</v>
      </c>
      <c r="U346" s="12">
        <f t="shared" si="76"/>
        <v>20071927.550000001</v>
      </c>
      <c r="V346" s="97">
        <f t="shared" si="77"/>
        <v>2.1205479452054792E-2</v>
      </c>
      <c r="W346" s="183">
        <f t="shared" si="78"/>
        <v>1182.319020068493</v>
      </c>
      <c r="X346" s="13">
        <f t="shared" si="79"/>
        <v>103850.16355898626</v>
      </c>
      <c r="Y346" s="13">
        <f t="shared" si="80"/>
        <v>206.60031972127069</v>
      </c>
      <c r="AA346" s="11" t="s">
        <v>189</v>
      </c>
      <c r="AB346" s="98">
        <f t="shared" si="71"/>
        <v>15000000</v>
      </c>
      <c r="AC346" s="97">
        <f t="shared" si="72"/>
        <v>2.579E-2</v>
      </c>
      <c r="AD346" s="13">
        <f t="shared" si="68"/>
        <v>1074.5833333333333</v>
      </c>
      <c r="AE346" s="13">
        <f t="shared" si="69"/>
        <v>35461.249999999993</v>
      </c>
      <c r="AF346" s="13">
        <f t="shared" si="70"/>
        <v>345.41666666666663</v>
      </c>
      <c r="AH346" s="235">
        <f>'CT- € Ellipsis BNP'!X346</f>
        <v>100218051.34184097</v>
      </c>
      <c r="AI346" s="236">
        <f>'CT- € Ellipsis BNP'!AA346</f>
        <v>2.2419458246552892E-2</v>
      </c>
      <c r="AJ346" s="90">
        <f>'CT- € Ellipsis BNP'!W346</f>
        <v>0</v>
      </c>
      <c r="AK346" s="91">
        <f>'CT- € Ellipsis BNP'!AC346</f>
        <v>-4861.1111111111113</v>
      </c>
      <c r="AM346" s="235">
        <f>'codeis €'!Z346</f>
        <v>36911092.399999999</v>
      </c>
      <c r="AN346" s="236">
        <f>'codeis €'!AF346</f>
        <v>2.0814459915079263E-2</v>
      </c>
      <c r="AO346" s="90">
        <f>'codeis €'!AC346</f>
        <v>0</v>
      </c>
      <c r="AP346" s="91">
        <f>'codeis €'!AI346</f>
        <v>-1788.4978222222219</v>
      </c>
      <c r="AR346" s="106">
        <v>190481071.28999999</v>
      </c>
      <c r="AS346" s="565">
        <v>0.02</v>
      </c>
      <c r="AT346" s="565">
        <v>2.1999999999999999E-2</v>
      </c>
      <c r="AU346" s="106">
        <v>3285.47</v>
      </c>
      <c r="AV346" s="106">
        <v>-5957.64</v>
      </c>
      <c r="AW346" s="19"/>
    </row>
    <row r="347" spans="2:50" x14ac:dyDescent="0.25">
      <c r="B347" s="9" t="str">
        <f t="shared" si="81"/>
        <v>12 2025</v>
      </c>
      <c r="C347" s="10">
        <f t="shared" si="66"/>
        <v>45999</v>
      </c>
      <c r="D347" s="10">
        <f t="shared" si="67"/>
        <v>46000</v>
      </c>
      <c r="E347" s="11">
        <f t="shared" si="82"/>
        <v>1</v>
      </c>
      <c r="G347" s="11" t="s">
        <v>7</v>
      </c>
      <c r="H347" s="135">
        <f>H346+2720000</f>
        <v>9000000</v>
      </c>
      <c r="I347" s="14">
        <f t="shared" si="83"/>
        <v>1.7500000000000002E-2</v>
      </c>
      <c r="J347" s="13">
        <f t="shared" si="84"/>
        <v>437.50000000000006</v>
      </c>
      <c r="K347" s="13">
        <f t="shared" si="85"/>
        <v>406434.55555555614</v>
      </c>
      <c r="M347" s="11" t="s">
        <v>7</v>
      </c>
      <c r="N347" s="12">
        <f t="shared" si="63"/>
        <v>12000000</v>
      </c>
      <c r="O347" s="97">
        <f t="shared" si="64"/>
        <v>2.1698630136986304E-2</v>
      </c>
      <c r="P347" s="13">
        <f t="shared" si="73"/>
        <v>723.28767123287685</v>
      </c>
      <c r="Q347" s="13">
        <f t="shared" si="65"/>
        <v>123550.68493150666</v>
      </c>
      <c r="R347" s="13">
        <f t="shared" si="74"/>
        <v>139.95433789954348</v>
      </c>
      <c r="T347" s="11" t="str">
        <f t="shared" si="75"/>
        <v>SG</v>
      </c>
      <c r="U347" s="12">
        <f t="shared" si="76"/>
        <v>20071927.550000001</v>
      </c>
      <c r="V347" s="97">
        <f t="shared" si="77"/>
        <v>2.1205479452054792E-2</v>
      </c>
      <c r="W347" s="183">
        <f t="shared" si="78"/>
        <v>1182.319020068493</v>
      </c>
      <c r="X347" s="13">
        <f t="shared" si="79"/>
        <v>105032.48257905475</v>
      </c>
      <c r="Y347" s="13">
        <f t="shared" si="80"/>
        <v>206.60031972127069</v>
      </c>
      <c r="AA347" s="11" t="s">
        <v>189</v>
      </c>
      <c r="AB347" s="98">
        <f t="shared" si="71"/>
        <v>15000000</v>
      </c>
      <c r="AC347" s="97">
        <f t="shared" si="72"/>
        <v>2.579E-2</v>
      </c>
      <c r="AD347" s="13">
        <f t="shared" si="68"/>
        <v>1074.5833333333333</v>
      </c>
      <c r="AE347" s="13">
        <f t="shared" si="69"/>
        <v>36535.833333333328</v>
      </c>
      <c r="AF347" s="13">
        <f t="shared" si="70"/>
        <v>345.41666666666663</v>
      </c>
      <c r="AH347" s="235">
        <f>'CT- € Ellipsis BNP'!X347</f>
        <v>100236744.30099908</v>
      </c>
      <c r="AI347" s="236">
        <f>'CT- € Ellipsis BNP'!AA347</f>
        <v>2.2419458246552892E-2</v>
      </c>
      <c r="AJ347" s="90">
        <f>'CT- € Ellipsis BNP'!W347</f>
        <v>18692.959158107638</v>
      </c>
      <c r="AK347" s="91">
        <f>'CT- € Ellipsis BNP'!AC347</f>
        <v>13831.848046996527</v>
      </c>
      <c r="AM347" s="235">
        <f>'codeis €'!Z347</f>
        <v>36917462.399999999</v>
      </c>
      <c r="AN347" s="236">
        <f>'codeis €'!AF347</f>
        <v>2.0814459915079263E-2</v>
      </c>
      <c r="AO347" s="90">
        <f>'codeis €'!AC347</f>
        <v>6370</v>
      </c>
      <c r="AP347" s="91">
        <f>'codeis €'!AI347</f>
        <v>4581.5021777777783</v>
      </c>
      <c r="AR347" s="106">
        <v>193226134.25</v>
      </c>
      <c r="AS347" s="565">
        <v>0.02</v>
      </c>
      <c r="AT347" s="565">
        <v>2.1999999999999999E-2</v>
      </c>
      <c r="AU347" s="106">
        <v>28480.65</v>
      </c>
      <c r="AV347" s="106">
        <v>19105.32</v>
      </c>
      <c r="AW347" s="19"/>
    </row>
    <row r="348" spans="2:50" x14ac:dyDescent="0.25">
      <c r="B348" s="9" t="str">
        <f t="shared" si="81"/>
        <v>12 2025</v>
      </c>
      <c r="C348" s="10">
        <f t="shared" si="66"/>
        <v>46000</v>
      </c>
      <c r="D348" s="10">
        <f t="shared" si="67"/>
        <v>46001</v>
      </c>
      <c r="E348" s="11">
        <f t="shared" si="82"/>
        <v>1</v>
      </c>
      <c r="G348" s="11" t="s">
        <v>7</v>
      </c>
      <c r="H348" s="12">
        <f t="shared" si="86"/>
        <v>9000000</v>
      </c>
      <c r="I348" s="14">
        <f t="shared" si="83"/>
        <v>1.7500000000000002E-2</v>
      </c>
      <c r="J348" s="13">
        <f t="shared" si="84"/>
        <v>437.50000000000006</v>
      </c>
      <c r="K348" s="13">
        <f t="shared" si="85"/>
        <v>406872.05555555614</v>
      </c>
      <c r="M348" s="11" t="s">
        <v>7</v>
      </c>
      <c r="N348" s="12">
        <f t="shared" si="63"/>
        <v>12000000</v>
      </c>
      <c r="O348" s="97">
        <f t="shared" si="64"/>
        <v>2.1698630136986304E-2</v>
      </c>
      <c r="P348" s="13">
        <f t="shared" si="73"/>
        <v>723.28767123287685</v>
      </c>
      <c r="Q348" s="13">
        <f t="shared" si="65"/>
        <v>124273.97260273954</v>
      </c>
      <c r="R348" s="13">
        <f t="shared" si="74"/>
        <v>139.95433789954348</v>
      </c>
      <c r="T348" s="11" t="str">
        <f t="shared" si="75"/>
        <v>SG</v>
      </c>
      <c r="U348" s="12">
        <f t="shared" si="76"/>
        <v>20071927.550000001</v>
      </c>
      <c r="V348" s="97">
        <f t="shared" si="77"/>
        <v>2.1205479452054792E-2</v>
      </c>
      <c r="W348" s="183">
        <f t="shared" si="78"/>
        <v>1182.319020068493</v>
      </c>
      <c r="X348" s="13">
        <f t="shared" si="79"/>
        <v>106214.80159912324</v>
      </c>
      <c r="Y348" s="13">
        <f t="shared" si="80"/>
        <v>206.60031972127069</v>
      </c>
      <c r="AA348" s="11" t="s">
        <v>189</v>
      </c>
      <c r="AB348" s="98">
        <f t="shared" si="71"/>
        <v>15000000</v>
      </c>
      <c r="AC348" s="97">
        <f t="shared" si="72"/>
        <v>2.579E-2</v>
      </c>
      <c r="AD348" s="13">
        <f t="shared" si="68"/>
        <v>1074.5833333333333</v>
      </c>
      <c r="AE348" s="13">
        <f t="shared" si="69"/>
        <v>37610.416666666664</v>
      </c>
      <c r="AF348" s="13">
        <f t="shared" si="70"/>
        <v>345.41666666666663</v>
      </c>
      <c r="AH348" s="235">
        <f>'CT- € Ellipsis BNP'!X348</f>
        <v>100243008.13542144</v>
      </c>
      <c r="AI348" s="236">
        <f>'CT- € Ellipsis BNP'!AA348</f>
        <v>2.2419458246552892E-2</v>
      </c>
      <c r="AJ348" s="90">
        <f>'CT- € Ellipsis BNP'!W348</f>
        <v>6263.834422364831</v>
      </c>
      <c r="AK348" s="91">
        <f>'CT- € Ellipsis BNP'!AC348</f>
        <v>1402.7233112537197</v>
      </c>
      <c r="AM348" s="235">
        <f>'codeis €'!Z348</f>
        <v>36919610</v>
      </c>
      <c r="AN348" s="236">
        <f>'codeis €'!AF348</f>
        <v>2.0814459915079263E-2</v>
      </c>
      <c r="AO348" s="90">
        <f>'codeis €'!AC348</f>
        <v>2147.6000000014901</v>
      </c>
      <c r="AP348" s="91">
        <f>'codeis €'!AI348</f>
        <v>359.10217777926823</v>
      </c>
      <c r="AR348" s="106">
        <v>193234545.69</v>
      </c>
      <c r="AS348" s="565">
        <v>0.02</v>
      </c>
      <c r="AT348" s="565">
        <v>2.1999999999999999E-2</v>
      </c>
      <c r="AU348" s="106">
        <v>11829.12</v>
      </c>
      <c r="AV348" s="106">
        <v>2453.8000000000002</v>
      </c>
      <c r="AW348" s="19"/>
    </row>
    <row r="349" spans="2:50" x14ac:dyDescent="0.25">
      <c r="B349" s="9" t="str">
        <f t="shared" si="81"/>
        <v>12 2025</v>
      </c>
      <c r="C349" s="10">
        <f t="shared" si="66"/>
        <v>46001</v>
      </c>
      <c r="D349" s="10">
        <f t="shared" si="67"/>
        <v>46002</v>
      </c>
      <c r="E349" s="11">
        <f t="shared" si="82"/>
        <v>1</v>
      </c>
      <c r="G349" s="11" t="s">
        <v>7</v>
      </c>
      <c r="H349" s="135">
        <f>H348-2200000</f>
        <v>6800000</v>
      </c>
      <c r="I349" s="14">
        <f t="shared" si="83"/>
        <v>1.7500000000000002E-2</v>
      </c>
      <c r="J349" s="13">
        <f t="shared" si="84"/>
        <v>330.5555555555556</v>
      </c>
      <c r="K349" s="13">
        <f t="shared" si="85"/>
        <v>407202.61111111171</v>
      </c>
      <c r="M349" s="11" t="s">
        <v>7</v>
      </c>
      <c r="N349" s="12">
        <f t="shared" si="63"/>
        <v>12000000</v>
      </c>
      <c r="O349" s="97">
        <f t="shared" si="64"/>
        <v>2.1698630136986304E-2</v>
      </c>
      <c r="P349" s="13">
        <f t="shared" si="73"/>
        <v>723.28767123287685</v>
      </c>
      <c r="Q349" s="13">
        <f t="shared" si="65"/>
        <v>124997.26027397241</v>
      </c>
      <c r="R349" s="13">
        <f t="shared" si="74"/>
        <v>139.95433789954348</v>
      </c>
      <c r="T349" s="11" t="str">
        <f t="shared" si="75"/>
        <v>SG</v>
      </c>
      <c r="U349" s="12">
        <f t="shared" si="76"/>
        <v>20071927.550000001</v>
      </c>
      <c r="V349" s="97">
        <f t="shared" si="77"/>
        <v>2.1205479452054792E-2</v>
      </c>
      <c r="W349" s="183">
        <f t="shared" si="78"/>
        <v>1182.319020068493</v>
      </c>
      <c r="X349" s="13">
        <f t="shared" si="79"/>
        <v>107397.12061919173</v>
      </c>
      <c r="Y349" s="13">
        <f t="shared" si="80"/>
        <v>206.60031972127069</v>
      </c>
      <c r="AA349" s="11" t="s">
        <v>189</v>
      </c>
      <c r="AB349" s="98">
        <f t="shared" si="71"/>
        <v>15000000</v>
      </c>
      <c r="AC349" s="97">
        <f t="shared" si="72"/>
        <v>2.579E-2</v>
      </c>
      <c r="AD349" s="13">
        <f t="shared" si="68"/>
        <v>1074.5833333333333</v>
      </c>
      <c r="AE349" s="13">
        <f t="shared" si="69"/>
        <v>38685</v>
      </c>
      <c r="AF349" s="13">
        <f t="shared" si="70"/>
        <v>345.41666666666663</v>
      </c>
      <c r="AH349" s="235">
        <f>'CT- € Ellipsis BNP'!X349</f>
        <v>100249271.96984382</v>
      </c>
      <c r="AI349" s="236">
        <f>'CT- € Ellipsis BNP'!AA349</f>
        <v>2.2419458246552892E-2</v>
      </c>
      <c r="AJ349" s="90">
        <f>'CT- € Ellipsis BNP'!W349</f>
        <v>6263.8344223797321</v>
      </c>
      <c r="AK349" s="91">
        <f>'CT- € Ellipsis BNP'!AC349</f>
        <v>1402.7233112686208</v>
      </c>
      <c r="AM349" s="235">
        <f>'codeis €'!Z349</f>
        <v>36921757.600000001</v>
      </c>
      <c r="AN349" s="236">
        <f>'codeis €'!AF349</f>
        <v>2.0814459915079263E-2</v>
      </c>
      <c r="AO349" s="90">
        <f>'codeis €'!AC349</f>
        <v>2147.6000000014901</v>
      </c>
      <c r="AP349" s="91">
        <f>'codeis €'!AI349</f>
        <v>359.10217777926823</v>
      </c>
      <c r="AR349" s="106">
        <v>191042957.12</v>
      </c>
      <c r="AS349" s="565">
        <v>0.02</v>
      </c>
      <c r="AT349" s="565">
        <v>2.1999999999999999E-2</v>
      </c>
      <c r="AU349" s="106">
        <v>11722.18</v>
      </c>
      <c r="AV349" s="106">
        <v>2453.8000000000002</v>
      </c>
      <c r="AW349" s="19"/>
    </row>
    <row r="350" spans="2:50" x14ac:dyDescent="0.25">
      <c r="B350" s="9" t="str">
        <f t="shared" si="81"/>
        <v>12 2025</v>
      </c>
      <c r="C350" s="10">
        <f t="shared" si="66"/>
        <v>46002</v>
      </c>
      <c r="D350" s="10">
        <f t="shared" si="67"/>
        <v>46003</v>
      </c>
      <c r="E350" s="11">
        <f t="shared" si="82"/>
        <v>1</v>
      </c>
      <c r="G350" s="11" t="s">
        <v>7</v>
      </c>
      <c r="H350" s="135">
        <f>H349+14100000</f>
        <v>20900000</v>
      </c>
      <c r="I350" s="14">
        <f t="shared" si="83"/>
        <v>1.7500000000000002E-2</v>
      </c>
      <c r="J350" s="13">
        <f t="shared" si="84"/>
        <v>1015.9722222222224</v>
      </c>
      <c r="K350" s="13">
        <f t="shared" si="85"/>
        <v>408218.58333333395</v>
      </c>
      <c r="M350" s="11" t="s">
        <v>7</v>
      </c>
      <c r="N350" s="12">
        <f t="shared" si="63"/>
        <v>12000000</v>
      </c>
      <c r="O350" s="97">
        <f t="shared" si="64"/>
        <v>2.1698630136986304E-2</v>
      </c>
      <c r="P350" s="13">
        <f t="shared" ref="P350:P369" si="87">O350*N350*E350/360</f>
        <v>723.28767123287685</v>
      </c>
      <c r="Q350" s="13">
        <f t="shared" si="65"/>
        <v>125720.54794520528</v>
      </c>
      <c r="R350" s="13">
        <f t="shared" ref="R350:R369" si="88">P350-(+N350*I350*$E350/360)</f>
        <v>139.95433789954348</v>
      </c>
      <c r="T350" s="110" t="str">
        <f t="shared" si="75"/>
        <v>SG</v>
      </c>
      <c r="U350" s="111">
        <v>6000000</v>
      </c>
      <c r="V350" s="108">
        <f t="shared" si="77"/>
        <v>2.1205479452054792E-2</v>
      </c>
      <c r="W350" s="112">
        <f t="shared" si="78"/>
        <v>353.42465753424653</v>
      </c>
      <c r="X350" s="112">
        <f t="shared" si="79"/>
        <v>107750.54527672597</v>
      </c>
      <c r="Y350" s="112">
        <f t="shared" si="80"/>
        <v>61.757990867579849</v>
      </c>
      <c r="AA350" s="11" t="s">
        <v>189</v>
      </c>
      <c r="AB350" s="98">
        <f t="shared" si="71"/>
        <v>15000000</v>
      </c>
      <c r="AC350" s="97">
        <f t="shared" si="72"/>
        <v>2.579E-2</v>
      </c>
      <c r="AD350" s="13">
        <f t="shared" si="68"/>
        <v>1074.5833333333333</v>
      </c>
      <c r="AE350" s="13">
        <f t="shared" si="69"/>
        <v>39759.583333333336</v>
      </c>
      <c r="AF350" s="13">
        <f t="shared" si="70"/>
        <v>345.41666666666663</v>
      </c>
      <c r="AH350" s="235">
        <f>'CT- € Ellipsis BNP'!X350</f>
        <v>100255535.80426618</v>
      </c>
      <c r="AI350" s="236">
        <f>'CT- € Ellipsis BNP'!AA350</f>
        <v>2.2419458246552892E-2</v>
      </c>
      <c r="AJ350" s="90">
        <f>'CT- € Ellipsis BNP'!W350</f>
        <v>6263.834422364831</v>
      </c>
      <c r="AK350" s="91">
        <f>'CT- € Ellipsis BNP'!AC350</f>
        <v>1402.7233112537197</v>
      </c>
      <c r="AM350" s="235">
        <f>'codeis €'!Z350</f>
        <v>36923868.799999997</v>
      </c>
      <c r="AN350" s="236">
        <f>'codeis €'!AF350</f>
        <v>2.0814459915079263E-2</v>
      </c>
      <c r="AO350" s="90">
        <f>'codeis €'!AC350</f>
        <v>2111.1999999955297</v>
      </c>
      <c r="AP350" s="91">
        <f>'codeis €'!AI350</f>
        <v>322.70217777330777</v>
      </c>
      <c r="AR350" s="106">
        <v>191079404.59999999</v>
      </c>
      <c r="AS350" s="565">
        <v>0.02</v>
      </c>
      <c r="AT350" s="565">
        <v>2.18E-2</v>
      </c>
      <c r="AU350" s="106">
        <v>11542.3</v>
      </c>
      <c r="AV350" s="106">
        <v>2272.5500000000002</v>
      </c>
      <c r="AW350" s="19"/>
    </row>
    <row r="351" spans="2:50" x14ac:dyDescent="0.25">
      <c r="B351" s="9" t="str">
        <f t="shared" si="81"/>
        <v>12 2025</v>
      </c>
      <c r="C351" s="10">
        <f t="shared" si="66"/>
        <v>46003</v>
      </c>
      <c r="D351" s="10">
        <f t="shared" si="67"/>
        <v>46004</v>
      </c>
      <c r="E351" s="11">
        <f t="shared" si="82"/>
        <v>1</v>
      </c>
      <c r="G351" s="11" t="s">
        <v>7</v>
      </c>
      <c r="H351" s="12">
        <f t="shared" si="86"/>
        <v>20900000</v>
      </c>
      <c r="I351" s="14">
        <f t="shared" si="83"/>
        <v>1.7500000000000002E-2</v>
      </c>
      <c r="J351" s="13">
        <f t="shared" si="84"/>
        <v>1015.9722222222224</v>
      </c>
      <c r="K351" s="13">
        <f t="shared" si="85"/>
        <v>409234.5555555562</v>
      </c>
      <c r="M351" s="11" t="s">
        <v>7</v>
      </c>
      <c r="N351" s="12">
        <f t="shared" si="63"/>
        <v>12000000</v>
      </c>
      <c r="O351" s="97">
        <f t="shared" si="64"/>
        <v>2.1698630136986304E-2</v>
      </c>
      <c r="P351" s="13">
        <f t="shared" si="87"/>
        <v>723.28767123287685</v>
      </c>
      <c r="Q351" s="13">
        <f t="shared" si="65"/>
        <v>126443.83561643815</v>
      </c>
      <c r="R351" s="13">
        <f t="shared" si="88"/>
        <v>139.95433789954348</v>
      </c>
      <c r="T351" s="11" t="str">
        <f t="shared" si="75"/>
        <v>SG</v>
      </c>
      <c r="U351" s="12">
        <f t="shared" si="76"/>
        <v>6000000</v>
      </c>
      <c r="V351" s="97">
        <f t="shared" si="77"/>
        <v>2.1205479452054792E-2</v>
      </c>
      <c r="W351" s="112">
        <f t="shared" si="78"/>
        <v>353.42465753424653</v>
      </c>
      <c r="X351" s="13">
        <f t="shared" si="79"/>
        <v>108103.96993426021</v>
      </c>
      <c r="Y351" s="13">
        <f t="shared" si="80"/>
        <v>61.757990867579849</v>
      </c>
      <c r="AA351" s="11" t="s">
        <v>189</v>
      </c>
      <c r="AB351" s="98">
        <f t="shared" si="71"/>
        <v>15000000</v>
      </c>
      <c r="AC351" s="97">
        <f t="shared" si="72"/>
        <v>2.579E-2</v>
      </c>
      <c r="AD351" s="13">
        <f t="shared" si="68"/>
        <v>1074.5833333333333</v>
      </c>
      <c r="AE351" s="13">
        <f t="shared" si="69"/>
        <v>40834.166666666672</v>
      </c>
      <c r="AF351" s="13">
        <f t="shared" si="70"/>
        <v>345.41666666666663</v>
      </c>
      <c r="AH351" s="235">
        <f>'CT- € Ellipsis BNP'!X351</f>
        <v>100261701.09457955</v>
      </c>
      <c r="AI351" s="236">
        <f>'CT- € Ellipsis BNP'!AA351</f>
        <v>2.2419458246552892E-2</v>
      </c>
      <c r="AJ351" s="90">
        <f>'CT- € Ellipsis BNP'!W351</f>
        <v>6165.2903133630753</v>
      </c>
      <c r="AK351" s="91">
        <f>'CT- € Ellipsis BNP'!AC351</f>
        <v>1304.1792022519639</v>
      </c>
      <c r="AM351" s="235">
        <f>'codeis €'!Z351</f>
        <v>36926016.399999999</v>
      </c>
      <c r="AN351" s="236">
        <f>'codeis €'!AF351</f>
        <v>2.0814459915079263E-2</v>
      </c>
      <c r="AO351" s="90">
        <f>'codeis €'!AC351</f>
        <v>2147.6000000014901</v>
      </c>
      <c r="AP351" s="91">
        <f>'codeis €'!AI351</f>
        <v>359.10217777926823</v>
      </c>
      <c r="AR351" s="106">
        <v>191087717.49000001</v>
      </c>
      <c r="AS351" s="565">
        <v>0.02</v>
      </c>
      <c r="AT351" s="565">
        <v>2.18E-2</v>
      </c>
      <c r="AU351" s="106">
        <v>11480.16</v>
      </c>
      <c r="AV351" s="106">
        <v>2210.41</v>
      </c>
      <c r="AW351" s="19"/>
    </row>
    <row r="352" spans="2:50" x14ac:dyDescent="0.25">
      <c r="B352" s="9" t="str">
        <f t="shared" si="81"/>
        <v>12 2025</v>
      </c>
      <c r="C352" s="10">
        <f t="shared" si="66"/>
        <v>46004</v>
      </c>
      <c r="D352" s="10">
        <f t="shared" si="67"/>
        <v>46005</v>
      </c>
      <c r="E352" s="11">
        <f t="shared" si="82"/>
        <v>1</v>
      </c>
      <c r="G352" s="11" t="s">
        <v>7</v>
      </c>
      <c r="H352" s="12">
        <f t="shared" si="86"/>
        <v>20900000</v>
      </c>
      <c r="I352" s="14">
        <f t="shared" si="83"/>
        <v>1.7500000000000002E-2</v>
      </c>
      <c r="J352" s="13">
        <f t="shared" si="84"/>
        <v>1015.9722222222224</v>
      </c>
      <c r="K352" s="13">
        <f t="shared" si="85"/>
        <v>410250.52777777845</v>
      </c>
      <c r="M352" s="11" t="s">
        <v>7</v>
      </c>
      <c r="N352" s="12">
        <f t="shared" ref="N352:N369" si="89">N351</f>
        <v>12000000</v>
      </c>
      <c r="O352" s="97">
        <f t="shared" ref="O352:O369" si="90">O351</f>
        <v>2.1698630136986304E-2</v>
      </c>
      <c r="P352" s="13">
        <f t="shared" si="87"/>
        <v>723.28767123287685</v>
      </c>
      <c r="Q352" s="13">
        <f t="shared" ref="Q352:Q369" si="91">Q351+P352</f>
        <v>127167.12328767103</v>
      </c>
      <c r="R352" s="13">
        <f t="shared" si="88"/>
        <v>139.95433789954348</v>
      </c>
      <c r="T352" s="11" t="str">
        <f t="shared" si="75"/>
        <v>SG</v>
      </c>
      <c r="U352" s="12">
        <f t="shared" si="76"/>
        <v>6000000</v>
      </c>
      <c r="V352" s="97">
        <f t="shared" si="77"/>
        <v>2.1205479452054792E-2</v>
      </c>
      <c r="W352" s="112">
        <f t="shared" si="78"/>
        <v>353.42465753424653</v>
      </c>
      <c r="X352" s="13">
        <f t="shared" si="79"/>
        <v>108457.39459179445</v>
      </c>
      <c r="Y352" s="13">
        <f t="shared" si="80"/>
        <v>61.757990867579849</v>
      </c>
      <c r="AA352" s="11" t="s">
        <v>189</v>
      </c>
      <c r="AB352" s="98">
        <f t="shared" si="71"/>
        <v>15000000</v>
      </c>
      <c r="AC352" s="97">
        <f t="shared" si="72"/>
        <v>2.579E-2</v>
      </c>
      <c r="AD352" s="13">
        <f t="shared" si="68"/>
        <v>1074.5833333333333</v>
      </c>
      <c r="AE352" s="13">
        <f t="shared" si="69"/>
        <v>41908.750000000007</v>
      </c>
      <c r="AF352" s="13">
        <f t="shared" si="70"/>
        <v>345.41666666666663</v>
      </c>
      <c r="AH352" s="235">
        <f>'CT- € Ellipsis BNP'!X352</f>
        <v>100261701.09457955</v>
      </c>
      <c r="AI352" s="236">
        <f>'CT- € Ellipsis BNP'!AA352</f>
        <v>2.2419458246552892E-2</v>
      </c>
      <c r="AJ352" s="90">
        <f>'CT- € Ellipsis BNP'!W352</f>
        <v>0</v>
      </c>
      <c r="AK352" s="91">
        <f>'CT- € Ellipsis BNP'!AC352</f>
        <v>-4861.1111111111113</v>
      </c>
      <c r="AM352" s="235">
        <f>'codeis €'!Z352</f>
        <v>36926016.399999999</v>
      </c>
      <c r="AN352" s="236">
        <f>'codeis €'!AF352</f>
        <v>2.0814459915079263E-2</v>
      </c>
      <c r="AO352" s="90">
        <f>'codeis €'!AC352</f>
        <v>0</v>
      </c>
      <c r="AP352" s="91">
        <f>'codeis €'!AI352</f>
        <v>-1788.4978222222219</v>
      </c>
      <c r="AR352" s="106">
        <v>191087717.49000001</v>
      </c>
      <c r="AS352" s="565">
        <v>0.02</v>
      </c>
      <c r="AT352" s="565">
        <v>2.18E-2</v>
      </c>
      <c r="AU352" s="106">
        <v>3167.27</v>
      </c>
      <c r="AV352" s="106">
        <v>-6102.48</v>
      </c>
      <c r="AW352" s="19"/>
    </row>
    <row r="353" spans="2:49" x14ac:dyDescent="0.25">
      <c r="B353" s="9" t="str">
        <f t="shared" si="81"/>
        <v>12 2025</v>
      </c>
      <c r="C353" s="10">
        <f t="shared" si="66"/>
        <v>46005</v>
      </c>
      <c r="D353" s="10">
        <f t="shared" si="67"/>
        <v>46006</v>
      </c>
      <c r="E353" s="11">
        <f t="shared" si="82"/>
        <v>1</v>
      </c>
      <c r="G353" s="11" t="s">
        <v>7</v>
      </c>
      <c r="H353" s="12">
        <f t="shared" si="86"/>
        <v>20900000</v>
      </c>
      <c r="I353" s="14">
        <f t="shared" si="83"/>
        <v>1.7500000000000002E-2</v>
      </c>
      <c r="J353" s="13">
        <f t="shared" si="84"/>
        <v>1015.9722222222224</v>
      </c>
      <c r="K353" s="13">
        <f t="shared" si="85"/>
        <v>411266.5000000007</v>
      </c>
      <c r="M353" s="11" t="s">
        <v>7</v>
      </c>
      <c r="N353" s="12">
        <f t="shared" si="89"/>
        <v>12000000</v>
      </c>
      <c r="O353" s="97">
        <f t="shared" si="90"/>
        <v>2.1698630136986304E-2</v>
      </c>
      <c r="P353" s="13">
        <f t="shared" si="87"/>
        <v>723.28767123287685</v>
      </c>
      <c r="Q353" s="13">
        <f t="shared" si="91"/>
        <v>127890.4109589039</v>
      </c>
      <c r="R353" s="13">
        <f t="shared" si="88"/>
        <v>139.95433789954348</v>
      </c>
      <c r="T353" s="11" t="str">
        <f t="shared" si="75"/>
        <v>SG</v>
      </c>
      <c r="U353" s="12">
        <f t="shared" si="76"/>
        <v>6000000</v>
      </c>
      <c r="V353" s="97">
        <f t="shared" si="77"/>
        <v>2.1205479452054792E-2</v>
      </c>
      <c r="W353" s="112">
        <f t="shared" si="78"/>
        <v>353.42465753424653</v>
      </c>
      <c r="X353" s="13">
        <f t="shared" si="79"/>
        <v>108810.81924932869</v>
      </c>
      <c r="Y353" s="13">
        <f t="shared" si="80"/>
        <v>61.757990867579849</v>
      </c>
      <c r="AA353" s="11" t="s">
        <v>189</v>
      </c>
      <c r="AB353" s="98">
        <f t="shared" si="71"/>
        <v>15000000</v>
      </c>
      <c r="AC353" s="97">
        <f t="shared" si="72"/>
        <v>2.579E-2</v>
      </c>
      <c r="AD353" s="13">
        <f t="shared" si="68"/>
        <v>1074.5833333333333</v>
      </c>
      <c r="AE353" s="13">
        <f t="shared" si="69"/>
        <v>42983.333333333343</v>
      </c>
      <c r="AF353" s="13">
        <f t="shared" si="70"/>
        <v>345.41666666666663</v>
      </c>
      <c r="AH353" s="235">
        <f>'CT- € Ellipsis BNP'!X353</f>
        <v>100261701.09457955</v>
      </c>
      <c r="AI353" s="236">
        <f>'CT- € Ellipsis BNP'!AA353</f>
        <v>2.2419458246552892E-2</v>
      </c>
      <c r="AJ353" s="90">
        <f>'CT- € Ellipsis BNP'!W353</f>
        <v>0</v>
      </c>
      <c r="AK353" s="91">
        <f>'CT- € Ellipsis BNP'!AC353</f>
        <v>-4861.1111111111113</v>
      </c>
      <c r="AM353" s="235">
        <f>'codeis €'!Z353</f>
        <v>36926016.399999999</v>
      </c>
      <c r="AN353" s="236">
        <f>'codeis €'!AF353</f>
        <v>2.0814459915079263E-2</v>
      </c>
      <c r="AO353" s="90">
        <f>'codeis €'!AC353</f>
        <v>0</v>
      </c>
      <c r="AP353" s="91">
        <f>'codeis €'!AI353</f>
        <v>-1788.4978222222219</v>
      </c>
      <c r="AR353" s="106">
        <v>191087717.49000001</v>
      </c>
      <c r="AS353" s="565">
        <v>0.02</v>
      </c>
      <c r="AT353" s="565">
        <v>2.18E-2</v>
      </c>
      <c r="AU353" s="106">
        <v>3167.27</v>
      </c>
      <c r="AV353" s="106">
        <v>-6102.48</v>
      </c>
      <c r="AW353" s="19"/>
    </row>
    <row r="354" spans="2:49" x14ac:dyDescent="0.25">
      <c r="B354" s="9" t="str">
        <f t="shared" si="81"/>
        <v>12 2025</v>
      </c>
      <c r="C354" s="10">
        <f t="shared" si="66"/>
        <v>46006</v>
      </c>
      <c r="D354" s="10">
        <f t="shared" si="67"/>
        <v>46007</v>
      </c>
      <c r="E354" s="11">
        <f t="shared" si="82"/>
        <v>1</v>
      </c>
      <c r="G354" s="11" t="s">
        <v>7</v>
      </c>
      <c r="H354" s="135">
        <f>H353-4100000</f>
        <v>16800000</v>
      </c>
      <c r="I354" s="14">
        <f t="shared" si="83"/>
        <v>1.7500000000000002E-2</v>
      </c>
      <c r="J354" s="13">
        <f t="shared" si="84"/>
        <v>816.66666666666663</v>
      </c>
      <c r="K354" s="13">
        <f t="shared" si="85"/>
        <v>412083.16666666738</v>
      </c>
      <c r="M354" s="11" t="s">
        <v>7</v>
      </c>
      <c r="N354" s="12">
        <f t="shared" si="89"/>
        <v>12000000</v>
      </c>
      <c r="O354" s="97">
        <f t="shared" si="90"/>
        <v>2.1698630136986304E-2</v>
      </c>
      <c r="P354" s="13">
        <f t="shared" si="87"/>
        <v>723.28767123287685</v>
      </c>
      <c r="Q354" s="13">
        <f t="shared" si="91"/>
        <v>128613.69863013677</v>
      </c>
      <c r="R354" s="13">
        <f t="shared" si="88"/>
        <v>139.95433789954348</v>
      </c>
      <c r="T354" s="11" t="str">
        <f t="shared" si="75"/>
        <v>SG</v>
      </c>
      <c r="U354" s="12">
        <f t="shared" si="76"/>
        <v>6000000</v>
      </c>
      <c r="V354" s="97">
        <f t="shared" si="77"/>
        <v>2.1205479452054792E-2</v>
      </c>
      <c r="W354" s="112">
        <f t="shared" si="78"/>
        <v>353.42465753424653</v>
      </c>
      <c r="X354" s="13">
        <f t="shared" si="79"/>
        <v>109164.24390686293</v>
      </c>
      <c r="Y354" s="13">
        <f t="shared" si="80"/>
        <v>61.757990867579849</v>
      </c>
      <c r="AA354" s="11" t="s">
        <v>189</v>
      </c>
      <c r="AB354" s="98">
        <f t="shared" si="71"/>
        <v>15000000</v>
      </c>
      <c r="AC354" s="97">
        <f t="shared" si="72"/>
        <v>2.579E-2</v>
      </c>
      <c r="AD354" s="13">
        <f t="shared" si="68"/>
        <v>1074.5833333333333</v>
      </c>
      <c r="AE354" s="13">
        <f t="shared" si="69"/>
        <v>44057.916666666679</v>
      </c>
      <c r="AF354" s="13">
        <f t="shared" si="70"/>
        <v>345.41666666666663</v>
      </c>
      <c r="AH354" s="235">
        <f>'CT- € Ellipsis BNP'!X354</f>
        <v>100280492.59784669</v>
      </c>
      <c r="AI354" s="236">
        <f>'CT- € Ellipsis BNP'!AA354</f>
        <v>2.2419458246552892E-2</v>
      </c>
      <c r="AJ354" s="90">
        <f>'CT- € Ellipsis BNP'!W354</f>
        <v>18791.503267139196</v>
      </c>
      <c r="AK354" s="91">
        <f>'CT- € Ellipsis BNP'!AC354</f>
        <v>13930.392156028085</v>
      </c>
      <c r="AM354" s="235">
        <f>'codeis €'!Z354</f>
        <v>36932422.799999997</v>
      </c>
      <c r="AN354" s="236">
        <f>'codeis €'!AF354</f>
        <v>2.0814459915079263E-2</v>
      </c>
      <c r="AO354" s="90">
        <f>'codeis €'!AC354</f>
        <v>6406.3999999985099</v>
      </c>
      <c r="AP354" s="91">
        <f>'codeis €'!AI354</f>
        <v>4617.9021777762882</v>
      </c>
      <c r="AR354" s="106">
        <v>187012915.40000001</v>
      </c>
      <c r="AS354" s="565">
        <v>0.02</v>
      </c>
      <c r="AT354" s="565">
        <v>2.18E-2</v>
      </c>
      <c r="AU354" s="106">
        <v>28165.87</v>
      </c>
      <c r="AV354" s="106">
        <v>19095.419999999998</v>
      </c>
      <c r="AW354" s="19"/>
    </row>
    <row r="355" spans="2:49" x14ac:dyDescent="0.25">
      <c r="B355" s="9" t="str">
        <f t="shared" si="81"/>
        <v>12 2025</v>
      </c>
      <c r="C355" s="10">
        <f t="shared" si="66"/>
        <v>46007</v>
      </c>
      <c r="D355" s="10">
        <f t="shared" si="67"/>
        <v>46008</v>
      </c>
      <c r="E355" s="11">
        <f t="shared" si="82"/>
        <v>1</v>
      </c>
      <c r="G355" s="11" t="s">
        <v>7</v>
      </c>
      <c r="H355" s="12">
        <f t="shared" si="86"/>
        <v>16800000</v>
      </c>
      <c r="I355" s="14">
        <f t="shared" si="83"/>
        <v>1.7500000000000002E-2</v>
      </c>
      <c r="J355" s="13">
        <f t="shared" si="84"/>
        <v>816.66666666666663</v>
      </c>
      <c r="K355" s="13">
        <f t="shared" si="85"/>
        <v>412899.83333333407</v>
      </c>
      <c r="M355" s="11" t="s">
        <v>7</v>
      </c>
      <c r="N355" s="12">
        <f t="shared" si="89"/>
        <v>12000000</v>
      </c>
      <c r="O355" s="97">
        <f t="shared" si="90"/>
        <v>2.1698630136986304E-2</v>
      </c>
      <c r="P355" s="13">
        <f t="shared" si="87"/>
        <v>723.28767123287685</v>
      </c>
      <c r="Q355" s="13">
        <f t="shared" si="91"/>
        <v>129336.98630136964</v>
      </c>
      <c r="R355" s="13">
        <f t="shared" si="88"/>
        <v>139.95433789954348</v>
      </c>
      <c r="T355" s="11" t="str">
        <f t="shared" si="75"/>
        <v>SG</v>
      </c>
      <c r="U355" s="12">
        <f t="shared" si="76"/>
        <v>6000000</v>
      </c>
      <c r="V355" s="97">
        <f t="shared" si="77"/>
        <v>2.1205479452054792E-2</v>
      </c>
      <c r="W355" s="112">
        <f t="shared" si="78"/>
        <v>353.42465753424653</v>
      </c>
      <c r="X355" s="13">
        <f t="shared" si="79"/>
        <v>109517.66856439717</v>
      </c>
      <c r="Y355" s="13">
        <f t="shared" si="80"/>
        <v>61.757990867579849</v>
      </c>
      <c r="AA355" s="11" t="s">
        <v>189</v>
      </c>
      <c r="AB355" s="98">
        <f t="shared" si="71"/>
        <v>15000000</v>
      </c>
      <c r="AC355" s="97">
        <f t="shared" si="72"/>
        <v>2.579E-2</v>
      </c>
      <c r="AD355" s="13">
        <f t="shared" si="68"/>
        <v>1074.5833333333333</v>
      </c>
      <c r="AE355" s="13">
        <f t="shared" si="69"/>
        <v>45132.500000000015</v>
      </c>
      <c r="AF355" s="13">
        <f t="shared" si="70"/>
        <v>345.41666666666663</v>
      </c>
      <c r="AH355" s="235">
        <f>'CT- € Ellipsis BNP'!X355</f>
        <v>100286657.88816004</v>
      </c>
      <c r="AI355" s="236">
        <f>'CT- € Ellipsis BNP'!AA355</f>
        <v>2.2419458246552892E-2</v>
      </c>
      <c r="AJ355" s="90">
        <f>'CT- € Ellipsis BNP'!W355</f>
        <v>6165.2903133481741</v>
      </c>
      <c r="AK355" s="91">
        <f>'CT- € Ellipsis BNP'!AC355</f>
        <v>1304.1792022370628</v>
      </c>
      <c r="AM355" s="235">
        <f>'codeis €'!Z355</f>
        <v>36934534</v>
      </c>
      <c r="AN355" s="236">
        <f>'codeis €'!AF355</f>
        <v>2.0814459915079263E-2</v>
      </c>
      <c r="AO355" s="90">
        <f>'codeis €'!AC355</f>
        <v>2111.2000000029802</v>
      </c>
      <c r="AP355" s="91">
        <f>'codeis €'!AI355</f>
        <v>322.70217778075835</v>
      </c>
      <c r="AR355" s="106">
        <v>187021191.88999999</v>
      </c>
      <c r="AS355" s="565">
        <v>0.02</v>
      </c>
      <c r="AT355" s="565">
        <v>2.18E-2</v>
      </c>
      <c r="AU355" s="106">
        <v>11244.45</v>
      </c>
      <c r="AV355" s="106">
        <v>2174.0100000000002</v>
      </c>
      <c r="AW355" s="19"/>
    </row>
    <row r="356" spans="2:49" x14ac:dyDescent="0.25">
      <c r="B356" s="9" t="str">
        <f t="shared" si="81"/>
        <v>12 2025</v>
      </c>
      <c r="C356" s="10">
        <f t="shared" si="66"/>
        <v>46008</v>
      </c>
      <c r="D356" s="10">
        <f t="shared" si="67"/>
        <v>46009</v>
      </c>
      <c r="E356" s="11">
        <f t="shared" si="82"/>
        <v>1</v>
      </c>
      <c r="G356" s="11" t="s">
        <v>7</v>
      </c>
      <c r="H356" s="12">
        <f t="shared" si="86"/>
        <v>16800000</v>
      </c>
      <c r="I356" s="14">
        <f t="shared" si="83"/>
        <v>1.7500000000000002E-2</v>
      </c>
      <c r="J356" s="13">
        <f t="shared" si="84"/>
        <v>816.66666666666663</v>
      </c>
      <c r="K356" s="13">
        <f t="shared" si="85"/>
        <v>413716.50000000076</v>
      </c>
      <c r="M356" s="11" t="s">
        <v>7</v>
      </c>
      <c r="N356" s="12">
        <f t="shared" si="89"/>
        <v>12000000</v>
      </c>
      <c r="O356" s="97">
        <f t="shared" si="90"/>
        <v>2.1698630136986304E-2</v>
      </c>
      <c r="P356" s="13">
        <f t="shared" si="87"/>
        <v>723.28767123287685</v>
      </c>
      <c r="Q356" s="13">
        <f t="shared" si="91"/>
        <v>130060.27397260252</v>
      </c>
      <c r="R356" s="13">
        <f t="shared" si="88"/>
        <v>139.95433789954348</v>
      </c>
      <c r="T356" s="11" t="str">
        <f t="shared" si="75"/>
        <v>SG</v>
      </c>
      <c r="U356" s="12">
        <f t="shared" si="76"/>
        <v>6000000</v>
      </c>
      <c r="V356" s="97">
        <f t="shared" si="77"/>
        <v>2.1205479452054792E-2</v>
      </c>
      <c r="W356" s="112">
        <f t="shared" si="78"/>
        <v>353.42465753424653</v>
      </c>
      <c r="X356" s="13">
        <f t="shared" si="79"/>
        <v>109871.09322193141</v>
      </c>
      <c r="Y356" s="13">
        <f t="shared" si="80"/>
        <v>61.757990867579849</v>
      </c>
      <c r="AA356" s="11" t="s">
        <v>189</v>
      </c>
      <c r="AB356" s="98">
        <f t="shared" si="71"/>
        <v>15000000</v>
      </c>
      <c r="AC356" s="97">
        <f t="shared" si="72"/>
        <v>2.579E-2</v>
      </c>
      <c r="AD356" s="13">
        <f t="shared" si="68"/>
        <v>1074.5833333333333</v>
      </c>
      <c r="AE356" s="13">
        <f t="shared" si="69"/>
        <v>46207.08333333335</v>
      </c>
      <c r="AF356" s="13">
        <f t="shared" si="70"/>
        <v>345.41666666666663</v>
      </c>
      <c r="AH356" s="235">
        <f>'CT- € Ellipsis BNP'!X356</f>
        <v>100292921.72258241</v>
      </c>
      <c r="AI356" s="236">
        <f>'CT- € Ellipsis BNP'!AA356</f>
        <v>2.2419458246552892E-2</v>
      </c>
      <c r="AJ356" s="90">
        <f>'CT- € Ellipsis BNP'!W356</f>
        <v>6263.8344223797321</v>
      </c>
      <c r="AK356" s="91">
        <f>'CT- € Ellipsis BNP'!AC356</f>
        <v>1402.7233112686208</v>
      </c>
      <c r="AM356" s="235">
        <f>'codeis €'!Z356</f>
        <v>36936681.600000001</v>
      </c>
      <c r="AN356" s="236">
        <f>'codeis €'!AF356</f>
        <v>2.0814459915079263E-2</v>
      </c>
      <c r="AO356" s="90">
        <f>'codeis €'!AC356</f>
        <v>2147.6000000014901</v>
      </c>
      <c r="AP356" s="91">
        <f>'codeis €'!AI356</f>
        <v>359.10217777926823</v>
      </c>
      <c r="AR356" s="106">
        <v>187029603.31999999</v>
      </c>
      <c r="AS356" s="565">
        <v>0.02</v>
      </c>
      <c r="AT356" s="565">
        <v>2.18E-2</v>
      </c>
      <c r="AU356" s="106">
        <v>11379.4</v>
      </c>
      <c r="AV356" s="106">
        <v>2308.9499999999998</v>
      </c>
      <c r="AW356" s="19"/>
    </row>
    <row r="357" spans="2:49" x14ac:dyDescent="0.25">
      <c r="B357" s="9" t="str">
        <f t="shared" si="81"/>
        <v>12 2025</v>
      </c>
      <c r="C357" s="10">
        <f t="shared" si="66"/>
        <v>46009</v>
      </c>
      <c r="D357" s="10">
        <f t="shared" si="67"/>
        <v>46010</v>
      </c>
      <c r="E357" s="11">
        <f t="shared" si="82"/>
        <v>1</v>
      </c>
      <c r="G357" s="11" t="s">
        <v>7</v>
      </c>
      <c r="H357" s="106">
        <f>H356-8700000</f>
        <v>8100000</v>
      </c>
      <c r="I357" s="14">
        <f t="shared" si="83"/>
        <v>1.7500000000000002E-2</v>
      </c>
      <c r="J357" s="13">
        <f t="shared" si="84"/>
        <v>393.75</v>
      </c>
      <c r="K357" s="13">
        <f t="shared" si="85"/>
        <v>414110.25000000076</v>
      </c>
      <c r="M357" s="11" t="s">
        <v>7</v>
      </c>
      <c r="N357" s="12">
        <f t="shared" si="89"/>
        <v>12000000</v>
      </c>
      <c r="O357" s="97">
        <f t="shared" si="90"/>
        <v>2.1698630136986304E-2</v>
      </c>
      <c r="P357" s="13">
        <f t="shared" si="87"/>
        <v>723.28767123287685</v>
      </c>
      <c r="Q357" s="13">
        <f t="shared" si="91"/>
        <v>130783.56164383539</v>
      </c>
      <c r="R357" s="13">
        <f t="shared" si="88"/>
        <v>139.95433789954348</v>
      </c>
      <c r="T357" s="11" t="str">
        <f t="shared" si="75"/>
        <v>SG</v>
      </c>
      <c r="U357" s="12">
        <f t="shared" si="76"/>
        <v>6000000</v>
      </c>
      <c r="V357" s="97">
        <f t="shared" si="77"/>
        <v>2.1205479452054792E-2</v>
      </c>
      <c r="W357" s="112">
        <f t="shared" si="78"/>
        <v>353.42465753424653</v>
      </c>
      <c r="X357" s="13">
        <f t="shared" si="79"/>
        <v>110224.51787946565</v>
      </c>
      <c r="Y357" s="13">
        <f t="shared" si="80"/>
        <v>61.757990867579849</v>
      </c>
      <c r="AA357" s="11" t="s">
        <v>189</v>
      </c>
      <c r="AB357" s="98">
        <f t="shared" si="71"/>
        <v>15000000</v>
      </c>
      <c r="AC357" s="97">
        <f t="shared" si="72"/>
        <v>2.579E-2</v>
      </c>
      <c r="AD357" s="13">
        <f t="shared" si="68"/>
        <v>1074.5833333333333</v>
      </c>
      <c r="AE357" s="13">
        <f t="shared" si="69"/>
        <v>47281.666666666686</v>
      </c>
      <c r="AF357" s="13">
        <f t="shared" si="70"/>
        <v>345.41666666666663</v>
      </c>
      <c r="AH357" s="235">
        <f>'CT- € Ellipsis BNP'!X357</f>
        <v>100299185.55700476</v>
      </c>
      <c r="AI357" s="236">
        <f>'CT- € Ellipsis BNP'!AA357</f>
        <v>2.2419458246552892E-2</v>
      </c>
      <c r="AJ357" s="90">
        <f>'CT- € Ellipsis BNP'!W357</f>
        <v>6263.8344223499298</v>
      </c>
      <c r="AK357" s="91">
        <f>'CT- € Ellipsis BNP'!AC357</f>
        <v>1402.7233112388185</v>
      </c>
      <c r="AM357" s="235">
        <f>'codeis €'!Z357</f>
        <v>36938829.199999996</v>
      </c>
      <c r="AN357" s="236">
        <f>'codeis €'!AF357</f>
        <v>2.0814459915079263E-2</v>
      </c>
      <c r="AO357" s="90">
        <f>'codeis €'!AC357</f>
        <v>2147.5999999940395</v>
      </c>
      <c r="AP357" s="91">
        <f>'codeis €'!AI357</f>
        <v>359.10217777181765</v>
      </c>
      <c r="AR357" s="106">
        <v>178338014.75999999</v>
      </c>
      <c r="AS357" s="565">
        <v>0.02</v>
      </c>
      <c r="AT357" s="565">
        <v>2.2100000000000002E-2</v>
      </c>
      <c r="AU357" s="106">
        <v>10956.48</v>
      </c>
      <c r="AV357" s="106">
        <v>2308.9499999999998</v>
      </c>
      <c r="AW357" s="19"/>
    </row>
    <row r="358" spans="2:49" x14ac:dyDescent="0.25">
      <c r="B358" s="9" t="str">
        <f t="shared" si="81"/>
        <v>12 2025</v>
      </c>
      <c r="C358" s="10">
        <f t="shared" si="66"/>
        <v>46010</v>
      </c>
      <c r="D358" s="10">
        <f t="shared" si="67"/>
        <v>46011</v>
      </c>
      <c r="E358" s="11">
        <f t="shared" si="82"/>
        <v>1</v>
      </c>
      <c r="G358" s="11" t="s">
        <v>7</v>
      </c>
      <c r="H358" s="12">
        <f t="shared" si="86"/>
        <v>8100000</v>
      </c>
      <c r="I358" s="14">
        <f t="shared" si="83"/>
        <v>1.7500000000000002E-2</v>
      </c>
      <c r="J358" s="13">
        <f t="shared" si="84"/>
        <v>393.75</v>
      </c>
      <c r="K358" s="13">
        <f t="shared" si="85"/>
        <v>414504.00000000076</v>
      </c>
      <c r="M358" s="11" t="s">
        <v>7</v>
      </c>
      <c r="N358" s="12">
        <f t="shared" si="89"/>
        <v>12000000</v>
      </c>
      <c r="O358" s="97">
        <f t="shared" si="90"/>
        <v>2.1698630136986304E-2</v>
      </c>
      <c r="P358" s="13">
        <f t="shared" si="87"/>
        <v>723.28767123287685</v>
      </c>
      <c r="Q358" s="13">
        <f t="shared" si="91"/>
        <v>131506.84931506828</v>
      </c>
      <c r="R358" s="13">
        <f t="shared" si="88"/>
        <v>139.95433789954348</v>
      </c>
      <c r="T358" s="11" t="str">
        <f t="shared" si="75"/>
        <v>SG</v>
      </c>
      <c r="U358" s="12">
        <f t="shared" si="76"/>
        <v>6000000</v>
      </c>
      <c r="V358" s="97">
        <f t="shared" si="77"/>
        <v>2.1205479452054792E-2</v>
      </c>
      <c r="W358" s="112">
        <f t="shared" si="78"/>
        <v>353.42465753424653</v>
      </c>
      <c r="X358" s="13">
        <f t="shared" si="79"/>
        <v>110577.94253699989</v>
      </c>
      <c r="Y358" s="13">
        <f t="shared" si="80"/>
        <v>61.757990867579849</v>
      </c>
      <c r="AA358" s="11" t="s">
        <v>189</v>
      </c>
      <c r="AB358" s="98">
        <f t="shared" si="71"/>
        <v>15000000</v>
      </c>
      <c r="AC358" s="97">
        <f t="shared" si="72"/>
        <v>2.579E-2</v>
      </c>
      <c r="AD358" s="13">
        <f t="shared" si="68"/>
        <v>1074.5833333333333</v>
      </c>
      <c r="AE358" s="13">
        <f t="shared" si="69"/>
        <v>48356.250000000022</v>
      </c>
      <c r="AF358" s="13">
        <f t="shared" si="70"/>
        <v>345.41666666666663</v>
      </c>
      <c r="AH358" s="235">
        <f>'CT- € Ellipsis BNP'!X358</f>
        <v>100299185.55700476</v>
      </c>
      <c r="AI358" s="236">
        <f>'CT- € Ellipsis BNP'!AA358</f>
        <v>2.2419458246552892E-2</v>
      </c>
      <c r="AJ358" s="90">
        <f>'CT- € Ellipsis BNP'!W358</f>
        <v>0</v>
      </c>
      <c r="AK358" s="91">
        <f>'CT- € Ellipsis BNP'!AC358</f>
        <v>-4861.1111111111113</v>
      </c>
      <c r="AM358" s="235">
        <f>'codeis €'!Z358</f>
        <v>66980826</v>
      </c>
      <c r="AN358" s="236">
        <f>'codeis €'!AF358</f>
        <v>2.0814459915079263E-2</v>
      </c>
      <c r="AO358" s="90">
        <f>'codeis €'!AC358</f>
        <v>2111.2000000029802</v>
      </c>
      <c r="AP358" s="91">
        <f>'codeis €'!AI358</f>
        <v>322.70217778075835</v>
      </c>
      <c r="AR358" s="106">
        <v>208380011.56</v>
      </c>
      <c r="AS358" s="565">
        <v>0.02</v>
      </c>
      <c r="AT358" s="565">
        <v>2.1899999999999999E-2</v>
      </c>
      <c r="AU358" s="106">
        <v>4656.25</v>
      </c>
      <c r="AV358" s="106">
        <v>-3991.28</v>
      </c>
      <c r="AW358" s="19"/>
    </row>
    <row r="359" spans="2:49" x14ac:dyDescent="0.25">
      <c r="B359" s="9" t="str">
        <f t="shared" si="81"/>
        <v>12 2025</v>
      </c>
      <c r="C359" s="10">
        <f t="shared" si="66"/>
        <v>46011</v>
      </c>
      <c r="D359" s="10">
        <f t="shared" si="67"/>
        <v>46012</v>
      </c>
      <c r="E359" s="11">
        <f t="shared" si="82"/>
        <v>1</v>
      </c>
      <c r="G359" s="11" t="s">
        <v>7</v>
      </c>
      <c r="H359" s="12">
        <f t="shared" si="86"/>
        <v>8100000</v>
      </c>
      <c r="I359" s="14">
        <f t="shared" si="83"/>
        <v>1.7500000000000002E-2</v>
      </c>
      <c r="J359" s="13">
        <f t="shared" si="84"/>
        <v>393.75</v>
      </c>
      <c r="K359" s="13">
        <f t="shared" si="85"/>
        <v>414897.75000000076</v>
      </c>
      <c r="M359" s="11" t="s">
        <v>7</v>
      </c>
      <c r="N359" s="12">
        <f t="shared" si="89"/>
        <v>12000000</v>
      </c>
      <c r="O359" s="97">
        <f t="shared" si="90"/>
        <v>2.1698630136986304E-2</v>
      </c>
      <c r="P359" s="13">
        <f t="shared" si="87"/>
        <v>723.28767123287685</v>
      </c>
      <c r="Q359" s="13">
        <f t="shared" si="91"/>
        <v>132230.13698630116</v>
      </c>
      <c r="R359" s="13">
        <f t="shared" si="88"/>
        <v>139.95433789954348</v>
      </c>
      <c r="T359" s="11" t="str">
        <f t="shared" si="75"/>
        <v>SG</v>
      </c>
      <c r="U359" s="12">
        <f t="shared" si="76"/>
        <v>6000000</v>
      </c>
      <c r="V359" s="97">
        <f t="shared" si="77"/>
        <v>2.1205479452054792E-2</v>
      </c>
      <c r="W359" s="112">
        <f t="shared" si="78"/>
        <v>353.42465753424653</v>
      </c>
      <c r="X359" s="13">
        <f t="shared" si="79"/>
        <v>110931.36719453413</v>
      </c>
      <c r="Y359" s="13">
        <f t="shared" si="80"/>
        <v>61.757990867579849</v>
      </c>
      <c r="AA359" s="11" t="s">
        <v>189</v>
      </c>
      <c r="AB359" s="98">
        <f t="shared" si="71"/>
        <v>15000000</v>
      </c>
      <c r="AC359" s="97">
        <f t="shared" si="72"/>
        <v>2.579E-2</v>
      </c>
      <c r="AD359" s="13">
        <f t="shared" si="68"/>
        <v>1074.5833333333333</v>
      </c>
      <c r="AE359" s="13">
        <f t="shared" si="69"/>
        <v>49430.833333333358</v>
      </c>
      <c r="AF359" s="13">
        <f t="shared" si="70"/>
        <v>345.41666666666663</v>
      </c>
      <c r="AH359" s="235">
        <f>'CT- € Ellipsis BNP'!X359</f>
        <v>100299185.55700476</v>
      </c>
      <c r="AI359" s="236">
        <f>'CT- € Ellipsis BNP'!AA359</f>
        <v>2.2419458246552892E-2</v>
      </c>
      <c r="AJ359" s="90">
        <f>'CT- € Ellipsis BNP'!W359</f>
        <v>0</v>
      </c>
      <c r="AK359" s="91">
        <f>'CT- € Ellipsis BNP'!AC359</f>
        <v>-4861.1111111111113</v>
      </c>
      <c r="AM359" s="235">
        <f>'codeis €'!Z359</f>
        <v>66980826</v>
      </c>
      <c r="AN359" s="236">
        <f>'codeis €'!AF359</f>
        <v>2.0814459915079263E-2</v>
      </c>
      <c r="AO359" s="90">
        <f>'codeis €'!AC359</f>
        <v>0</v>
      </c>
      <c r="AP359" s="91">
        <f>'codeis €'!AI359</f>
        <v>-3248.7700388888888</v>
      </c>
      <c r="AR359" s="106">
        <v>208380011.56</v>
      </c>
      <c r="AS359" s="565">
        <v>0.02</v>
      </c>
      <c r="AT359" s="565">
        <v>2.1899999999999999E-2</v>
      </c>
      <c r="AU359" s="106">
        <v>2545.0500000000002</v>
      </c>
      <c r="AV359" s="106">
        <v>-7562.75</v>
      </c>
      <c r="AW359" s="19"/>
    </row>
    <row r="360" spans="2:49" x14ac:dyDescent="0.25">
      <c r="B360" s="9" t="str">
        <f t="shared" si="81"/>
        <v>12 2025</v>
      </c>
      <c r="C360" s="10">
        <f t="shared" si="66"/>
        <v>46012</v>
      </c>
      <c r="D360" s="10">
        <f t="shared" si="67"/>
        <v>46013</v>
      </c>
      <c r="E360" s="11">
        <f t="shared" si="82"/>
        <v>1</v>
      </c>
      <c r="G360" s="11" t="s">
        <v>7</v>
      </c>
      <c r="H360" s="12">
        <f t="shared" si="86"/>
        <v>8100000</v>
      </c>
      <c r="I360" s="14">
        <f t="shared" si="83"/>
        <v>1.7500000000000002E-2</v>
      </c>
      <c r="J360" s="13">
        <f t="shared" si="84"/>
        <v>393.75</v>
      </c>
      <c r="K360" s="13">
        <f t="shared" si="85"/>
        <v>415291.50000000076</v>
      </c>
      <c r="M360" s="11" t="s">
        <v>7</v>
      </c>
      <c r="N360" s="12">
        <f t="shared" si="89"/>
        <v>12000000</v>
      </c>
      <c r="O360" s="97">
        <f t="shared" si="90"/>
        <v>2.1698630136986304E-2</v>
      </c>
      <c r="P360" s="13">
        <f t="shared" si="87"/>
        <v>723.28767123287685</v>
      </c>
      <c r="Q360" s="13">
        <f t="shared" si="91"/>
        <v>132953.42465753405</v>
      </c>
      <c r="R360" s="13">
        <f t="shared" si="88"/>
        <v>139.95433789954348</v>
      </c>
      <c r="T360" s="11" t="str">
        <f t="shared" si="75"/>
        <v>SG</v>
      </c>
      <c r="U360" s="12">
        <f t="shared" si="76"/>
        <v>6000000</v>
      </c>
      <c r="V360" s="97">
        <f t="shared" si="77"/>
        <v>2.1205479452054792E-2</v>
      </c>
      <c r="W360" s="112">
        <f t="shared" si="78"/>
        <v>353.42465753424653</v>
      </c>
      <c r="X360" s="13">
        <f t="shared" si="79"/>
        <v>111284.79185206837</v>
      </c>
      <c r="Y360" s="13">
        <f t="shared" si="80"/>
        <v>61.757990867579849</v>
      </c>
      <c r="AA360" s="11" t="s">
        <v>189</v>
      </c>
      <c r="AB360" s="98">
        <f t="shared" si="71"/>
        <v>15000000</v>
      </c>
      <c r="AC360" s="97">
        <f t="shared" si="72"/>
        <v>2.579E-2</v>
      </c>
      <c r="AD360" s="13">
        <f t="shared" si="68"/>
        <v>1074.5833333333333</v>
      </c>
      <c r="AE360" s="13">
        <f t="shared" si="69"/>
        <v>50505.416666666693</v>
      </c>
      <c r="AF360" s="13">
        <f t="shared" si="70"/>
        <v>345.41666666666663</v>
      </c>
      <c r="AH360" s="235">
        <f>'CT- € Ellipsis BNP'!X360</f>
        <v>100299185.55700476</v>
      </c>
      <c r="AI360" s="236">
        <f>'CT- € Ellipsis BNP'!AA360</f>
        <v>2.2419458246552892E-2</v>
      </c>
      <c r="AJ360" s="90">
        <f>'CT- € Ellipsis BNP'!W360</f>
        <v>0</v>
      </c>
      <c r="AK360" s="91">
        <f>'CT- € Ellipsis BNP'!AC360</f>
        <v>-4861.1111111111113</v>
      </c>
      <c r="AM360" s="235">
        <f>'codeis €'!Z360</f>
        <v>66980826</v>
      </c>
      <c r="AN360" s="236">
        <f>'codeis €'!AF360</f>
        <v>2.0814459915079263E-2</v>
      </c>
      <c r="AO360" s="90">
        <f>'codeis €'!AC360</f>
        <v>0</v>
      </c>
      <c r="AP360" s="91">
        <f>'codeis €'!AI360</f>
        <v>-3248.7700388888888</v>
      </c>
      <c r="AR360" s="106">
        <v>208380011.56</v>
      </c>
      <c r="AS360" s="565">
        <v>0.02</v>
      </c>
      <c r="AT360" s="565">
        <v>2.1899999999999999E-2</v>
      </c>
      <c r="AU360" s="106">
        <v>2545.0500000000002</v>
      </c>
      <c r="AV360" s="106">
        <v>-7562.75</v>
      </c>
      <c r="AW360" s="19"/>
    </row>
    <row r="361" spans="2:49" x14ac:dyDescent="0.25">
      <c r="B361" s="9" t="str">
        <f t="shared" si="81"/>
        <v>12 2025</v>
      </c>
      <c r="C361" s="10">
        <f t="shared" si="66"/>
        <v>46013</v>
      </c>
      <c r="D361" s="10">
        <f t="shared" si="67"/>
        <v>46014</v>
      </c>
      <c r="E361" s="11">
        <f t="shared" si="82"/>
        <v>1</v>
      </c>
      <c r="G361" s="11" t="s">
        <v>7</v>
      </c>
      <c r="H361" s="106">
        <f>H360+10000000+220000</f>
        <v>18320000</v>
      </c>
      <c r="I361" s="14">
        <f t="shared" si="83"/>
        <v>1.7500000000000002E-2</v>
      </c>
      <c r="J361" s="13">
        <f t="shared" si="84"/>
        <v>890.55555555555577</v>
      </c>
      <c r="K361" s="13">
        <f t="shared" si="85"/>
        <v>416182.05555555632</v>
      </c>
      <c r="M361" s="11" t="s">
        <v>7</v>
      </c>
      <c r="N361" s="12">
        <f t="shared" si="89"/>
        <v>12000000</v>
      </c>
      <c r="O361" s="97">
        <f t="shared" si="90"/>
        <v>2.1698630136986304E-2</v>
      </c>
      <c r="P361" s="13">
        <f t="shared" si="87"/>
        <v>723.28767123287685</v>
      </c>
      <c r="Q361" s="13">
        <f t="shared" si="91"/>
        <v>133676.71232876694</v>
      </c>
      <c r="R361" s="13">
        <f t="shared" si="88"/>
        <v>139.95433789954348</v>
      </c>
      <c r="T361" s="11" t="str">
        <f t="shared" si="75"/>
        <v>SG</v>
      </c>
      <c r="U361" s="12">
        <f t="shared" si="76"/>
        <v>6000000</v>
      </c>
      <c r="V361" s="97">
        <f t="shared" si="77"/>
        <v>2.1205479452054792E-2</v>
      </c>
      <c r="W361" s="112">
        <f t="shared" si="78"/>
        <v>353.42465753424653</v>
      </c>
      <c r="X361" s="13">
        <f t="shared" si="79"/>
        <v>111638.21650960261</v>
      </c>
      <c r="Y361" s="13">
        <f t="shared" si="80"/>
        <v>61.757990867579849</v>
      </c>
      <c r="AA361" s="11" t="s">
        <v>189</v>
      </c>
      <c r="AB361" s="98">
        <f t="shared" si="71"/>
        <v>15000000</v>
      </c>
      <c r="AC361" s="97">
        <f t="shared" si="72"/>
        <v>2.579E-2</v>
      </c>
      <c r="AD361" s="13">
        <f t="shared" si="68"/>
        <v>1074.5833333333333</v>
      </c>
      <c r="AE361" s="13">
        <f t="shared" si="69"/>
        <v>51580.000000000029</v>
      </c>
      <c r="AF361" s="13">
        <f t="shared" si="70"/>
        <v>345.41666666666663</v>
      </c>
      <c r="AH361" s="235">
        <f>'CT- € Ellipsis BNP'!X361</f>
        <v>100324142.35058527</v>
      </c>
      <c r="AI361" s="236">
        <f>'CT- € Ellipsis BNP'!AA361</f>
        <v>2.2419458246552892E-2</v>
      </c>
      <c r="AJ361" s="90">
        <f>'CT- € Ellipsis BNP'!W361</f>
        <v>24956.793580502272</v>
      </c>
      <c r="AK361" s="91">
        <f>'CT- € Ellipsis BNP'!AC361</f>
        <v>20095.682469391162</v>
      </c>
      <c r="AM361" s="235">
        <f>'codeis €'!Z361</f>
        <v>66992442</v>
      </c>
      <c r="AN361" s="236">
        <f>'codeis €'!AF361</f>
        <v>2.0814459915079263E-2</v>
      </c>
      <c r="AO361" s="90">
        <f>'codeis €'!AC361</f>
        <v>11616</v>
      </c>
      <c r="AP361" s="91">
        <f>'codeis €'!AI361</f>
        <v>8367.2299611111121</v>
      </c>
      <c r="AR361" s="106">
        <v>218636584.34999999</v>
      </c>
      <c r="AS361" s="565">
        <v>0.02</v>
      </c>
      <c r="AT361" s="565">
        <v>2.1700000000000001E-2</v>
      </c>
      <c r="AU361" s="106">
        <v>39614.639999999999</v>
      </c>
      <c r="AV361" s="106">
        <v>29010.04</v>
      </c>
      <c r="AW361" s="19"/>
    </row>
    <row r="362" spans="2:49" x14ac:dyDescent="0.25">
      <c r="B362" s="9" t="str">
        <f t="shared" si="81"/>
        <v>12 2025</v>
      </c>
      <c r="C362" s="10">
        <f t="shared" si="66"/>
        <v>46014</v>
      </c>
      <c r="D362" s="10">
        <f t="shared" si="67"/>
        <v>46015</v>
      </c>
      <c r="E362" s="11">
        <f t="shared" si="82"/>
        <v>1</v>
      </c>
      <c r="G362" s="11" t="s">
        <v>7</v>
      </c>
      <c r="H362" s="106">
        <f>H361-14300000</f>
        <v>4020000</v>
      </c>
      <c r="I362" s="14">
        <f t="shared" si="83"/>
        <v>1.7500000000000002E-2</v>
      </c>
      <c r="J362" s="13">
        <f t="shared" si="84"/>
        <v>195.41666666666666</v>
      </c>
      <c r="K362" s="13">
        <f t="shared" si="85"/>
        <v>416377.472222223</v>
      </c>
      <c r="M362" s="11" t="s">
        <v>7</v>
      </c>
      <c r="N362" s="12">
        <f t="shared" si="89"/>
        <v>12000000</v>
      </c>
      <c r="O362" s="97">
        <f t="shared" si="90"/>
        <v>2.1698630136986304E-2</v>
      </c>
      <c r="P362" s="13">
        <f t="shared" si="87"/>
        <v>723.28767123287685</v>
      </c>
      <c r="Q362" s="13">
        <f t="shared" si="91"/>
        <v>134399.99999999983</v>
      </c>
      <c r="R362" s="13">
        <f t="shared" si="88"/>
        <v>139.95433789954348</v>
      </c>
      <c r="T362" s="11" t="str">
        <f t="shared" si="75"/>
        <v>SG</v>
      </c>
      <c r="U362" s="12">
        <f t="shared" si="76"/>
        <v>6000000</v>
      </c>
      <c r="V362" s="97">
        <f t="shared" si="77"/>
        <v>2.1205479452054792E-2</v>
      </c>
      <c r="W362" s="112">
        <f t="shared" si="78"/>
        <v>353.42465753424653</v>
      </c>
      <c r="X362" s="13">
        <f t="shared" si="79"/>
        <v>111991.64116713686</v>
      </c>
      <c r="Y362" s="13">
        <f t="shared" si="80"/>
        <v>61.757990867579849</v>
      </c>
      <c r="AA362" s="11" t="s">
        <v>189</v>
      </c>
      <c r="AB362" s="98">
        <f t="shared" si="71"/>
        <v>15000000</v>
      </c>
      <c r="AC362" s="97">
        <f t="shared" si="72"/>
        <v>2.579E-2</v>
      </c>
      <c r="AD362" s="13">
        <f t="shared" si="68"/>
        <v>1074.5833333333333</v>
      </c>
      <c r="AE362" s="13">
        <f t="shared" si="69"/>
        <v>52654.583333333365</v>
      </c>
      <c r="AF362" s="13">
        <f t="shared" si="70"/>
        <v>345.41666666666663</v>
      </c>
      <c r="AH362" s="235">
        <f>'CT- € Ellipsis BNP'!X362</f>
        <v>100330406.18500762</v>
      </c>
      <c r="AI362" s="236">
        <f>'CT- € Ellipsis BNP'!AA362</f>
        <v>2.2419458246552892E-2</v>
      </c>
      <c r="AJ362" s="90">
        <f>'CT- € Ellipsis BNP'!W362</f>
        <v>6263.8344223499298</v>
      </c>
      <c r="AK362" s="91">
        <f>'CT- € Ellipsis BNP'!AC362</f>
        <v>1402.7233112388185</v>
      </c>
      <c r="AM362" s="235">
        <f>'codeis €'!Z362</f>
        <v>66996336</v>
      </c>
      <c r="AN362" s="236">
        <f>'codeis €'!AF362</f>
        <v>2.0814459915079263E-2</v>
      </c>
      <c r="AO362" s="90">
        <f>'codeis €'!AC362</f>
        <v>3894</v>
      </c>
      <c r="AP362" s="91">
        <f>'codeis €'!AI362</f>
        <v>645.22996111111115</v>
      </c>
      <c r="AR362" s="106">
        <v>204346742.19</v>
      </c>
      <c r="AS362" s="565">
        <v>0.02</v>
      </c>
      <c r="AT362" s="565">
        <v>2.1999999999999999E-2</v>
      </c>
      <c r="AU362" s="106">
        <v>12504.55</v>
      </c>
      <c r="AV362" s="106">
        <v>2595.08</v>
      </c>
      <c r="AW362" s="19"/>
    </row>
    <row r="363" spans="2:49" x14ac:dyDescent="0.25">
      <c r="B363" s="9" t="str">
        <f t="shared" si="81"/>
        <v>12 2025</v>
      </c>
      <c r="C363" s="10">
        <f t="shared" si="66"/>
        <v>46015</v>
      </c>
      <c r="D363" s="10">
        <f t="shared" si="67"/>
        <v>46016</v>
      </c>
      <c r="E363" s="11">
        <f t="shared" si="82"/>
        <v>1</v>
      </c>
      <c r="G363" s="11" t="s">
        <v>7</v>
      </c>
      <c r="H363" s="106">
        <f>H362-80000</f>
        <v>3940000</v>
      </c>
      <c r="I363" s="14">
        <f t="shared" si="83"/>
        <v>1.7500000000000002E-2</v>
      </c>
      <c r="J363" s="13">
        <f t="shared" si="84"/>
        <v>191.52777777777777</v>
      </c>
      <c r="K363" s="13">
        <f t="shared" si="85"/>
        <v>416569.00000000076</v>
      </c>
      <c r="M363" s="11" t="s">
        <v>7</v>
      </c>
      <c r="N363" s="12">
        <f t="shared" si="89"/>
        <v>12000000</v>
      </c>
      <c r="O363" s="97">
        <f t="shared" si="90"/>
        <v>2.1698630136986304E-2</v>
      </c>
      <c r="P363" s="13">
        <f t="shared" si="87"/>
        <v>723.28767123287685</v>
      </c>
      <c r="Q363" s="13">
        <f t="shared" si="91"/>
        <v>135123.28767123271</v>
      </c>
      <c r="R363" s="13">
        <f t="shared" si="88"/>
        <v>139.95433789954348</v>
      </c>
      <c r="T363" s="11" t="str">
        <f t="shared" si="75"/>
        <v>SG</v>
      </c>
      <c r="U363" s="12">
        <f t="shared" si="76"/>
        <v>6000000</v>
      </c>
      <c r="V363" s="97">
        <f t="shared" si="77"/>
        <v>2.1205479452054792E-2</v>
      </c>
      <c r="W363" s="112">
        <f t="shared" si="78"/>
        <v>353.42465753424653</v>
      </c>
      <c r="X363" s="13">
        <f t="shared" si="79"/>
        <v>112345.0658246711</v>
      </c>
      <c r="Y363" s="13">
        <f t="shared" si="80"/>
        <v>61.757990867579849</v>
      </c>
      <c r="AA363" s="11" t="s">
        <v>189</v>
      </c>
      <c r="AB363" s="98">
        <f t="shared" si="71"/>
        <v>15000000</v>
      </c>
      <c r="AC363" s="97">
        <f t="shared" si="72"/>
        <v>2.579E-2</v>
      </c>
      <c r="AD363" s="13">
        <f t="shared" si="68"/>
        <v>1074.5833333333333</v>
      </c>
      <c r="AE363" s="13">
        <f t="shared" si="69"/>
        <v>53729.166666666701</v>
      </c>
      <c r="AF363" s="13">
        <f t="shared" si="70"/>
        <v>345.41666666666663</v>
      </c>
      <c r="AH363" s="235">
        <f>'CT- € Ellipsis BNP'!X363</f>
        <v>100336670.01943001</v>
      </c>
      <c r="AI363" s="236">
        <f>'CT- € Ellipsis BNP'!AA363</f>
        <v>2.2419458246552892E-2</v>
      </c>
      <c r="AJ363" s="90">
        <f>'CT- € Ellipsis BNP'!W363</f>
        <v>6263.8344223946333</v>
      </c>
      <c r="AK363" s="91">
        <f>'CT- € Ellipsis BNP'!AC363</f>
        <v>1402.723311283522</v>
      </c>
      <c r="AM363" s="235">
        <f>'codeis €'!Z363</f>
        <v>67000230</v>
      </c>
      <c r="AN363" s="236">
        <f>'codeis €'!AF363</f>
        <v>2.0814459915079263E-2</v>
      </c>
      <c r="AO363" s="90">
        <f>'codeis €'!AC363</f>
        <v>3894</v>
      </c>
      <c r="AP363" s="91">
        <f>'codeis €'!AI363</f>
        <v>645.22996111111115</v>
      </c>
      <c r="AR363" s="106">
        <v>204276900.02000001</v>
      </c>
      <c r="AS363" s="565">
        <v>0.02</v>
      </c>
      <c r="AT363" s="565">
        <v>2.1999999999999999E-2</v>
      </c>
      <c r="AU363" s="106">
        <v>12500.66</v>
      </c>
      <c r="AV363" s="106">
        <v>2595.08</v>
      </c>
      <c r="AW363" s="19"/>
    </row>
    <row r="364" spans="2:49" x14ac:dyDescent="0.25">
      <c r="B364" s="9" t="str">
        <f t="shared" si="81"/>
        <v>12 2025</v>
      </c>
      <c r="C364" s="10">
        <f t="shared" si="66"/>
        <v>46016</v>
      </c>
      <c r="D364" s="10">
        <f t="shared" si="67"/>
        <v>46017</v>
      </c>
      <c r="E364" s="11">
        <f t="shared" si="82"/>
        <v>1</v>
      </c>
      <c r="G364" s="11" t="s">
        <v>7</v>
      </c>
      <c r="H364" s="12">
        <f t="shared" si="86"/>
        <v>3940000</v>
      </c>
      <c r="I364" s="14">
        <f t="shared" si="83"/>
        <v>1.7500000000000002E-2</v>
      </c>
      <c r="J364" s="13">
        <f t="shared" si="84"/>
        <v>191.52777777777777</v>
      </c>
      <c r="K364" s="13">
        <f t="shared" si="85"/>
        <v>416760.52777777851</v>
      </c>
      <c r="M364" s="11" t="s">
        <v>7</v>
      </c>
      <c r="N364" s="12">
        <f t="shared" si="89"/>
        <v>12000000</v>
      </c>
      <c r="O364" s="97">
        <f t="shared" si="90"/>
        <v>2.1698630136986304E-2</v>
      </c>
      <c r="P364" s="13">
        <f t="shared" si="87"/>
        <v>723.28767123287685</v>
      </c>
      <c r="Q364" s="13">
        <f t="shared" si="91"/>
        <v>135846.5753424656</v>
      </c>
      <c r="R364" s="13">
        <f t="shared" si="88"/>
        <v>139.95433789954348</v>
      </c>
      <c r="T364" s="11" t="str">
        <f t="shared" si="75"/>
        <v>SG</v>
      </c>
      <c r="U364" s="12">
        <f t="shared" si="76"/>
        <v>6000000</v>
      </c>
      <c r="V364" s="97">
        <f t="shared" si="77"/>
        <v>2.1205479452054792E-2</v>
      </c>
      <c r="W364" s="112">
        <f t="shared" si="78"/>
        <v>353.42465753424653</v>
      </c>
      <c r="X364" s="13">
        <f t="shared" si="79"/>
        <v>112698.49048220534</v>
      </c>
      <c r="Y364" s="13">
        <f t="shared" si="80"/>
        <v>61.757990867579849</v>
      </c>
      <c r="AA364" s="11" t="s">
        <v>189</v>
      </c>
      <c r="AB364" s="98">
        <f t="shared" si="71"/>
        <v>15000000</v>
      </c>
      <c r="AC364" s="97">
        <f t="shared" si="72"/>
        <v>2.579E-2</v>
      </c>
      <c r="AD364" s="13">
        <f t="shared" si="68"/>
        <v>1074.5833333333333</v>
      </c>
      <c r="AE364" s="13">
        <f t="shared" si="69"/>
        <v>54803.750000000036</v>
      </c>
      <c r="AF364" s="13">
        <f t="shared" si="70"/>
        <v>345.41666666666663</v>
      </c>
      <c r="AH364" s="235">
        <f>'CT- € Ellipsis BNP'!X364</f>
        <v>100336670.01943001</v>
      </c>
      <c r="AI364" s="236">
        <f>'CT- € Ellipsis BNP'!AA364</f>
        <v>2.2419458246552892E-2</v>
      </c>
      <c r="AJ364" s="90">
        <f>'CT- € Ellipsis BNP'!W364</f>
        <v>0</v>
      </c>
      <c r="AK364" s="91">
        <f>'CT- € Ellipsis BNP'!AC364</f>
        <v>-4861.1111111111113</v>
      </c>
      <c r="AM364" s="235">
        <f>'codeis €'!Z364</f>
        <v>67000230</v>
      </c>
      <c r="AN364" s="236">
        <f>'codeis €'!AF364</f>
        <v>2.0814459915079263E-2</v>
      </c>
      <c r="AO364" s="90">
        <f>'codeis €'!AC364</f>
        <v>0</v>
      </c>
      <c r="AP364" s="91">
        <f>'codeis €'!AI364</f>
        <v>-3248.7700388888888</v>
      </c>
      <c r="AR364" s="106">
        <v>204276900.02000001</v>
      </c>
      <c r="AS364" s="565">
        <v>0.02</v>
      </c>
      <c r="AT364" s="565">
        <v>2.1999999999999999E-2</v>
      </c>
      <c r="AU364" s="106">
        <v>2342.8200000000002</v>
      </c>
      <c r="AV364" s="106">
        <v>-7562.75</v>
      </c>
      <c r="AW364" s="19"/>
    </row>
    <row r="365" spans="2:49" x14ac:dyDescent="0.25">
      <c r="B365" s="9" t="str">
        <f t="shared" si="81"/>
        <v>12 2025</v>
      </c>
      <c r="C365" s="10">
        <f t="shared" si="66"/>
        <v>46017</v>
      </c>
      <c r="D365" s="10">
        <f t="shared" si="67"/>
        <v>46018</v>
      </c>
      <c r="E365" s="11">
        <f t="shared" si="82"/>
        <v>1</v>
      </c>
      <c r="G365" s="11" t="s">
        <v>7</v>
      </c>
      <c r="H365" s="12">
        <f t="shared" si="86"/>
        <v>3940000</v>
      </c>
      <c r="I365" s="14">
        <f t="shared" si="83"/>
        <v>1.7500000000000002E-2</v>
      </c>
      <c r="J365" s="13">
        <f t="shared" si="84"/>
        <v>191.52777777777777</v>
      </c>
      <c r="K365" s="13">
        <f t="shared" si="85"/>
        <v>416952.05555555626</v>
      </c>
      <c r="M365" s="11" t="s">
        <v>7</v>
      </c>
      <c r="N365" s="12">
        <f t="shared" si="89"/>
        <v>12000000</v>
      </c>
      <c r="O365" s="97">
        <f t="shared" si="90"/>
        <v>2.1698630136986304E-2</v>
      </c>
      <c r="P365" s="13">
        <f t="shared" si="87"/>
        <v>723.28767123287685</v>
      </c>
      <c r="Q365" s="13">
        <f t="shared" si="91"/>
        <v>136569.86301369849</v>
      </c>
      <c r="R365" s="13">
        <f t="shared" si="88"/>
        <v>139.95433789954348</v>
      </c>
      <c r="T365" s="11" t="str">
        <f t="shared" si="75"/>
        <v>SG</v>
      </c>
      <c r="U365" s="12">
        <f t="shared" si="76"/>
        <v>6000000</v>
      </c>
      <c r="V365" s="97">
        <f t="shared" si="77"/>
        <v>2.1205479452054792E-2</v>
      </c>
      <c r="W365" s="112">
        <f t="shared" si="78"/>
        <v>353.42465753424653</v>
      </c>
      <c r="X365" s="13">
        <f t="shared" si="79"/>
        <v>113051.91513973958</v>
      </c>
      <c r="Y365" s="13">
        <f t="shared" si="80"/>
        <v>61.757990867579849</v>
      </c>
      <c r="AA365" s="11" t="s">
        <v>189</v>
      </c>
      <c r="AB365" s="98">
        <f t="shared" si="71"/>
        <v>15000000</v>
      </c>
      <c r="AC365" s="97">
        <f t="shared" si="72"/>
        <v>2.579E-2</v>
      </c>
      <c r="AD365" s="13">
        <f t="shared" si="68"/>
        <v>1074.5833333333333</v>
      </c>
      <c r="AE365" s="13">
        <f t="shared" si="69"/>
        <v>55878.333333333372</v>
      </c>
      <c r="AF365" s="13">
        <f t="shared" si="70"/>
        <v>345.41666666666663</v>
      </c>
      <c r="AH365" s="235">
        <f>'CT- € Ellipsis BNP'!X365</f>
        <v>100336670.01943001</v>
      </c>
      <c r="AI365" s="236">
        <f>'CT- € Ellipsis BNP'!AA365</f>
        <v>2.2419458246552892E-2</v>
      </c>
      <c r="AJ365" s="90">
        <f>'CT- € Ellipsis BNP'!W365</f>
        <v>0</v>
      </c>
      <c r="AK365" s="91">
        <f>'CT- € Ellipsis BNP'!AC365</f>
        <v>-4861.1111111111113</v>
      </c>
      <c r="AM365" s="235">
        <f>'codeis €'!Z365</f>
        <v>67000230</v>
      </c>
      <c r="AN365" s="236">
        <f>'codeis €'!AF365</f>
        <v>2.0814459915079263E-2</v>
      </c>
      <c r="AO365" s="90">
        <f>'codeis €'!AC365</f>
        <v>0</v>
      </c>
      <c r="AP365" s="91">
        <f>'codeis €'!AI365</f>
        <v>-3248.7700388888888</v>
      </c>
      <c r="AR365" s="106">
        <v>204276900.02000001</v>
      </c>
      <c r="AS365" s="565">
        <v>0.02</v>
      </c>
      <c r="AT365" s="565">
        <v>2.1999999999999999E-2</v>
      </c>
      <c r="AU365" s="106">
        <v>2342.8200000000002</v>
      </c>
      <c r="AV365" s="106">
        <v>-7562.75</v>
      </c>
      <c r="AW365" s="19"/>
    </row>
    <row r="366" spans="2:49" x14ac:dyDescent="0.25">
      <c r="B366" s="9" t="str">
        <f t="shared" si="81"/>
        <v>12 2025</v>
      </c>
      <c r="C366" s="10">
        <f t="shared" si="66"/>
        <v>46018</v>
      </c>
      <c r="D366" s="10">
        <f t="shared" si="67"/>
        <v>46019</v>
      </c>
      <c r="E366" s="11">
        <f t="shared" si="82"/>
        <v>1</v>
      </c>
      <c r="G366" s="11" t="s">
        <v>7</v>
      </c>
      <c r="H366" s="12">
        <f t="shared" si="86"/>
        <v>3940000</v>
      </c>
      <c r="I366" s="14">
        <f t="shared" si="83"/>
        <v>1.7500000000000002E-2</v>
      </c>
      <c r="J366" s="13">
        <f t="shared" si="84"/>
        <v>191.52777777777777</v>
      </c>
      <c r="K366" s="13">
        <f t="shared" si="85"/>
        <v>417143.58333333401</v>
      </c>
      <c r="M366" s="11" t="s">
        <v>7</v>
      </c>
      <c r="N366" s="12">
        <f t="shared" si="89"/>
        <v>12000000</v>
      </c>
      <c r="O366" s="97">
        <f t="shared" si="90"/>
        <v>2.1698630136986304E-2</v>
      </c>
      <c r="P366" s="13">
        <f t="shared" si="87"/>
        <v>723.28767123287685</v>
      </c>
      <c r="Q366" s="13">
        <f t="shared" si="91"/>
        <v>137293.15068493137</v>
      </c>
      <c r="R366" s="13">
        <f t="shared" si="88"/>
        <v>139.95433789954348</v>
      </c>
      <c r="T366" s="11" t="str">
        <f t="shared" si="75"/>
        <v>SG</v>
      </c>
      <c r="U366" s="12">
        <f t="shared" si="76"/>
        <v>6000000</v>
      </c>
      <c r="V366" s="97">
        <f t="shared" si="77"/>
        <v>2.1205479452054792E-2</v>
      </c>
      <c r="W366" s="112">
        <f t="shared" si="78"/>
        <v>353.42465753424653</v>
      </c>
      <c r="X366" s="13">
        <f t="shared" si="79"/>
        <v>113405.33979727382</v>
      </c>
      <c r="Y366" s="13">
        <f t="shared" si="80"/>
        <v>61.757990867579849</v>
      </c>
      <c r="AA366" s="11" t="s">
        <v>189</v>
      </c>
      <c r="AB366" s="98">
        <f t="shared" si="71"/>
        <v>15000000</v>
      </c>
      <c r="AC366" s="97">
        <f t="shared" si="72"/>
        <v>2.579E-2</v>
      </c>
      <c r="AD366" s="13">
        <f t="shared" si="68"/>
        <v>1074.5833333333333</v>
      </c>
      <c r="AE366" s="13">
        <f t="shared" si="69"/>
        <v>56952.916666666708</v>
      </c>
      <c r="AF366" s="13">
        <f t="shared" si="70"/>
        <v>345.41666666666663</v>
      </c>
      <c r="AH366" s="235">
        <f>'CT- € Ellipsis BNP'!X366</f>
        <v>100336670.01943001</v>
      </c>
      <c r="AI366" s="236">
        <f>'CT- € Ellipsis BNP'!AA366</f>
        <v>2.2419458246552892E-2</v>
      </c>
      <c r="AJ366" s="90">
        <f>'CT- € Ellipsis BNP'!W366</f>
        <v>0</v>
      </c>
      <c r="AK366" s="91">
        <f>'CT- € Ellipsis BNP'!AC366</f>
        <v>-4861.1111111111113</v>
      </c>
      <c r="AM366" s="235">
        <f>'codeis €'!Z366</f>
        <v>67000230</v>
      </c>
      <c r="AN366" s="236">
        <f>'codeis €'!AF366</f>
        <v>2.0814459915079263E-2</v>
      </c>
      <c r="AO366" s="90">
        <f>'codeis €'!AC366</f>
        <v>0</v>
      </c>
      <c r="AP366" s="91">
        <f>'codeis €'!AI366</f>
        <v>-3248.7700388888888</v>
      </c>
      <c r="AR366" s="106">
        <v>204276900.02000001</v>
      </c>
      <c r="AS366" s="565">
        <v>0.02</v>
      </c>
      <c r="AT366" s="565">
        <v>2.1999999999999999E-2</v>
      </c>
      <c r="AU366" s="106">
        <v>2342.8200000000002</v>
      </c>
      <c r="AV366" s="106">
        <v>-7562.75</v>
      </c>
      <c r="AW366" s="19"/>
    </row>
    <row r="367" spans="2:49" x14ac:dyDescent="0.25">
      <c r="B367" s="9" t="str">
        <f t="shared" si="81"/>
        <v>12 2025</v>
      </c>
      <c r="C367" s="10">
        <f t="shared" si="66"/>
        <v>46019</v>
      </c>
      <c r="D367" s="10">
        <f t="shared" si="67"/>
        <v>46020</v>
      </c>
      <c r="E367" s="11">
        <f t="shared" si="82"/>
        <v>1</v>
      </c>
      <c r="G367" s="11" t="s">
        <v>7</v>
      </c>
      <c r="H367" s="12">
        <f t="shared" si="86"/>
        <v>3940000</v>
      </c>
      <c r="I367" s="14">
        <f t="shared" si="83"/>
        <v>1.7500000000000002E-2</v>
      </c>
      <c r="J367" s="13">
        <f t="shared" si="84"/>
        <v>191.52777777777777</v>
      </c>
      <c r="K367" s="13">
        <f t="shared" si="85"/>
        <v>417335.11111111176</v>
      </c>
      <c r="M367" s="11" t="s">
        <v>7</v>
      </c>
      <c r="N367" s="12">
        <f t="shared" si="89"/>
        <v>12000000</v>
      </c>
      <c r="O367" s="97">
        <f t="shared" si="90"/>
        <v>2.1698630136986304E-2</v>
      </c>
      <c r="P367" s="13">
        <f t="shared" si="87"/>
        <v>723.28767123287685</v>
      </c>
      <c r="Q367" s="13">
        <f t="shared" si="91"/>
        <v>138016.43835616426</v>
      </c>
      <c r="R367" s="13">
        <f t="shared" si="88"/>
        <v>139.95433789954348</v>
      </c>
      <c r="T367" s="11" t="str">
        <f t="shared" si="75"/>
        <v>SG</v>
      </c>
      <c r="U367" s="12">
        <f t="shared" si="76"/>
        <v>6000000</v>
      </c>
      <c r="V367" s="97">
        <f t="shared" si="77"/>
        <v>2.1205479452054792E-2</v>
      </c>
      <c r="W367" s="112">
        <f t="shared" si="78"/>
        <v>353.42465753424653</v>
      </c>
      <c r="X367" s="13">
        <f t="shared" si="79"/>
        <v>113758.76445480806</v>
      </c>
      <c r="Y367" s="13">
        <f t="shared" si="80"/>
        <v>61.757990867579849</v>
      </c>
      <c r="AA367" s="11" t="s">
        <v>189</v>
      </c>
      <c r="AB367" s="98">
        <f t="shared" si="71"/>
        <v>15000000</v>
      </c>
      <c r="AC367" s="97">
        <f t="shared" si="72"/>
        <v>2.579E-2</v>
      </c>
      <c r="AD367" s="13">
        <f t="shared" si="68"/>
        <v>1074.5833333333333</v>
      </c>
      <c r="AE367" s="13">
        <f t="shared" si="69"/>
        <v>58027.500000000044</v>
      </c>
      <c r="AF367" s="13">
        <f t="shared" si="70"/>
        <v>345.41666666666663</v>
      </c>
      <c r="AH367" s="235">
        <f>'CT- € Ellipsis BNP'!X367</f>
        <v>100336670.01943001</v>
      </c>
      <c r="AI367" s="236">
        <f>'CT- € Ellipsis BNP'!AA367</f>
        <v>2.2419458246552892E-2</v>
      </c>
      <c r="AJ367" s="90">
        <f>'CT- € Ellipsis BNP'!W367</f>
        <v>0</v>
      </c>
      <c r="AK367" s="91">
        <f>'CT- € Ellipsis BNP'!AC367</f>
        <v>-4861.1111111111113</v>
      </c>
      <c r="AM367" s="235">
        <f>'codeis €'!Z367</f>
        <v>67000230</v>
      </c>
      <c r="AN367" s="236">
        <f>'codeis €'!AF367</f>
        <v>2.0814459915079263E-2</v>
      </c>
      <c r="AO367" s="90">
        <f>'codeis €'!AC367</f>
        <v>0</v>
      </c>
      <c r="AP367" s="91">
        <f>'codeis €'!AI367</f>
        <v>-3248.7700388888888</v>
      </c>
      <c r="AR367" s="106">
        <v>204276900.02000001</v>
      </c>
      <c r="AS367" s="565">
        <v>0.02</v>
      </c>
      <c r="AT367" s="565">
        <v>2.1999999999999999E-2</v>
      </c>
      <c r="AU367" s="106">
        <v>2342.8200000000002</v>
      </c>
      <c r="AV367" s="106">
        <v>-7562.75</v>
      </c>
      <c r="AW367" s="19"/>
    </row>
    <row r="368" spans="2:49" x14ac:dyDescent="0.25">
      <c r="B368" s="9" t="str">
        <f t="shared" si="81"/>
        <v>12 2025</v>
      </c>
      <c r="C368" s="10">
        <f t="shared" si="66"/>
        <v>46020</v>
      </c>
      <c r="D368" s="10">
        <f t="shared" si="67"/>
        <v>46021</v>
      </c>
      <c r="E368" s="11">
        <f t="shared" si="82"/>
        <v>1</v>
      </c>
      <c r="G368" s="11" t="s">
        <v>7</v>
      </c>
      <c r="H368" s="12">
        <f t="shared" si="86"/>
        <v>3940000</v>
      </c>
      <c r="I368" s="14">
        <f t="shared" si="83"/>
        <v>1.7500000000000002E-2</v>
      </c>
      <c r="J368" s="13">
        <f t="shared" si="84"/>
        <v>191.52777777777777</v>
      </c>
      <c r="K368" s="13">
        <f t="shared" si="85"/>
        <v>417526.63888888952</v>
      </c>
      <c r="M368" s="11" t="s">
        <v>7</v>
      </c>
      <c r="N368" s="12">
        <f t="shared" si="89"/>
        <v>12000000</v>
      </c>
      <c r="O368" s="97">
        <f t="shared" si="90"/>
        <v>2.1698630136986304E-2</v>
      </c>
      <c r="P368" s="13">
        <f t="shared" si="87"/>
        <v>723.28767123287685</v>
      </c>
      <c r="Q368" s="13">
        <f t="shared" si="91"/>
        <v>138739.72602739715</v>
      </c>
      <c r="R368" s="13">
        <f t="shared" si="88"/>
        <v>139.95433789954348</v>
      </c>
      <c r="T368" s="11" t="str">
        <f t="shared" si="75"/>
        <v>SG</v>
      </c>
      <c r="U368" s="12">
        <f t="shared" si="76"/>
        <v>6000000</v>
      </c>
      <c r="V368" s="97">
        <f t="shared" si="77"/>
        <v>2.1205479452054792E-2</v>
      </c>
      <c r="W368" s="112">
        <f t="shared" si="78"/>
        <v>353.42465753424653</v>
      </c>
      <c r="X368" s="13">
        <f t="shared" si="79"/>
        <v>114112.1891123423</v>
      </c>
      <c r="Y368" s="13">
        <f t="shared" si="80"/>
        <v>61.757990867579849</v>
      </c>
      <c r="AA368" s="11" t="s">
        <v>189</v>
      </c>
      <c r="AB368" s="98">
        <f t="shared" si="71"/>
        <v>15000000</v>
      </c>
      <c r="AC368" s="97">
        <f t="shared" si="72"/>
        <v>2.579E-2</v>
      </c>
      <c r="AD368" s="13">
        <f t="shared" si="68"/>
        <v>1074.5833333333333</v>
      </c>
      <c r="AE368" s="13">
        <f t="shared" si="69"/>
        <v>59102.083333333379</v>
      </c>
      <c r="AF368" s="13">
        <f t="shared" si="70"/>
        <v>345.41666666666663</v>
      </c>
      <c r="AH368" s="235">
        <f>'CT- € Ellipsis BNP'!X368</f>
        <v>100367890.64743285</v>
      </c>
      <c r="AI368" s="236">
        <f>'CT- € Ellipsis BNP'!AA368</f>
        <v>2.2419458246552892E-2</v>
      </c>
      <c r="AJ368" s="90">
        <f>'CT- € Ellipsis BNP'!W368</f>
        <v>31220.6280028373</v>
      </c>
      <c r="AK368" s="91">
        <f>'CT- € Ellipsis BNP'!AC368</f>
        <v>26359.516891726191</v>
      </c>
      <c r="AM368" s="235">
        <f>'codeis €'!Z368</f>
        <v>67019502</v>
      </c>
      <c r="AN368" s="236">
        <f>'codeis €'!AF368</f>
        <v>2.0814459915079263E-2</v>
      </c>
      <c r="AO368" s="90">
        <f>'codeis €'!AC368</f>
        <v>19272</v>
      </c>
      <c r="AP368" s="91">
        <f>'codeis €'!AI368</f>
        <v>16023.229961111112</v>
      </c>
      <c r="AR368" s="106">
        <v>204327392.65000001</v>
      </c>
      <c r="AS368" s="565">
        <v>0.02</v>
      </c>
      <c r="AT368" s="565">
        <v>2.1999999999999999E-2</v>
      </c>
      <c r="AU368" s="106">
        <v>52835.45</v>
      </c>
      <c r="AV368" s="106">
        <v>42929.88</v>
      </c>
      <c r="AW368" s="19"/>
    </row>
    <row r="369" spans="2:49" x14ac:dyDescent="0.25">
      <c r="B369" s="9" t="str">
        <f t="shared" si="81"/>
        <v>12 2025</v>
      </c>
      <c r="C369" s="142">
        <f t="shared" si="66"/>
        <v>46021</v>
      </c>
      <c r="D369" s="142">
        <f t="shared" si="67"/>
        <v>46022</v>
      </c>
      <c r="E369" s="143">
        <f t="shared" si="82"/>
        <v>1</v>
      </c>
      <c r="F369" s="17"/>
      <c r="G369" s="143" t="s">
        <v>7</v>
      </c>
      <c r="H369" s="144">
        <f t="shared" si="86"/>
        <v>3940000</v>
      </c>
      <c r="I369" s="145">
        <f t="shared" si="83"/>
        <v>1.7500000000000002E-2</v>
      </c>
      <c r="J369" s="146">
        <f t="shared" si="84"/>
        <v>191.52777777777777</v>
      </c>
      <c r="K369" s="146">
        <f t="shared" si="85"/>
        <v>417718.16666666727</v>
      </c>
      <c r="L369" s="17"/>
      <c r="M369" s="143" t="s">
        <v>7</v>
      </c>
      <c r="N369" s="144">
        <f t="shared" si="89"/>
        <v>12000000</v>
      </c>
      <c r="O369" s="145">
        <f t="shared" si="90"/>
        <v>2.1698630136986304E-2</v>
      </c>
      <c r="P369" s="146">
        <f t="shared" si="87"/>
        <v>723.28767123287685</v>
      </c>
      <c r="Q369" s="146">
        <f t="shared" si="91"/>
        <v>139463.01369863003</v>
      </c>
      <c r="R369" s="146">
        <f t="shared" si="88"/>
        <v>139.95433789954348</v>
      </c>
      <c r="S369" s="17"/>
      <c r="T369" s="310" t="str">
        <f t="shared" si="75"/>
        <v>SG</v>
      </c>
      <c r="U369" s="311">
        <f t="shared" si="76"/>
        <v>6000000</v>
      </c>
      <c r="V369" s="312">
        <f t="shared" si="77"/>
        <v>2.1205479452054792E-2</v>
      </c>
      <c r="W369" s="321">
        <f t="shared" si="78"/>
        <v>353.42465753424653</v>
      </c>
      <c r="X369" s="313">
        <f t="shared" si="79"/>
        <v>114465.61376987654</v>
      </c>
      <c r="Y369" s="313">
        <f t="shared" si="80"/>
        <v>61.757990867579849</v>
      </c>
      <c r="Z369" s="17"/>
      <c r="AA369" s="143" t="s">
        <v>189</v>
      </c>
      <c r="AB369" s="144">
        <f t="shared" si="71"/>
        <v>15000000</v>
      </c>
      <c r="AC369" s="145">
        <f t="shared" si="72"/>
        <v>2.579E-2</v>
      </c>
      <c r="AD369" s="146">
        <f t="shared" si="68"/>
        <v>1074.5833333333333</v>
      </c>
      <c r="AE369" s="146">
        <f t="shared" si="69"/>
        <v>60176.666666666715</v>
      </c>
      <c r="AF369" s="146">
        <f t="shared" si="70"/>
        <v>345.41666666666663</v>
      </c>
      <c r="AG369" s="141"/>
      <c r="AH369" s="235">
        <f>'CT- € Ellipsis BNP'!X369</f>
        <v>100367890.64743285</v>
      </c>
      <c r="AI369" s="236">
        <f>'CT- € Ellipsis BNP'!AA369</f>
        <v>2.2419458246552892E-2</v>
      </c>
      <c r="AJ369" s="90">
        <f>'CT- € Ellipsis BNP'!W369</f>
        <v>0</v>
      </c>
      <c r="AK369" s="91">
        <f>'CT- € Ellipsis BNP'!AC369</f>
        <v>-4861.1111111111113</v>
      </c>
      <c r="AM369" s="235">
        <f>'codeis €'!Z369</f>
        <v>67023396</v>
      </c>
      <c r="AN369" s="236">
        <f>'codeis €'!AF369</f>
        <v>2.0814459915079263E-2</v>
      </c>
      <c r="AO369" s="90">
        <f>'codeis €'!AC369</f>
        <v>3894</v>
      </c>
      <c r="AP369" s="91">
        <f>'codeis €'!AI369</f>
        <v>645.22996111111115</v>
      </c>
      <c r="AR369" s="106">
        <v>204331286.65000001</v>
      </c>
      <c r="AS369" s="565">
        <v>0.02</v>
      </c>
      <c r="AT369" s="565">
        <v>2.1999999999999999E-2</v>
      </c>
      <c r="AU369" s="106">
        <v>6236.82</v>
      </c>
      <c r="AV369" s="106">
        <v>-3668.75</v>
      </c>
      <c r="AW369" s="19"/>
    </row>
    <row r="370" spans="2:49" x14ac:dyDescent="0.25">
      <c r="C370" s="18" t="s">
        <v>73</v>
      </c>
      <c r="I370" s="33">
        <f>AVERAGE(I5:I369)</f>
        <v>2.0116438356164411E-2</v>
      </c>
      <c r="K370" s="15">
        <f>K369</f>
        <v>417718.16666666727</v>
      </c>
      <c r="O370" s="33">
        <f>AVERAGE(O5:O369)</f>
        <v>2.2988408851422584E-2</v>
      </c>
      <c r="Q370" s="15">
        <f>Q37</f>
        <v>31463.013698630148</v>
      </c>
      <c r="R370" s="15">
        <f>SUM(R5:R369)</f>
        <v>21963.013698630199</v>
      </c>
      <c r="V370" s="33">
        <f>AVERAGE(V5:V369)</f>
        <v>2.1205479452054796E-2</v>
      </c>
      <c r="X370" s="15">
        <f>X37</f>
        <v>0</v>
      </c>
      <c r="Y370" s="15">
        <f>SUM(Y5:Y369)</f>
        <v>20001.904731751674</v>
      </c>
      <c r="AC370" s="33">
        <f>AVERAGE(AC5:AC369)</f>
        <v>2.5789999999999983E-2</v>
      </c>
      <c r="AE370" s="15">
        <f>AE79</f>
        <v>0</v>
      </c>
      <c r="AF370" s="15">
        <f>SUM(AF5:AF369)</f>
        <v>19343.333333333332</v>
      </c>
      <c r="AK370" s="15">
        <f>SUM(AK5:AK369)</f>
        <v>76223.980766182212</v>
      </c>
      <c r="AP370" s="15"/>
      <c r="AS370" s="33">
        <v>2.2599999999999999E-2</v>
      </c>
      <c r="AT370" s="33">
        <v>2.3699999999999999E-2</v>
      </c>
      <c r="AU370" s="15">
        <v>3081422.4</v>
      </c>
      <c r="AV370" s="15">
        <v>473513.36</v>
      </c>
      <c r="AW370" s="99"/>
    </row>
    <row r="373" spans="2:49" x14ac:dyDescent="0.25">
      <c r="B373" s="9" t="str">
        <f>CONCATENATE(MONTH(D373)," ",YEAR(D373))</f>
        <v>1 2026</v>
      </c>
      <c r="C373" s="88">
        <f>D369</f>
        <v>46022</v>
      </c>
      <c r="D373" s="88">
        <f>D369+1</f>
        <v>46023</v>
      </c>
      <c r="E373" s="89">
        <f>D373-C373</f>
        <v>1</v>
      </c>
      <c r="G373" s="11" t="s">
        <v>7</v>
      </c>
      <c r="H373" s="12">
        <f>H369</f>
        <v>3940000</v>
      </c>
      <c r="I373" s="14">
        <f>I369</f>
        <v>1.7500000000000002E-2</v>
      </c>
      <c r="J373" s="13">
        <f>+H373*I373*E373/360</f>
        <v>191.52777777777777</v>
      </c>
      <c r="K373" s="13">
        <f>J373</f>
        <v>191.52777777777777</v>
      </c>
      <c r="M373" s="11" t="s">
        <v>7</v>
      </c>
      <c r="N373" s="12">
        <f>N369</f>
        <v>12000000</v>
      </c>
      <c r="O373" s="97">
        <f>2.2%*360/365</f>
        <v>2.1698630136986304E-2</v>
      </c>
      <c r="P373" s="183">
        <f t="shared" ref="P373:P403" si="92">+N373*O373*$E373/360</f>
        <v>723.28767123287685</v>
      </c>
      <c r="Q373" s="13">
        <f>P373</f>
        <v>723.28767123287685</v>
      </c>
      <c r="R373" s="13">
        <f t="shared" ref="R373:R403" si="93">P373-(+N373*I373*$E373/360)</f>
        <v>139.95433789954348</v>
      </c>
      <c r="T373" s="11" t="str">
        <f>T369</f>
        <v>SG</v>
      </c>
      <c r="U373" s="12">
        <f>U369</f>
        <v>6000000</v>
      </c>
      <c r="V373" s="97">
        <f>V369</f>
        <v>2.1205479452054792E-2</v>
      </c>
      <c r="W373" s="112">
        <f>V373*U373*E373/360</f>
        <v>353.42465753424653</v>
      </c>
      <c r="X373" s="13">
        <f>W373</f>
        <v>353.42465753424653</v>
      </c>
      <c r="Y373" s="13">
        <f>W373-(+U373*$I373*$E373/360)</f>
        <v>61.757990867579849</v>
      </c>
      <c r="AA373" s="11" t="s">
        <v>189</v>
      </c>
      <c r="AB373" s="98">
        <f>AB369</f>
        <v>15000000</v>
      </c>
      <c r="AC373" s="97">
        <f>AC369</f>
        <v>2.579E-2</v>
      </c>
      <c r="AD373" s="13">
        <f>+AB373*AC373*$E373/360</f>
        <v>1074.5833333333333</v>
      </c>
      <c r="AE373" s="13">
        <f>AD373</f>
        <v>1074.5833333333333</v>
      </c>
      <c r="AF373" s="13">
        <f>AD373-((+AB373*$I373*$E373/360))</f>
        <v>345.41666666666663</v>
      </c>
      <c r="AH373" s="235">
        <f>'CT- € Ellipsis BNP'!X373</f>
        <v>100380418.31627759</v>
      </c>
      <c r="AI373" s="236">
        <f>'CT- € Ellipsis BNP'!AA373</f>
        <v>2.2419458246552892E-2</v>
      </c>
      <c r="AJ373" s="90">
        <f>'CT- € Ellipsis BNP'!W373</f>
        <v>12527.668844744563</v>
      </c>
      <c r="AK373" s="91">
        <f>'CT- € Ellipsis BNP'!AC373</f>
        <v>12527.668844744563</v>
      </c>
      <c r="AM373" s="235">
        <f>'codeis €'!Z373</f>
        <v>67027290</v>
      </c>
      <c r="AN373" s="236">
        <f>'codeis €'!AF373</f>
        <v>2.0814459915079263E-2</v>
      </c>
      <c r="AO373" s="90">
        <f>'codeis €'!AC373</f>
        <v>3894</v>
      </c>
      <c r="AP373" s="91">
        <f>'codeis €'!AI373</f>
        <v>3894</v>
      </c>
      <c r="AR373" s="12">
        <f>+N373+H373++AH373+AM373+AB373+U373</f>
        <v>204347708.31627759</v>
      </c>
      <c r="AS373" s="118">
        <f>AS369</f>
        <v>0.02</v>
      </c>
      <c r="AT373" s="118">
        <f>SUM((I373*H373),(O373*N373),(U373*V373),(AB373*AC373),(AH373*AI373),(AM373*AN373))/AR373</f>
        <v>2.1967595885846673E-2</v>
      </c>
      <c r="AU373" s="12">
        <f>+P373++J373+W373+AD373+AJ373+AO373</f>
        <v>18764.492284622796</v>
      </c>
      <c r="AV373" s="12">
        <f>+R373+Y373+AF373+AK373+AP373</f>
        <v>16968.797840178355</v>
      </c>
      <c r="AW373" s="19"/>
    </row>
    <row r="374" spans="2:49" x14ac:dyDescent="0.25">
      <c r="B374" s="9" t="str">
        <f t="shared" ref="B374:B403" si="94">CONCATENATE(MONTH(D374)," ",YEAR(D374))</f>
        <v>1 2026</v>
      </c>
      <c r="C374" s="88">
        <f>D373</f>
        <v>46023</v>
      </c>
      <c r="D374" s="88">
        <f>C374+1</f>
        <v>46024</v>
      </c>
      <c r="E374" s="89">
        <f t="shared" ref="E374:E403" si="95">D374-C374</f>
        <v>1</v>
      </c>
      <c r="G374" s="11" t="s">
        <v>7</v>
      </c>
      <c r="H374" s="12">
        <f>H373</f>
        <v>3940000</v>
      </c>
      <c r="I374" s="14">
        <f>I373</f>
        <v>1.7500000000000002E-2</v>
      </c>
      <c r="J374" s="13">
        <f>+H374*I374*E374/360</f>
        <v>191.52777777777777</v>
      </c>
      <c r="K374" s="13">
        <f>J374+K373</f>
        <v>383.05555555555554</v>
      </c>
      <c r="M374" s="11" t="s">
        <v>7</v>
      </c>
      <c r="N374" s="12">
        <f>N373</f>
        <v>12000000</v>
      </c>
      <c r="O374" s="97">
        <f>O373</f>
        <v>2.1698630136986304E-2</v>
      </c>
      <c r="P374" s="183">
        <f t="shared" si="92"/>
        <v>723.28767123287685</v>
      </c>
      <c r="Q374" s="13">
        <f>Q373+P374</f>
        <v>1446.5753424657537</v>
      </c>
      <c r="R374" s="13">
        <f t="shared" si="93"/>
        <v>139.95433789954348</v>
      </c>
      <c r="T374" s="11" t="str">
        <f>T373</f>
        <v>SG</v>
      </c>
      <c r="U374" s="12">
        <f>U373</f>
        <v>6000000</v>
      </c>
      <c r="V374" s="97">
        <f>V373</f>
        <v>2.1205479452054792E-2</v>
      </c>
      <c r="W374" s="112">
        <f>V374*U374*E374/360</f>
        <v>353.42465753424653</v>
      </c>
      <c r="X374" s="13">
        <f>X373+W374</f>
        <v>706.84931506849307</v>
      </c>
      <c r="Y374" s="13">
        <f>W374-(+U374*$I374*$E374/360)</f>
        <v>61.757990867579849</v>
      </c>
      <c r="AA374" s="11" t="s">
        <v>189</v>
      </c>
      <c r="AB374" s="98">
        <f>AB373</f>
        <v>15000000</v>
      </c>
      <c r="AC374" s="97">
        <f>AC373</f>
        <v>2.579E-2</v>
      </c>
      <c r="AD374" s="13">
        <f t="shared" ref="AD374:AD403" si="96">+AB374*AC374*$E374/360</f>
        <v>1074.5833333333333</v>
      </c>
      <c r="AE374" s="13">
        <f>AE373+AD374</f>
        <v>2149.1666666666665</v>
      </c>
      <c r="AF374" s="13">
        <f t="shared" ref="AF374:AF403" si="97">AD374-((+AB374*$I374*$E374/360))</f>
        <v>345.41666666666663</v>
      </c>
      <c r="AH374" s="235">
        <f>'CT- € Ellipsis BNP'!X374</f>
        <v>100380418.31627759</v>
      </c>
      <c r="AI374" s="236">
        <f>'CT- € Ellipsis BNP'!AA374</f>
        <v>2.2419458246552892E-2</v>
      </c>
      <c r="AJ374" s="90">
        <f>'CT- € Ellipsis BNP'!W374</f>
        <v>0</v>
      </c>
      <c r="AK374" s="91">
        <f>'CT- € Ellipsis BNP'!AC374</f>
        <v>-4861.1111111111113</v>
      </c>
      <c r="AM374" s="235">
        <f>'codeis €'!Z374</f>
        <v>67027290</v>
      </c>
      <c r="AN374" s="236">
        <f>'codeis €'!AF374</f>
        <v>2.0819937670163213E-2</v>
      </c>
      <c r="AO374" s="90">
        <f>'codeis €'!AC374</f>
        <v>0</v>
      </c>
      <c r="AP374" s="91">
        <f>'codeis €'!AI374</f>
        <v>-3248.7700388888888</v>
      </c>
      <c r="AR374" s="12">
        <f t="shared" ref="AR374:AR404" si="98">+N374+H374++AH374+AM374+AB374+U374</f>
        <v>204347708.31627759</v>
      </c>
      <c r="AS374" s="118">
        <f>AS373</f>
        <v>0.02</v>
      </c>
      <c r="AT374" s="118">
        <f t="shared" ref="AT374:AT404" si="99">SUM((I374*H374),(O374*N374),(U374*V374),(AB374*AC374),(AH374*AI374),(AM374*AN374))/AR374</f>
        <v>2.1969392622798543E-2</v>
      </c>
      <c r="AU374" s="12">
        <f t="shared" ref="AU374:AU404" si="100">+P374++J374+W374+AD374+AJ374+AO374</f>
        <v>2342.8234398782342</v>
      </c>
      <c r="AV374" s="12">
        <f t="shared" ref="AV374:AV404" si="101">+R374+Y374+AF374+AK374+AP374</f>
        <v>-7562.7521545662103</v>
      </c>
      <c r="AW374" s="19"/>
    </row>
    <row r="375" spans="2:49" x14ac:dyDescent="0.25">
      <c r="B375" s="9" t="str">
        <f t="shared" si="94"/>
        <v>1 2026</v>
      </c>
      <c r="C375" s="88">
        <f>D374</f>
        <v>46024</v>
      </c>
      <c r="D375" s="88">
        <f>D374+1</f>
        <v>46025</v>
      </c>
      <c r="E375" s="89">
        <f t="shared" si="95"/>
        <v>1</v>
      </c>
      <c r="G375" s="11" t="s">
        <v>7</v>
      </c>
      <c r="H375" s="12">
        <f t="shared" ref="H375:H438" si="102">H374</f>
        <v>3940000</v>
      </c>
      <c r="I375" s="14">
        <f>I374</f>
        <v>1.7500000000000002E-2</v>
      </c>
      <c r="J375" s="13">
        <f>+H375*I375*E375/360</f>
        <v>191.52777777777777</v>
      </c>
      <c r="K375" s="13">
        <f>K374+J375</f>
        <v>574.58333333333326</v>
      </c>
      <c r="M375" s="11" t="s">
        <v>7</v>
      </c>
      <c r="N375" s="12">
        <f>N374</f>
        <v>12000000</v>
      </c>
      <c r="O375" s="97">
        <f t="shared" ref="O375:O438" si="103">O374</f>
        <v>2.1698630136986304E-2</v>
      </c>
      <c r="P375" s="112">
        <f t="shared" si="92"/>
        <v>723.28767123287685</v>
      </c>
      <c r="Q375" s="13">
        <f>Q374+P375</f>
        <v>2169.8630136986303</v>
      </c>
      <c r="R375" s="13">
        <f t="shared" si="93"/>
        <v>139.95433789954348</v>
      </c>
      <c r="T375" s="11" t="str">
        <f t="shared" ref="T375:T438" si="104">T374</f>
        <v>SG</v>
      </c>
      <c r="U375" s="12">
        <f t="shared" ref="U375:U438" si="105">U374</f>
        <v>6000000</v>
      </c>
      <c r="V375" s="97">
        <f t="shared" ref="V375:V438" si="106">V374</f>
        <v>2.1205479452054792E-2</v>
      </c>
      <c r="W375" s="112">
        <f t="shared" ref="W375:W403" si="107">V375*U375*E375/360</f>
        <v>353.42465753424653</v>
      </c>
      <c r="X375" s="13">
        <f t="shared" ref="X375:X438" si="108">X374+W375</f>
        <v>1060.2739726027396</v>
      </c>
      <c r="Y375" s="13">
        <f t="shared" ref="Y375:Y403" si="109">W375-(+U375*$I375*$E375/360)</f>
        <v>61.757990867579849</v>
      </c>
      <c r="AA375" s="11" t="s">
        <v>189</v>
      </c>
      <c r="AB375" s="98">
        <f t="shared" ref="AB375:AB438" si="110">AB374</f>
        <v>15000000</v>
      </c>
      <c r="AC375" s="97">
        <f t="shared" ref="AC375:AC438" si="111">AC374</f>
        <v>2.579E-2</v>
      </c>
      <c r="AD375" s="13">
        <f t="shared" si="96"/>
        <v>1074.5833333333333</v>
      </c>
      <c r="AE375" s="13">
        <f t="shared" ref="AE375:AE403" si="112">AE374+AD375</f>
        <v>3223.75</v>
      </c>
      <c r="AF375" s="13">
        <f t="shared" si="97"/>
        <v>345.41666666666663</v>
      </c>
      <c r="AH375" s="235">
        <f>'CT- € Ellipsis BNP'!X375</f>
        <v>100392847.44101334</v>
      </c>
      <c r="AI375" s="236">
        <f>'CT- € Ellipsis BNP'!AA375</f>
        <v>2.2419458246552892E-2</v>
      </c>
      <c r="AJ375" s="90">
        <f>'CT- € Ellipsis BNP'!W375</f>
        <v>12429.124735742807</v>
      </c>
      <c r="AK375" s="91">
        <f>'CT- € Ellipsis BNP'!AC375</f>
        <v>7568.0136246316961</v>
      </c>
      <c r="AM375" s="235">
        <f>'codeis €'!Z375</f>
        <v>67035012</v>
      </c>
      <c r="AN375" s="236">
        <f>'codeis €'!AF375</f>
        <v>2.0819937670163213E-2</v>
      </c>
      <c r="AO375" s="90">
        <f>'codeis €'!AC375</f>
        <v>7722</v>
      </c>
      <c r="AP375" s="91">
        <f>'codeis €'!AI375</f>
        <v>4473.2299611111112</v>
      </c>
      <c r="AR375" s="12">
        <f t="shared" si="98"/>
        <v>204367859.44101334</v>
      </c>
      <c r="AS375" s="118">
        <f t="shared" ref="AS375:AS404" si="113">AS374</f>
        <v>0.02</v>
      </c>
      <c r="AT375" s="118">
        <f t="shared" si="99"/>
        <v>2.196937656269312E-2</v>
      </c>
      <c r="AU375" s="12">
        <f t="shared" si="100"/>
        <v>22493.948175621041</v>
      </c>
      <c r="AV375" s="12">
        <f t="shared" si="101"/>
        <v>12588.372581176598</v>
      </c>
      <c r="AW375" s="19"/>
    </row>
    <row r="376" spans="2:49" x14ac:dyDescent="0.25">
      <c r="B376" s="9" t="str">
        <f t="shared" si="94"/>
        <v>1 2026</v>
      </c>
      <c r="C376" s="88">
        <f t="shared" ref="C376:C403" si="114">D375</f>
        <v>46025</v>
      </c>
      <c r="D376" s="88">
        <f t="shared" ref="D376:D439" si="115">D375+1</f>
        <v>46026</v>
      </c>
      <c r="E376" s="89">
        <f t="shared" si="95"/>
        <v>1</v>
      </c>
      <c r="G376" s="11" t="s">
        <v>7</v>
      </c>
      <c r="H376" s="12">
        <f t="shared" si="102"/>
        <v>3940000</v>
      </c>
      <c r="I376" s="14">
        <f t="shared" ref="I376:I439" si="116">I375</f>
        <v>1.7500000000000002E-2</v>
      </c>
      <c r="J376" s="13">
        <f t="shared" ref="J376:J402" si="117">+H376*I376*E376/360</f>
        <v>191.52777777777777</v>
      </c>
      <c r="K376" s="13">
        <f t="shared" ref="K376:K403" si="118">K375+J376</f>
        <v>766.11111111111109</v>
      </c>
      <c r="M376" s="11" t="s">
        <v>7</v>
      </c>
      <c r="N376" s="12">
        <f t="shared" ref="N376:N391" si="119">N375</f>
        <v>12000000</v>
      </c>
      <c r="O376" s="97">
        <f t="shared" si="103"/>
        <v>2.1698630136986304E-2</v>
      </c>
      <c r="P376" s="112">
        <f t="shared" si="92"/>
        <v>723.28767123287685</v>
      </c>
      <c r="Q376" s="13">
        <f t="shared" ref="Q376:Q403" si="120">Q375+P376</f>
        <v>2893.1506849315074</v>
      </c>
      <c r="R376" s="13">
        <f t="shared" si="93"/>
        <v>139.95433789954348</v>
      </c>
      <c r="T376" s="11" t="str">
        <f t="shared" si="104"/>
        <v>SG</v>
      </c>
      <c r="U376" s="12">
        <f t="shared" si="105"/>
        <v>6000000</v>
      </c>
      <c r="V376" s="97">
        <f t="shared" si="106"/>
        <v>2.1205479452054792E-2</v>
      </c>
      <c r="W376" s="112">
        <f t="shared" si="107"/>
        <v>353.42465753424653</v>
      </c>
      <c r="X376" s="13">
        <f t="shared" si="108"/>
        <v>1413.6986301369861</v>
      </c>
      <c r="Y376" s="13">
        <f t="shared" si="109"/>
        <v>61.757990867579849</v>
      </c>
      <c r="AA376" s="11" t="s">
        <v>189</v>
      </c>
      <c r="AB376" s="98">
        <f t="shared" si="110"/>
        <v>15000000</v>
      </c>
      <c r="AC376" s="97">
        <f t="shared" si="111"/>
        <v>2.579E-2</v>
      </c>
      <c r="AD376" s="13">
        <f t="shared" si="96"/>
        <v>1074.5833333333333</v>
      </c>
      <c r="AE376" s="13">
        <f t="shared" si="112"/>
        <v>4298.333333333333</v>
      </c>
      <c r="AF376" s="13">
        <f t="shared" si="97"/>
        <v>345.41666666666663</v>
      </c>
      <c r="AH376" s="235">
        <f>'CT- € Ellipsis BNP'!X376</f>
        <v>100392847.44101334</v>
      </c>
      <c r="AI376" s="236">
        <f>'CT- € Ellipsis BNP'!AA376</f>
        <v>2.2439478578633043E-2</v>
      </c>
      <c r="AJ376" s="90">
        <f>'CT- € Ellipsis BNP'!W376</f>
        <v>0</v>
      </c>
      <c r="AK376" s="91">
        <f>'CT- € Ellipsis BNP'!AC376</f>
        <v>-4861.1111111111113</v>
      </c>
      <c r="AM376" s="235">
        <f>'codeis €'!Z376</f>
        <v>67035012</v>
      </c>
      <c r="AN376" s="236">
        <f>'codeis €'!AF376</f>
        <v>2.0819937670163213E-2</v>
      </c>
      <c r="AO376" s="90">
        <f>'codeis €'!AC376</f>
        <v>0</v>
      </c>
      <c r="AP376" s="91">
        <f>'codeis €'!AI376</f>
        <v>-3248.7700388888888</v>
      </c>
      <c r="AR376" s="12">
        <f t="shared" si="98"/>
        <v>204367859.44101334</v>
      </c>
      <c r="AS376" s="118">
        <f t="shared" si="113"/>
        <v>0.02</v>
      </c>
      <c r="AT376" s="118">
        <f t="shared" si="99"/>
        <v>2.1979211270311719E-2</v>
      </c>
      <c r="AU376" s="12">
        <f t="shared" si="100"/>
        <v>2342.8234398782342</v>
      </c>
      <c r="AV376" s="12">
        <f t="shared" si="101"/>
        <v>-7562.7521545662103</v>
      </c>
      <c r="AW376" s="19"/>
    </row>
    <row r="377" spans="2:49" x14ac:dyDescent="0.25">
      <c r="B377" s="9" t="str">
        <f t="shared" si="94"/>
        <v>1 2026</v>
      </c>
      <c r="C377" s="88">
        <f t="shared" si="114"/>
        <v>46026</v>
      </c>
      <c r="D377" s="88">
        <f t="shared" si="115"/>
        <v>46027</v>
      </c>
      <c r="E377" s="89">
        <f t="shared" si="95"/>
        <v>1</v>
      </c>
      <c r="G377" s="11" t="s">
        <v>7</v>
      </c>
      <c r="H377" s="12">
        <f t="shared" si="102"/>
        <v>3940000</v>
      </c>
      <c r="I377" s="14">
        <f t="shared" si="116"/>
        <v>1.7500000000000002E-2</v>
      </c>
      <c r="J377" s="13">
        <f t="shared" si="117"/>
        <v>191.52777777777777</v>
      </c>
      <c r="K377" s="13">
        <f t="shared" si="118"/>
        <v>957.63888888888891</v>
      </c>
      <c r="M377" s="11" t="s">
        <v>7</v>
      </c>
      <c r="N377" s="12">
        <f t="shared" si="119"/>
        <v>12000000</v>
      </c>
      <c r="O377" s="97">
        <f t="shared" si="103"/>
        <v>2.1698630136986304E-2</v>
      </c>
      <c r="P377" s="112">
        <f t="shared" si="92"/>
        <v>723.28767123287685</v>
      </c>
      <c r="Q377" s="13">
        <f t="shared" si="120"/>
        <v>3616.4383561643845</v>
      </c>
      <c r="R377" s="13">
        <f t="shared" si="93"/>
        <v>139.95433789954348</v>
      </c>
      <c r="T377" s="11" t="str">
        <f t="shared" si="104"/>
        <v>SG</v>
      </c>
      <c r="U377" s="12">
        <f t="shared" si="105"/>
        <v>6000000</v>
      </c>
      <c r="V377" s="97">
        <f t="shared" si="106"/>
        <v>2.1205479452054792E-2</v>
      </c>
      <c r="W377" s="112">
        <f t="shared" si="107"/>
        <v>353.42465753424653</v>
      </c>
      <c r="X377" s="13">
        <f t="shared" si="108"/>
        <v>1767.1232876712327</v>
      </c>
      <c r="Y377" s="13">
        <f t="shared" si="109"/>
        <v>61.757990867579849</v>
      </c>
      <c r="AA377" s="11" t="s">
        <v>189</v>
      </c>
      <c r="AB377" s="98">
        <f t="shared" si="110"/>
        <v>15000000</v>
      </c>
      <c r="AC377" s="97">
        <f t="shared" si="111"/>
        <v>2.579E-2</v>
      </c>
      <c r="AD377" s="13">
        <f t="shared" si="96"/>
        <v>1074.5833333333333</v>
      </c>
      <c r="AE377" s="13">
        <f t="shared" si="112"/>
        <v>5372.9166666666661</v>
      </c>
      <c r="AF377" s="13">
        <f t="shared" si="97"/>
        <v>345.41666666666663</v>
      </c>
      <c r="AH377" s="235">
        <f>'CT- € Ellipsis BNP'!X377</f>
        <v>100392847.44101334</v>
      </c>
      <c r="AI377" s="236">
        <f>'CT- € Ellipsis BNP'!AA377</f>
        <v>2.2439478578633043E-2</v>
      </c>
      <c r="AJ377" s="90">
        <f>'CT- € Ellipsis BNP'!W377</f>
        <v>0</v>
      </c>
      <c r="AK377" s="91">
        <f>'CT- € Ellipsis BNP'!AC377</f>
        <v>-4861.1111111111113</v>
      </c>
      <c r="AM377" s="235">
        <f>'codeis €'!Z377</f>
        <v>67035012</v>
      </c>
      <c r="AN377" s="236">
        <f>'codeis €'!AF377</f>
        <v>2.0819937670163213E-2</v>
      </c>
      <c r="AO377" s="90">
        <f>'codeis €'!AC377</f>
        <v>0</v>
      </c>
      <c r="AP377" s="91">
        <f>'codeis €'!AI377</f>
        <v>-3248.7700388888888</v>
      </c>
      <c r="AR377" s="12">
        <f t="shared" si="98"/>
        <v>204367859.44101334</v>
      </c>
      <c r="AS377" s="118">
        <f t="shared" si="113"/>
        <v>0.02</v>
      </c>
      <c r="AT377" s="118">
        <f t="shared" si="99"/>
        <v>2.1979211270311719E-2</v>
      </c>
      <c r="AU377" s="12">
        <f t="shared" si="100"/>
        <v>2342.8234398782342</v>
      </c>
      <c r="AV377" s="12">
        <f t="shared" si="101"/>
        <v>-7562.7521545662103</v>
      </c>
      <c r="AW377" s="19"/>
    </row>
    <row r="378" spans="2:49" x14ac:dyDescent="0.25">
      <c r="B378" s="9" t="str">
        <f t="shared" si="94"/>
        <v>1 2026</v>
      </c>
      <c r="C378" s="88">
        <f t="shared" si="114"/>
        <v>46027</v>
      </c>
      <c r="D378" s="88">
        <f t="shared" si="115"/>
        <v>46028</v>
      </c>
      <c r="E378" s="89">
        <f t="shared" si="95"/>
        <v>1</v>
      </c>
      <c r="G378" s="11" t="s">
        <v>7</v>
      </c>
      <c r="H378" s="106">
        <f>H377+450000</f>
        <v>4390000</v>
      </c>
      <c r="I378" s="14">
        <f t="shared" si="116"/>
        <v>1.7500000000000002E-2</v>
      </c>
      <c r="J378" s="13">
        <f t="shared" si="117"/>
        <v>213.40277777777783</v>
      </c>
      <c r="K378" s="13">
        <f t="shared" si="118"/>
        <v>1171.0416666666667</v>
      </c>
      <c r="M378" s="11" t="s">
        <v>7</v>
      </c>
      <c r="N378" s="12">
        <f t="shared" si="119"/>
        <v>12000000</v>
      </c>
      <c r="O378" s="97">
        <f t="shared" si="103"/>
        <v>2.1698630136986304E-2</v>
      </c>
      <c r="P378" s="112">
        <f t="shared" si="92"/>
        <v>723.28767123287685</v>
      </c>
      <c r="Q378" s="13">
        <f t="shared" si="120"/>
        <v>4339.7260273972615</v>
      </c>
      <c r="R378" s="13">
        <f t="shared" si="93"/>
        <v>139.95433789954348</v>
      </c>
      <c r="T378" s="11" t="str">
        <f t="shared" si="104"/>
        <v>SG</v>
      </c>
      <c r="U378" s="12">
        <f t="shared" si="105"/>
        <v>6000000</v>
      </c>
      <c r="V378" s="97">
        <f t="shared" si="106"/>
        <v>2.1205479452054792E-2</v>
      </c>
      <c r="W378" s="112">
        <f t="shared" si="107"/>
        <v>353.42465753424653</v>
      </c>
      <c r="X378" s="13">
        <f t="shared" si="108"/>
        <v>2120.5479452054792</v>
      </c>
      <c r="Y378" s="13">
        <f t="shared" si="109"/>
        <v>61.757990867579849</v>
      </c>
      <c r="AA378" s="11" t="s">
        <v>189</v>
      </c>
      <c r="AB378" s="98">
        <f t="shared" si="110"/>
        <v>15000000</v>
      </c>
      <c r="AC378" s="97">
        <f t="shared" si="111"/>
        <v>2.579E-2</v>
      </c>
      <c r="AD378" s="13">
        <f t="shared" si="96"/>
        <v>1074.5833333333333</v>
      </c>
      <c r="AE378" s="13">
        <f t="shared" si="112"/>
        <v>6447.4999999999991</v>
      </c>
      <c r="AF378" s="13">
        <f t="shared" si="97"/>
        <v>345.41666666666663</v>
      </c>
      <c r="AH378" s="235">
        <f>'CT- € Ellipsis BNP'!X378</f>
        <v>100392847.44101334</v>
      </c>
      <c r="AI378" s="236">
        <f>'CT- € Ellipsis BNP'!AA378</f>
        <v>2.2439478578633043E-2</v>
      </c>
      <c r="AJ378" s="90">
        <f>'CT- € Ellipsis BNP'!W378</f>
        <v>0</v>
      </c>
      <c r="AK378" s="91">
        <f>'CT- € Ellipsis BNP'!AC378</f>
        <v>-4861.1111111111113</v>
      </c>
      <c r="AM378" s="235">
        <f>'codeis €'!Z378</f>
        <v>67046562</v>
      </c>
      <c r="AN378" s="236">
        <f>'codeis €'!AF378</f>
        <v>2.0819937670163213E-2</v>
      </c>
      <c r="AO378" s="90">
        <f>'codeis €'!AC378</f>
        <v>11550</v>
      </c>
      <c r="AP378" s="91">
        <f>'codeis €'!AI378</f>
        <v>8301.2299611111121</v>
      </c>
      <c r="AR378" s="12">
        <f t="shared" si="98"/>
        <v>204829409.44101334</v>
      </c>
      <c r="AS378" s="118">
        <f t="shared" si="113"/>
        <v>0.02</v>
      </c>
      <c r="AT378" s="118">
        <f t="shared" si="99"/>
        <v>2.1969305296910442E-2</v>
      </c>
      <c r="AU378" s="12">
        <f t="shared" si="100"/>
        <v>13914.698439878233</v>
      </c>
      <c r="AV378" s="12">
        <f t="shared" si="101"/>
        <v>3987.2478454337906</v>
      </c>
      <c r="AW378" s="19"/>
    </row>
    <row r="379" spans="2:49" x14ac:dyDescent="0.25">
      <c r="B379" s="9" t="str">
        <f t="shared" si="94"/>
        <v>1 2026</v>
      </c>
      <c r="C379" s="88">
        <f t="shared" si="114"/>
        <v>46028</v>
      </c>
      <c r="D379" s="88">
        <f t="shared" si="115"/>
        <v>46029</v>
      </c>
      <c r="E379" s="89">
        <f t="shared" si="95"/>
        <v>1</v>
      </c>
      <c r="G379" s="11" t="s">
        <v>7</v>
      </c>
      <c r="H379" s="12">
        <f t="shared" si="102"/>
        <v>4390000</v>
      </c>
      <c r="I379" s="14">
        <f t="shared" si="116"/>
        <v>1.7500000000000002E-2</v>
      </c>
      <c r="J379" s="13">
        <f t="shared" si="117"/>
        <v>213.40277777777783</v>
      </c>
      <c r="K379" s="13">
        <f t="shared" si="118"/>
        <v>1384.4444444444446</v>
      </c>
      <c r="M379" s="11" t="s">
        <v>7</v>
      </c>
      <c r="N379" s="12">
        <f t="shared" si="119"/>
        <v>12000000</v>
      </c>
      <c r="O379" s="97">
        <f t="shared" si="103"/>
        <v>2.1698630136986304E-2</v>
      </c>
      <c r="P379" s="112">
        <f t="shared" si="92"/>
        <v>723.28767123287685</v>
      </c>
      <c r="Q379" s="13">
        <f t="shared" si="120"/>
        <v>5063.0136986301386</v>
      </c>
      <c r="R379" s="13">
        <f t="shared" si="93"/>
        <v>139.95433789954348</v>
      </c>
      <c r="T379" s="11" t="str">
        <f t="shared" si="104"/>
        <v>SG</v>
      </c>
      <c r="U379" s="12">
        <f t="shared" si="105"/>
        <v>6000000</v>
      </c>
      <c r="V379" s="97">
        <f t="shared" si="106"/>
        <v>2.1205479452054792E-2</v>
      </c>
      <c r="W379" s="112">
        <f t="shared" si="107"/>
        <v>353.42465753424653</v>
      </c>
      <c r="X379" s="13">
        <f t="shared" si="108"/>
        <v>2473.9726027397255</v>
      </c>
      <c r="Y379" s="13">
        <f t="shared" si="109"/>
        <v>61.757990867579849</v>
      </c>
      <c r="AA379" s="11" t="s">
        <v>189</v>
      </c>
      <c r="AB379" s="98">
        <f t="shared" si="110"/>
        <v>15000000</v>
      </c>
      <c r="AC379" s="97">
        <f t="shared" si="111"/>
        <v>2.579E-2</v>
      </c>
      <c r="AD379" s="13">
        <f t="shared" si="96"/>
        <v>1074.5833333333333</v>
      </c>
      <c r="AE379" s="13">
        <f t="shared" si="112"/>
        <v>7522.0833333333321</v>
      </c>
      <c r="AF379" s="13">
        <f t="shared" si="97"/>
        <v>345.41666666666663</v>
      </c>
      <c r="AH379" s="235">
        <f>'CT- € Ellipsis BNP'!X379</f>
        <v>100417902.77870281</v>
      </c>
      <c r="AI379" s="236">
        <f>'CT- € Ellipsis BNP'!AA379</f>
        <v>2.2439478578633043E-2</v>
      </c>
      <c r="AJ379" s="90">
        <f>'CT- € Ellipsis BNP'!W379</f>
        <v>25055.337689474225</v>
      </c>
      <c r="AK379" s="91">
        <f>'CT- € Ellipsis BNP'!AC379</f>
        <v>20194.226578363116</v>
      </c>
      <c r="AM379" s="235">
        <f>'codeis €'!Z379</f>
        <v>67050456</v>
      </c>
      <c r="AN379" s="236">
        <f>'codeis €'!AF379</f>
        <v>2.0819937670163213E-2</v>
      </c>
      <c r="AO379" s="90">
        <f>'codeis €'!AC379</f>
        <v>3894</v>
      </c>
      <c r="AP379" s="91">
        <f>'codeis €'!AI379</f>
        <v>645.22996111111115</v>
      </c>
      <c r="AR379" s="12">
        <f t="shared" si="98"/>
        <v>204858358.7787028</v>
      </c>
      <c r="AS379" s="118">
        <f t="shared" si="113"/>
        <v>0.02</v>
      </c>
      <c r="AT379" s="118">
        <f t="shared" si="99"/>
        <v>2.1969340954292701E-2</v>
      </c>
      <c r="AU379" s="12">
        <f t="shared" si="100"/>
        <v>31314.036129352458</v>
      </c>
      <c r="AV379" s="12">
        <f t="shared" si="101"/>
        <v>21386.585534908019</v>
      </c>
      <c r="AW379" s="19"/>
    </row>
    <row r="380" spans="2:49" x14ac:dyDescent="0.25">
      <c r="B380" s="9" t="str">
        <f t="shared" si="94"/>
        <v>1 2026</v>
      </c>
      <c r="C380" s="88">
        <f t="shared" si="114"/>
        <v>46029</v>
      </c>
      <c r="D380" s="88">
        <f t="shared" si="115"/>
        <v>46030</v>
      </c>
      <c r="E380" s="89">
        <f t="shared" si="95"/>
        <v>1</v>
      </c>
      <c r="G380" s="11" t="s">
        <v>7</v>
      </c>
      <c r="H380" s="12">
        <f t="shared" si="102"/>
        <v>4390000</v>
      </c>
      <c r="I380" s="14">
        <f t="shared" si="116"/>
        <v>1.7500000000000002E-2</v>
      </c>
      <c r="J380" s="13">
        <f t="shared" si="117"/>
        <v>213.40277777777783</v>
      </c>
      <c r="K380" s="13">
        <f t="shared" si="118"/>
        <v>1597.8472222222224</v>
      </c>
      <c r="M380" s="11" t="s">
        <v>7</v>
      </c>
      <c r="N380" s="12">
        <f t="shared" si="119"/>
        <v>12000000</v>
      </c>
      <c r="O380" s="97">
        <f t="shared" si="103"/>
        <v>2.1698630136986304E-2</v>
      </c>
      <c r="P380" s="112">
        <f t="shared" si="92"/>
        <v>723.28767123287685</v>
      </c>
      <c r="Q380" s="13">
        <f t="shared" si="120"/>
        <v>5786.3013698630157</v>
      </c>
      <c r="R380" s="13">
        <f t="shared" si="93"/>
        <v>139.95433789954348</v>
      </c>
      <c r="T380" s="11" t="str">
        <f t="shared" si="104"/>
        <v>SG</v>
      </c>
      <c r="U380" s="12">
        <f t="shared" si="105"/>
        <v>6000000</v>
      </c>
      <c r="V380" s="97">
        <f t="shared" si="106"/>
        <v>2.1205479452054792E-2</v>
      </c>
      <c r="W380" s="112">
        <f t="shared" si="107"/>
        <v>353.42465753424653</v>
      </c>
      <c r="X380" s="13">
        <f t="shared" si="108"/>
        <v>2827.3972602739723</v>
      </c>
      <c r="Y380" s="13">
        <f t="shared" si="109"/>
        <v>61.757990867579849</v>
      </c>
      <c r="AA380" s="11" t="s">
        <v>189</v>
      </c>
      <c r="AB380" s="98">
        <f t="shared" si="110"/>
        <v>15000000</v>
      </c>
      <c r="AC380" s="97">
        <f t="shared" si="111"/>
        <v>2.579E-2</v>
      </c>
      <c r="AD380" s="13">
        <f t="shared" si="96"/>
        <v>1074.5833333333333</v>
      </c>
      <c r="AE380" s="13">
        <f t="shared" si="112"/>
        <v>8596.6666666666661</v>
      </c>
      <c r="AF380" s="13">
        <f t="shared" si="97"/>
        <v>345.41666666666663</v>
      </c>
      <c r="AH380" s="235">
        <f>'CT- € Ellipsis BNP'!X380</f>
        <v>100424068.06901619</v>
      </c>
      <c r="AI380" s="236">
        <f>'CT- € Ellipsis BNP'!AA380</f>
        <v>2.2439478578633043E-2</v>
      </c>
      <c r="AJ380" s="90">
        <f>'CT- € Ellipsis BNP'!W380</f>
        <v>6165.2903133779764</v>
      </c>
      <c r="AK380" s="91">
        <f>'CT- € Ellipsis BNP'!AC380</f>
        <v>1304.1792022668651</v>
      </c>
      <c r="AM380" s="235">
        <f>'codeis €'!Z380</f>
        <v>67054350.000000007</v>
      </c>
      <c r="AN380" s="236">
        <f>'codeis €'!AF380</f>
        <v>2.0819937670163213E-2</v>
      </c>
      <c r="AO380" s="90">
        <f>'codeis €'!AC380</f>
        <v>3894.0000000074506</v>
      </c>
      <c r="AP380" s="91">
        <f>'codeis €'!AI380</f>
        <v>645.22996111856173</v>
      </c>
      <c r="AR380" s="12">
        <f t="shared" si="98"/>
        <v>204868418.06901619</v>
      </c>
      <c r="AS380" s="118">
        <f t="shared" si="113"/>
        <v>0.02</v>
      </c>
      <c r="AT380" s="118">
        <f t="shared" si="99"/>
        <v>2.1969333255490404E-2</v>
      </c>
      <c r="AU380" s="12">
        <f t="shared" si="100"/>
        <v>12423.98875326366</v>
      </c>
      <c r="AV380" s="12">
        <f t="shared" si="101"/>
        <v>2496.5381588192167</v>
      </c>
      <c r="AW380" s="19"/>
    </row>
    <row r="381" spans="2:49" x14ac:dyDescent="0.25">
      <c r="B381" s="9" t="str">
        <f t="shared" si="94"/>
        <v>1 2026</v>
      </c>
      <c r="C381" s="88">
        <f t="shared" si="114"/>
        <v>46030</v>
      </c>
      <c r="D381" s="88">
        <f t="shared" si="115"/>
        <v>46031</v>
      </c>
      <c r="E381" s="89">
        <f t="shared" si="95"/>
        <v>1</v>
      </c>
      <c r="G381" s="11" t="s">
        <v>7</v>
      </c>
      <c r="H381" s="12">
        <f t="shared" si="102"/>
        <v>4390000</v>
      </c>
      <c r="I381" s="14">
        <f t="shared" si="116"/>
        <v>1.7500000000000002E-2</v>
      </c>
      <c r="J381" s="13">
        <f t="shared" si="117"/>
        <v>213.40277777777783</v>
      </c>
      <c r="K381" s="13">
        <f t="shared" si="118"/>
        <v>1811.2500000000002</v>
      </c>
      <c r="M381" s="11" t="s">
        <v>7</v>
      </c>
      <c r="N381" s="12">
        <f t="shared" si="119"/>
        <v>12000000</v>
      </c>
      <c r="O381" s="97">
        <f t="shared" si="103"/>
        <v>2.1698630136986304E-2</v>
      </c>
      <c r="P381" s="112">
        <f t="shared" si="92"/>
        <v>723.28767123287685</v>
      </c>
      <c r="Q381" s="13">
        <f t="shared" si="120"/>
        <v>6509.5890410958928</v>
      </c>
      <c r="R381" s="13">
        <f t="shared" si="93"/>
        <v>139.95433789954348</v>
      </c>
      <c r="T381" s="11" t="str">
        <f t="shared" si="104"/>
        <v>SG</v>
      </c>
      <c r="U381" s="12">
        <f t="shared" si="105"/>
        <v>6000000</v>
      </c>
      <c r="V381" s="97">
        <f t="shared" si="106"/>
        <v>2.1205479452054792E-2</v>
      </c>
      <c r="W381" s="112">
        <f t="shared" si="107"/>
        <v>353.42465753424653</v>
      </c>
      <c r="X381" s="13">
        <f t="shared" si="108"/>
        <v>3180.821917808219</v>
      </c>
      <c r="Y381" s="13">
        <f t="shared" si="109"/>
        <v>61.757990867579849</v>
      </c>
      <c r="AA381" s="11" t="s">
        <v>189</v>
      </c>
      <c r="AB381" s="98">
        <f t="shared" si="110"/>
        <v>15000000</v>
      </c>
      <c r="AC381" s="97">
        <f t="shared" si="111"/>
        <v>2.579E-2</v>
      </c>
      <c r="AD381" s="13">
        <f t="shared" si="96"/>
        <v>1074.5833333333333</v>
      </c>
      <c r="AE381" s="13">
        <f t="shared" si="112"/>
        <v>9671.25</v>
      </c>
      <c r="AF381" s="13">
        <f t="shared" si="97"/>
        <v>345.41666666666663</v>
      </c>
      <c r="AH381" s="235">
        <f>'CT- € Ellipsis BNP'!X381</f>
        <v>100430331.90343855</v>
      </c>
      <c r="AI381" s="236">
        <f>'CT- € Ellipsis BNP'!AA381</f>
        <v>2.2439478578633043E-2</v>
      </c>
      <c r="AJ381" s="90">
        <f>'CT- € Ellipsis BNP'!W381</f>
        <v>6263.834422364831</v>
      </c>
      <c r="AK381" s="91">
        <f>'CT- € Ellipsis BNP'!AC381</f>
        <v>1402.7233112537197</v>
      </c>
      <c r="AM381" s="235">
        <f>'codeis €'!Z381</f>
        <v>67058243.999999993</v>
      </c>
      <c r="AN381" s="236">
        <f>'codeis €'!AF381</f>
        <v>2.0819937670163213E-2</v>
      </c>
      <c r="AO381" s="90">
        <f>'codeis €'!AC381</f>
        <v>3893.9999999850988</v>
      </c>
      <c r="AP381" s="91">
        <f>'codeis €'!AI381</f>
        <v>645.22996109620999</v>
      </c>
      <c r="AR381" s="12">
        <f t="shared" si="98"/>
        <v>204878575.90343854</v>
      </c>
      <c r="AS381" s="118">
        <f t="shared" si="113"/>
        <v>0.02</v>
      </c>
      <c r="AT381" s="118">
        <f t="shared" si="99"/>
        <v>2.1969325783582013E-2</v>
      </c>
      <c r="AU381" s="12">
        <f t="shared" si="100"/>
        <v>12522.532862228163</v>
      </c>
      <c r="AV381" s="12">
        <f t="shared" si="101"/>
        <v>2595.0822677837195</v>
      </c>
      <c r="AW381" s="19"/>
    </row>
    <row r="382" spans="2:49" x14ac:dyDescent="0.25">
      <c r="B382" s="9" t="str">
        <f t="shared" si="94"/>
        <v>1 2026</v>
      </c>
      <c r="C382" s="88">
        <f t="shared" si="114"/>
        <v>46031</v>
      </c>
      <c r="D382" s="88">
        <f t="shared" si="115"/>
        <v>46032</v>
      </c>
      <c r="E382" s="89">
        <f t="shared" si="95"/>
        <v>1</v>
      </c>
      <c r="G382" s="11" t="s">
        <v>7</v>
      </c>
      <c r="H382" s="135">
        <f>H381+430000</f>
        <v>4820000</v>
      </c>
      <c r="I382" s="14">
        <f t="shared" si="116"/>
        <v>1.7500000000000002E-2</v>
      </c>
      <c r="J382" s="13">
        <f t="shared" si="117"/>
        <v>234.3055555555556</v>
      </c>
      <c r="K382" s="13">
        <f t="shared" si="118"/>
        <v>2045.5555555555559</v>
      </c>
      <c r="M382" s="11" t="s">
        <v>7</v>
      </c>
      <c r="N382" s="12">
        <f t="shared" si="119"/>
        <v>12000000</v>
      </c>
      <c r="O382" s="97">
        <f t="shared" si="103"/>
        <v>2.1698630136986304E-2</v>
      </c>
      <c r="P382" s="112">
        <f t="shared" si="92"/>
        <v>723.28767123287685</v>
      </c>
      <c r="Q382" s="13">
        <f t="shared" si="120"/>
        <v>7232.8767123287698</v>
      </c>
      <c r="R382" s="13">
        <f t="shared" si="93"/>
        <v>139.95433789954348</v>
      </c>
      <c r="T382" s="11" t="str">
        <f t="shared" si="104"/>
        <v>SG</v>
      </c>
      <c r="U382" s="12">
        <f t="shared" si="105"/>
        <v>6000000</v>
      </c>
      <c r="V382" s="97">
        <f t="shared" si="106"/>
        <v>2.1205479452054792E-2</v>
      </c>
      <c r="W382" s="112">
        <f t="shared" si="107"/>
        <v>353.42465753424653</v>
      </c>
      <c r="X382" s="13">
        <f t="shared" si="108"/>
        <v>3534.2465753424658</v>
      </c>
      <c r="Y382" s="13">
        <f t="shared" si="109"/>
        <v>61.757990867579849</v>
      </c>
      <c r="AA382" s="11" t="s">
        <v>189</v>
      </c>
      <c r="AB382" s="98">
        <f t="shared" si="110"/>
        <v>15000000</v>
      </c>
      <c r="AC382" s="97">
        <f t="shared" si="111"/>
        <v>2.579E-2</v>
      </c>
      <c r="AD382" s="13">
        <f t="shared" si="96"/>
        <v>1074.5833333333333</v>
      </c>
      <c r="AE382" s="13">
        <f t="shared" si="112"/>
        <v>10745.833333333334</v>
      </c>
      <c r="AF382" s="13">
        <f t="shared" si="97"/>
        <v>345.41666666666663</v>
      </c>
      <c r="AH382" s="235">
        <f>'CT- € Ellipsis BNP'!X382</f>
        <v>100430331.90343855</v>
      </c>
      <c r="AI382" s="236">
        <f>'CT- € Ellipsis BNP'!AA382</f>
        <v>2.2439478578633043E-2</v>
      </c>
      <c r="AJ382" s="90">
        <f>'CT- € Ellipsis BNP'!W382</f>
        <v>0</v>
      </c>
      <c r="AK382" s="91">
        <f>'CT- € Ellipsis BNP'!AC382</f>
        <v>-4861.1111111111113</v>
      </c>
      <c r="AM382" s="235">
        <f>'codeis €'!Z382</f>
        <v>67062138.000000007</v>
      </c>
      <c r="AN382" s="236">
        <f>'codeis €'!AF382</f>
        <v>2.0819937670163213E-2</v>
      </c>
      <c r="AO382" s="90">
        <f>'codeis €'!AC382</f>
        <v>3894.0000000149012</v>
      </c>
      <c r="AP382" s="91">
        <f>'codeis €'!AI382</f>
        <v>645.22996112601231</v>
      </c>
      <c r="AR382" s="12">
        <f t="shared" si="98"/>
        <v>205312469.90343857</v>
      </c>
      <c r="AS382" s="118">
        <f t="shared" si="113"/>
        <v>0.02</v>
      </c>
      <c r="AT382" s="118">
        <f t="shared" si="99"/>
        <v>2.1959943568243798E-2</v>
      </c>
      <c r="AU382" s="12">
        <f t="shared" si="100"/>
        <v>6279.6012176709137</v>
      </c>
      <c r="AV382" s="12">
        <f t="shared" si="101"/>
        <v>-3668.7521545513091</v>
      </c>
      <c r="AW382" s="19"/>
    </row>
    <row r="383" spans="2:49" x14ac:dyDescent="0.25">
      <c r="B383" s="9" t="str">
        <f t="shared" si="94"/>
        <v>1 2026</v>
      </c>
      <c r="C383" s="88">
        <f t="shared" si="114"/>
        <v>46032</v>
      </c>
      <c r="D383" s="88">
        <f t="shared" si="115"/>
        <v>46033</v>
      </c>
      <c r="E383" s="89">
        <f t="shared" si="95"/>
        <v>1</v>
      </c>
      <c r="G383" s="11" t="s">
        <v>7</v>
      </c>
      <c r="H383" s="12">
        <f t="shared" si="102"/>
        <v>4820000</v>
      </c>
      <c r="I383" s="14">
        <f t="shared" si="116"/>
        <v>1.7500000000000002E-2</v>
      </c>
      <c r="J383" s="13">
        <f t="shared" si="117"/>
        <v>234.3055555555556</v>
      </c>
      <c r="K383" s="13">
        <f t="shared" si="118"/>
        <v>2279.8611111111113</v>
      </c>
      <c r="M383" s="11" t="s">
        <v>7</v>
      </c>
      <c r="N383" s="12">
        <f t="shared" si="119"/>
        <v>12000000</v>
      </c>
      <c r="O383" s="97">
        <f t="shared" si="103"/>
        <v>2.1698630136986304E-2</v>
      </c>
      <c r="P383" s="112">
        <f t="shared" si="92"/>
        <v>723.28767123287685</v>
      </c>
      <c r="Q383" s="13">
        <f t="shared" si="120"/>
        <v>7956.1643835616469</v>
      </c>
      <c r="R383" s="13">
        <f t="shared" si="93"/>
        <v>139.95433789954348</v>
      </c>
      <c r="T383" s="11" t="str">
        <f t="shared" si="104"/>
        <v>SG</v>
      </c>
      <c r="U383" s="12">
        <f t="shared" si="105"/>
        <v>6000000</v>
      </c>
      <c r="V383" s="97">
        <f t="shared" si="106"/>
        <v>2.1205479452054792E-2</v>
      </c>
      <c r="W383" s="112">
        <f t="shared" si="107"/>
        <v>353.42465753424653</v>
      </c>
      <c r="X383" s="13">
        <f t="shared" si="108"/>
        <v>3887.6712328767126</v>
      </c>
      <c r="Y383" s="13">
        <f t="shared" si="109"/>
        <v>61.757990867579849</v>
      </c>
      <c r="AA383" s="11" t="s">
        <v>189</v>
      </c>
      <c r="AB383" s="98">
        <f t="shared" si="110"/>
        <v>15000000</v>
      </c>
      <c r="AC383" s="97">
        <f t="shared" si="111"/>
        <v>2.579E-2</v>
      </c>
      <c r="AD383" s="13">
        <f t="shared" si="96"/>
        <v>1074.5833333333333</v>
      </c>
      <c r="AE383" s="13">
        <f t="shared" si="112"/>
        <v>11820.416666666668</v>
      </c>
      <c r="AF383" s="13">
        <f t="shared" si="97"/>
        <v>345.41666666666663</v>
      </c>
      <c r="AH383" s="235">
        <f>'CT- € Ellipsis BNP'!X383</f>
        <v>100430331.90343855</v>
      </c>
      <c r="AI383" s="236">
        <f>'CT- € Ellipsis BNP'!AA383</f>
        <v>2.2439478578633043E-2</v>
      </c>
      <c r="AJ383" s="90">
        <f>'CT- € Ellipsis BNP'!W383</f>
        <v>0</v>
      </c>
      <c r="AK383" s="91">
        <f>'CT- € Ellipsis BNP'!AC383</f>
        <v>-4861.1111111111113</v>
      </c>
      <c r="AM383" s="235">
        <f>'codeis €'!Z383</f>
        <v>67062138.000000007</v>
      </c>
      <c r="AN383" s="236">
        <f>'codeis €'!AF383</f>
        <v>2.0819937670163213E-2</v>
      </c>
      <c r="AO383" s="90">
        <f>'codeis €'!AC383</f>
        <v>0</v>
      </c>
      <c r="AP383" s="91">
        <f>'codeis €'!AI383</f>
        <v>-3248.7700388888888</v>
      </c>
      <c r="AR383" s="12">
        <f t="shared" si="98"/>
        <v>205312469.90343857</v>
      </c>
      <c r="AS383" s="118">
        <f t="shared" si="113"/>
        <v>0.02</v>
      </c>
      <c r="AT383" s="118">
        <f t="shared" si="99"/>
        <v>2.1959943568243798E-2</v>
      </c>
      <c r="AU383" s="12">
        <f t="shared" si="100"/>
        <v>2385.6012176560125</v>
      </c>
      <c r="AV383" s="12">
        <f t="shared" si="101"/>
        <v>-7562.7521545662103</v>
      </c>
      <c r="AW383" s="19"/>
    </row>
    <row r="384" spans="2:49" x14ac:dyDescent="0.25">
      <c r="B384" s="9" t="str">
        <f t="shared" si="94"/>
        <v>1 2026</v>
      </c>
      <c r="C384" s="88">
        <f t="shared" si="114"/>
        <v>46033</v>
      </c>
      <c r="D384" s="88">
        <f t="shared" si="115"/>
        <v>46034</v>
      </c>
      <c r="E384" s="89">
        <f t="shared" si="95"/>
        <v>1</v>
      </c>
      <c r="G384" s="11" t="s">
        <v>7</v>
      </c>
      <c r="H384" s="12">
        <f t="shared" si="102"/>
        <v>4820000</v>
      </c>
      <c r="I384" s="14">
        <f t="shared" si="116"/>
        <v>1.7500000000000002E-2</v>
      </c>
      <c r="J384" s="13">
        <f t="shared" si="117"/>
        <v>234.3055555555556</v>
      </c>
      <c r="K384" s="13">
        <f t="shared" si="118"/>
        <v>2514.166666666667</v>
      </c>
      <c r="M384" s="11" t="s">
        <v>7</v>
      </c>
      <c r="N384" s="12">
        <f t="shared" si="119"/>
        <v>12000000</v>
      </c>
      <c r="O384" s="97">
        <f t="shared" si="103"/>
        <v>2.1698630136986304E-2</v>
      </c>
      <c r="P384" s="112">
        <f t="shared" si="92"/>
        <v>723.28767123287685</v>
      </c>
      <c r="Q384" s="13">
        <f t="shared" si="120"/>
        <v>8679.4520547945231</v>
      </c>
      <c r="R384" s="13">
        <f t="shared" si="93"/>
        <v>139.95433789954348</v>
      </c>
      <c r="T384" s="11" t="str">
        <f t="shared" si="104"/>
        <v>SG</v>
      </c>
      <c r="U384" s="285">
        <f>U383+10956.16</f>
        <v>6010956.1600000001</v>
      </c>
      <c r="V384" s="97">
        <f t="shared" si="106"/>
        <v>2.1205479452054792E-2</v>
      </c>
      <c r="W384" s="13">
        <f t="shared" si="107"/>
        <v>354.0700203835616</v>
      </c>
      <c r="X384" s="13">
        <f t="shared" si="108"/>
        <v>4241.7412532602739</v>
      </c>
      <c r="Y384" s="13">
        <f t="shared" si="109"/>
        <v>61.870762605783796</v>
      </c>
      <c r="AA384" s="11" t="s">
        <v>189</v>
      </c>
      <c r="AB384" s="98">
        <f t="shared" si="110"/>
        <v>15000000</v>
      </c>
      <c r="AC384" s="97">
        <f t="shared" si="111"/>
        <v>2.579E-2</v>
      </c>
      <c r="AD384" s="13">
        <f t="shared" si="96"/>
        <v>1074.5833333333333</v>
      </c>
      <c r="AE384" s="13">
        <f t="shared" si="112"/>
        <v>12895.000000000002</v>
      </c>
      <c r="AF384" s="13">
        <f t="shared" si="97"/>
        <v>345.41666666666663</v>
      </c>
      <c r="AH384" s="235">
        <f>'CT- € Ellipsis BNP'!X384</f>
        <v>100430331.90343855</v>
      </c>
      <c r="AI384" s="236">
        <f>'CT- € Ellipsis BNP'!AA384</f>
        <v>2.2439478578633043E-2</v>
      </c>
      <c r="AJ384" s="90">
        <f>'CT- € Ellipsis BNP'!W384</f>
        <v>0</v>
      </c>
      <c r="AK384" s="91">
        <f>'CT- € Ellipsis BNP'!AC384</f>
        <v>-4861.1111111111113</v>
      </c>
      <c r="AM384" s="235">
        <f>'codeis €'!Z384</f>
        <v>67062138.000000007</v>
      </c>
      <c r="AN384" s="236">
        <f>'codeis €'!AF384</f>
        <v>2.0819937670163213E-2</v>
      </c>
      <c r="AO384" s="90">
        <f>'codeis €'!AC384</f>
        <v>0</v>
      </c>
      <c r="AP384" s="91">
        <f>'codeis €'!AI384</f>
        <v>-3248.7700388888888</v>
      </c>
      <c r="AR384" s="12">
        <f t="shared" si="98"/>
        <v>205323426.06343856</v>
      </c>
      <c r="AS384" s="118">
        <f t="shared" si="113"/>
        <v>0.02</v>
      </c>
      <c r="AT384" s="118">
        <f t="shared" si="99"/>
        <v>2.1959903309663815E-2</v>
      </c>
      <c r="AU384" s="12">
        <f t="shared" si="100"/>
        <v>2386.2465805053271</v>
      </c>
      <c r="AV384" s="12">
        <f t="shared" si="101"/>
        <v>-7562.6393828280061</v>
      </c>
      <c r="AW384" s="19"/>
    </row>
    <row r="385" spans="2:49" x14ac:dyDescent="0.25">
      <c r="B385" s="9" t="str">
        <f t="shared" si="94"/>
        <v>1 2026</v>
      </c>
      <c r="C385" s="88">
        <f t="shared" si="114"/>
        <v>46034</v>
      </c>
      <c r="D385" s="88">
        <f t="shared" si="115"/>
        <v>46035</v>
      </c>
      <c r="E385" s="89">
        <f t="shared" si="95"/>
        <v>1</v>
      </c>
      <c r="G385" s="11" t="s">
        <v>7</v>
      </c>
      <c r="H385" s="135">
        <f>H384-2510000</f>
        <v>2310000</v>
      </c>
      <c r="I385" s="14">
        <f t="shared" si="116"/>
        <v>1.7500000000000002E-2</v>
      </c>
      <c r="J385" s="13">
        <f t="shared" si="117"/>
        <v>112.29166666666669</v>
      </c>
      <c r="K385" s="13">
        <f t="shared" si="118"/>
        <v>2626.4583333333335</v>
      </c>
      <c r="M385" s="11" t="s">
        <v>7</v>
      </c>
      <c r="N385" s="12">
        <f t="shared" si="119"/>
        <v>12000000</v>
      </c>
      <c r="O385" s="97">
        <f t="shared" si="103"/>
        <v>2.1698630136986304E-2</v>
      </c>
      <c r="P385" s="112">
        <f t="shared" si="92"/>
        <v>723.28767123287685</v>
      </c>
      <c r="Q385" s="13">
        <f t="shared" si="120"/>
        <v>9402.7397260273992</v>
      </c>
      <c r="R385" s="13">
        <f t="shared" si="93"/>
        <v>139.95433789954348</v>
      </c>
      <c r="T385" s="11" t="str">
        <f t="shared" si="104"/>
        <v>SG</v>
      </c>
      <c r="U385" s="12">
        <f t="shared" si="105"/>
        <v>6010956.1600000001</v>
      </c>
      <c r="V385" s="97">
        <f t="shared" si="106"/>
        <v>2.1205479452054792E-2</v>
      </c>
      <c r="W385" s="13">
        <f t="shared" si="107"/>
        <v>354.0700203835616</v>
      </c>
      <c r="X385" s="13">
        <f t="shared" si="108"/>
        <v>4595.8112736438352</v>
      </c>
      <c r="Y385" s="13">
        <f t="shared" si="109"/>
        <v>61.870762605783796</v>
      </c>
      <c r="AA385" s="11" t="s">
        <v>189</v>
      </c>
      <c r="AB385" s="98">
        <f t="shared" si="110"/>
        <v>15000000</v>
      </c>
      <c r="AC385" s="97">
        <f t="shared" si="111"/>
        <v>2.579E-2</v>
      </c>
      <c r="AD385" s="13">
        <f t="shared" si="96"/>
        <v>1074.5833333333333</v>
      </c>
      <c r="AE385" s="13">
        <f t="shared" si="112"/>
        <v>13969.583333333336</v>
      </c>
      <c r="AF385" s="13">
        <f t="shared" si="97"/>
        <v>345.41666666666663</v>
      </c>
      <c r="AH385" s="235">
        <f>'CT- € Ellipsis BNP'!X385</f>
        <v>100455387.24112806</v>
      </c>
      <c r="AI385" s="236">
        <f>'CT- € Ellipsis BNP'!AA385</f>
        <v>2.2439478578633043E-2</v>
      </c>
      <c r="AJ385" s="90">
        <f>'CT- € Ellipsis BNP'!W385</f>
        <v>25055.337689504027</v>
      </c>
      <c r="AK385" s="91">
        <f>'CT- € Ellipsis BNP'!AC385</f>
        <v>20194.226578392918</v>
      </c>
      <c r="AM385" s="235">
        <f>'codeis €'!Z385</f>
        <v>67073754.000000007</v>
      </c>
      <c r="AN385" s="236">
        <f>'codeis €'!AF385</f>
        <v>2.0819937670163213E-2</v>
      </c>
      <c r="AO385" s="90">
        <f>'codeis €'!AC385</f>
        <v>11616</v>
      </c>
      <c r="AP385" s="91">
        <f>'codeis €'!AI385</f>
        <v>8367.2299611111121</v>
      </c>
      <c r="AR385" s="12">
        <f t="shared" si="98"/>
        <v>202850097.40112805</v>
      </c>
      <c r="AS385" s="118">
        <f t="shared" si="113"/>
        <v>0.02</v>
      </c>
      <c r="AT385" s="118">
        <f t="shared" si="99"/>
        <v>2.201508263434792E-2</v>
      </c>
      <c r="AU385" s="12">
        <f t="shared" si="100"/>
        <v>38935.570381120466</v>
      </c>
      <c r="AV385" s="12">
        <f t="shared" si="101"/>
        <v>29108.698306676022</v>
      </c>
      <c r="AW385" s="19"/>
    </row>
    <row r="386" spans="2:49" x14ac:dyDescent="0.25">
      <c r="B386" s="9" t="str">
        <f t="shared" si="94"/>
        <v>1 2026</v>
      </c>
      <c r="C386" s="88">
        <f t="shared" si="114"/>
        <v>46035</v>
      </c>
      <c r="D386" s="88">
        <f t="shared" si="115"/>
        <v>46036</v>
      </c>
      <c r="E386" s="89">
        <f t="shared" si="95"/>
        <v>1</v>
      </c>
      <c r="G386" s="11" t="s">
        <v>7</v>
      </c>
      <c r="H386" s="106">
        <f>H385-70000</f>
        <v>2240000</v>
      </c>
      <c r="I386" s="14">
        <f t="shared" si="116"/>
        <v>1.7500000000000002E-2</v>
      </c>
      <c r="J386" s="13">
        <f t="shared" si="117"/>
        <v>108.88888888888891</v>
      </c>
      <c r="K386" s="13">
        <f t="shared" si="118"/>
        <v>2735.3472222222226</v>
      </c>
      <c r="M386" s="11" t="s">
        <v>7</v>
      </c>
      <c r="N386" s="12">
        <f t="shared" si="119"/>
        <v>12000000</v>
      </c>
      <c r="O386" s="97">
        <f t="shared" si="103"/>
        <v>2.1698630136986304E-2</v>
      </c>
      <c r="P386" s="112">
        <f t="shared" si="92"/>
        <v>723.28767123287685</v>
      </c>
      <c r="Q386" s="13">
        <f t="shared" si="120"/>
        <v>10126.027397260275</v>
      </c>
      <c r="R386" s="13">
        <f t="shared" si="93"/>
        <v>139.95433789954348</v>
      </c>
      <c r="T386" s="11" t="str">
        <f t="shared" si="104"/>
        <v>SG</v>
      </c>
      <c r="U386" s="12">
        <f t="shared" si="105"/>
        <v>6010956.1600000001</v>
      </c>
      <c r="V386" s="97">
        <f t="shared" si="106"/>
        <v>2.1205479452054792E-2</v>
      </c>
      <c r="W386" s="13">
        <f t="shared" si="107"/>
        <v>354.0700203835616</v>
      </c>
      <c r="X386" s="13">
        <f t="shared" si="108"/>
        <v>4949.8812940273965</v>
      </c>
      <c r="Y386" s="13">
        <f t="shared" si="109"/>
        <v>61.870762605783796</v>
      </c>
      <c r="AA386" s="11" t="s">
        <v>189</v>
      </c>
      <c r="AB386" s="98">
        <f t="shared" si="110"/>
        <v>15000000</v>
      </c>
      <c r="AC386" s="97">
        <f t="shared" si="111"/>
        <v>2.579E-2</v>
      </c>
      <c r="AD386" s="13">
        <f t="shared" si="96"/>
        <v>1074.5833333333333</v>
      </c>
      <c r="AE386" s="13">
        <f t="shared" si="112"/>
        <v>15044.16666666667</v>
      </c>
      <c r="AF386" s="13">
        <f t="shared" si="97"/>
        <v>345.41666666666663</v>
      </c>
      <c r="AH386" s="235">
        <f>'CT- € Ellipsis BNP'!X386</f>
        <v>100461651.07555041</v>
      </c>
      <c r="AI386" s="236">
        <f>'CT- € Ellipsis BNP'!AA386</f>
        <v>2.2439478578633043E-2</v>
      </c>
      <c r="AJ386" s="90">
        <f>'CT- € Ellipsis BNP'!W386</f>
        <v>6263.8344223499298</v>
      </c>
      <c r="AK386" s="91">
        <f>'CT- € Ellipsis BNP'!AC386</f>
        <v>1402.7233112388185</v>
      </c>
      <c r="AM386" s="235">
        <f>'codeis €'!Z386</f>
        <v>67077648.000000007</v>
      </c>
      <c r="AN386" s="236">
        <f>'codeis €'!AF386</f>
        <v>2.0819937670163213E-2</v>
      </c>
      <c r="AO386" s="90">
        <f>'codeis €'!AC386</f>
        <v>3894</v>
      </c>
      <c r="AP386" s="91">
        <f>'codeis €'!AI386</f>
        <v>645.22996111111115</v>
      </c>
      <c r="AR386" s="12">
        <f t="shared" si="98"/>
        <v>202790255.2355504</v>
      </c>
      <c r="AS386" s="118">
        <f t="shared" si="113"/>
        <v>0.02</v>
      </c>
      <c r="AT386" s="118">
        <f t="shared" si="99"/>
        <v>2.2016631329256724E-2</v>
      </c>
      <c r="AU386" s="12">
        <f t="shared" si="100"/>
        <v>12418.664336188591</v>
      </c>
      <c r="AV386" s="12">
        <f t="shared" si="101"/>
        <v>2595.1950395219237</v>
      </c>
      <c r="AW386" s="19"/>
    </row>
    <row r="387" spans="2:49" x14ac:dyDescent="0.25">
      <c r="B387" s="9" t="str">
        <f t="shared" si="94"/>
        <v>1 2026</v>
      </c>
      <c r="C387" s="88">
        <f t="shared" si="114"/>
        <v>46036</v>
      </c>
      <c r="D387" s="88">
        <f t="shared" si="115"/>
        <v>46037</v>
      </c>
      <c r="E387" s="89">
        <f t="shared" si="95"/>
        <v>1</v>
      </c>
      <c r="G387" s="11" t="s">
        <v>7</v>
      </c>
      <c r="H387" s="12">
        <f t="shared" si="102"/>
        <v>2240000</v>
      </c>
      <c r="I387" s="14">
        <f t="shared" si="116"/>
        <v>1.7500000000000002E-2</v>
      </c>
      <c r="J387" s="13">
        <f t="shared" si="117"/>
        <v>108.88888888888891</v>
      </c>
      <c r="K387" s="13">
        <f t="shared" si="118"/>
        <v>2844.2361111111113</v>
      </c>
      <c r="M387" s="11" t="s">
        <v>7</v>
      </c>
      <c r="N387" s="12">
        <f t="shared" si="119"/>
        <v>12000000</v>
      </c>
      <c r="O387" s="97">
        <f t="shared" si="103"/>
        <v>2.1698630136986304E-2</v>
      </c>
      <c r="P387" s="112">
        <f t="shared" si="92"/>
        <v>723.28767123287685</v>
      </c>
      <c r="Q387" s="13">
        <f t="shared" si="120"/>
        <v>10849.315068493152</v>
      </c>
      <c r="R387" s="13">
        <f t="shared" si="93"/>
        <v>139.95433789954348</v>
      </c>
      <c r="T387" s="11" t="str">
        <f t="shared" si="104"/>
        <v>SG</v>
      </c>
      <c r="U387" s="12">
        <f t="shared" si="105"/>
        <v>6010956.1600000001</v>
      </c>
      <c r="V387" s="97">
        <f t="shared" si="106"/>
        <v>2.1205479452054792E-2</v>
      </c>
      <c r="W387" s="13">
        <f t="shared" si="107"/>
        <v>354.0700203835616</v>
      </c>
      <c r="X387" s="13">
        <f t="shared" si="108"/>
        <v>5303.9513144109578</v>
      </c>
      <c r="Y387" s="13">
        <f t="shared" si="109"/>
        <v>61.870762605783796</v>
      </c>
      <c r="AA387" s="11" t="s">
        <v>189</v>
      </c>
      <c r="AB387" s="98">
        <f t="shared" si="110"/>
        <v>15000000</v>
      </c>
      <c r="AC387" s="97">
        <f t="shared" si="111"/>
        <v>2.579E-2</v>
      </c>
      <c r="AD387" s="13">
        <f t="shared" si="96"/>
        <v>1074.5833333333333</v>
      </c>
      <c r="AE387" s="13">
        <f t="shared" si="112"/>
        <v>16118.750000000004</v>
      </c>
      <c r="AF387" s="13">
        <f t="shared" si="97"/>
        <v>345.41666666666663</v>
      </c>
      <c r="AH387" s="235">
        <f>'CT- € Ellipsis BNP'!X387</f>
        <v>100467914.90997277</v>
      </c>
      <c r="AI387" s="236">
        <f>'CT- € Ellipsis BNP'!AA387</f>
        <v>2.2439478578633043E-2</v>
      </c>
      <c r="AJ387" s="90">
        <f>'CT- € Ellipsis BNP'!W387</f>
        <v>6263.834422364831</v>
      </c>
      <c r="AK387" s="91">
        <f>'CT- € Ellipsis BNP'!AC387</f>
        <v>1402.7233112537197</v>
      </c>
      <c r="AM387" s="235">
        <f>'codeis €'!Z387</f>
        <v>67081476</v>
      </c>
      <c r="AN387" s="236">
        <f>'codeis €'!AF387</f>
        <v>2.0819937670163213E-2</v>
      </c>
      <c r="AO387" s="90">
        <f>'codeis €'!AC387</f>
        <v>3827.9999999925494</v>
      </c>
      <c r="AP387" s="91">
        <f>'codeis €'!AI387</f>
        <v>579.22996110366057</v>
      </c>
      <c r="AR387" s="12">
        <f t="shared" si="98"/>
        <v>202800347.06997278</v>
      </c>
      <c r="AS387" s="118">
        <f t="shared" si="113"/>
        <v>0.02</v>
      </c>
      <c r="AT387" s="118">
        <f t="shared" si="99"/>
        <v>2.2016621801175539E-2</v>
      </c>
      <c r="AU387" s="12">
        <f t="shared" si="100"/>
        <v>12352.664336196041</v>
      </c>
      <c r="AV387" s="12">
        <f t="shared" si="101"/>
        <v>2529.1950395293743</v>
      </c>
      <c r="AW387" s="19"/>
    </row>
    <row r="388" spans="2:49" x14ac:dyDescent="0.25">
      <c r="B388" s="9" t="str">
        <f t="shared" si="94"/>
        <v>1 2026</v>
      </c>
      <c r="C388" s="88">
        <f t="shared" si="114"/>
        <v>46037</v>
      </c>
      <c r="D388" s="88">
        <f t="shared" si="115"/>
        <v>46038</v>
      </c>
      <c r="E388" s="89">
        <f t="shared" si="95"/>
        <v>1</v>
      </c>
      <c r="G388" s="11" t="s">
        <v>7</v>
      </c>
      <c r="H388" s="135">
        <f>H387-700000</f>
        <v>1540000</v>
      </c>
      <c r="I388" s="14">
        <f t="shared" si="116"/>
        <v>1.7500000000000002E-2</v>
      </c>
      <c r="J388" s="13">
        <f t="shared" si="117"/>
        <v>74.861111111111114</v>
      </c>
      <c r="K388" s="13">
        <f t="shared" si="118"/>
        <v>2919.0972222222226</v>
      </c>
      <c r="M388" s="11" t="s">
        <v>7</v>
      </c>
      <c r="N388" s="12">
        <f t="shared" si="119"/>
        <v>12000000</v>
      </c>
      <c r="O388" s="97">
        <f t="shared" si="103"/>
        <v>2.1698630136986304E-2</v>
      </c>
      <c r="P388" s="112">
        <f t="shared" si="92"/>
        <v>723.28767123287685</v>
      </c>
      <c r="Q388" s="13">
        <f t="shared" si="120"/>
        <v>11572.602739726028</v>
      </c>
      <c r="R388" s="13">
        <f t="shared" si="93"/>
        <v>139.95433789954348</v>
      </c>
      <c r="T388" s="11" t="str">
        <f t="shared" si="104"/>
        <v>SG</v>
      </c>
      <c r="U388" s="12">
        <f t="shared" si="105"/>
        <v>6010956.1600000001</v>
      </c>
      <c r="V388" s="97">
        <f t="shared" si="106"/>
        <v>2.1205479452054792E-2</v>
      </c>
      <c r="W388" s="13">
        <f t="shared" si="107"/>
        <v>354.0700203835616</v>
      </c>
      <c r="X388" s="13">
        <f t="shared" si="108"/>
        <v>5658.0213347945191</v>
      </c>
      <c r="Y388" s="13">
        <f t="shared" si="109"/>
        <v>61.870762605783796</v>
      </c>
      <c r="AA388" s="11" t="s">
        <v>189</v>
      </c>
      <c r="AB388" s="98">
        <f t="shared" si="110"/>
        <v>15000000</v>
      </c>
      <c r="AC388" s="97">
        <f t="shared" si="111"/>
        <v>2.579E-2</v>
      </c>
      <c r="AD388" s="13">
        <f t="shared" si="96"/>
        <v>1074.5833333333333</v>
      </c>
      <c r="AE388" s="13">
        <f t="shared" si="112"/>
        <v>17193.333333333336</v>
      </c>
      <c r="AF388" s="13">
        <f t="shared" si="97"/>
        <v>345.41666666666663</v>
      </c>
      <c r="AH388" s="235">
        <f>'CT- € Ellipsis BNP'!X388</f>
        <v>100474178.74439514</v>
      </c>
      <c r="AI388" s="236">
        <f>'CT- € Ellipsis BNP'!AA388</f>
        <v>2.2439478578633043E-2</v>
      </c>
      <c r="AJ388" s="90">
        <f>'CT- € Ellipsis BNP'!W388</f>
        <v>6263.834422364831</v>
      </c>
      <c r="AK388" s="91">
        <f>'CT- € Ellipsis BNP'!AC388</f>
        <v>1402.7233112537197</v>
      </c>
      <c r="AM388" s="235">
        <f>'codeis €'!Z388</f>
        <v>67085370</v>
      </c>
      <c r="AN388" s="236">
        <f>'codeis €'!AF388</f>
        <v>2.0819937670163213E-2</v>
      </c>
      <c r="AO388" s="90">
        <f>'codeis €'!AC388</f>
        <v>3894</v>
      </c>
      <c r="AP388" s="91">
        <f>'codeis €'!AI388</f>
        <v>645.22996111111115</v>
      </c>
      <c r="AR388" s="12">
        <f t="shared" si="98"/>
        <v>202110504.90439513</v>
      </c>
      <c r="AS388" s="118">
        <f t="shared" si="113"/>
        <v>0.02</v>
      </c>
      <c r="AT388" s="118">
        <f t="shared" si="99"/>
        <v>2.2032254952352667E-2</v>
      </c>
      <c r="AU388" s="12">
        <f t="shared" si="100"/>
        <v>12384.636558425715</v>
      </c>
      <c r="AV388" s="12">
        <f t="shared" si="101"/>
        <v>2595.1950395368249</v>
      </c>
      <c r="AW388" s="19"/>
    </row>
    <row r="389" spans="2:49" x14ac:dyDescent="0.25">
      <c r="B389" s="9" t="str">
        <f t="shared" si="94"/>
        <v>1 2026</v>
      </c>
      <c r="C389" s="88">
        <f t="shared" si="114"/>
        <v>46038</v>
      </c>
      <c r="D389" s="88">
        <f t="shared" si="115"/>
        <v>46039</v>
      </c>
      <c r="E389" s="89">
        <f t="shared" si="95"/>
        <v>1</v>
      </c>
      <c r="G389" s="11" t="s">
        <v>7</v>
      </c>
      <c r="H389" s="12">
        <f t="shared" si="102"/>
        <v>1540000</v>
      </c>
      <c r="I389" s="14">
        <f t="shared" si="116"/>
        <v>1.7500000000000002E-2</v>
      </c>
      <c r="J389" s="13">
        <f t="shared" si="117"/>
        <v>74.861111111111114</v>
      </c>
      <c r="K389" s="13">
        <f t="shared" si="118"/>
        <v>2993.9583333333339</v>
      </c>
      <c r="M389" s="11" t="s">
        <v>7</v>
      </c>
      <c r="N389" s="12">
        <f t="shared" si="119"/>
        <v>12000000</v>
      </c>
      <c r="O389" s="97">
        <f t="shared" si="103"/>
        <v>2.1698630136986304E-2</v>
      </c>
      <c r="P389" s="112">
        <f t="shared" si="92"/>
        <v>723.28767123287685</v>
      </c>
      <c r="Q389" s="13">
        <f t="shared" si="120"/>
        <v>12295.890410958904</v>
      </c>
      <c r="R389" s="13">
        <f t="shared" si="93"/>
        <v>139.95433789954348</v>
      </c>
      <c r="T389" s="11" t="str">
        <f t="shared" si="104"/>
        <v>SG</v>
      </c>
      <c r="U389" s="12">
        <f t="shared" si="105"/>
        <v>6010956.1600000001</v>
      </c>
      <c r="V389" s="97">
        <f t="shared" si="106"/>
        <v>2.1205479452054792E-2</v>
      </c>
      <c r="W389" s="13">
        <f t="shared" si="107"/>
        <v>354.0700203835616</v>
      </c>
      <c r="X389" s="13">
        <f t="shared" si="108"/>
        <v>6012.0913551780804</v>
      </c>
      <c r="Y389" s="13">
        <f t="shared" si="109"/>
        <v>61.870762605783796</v>
      </c>
      <c r="AA389" s="11" t="s">
        <v>189</v>
      </c>
      <c r="AB389" s="98">
        <f t="shared" si="110"/>
        <v>15000000</v>
      </c>
      <c r="AC389" s="97">
        <f t="shared" si="111"/>
        <v>2.579E-2</v>
      </c>
      <c r="AD389" s="13">
        <f t="shared" si="96"/>
        <v>1074.5833333333333</v>
      </c>
      <c r="AE389" s="13">
        <f t="shared" si="112"/>
        <v>18267.916666666668</v>
      </c>
      <c r="AF389" s="13">
        <f t="shared" si="97"/>
        <v>345.41666666666663</v>
      </c>
      <c r="AH389" s="235">
        <f>'CT- € Ellipsis BNP'!X389</f>
        <v>100480442.57881752</v>
      </c>
      <c r="AI389" s="236">
        <f>'CT- € Ellipsis BNP'!AA389</f>
        <v>2.2439478578633043E-2</v>
      </c>
      <c r="AJ389" s="90">
        <f>'CT- € Ellipsis BNP'!W389</f>
        <v>6263.8344223797321</v>
      </c>
      <c r="AK389" s="91">
        <f>'CT- € Ellipsis BNP'!AC389</f>
        <v>1402.7233112686208</v>
      </c>
      <c r="AM389" s="235">
        <f>'codeis €'!Z389</f>
        <v>67089264.000000007</v>
      </c>
      <c r="AN389" s="236">
        <f>'codeis €'!AF389</f>
        <v>2.0819937670163213E-2</v>
      </c>
      <c r="AO389" s="90">
        <f>'codeis €'!AC389</f>
        <v>3894.0000000074506</v>
      </c>
      <c r="AP389" s="91">
        <f>'codeis €'!AI389</f>
        <v>645.22996111856173</v>
      </c>
      <c r="AR389" s="12">
        <f t="shared" si="98"/>
        <v>202120662.73881751</v>
      </c>
      <c r="AS389" s="118">
        <f t="shared" si="113"/>
        <v>0.02</v>
      </c>
      <c r="AT389" s="118">
        <f t="shared" si="99"/>
        <v>2.2032244216279966E-2</v>
      </c>
      <c r="AU389" s="12">
        <f t="shared" si="100"/>
        <v>12384.636558448066</v>
      </c>
      <c r="AV389" s="12">
        <f t="shared" si="101"/>
        <v>2595.1950395591766</v>
      </c>
      <c r="AW389" s="19"/>
    </row>
    <row r="390" spans="2:49" x14ac:dyDescent="0.25">
      <c r="B390" s="9" t="str">
        <f t="shared" si="94"/>
        <v>1 2026</v>
      </c>
      <c r="C390" s="88">
        <f t="shared" si="114"/>
        <v>46039</v>
      </c>
      <c r="D390" s="88">
        <f t="shared" si="115"/>
        <v>46040</v>
      </c>
      <c r="E390" s="89">
        <f t="shared" si="95"/>
        <v>1</v>
      </c>
      <c r="G390" s="11" t="s">
        <v>7</v>
      </c>
      <c r="H390" s="12">
        <f t="shared" si="102"/>
        <v>1540000</v>
      </c>
      <c r="I390" s="14">
        <f t="shared" si="116"/>
        <v>1.7500000000000002E-2</v>
      </c>
      <c r="J390" s="13">
        <f t="shared" si="117"/>
        <v>74.861111111111114</v>
      </c>
      <c r="K390" s="13">
        <f t="shared" si="118"/>
        <v>3068.8194444444453</v>
      </c>
      <c r="M390" s="11" t="s">
        <v>7</v>
      </c>
      <c r="N390" s="12">
        <f t="shared" si="119"/>
        <v>12000000</v>
      </c>
      <c r="O390" s="97">
        <f t="shared" si="103"/>
        <v>2.1698630136986304E-2</v>
      </c>
      <c r="P390" s="112">
        <f t="shared" si="92"/>
        <v>723.28767123287685</v>
      </c>
      <c r="Q390" s="13">
        <f t="shared" si="120"/>
        <v>13019.17808219178</v>
      </c>
      <c r="R390" s="13">
        <f t="shared" si="93"/>
        <v>139.95433789954348</v>
      </c>
      <c r="T390" s="11" t="str">
        <f t="shared" si="104"/>
        <v>SG</v>
      </c>
      <c r="U390" s="12">
        <f t="shared" si="105"/>
        <v>6010956.1600000001</v>
      </c>
      <c r="V390" s="97">
        <f t="shared" si="106"/>
        <v>2.1205479452054792E-2</v>
      </c>
      <c r="W390" s="13">
        <f t="shared" si="107"/>
        <v>354.0700203835616</v>
      </c>
      <c r="X390" s="13">
        <f t="shared" si="108"/>
        <v>6366.1613755616418</v>
      </c>
      <c r="Y390" s="13">
        <f t="shared" si="109"/>
        <v>61.870762605783796</v>
      </c>
      <c r="AA390" s="11" t="s">
        <v>189</v>
      </c>
      <c r="AB390" s="98">
        <f t="shared" si="110"/>
        <v>15000000</v>
      </c>
      <c r="AC390" s="97">
        <f t="shared" si="111"/>
        <v>2.579E-2</v>
      </c>
      <c r="AD390" s="13">
        <f t="shared" si="96"/>
        <v>1074.5833333333333</v>
      </c>
      <c r="AE390" s="13">
        <f t="shared" si="112"/>
        <v>19342.5</v>
      </c>
      <c r="AF390" s="13">
        <f t="shared" si="97"/>
        <v>345.41666666666663</v>
      </c>
      <c r="AH390" s="235">
        <f>'CT- € Ellipsis BNP'!X390</f>
        <v>100480442.57881752</v>
      </c>
      <c r="AI390" s="236">
        <f>'CT- € Ellipsis BNP'!AA390</f>
        <v>2.2439478578633043E-2</v>
      </c>
      <c r="AJ390" s="90">
        <f>'CT- € Ellipsis BNP'!W390</f>
        <v>0</v>
      </c>
      <c r="AK390" s="91">
        <f>'CT- € Ellipsis BNP'!AC390</f>
        <v>-4861.1111111111113</v>
      </c>
      <c r="AM390" s="235">
        <f>'codeis €'!Z390</f>
        <v>67089264.000000007</v>
      </c>
      <c r="AN390" s="236">
        <f>'codeis €'!AF390</f>
        <v>2.0819937670163213E-2</v>
      </c>
      <c r="AO390" s="90">
        <f>'codeis €'!AC390</f>
        <v>0</v>
      </c>
      <c r="AP390" s="91">
        <f>'codeis €'!AI390</f>
        <v>-3248.7700388888888</v>
      </c>
      <c r="AR390" s="12">
        <f t="shared" si="98"/>
        <v>202120662.73881751</v>
      </c>
      <c r="AS390" s="118">
        <f t="shared" si="113"/>
        <v>0.02</v>
      </c>
      <c r="AT390" s="118">
        <f t="shared" si="99"/>
        <v>2.2032244216279966E-2</v>
      </c>
      <c r="AU390" s="12">
        <f t="shared" si="100"/>
        <v>2226.8021360608827</v>
      </c>
      <c r="AV390" s="12">
        <f t="shared" si="101"/>
        <v>-7562.6393828280061</v>
      </c>
      <c r="AW390" s="19"/>
    </row>
    <row r="391" spans="2:49" x14ac:dyDescent="0.25">
      <c r="B391" s="9" t="str">
        <f t="shared" si="94"/>
        <v>1 2026</v>
      </c>
      <c r="C391" s="88">
        <f t="shared" si="114"/>
        <v>46040</v>
      </c>
      <c r="D391" s="88">
        <f t="shared" si="115"/>
        <v>46041</v>
      </c>
      <c r="E391" s="89">
        <f t="shared" si="95"/>
        <v>1</v>
      </c>
      <c r="G391" s="11" t="s">
        <v>7</v>
      </c>
      <c r="H391" s="12">
        <f t="shared" si="102"/>
        <v>1540000</v>
      </c>
      <c r="I391" s="14">
        <f t="shared" si="116"/>
        <v>1.7500000000000002E-2</v>
      </c>
      <c r="J391" s="13">
        <f t="shared" si="117"/>
        <v>74.861111111111114</v>
      </c>
      <c r="K391" s="13">
        <f t="shared" si="118"/>
        <v>3143.6805555555566</v>
      </c>
      <c r="M391" s="11" t="s">
        <v>7</v>
      </c>
      <c r="N391" s="12">
        <f t="shared" si="119"/>
        <v>12000000</v>
      </c>
      <c r="O391" s="97">
        <f t="shared" si="103"/>
        <v>2.1698630136986304E-2</v>
      </c>
      <c r="P391" s="112">
        <f t="shared" si="92"/>
        <v>723.28767123287685</v>
      </c>
      <c r="Q391" s="13">
        <f t="shared" si="120"/>
        <v>13742.465753424656</v>
      </c>
      <c r="R391" s="13">
        <f t="shared" si="93"/>
        <v>139.95433789954348</v>
      </c>
      <c r="T391" s="11" t="str">
        <f t="shared" si="104"/>
        <v>SG</v>
      </c>
      <c r="U391" s="12">
        <f t="shared" si="105"/>
        <v>6010956.1600000001</v>
      </c>
      <c r="V391" s="97">
        <f t="shared" si="106"/>
        <v>2.1205479452054792E-2</v>
      </c>
      <c r="W391" s="13">
        <f t="shared" si="107"/>
        <v>354.0700203835616</v>
      </c>
      <c r="X391" s="13">
        <f t="shared" si="108"/>
        <v>6720.2313959452031</v>
      </c>
      <c r="Y391" s="13">
        <f t="shared" si="109"/>
        <v>61.870762605783796</v>
      </c>
      <c r="AA391" s="11" t="s">
        <v>189</v>
      </c>
      <c r="AB391" s="98">
        <f t="shared" si="110"/>
        <v>15000000</v>
      </c>
      <c r="AC391" s="97">
        <f t="shared" si="111"/>
        <v>2.579E-2</v>
      </c>
      <c r="AD391" s="13">
        <f t="shared" si="96"/>
        <v>1074.5833333333333</v>
      </c>
      <c r="AE391" s="13">
        <f t="shared" si="112"/>
        <v>20417.083333333332</v>
      </c>
      <c r="AF391" s="13">
        <f t="shared" si="97"/>
        <v>345.41666666666663</v>
      </c>
      <c r="AH391" s="235">
        <f>'CT- € Ellipsis BNP'!X391</f>
        <v>100480442.57881752</v>
      </c>
      <c r="AI391" s="236">
        <f>'CT- € Ellipsis BNP'!AA391</f>
        <v>2.2439478578633043E-2</v>
      </c>
      <c r="AJ391" s="90">
        <f>'CT- € Ellipsis BNP'!W391</f>
        <v>0</v>
      </c>
      <c r="AK391" s="91">
        <f>'CT- € Ellipsis BNP'!AC391</f>
        <v>-4861.1111111111113</v>
      </c>
      <c r="AM391" s="235">
        <f>'codeis €'!Z391</f>
        <v>67089264.000000007</v>
      </c>
      <c r="AN391" s="236">
        <f>'codeis €'!AF391</f>
        <v>2.0819937670163213E-2</v>
      </c>
      <c r="AO391" s="90">
        <f>'codeis €'!AC391</f>
        <v>0</v>
      </c>
      <c r="AP391" s="91">
        <f>'codeis €'!AI391</f>
        <v>-3248.7700388888888</v>
      </c>
      <c r="AR391" s="12">
        <f t="shared" si="98"/>
        <v>202120662.73881751</v>
      </c>
      <c r="AS391" s="118">
        <f t="shared" si="113"/>
        <v>0.02</v>
      </c>
      <c r="AT391" s="118">
        <f t="shared" si="99"/>
        <v>2.2032244216279966E-2</v>
      </c>
      <c r="AU391" s="12">
        <f t="shared" si="100"/>
        <v>2226.8021360608827</v>
      </c>
      <c r="AV391" s="12">
        <f t="shared" si="101"/>
        <v>-7562.6393828280061</v>
      </c>
      <c r="AW391" s="19"/>
    </row>
    <row r="392" spans="2:49" x14ac:dyDescent="0.25">
      <c r="B392" s="9" t="str">
        <f t="shared" si="94"/>
        <v>1 2026</v>
      </c>
      <c r="C392" s="88">
        <f t="shared" si="114"/>
        <v>46041</v>
      </c>
      <c r="D392" s="88">
        <f t="shared" si="115"/>
        <v>46042</v>
      </c>
      <c r="E392" s="89">
        <f t="shared" si="95"/>
        <v>1</v>
      </c>
      <c r="G392" s="11" t="s">
        <v>7</v>
      </c>
      <c r="H392" s="12">
        <f t="shared" si="102"/>
        <v>1540000</v>
      </c>
      <c r="I392" s="14">
        <f t="shared" si="116"/>
        <v>1.7500000000000002E-2</v>
      </c>
      <c r="J392" s="13">
        <f t="shared" si="117"/>
        <v>74.861111111111114</v>
      </c>
      <c r="K392" s="13">
        <f t="shared" si="118"/>
        <v>3218.5416666666679</v>
      </c>
      <c r="M392" s="11" t="s">
        <v>7</v>
      </c>
      <c r="N392" s="12">
        <f t="shared" ref="N392:O439" si="121">N391</f>
        <v>12000000</v>
      </c>
      <c r="O392" s="97">
        <f t="shared" si="103"/>
        <v>2.1698630136986304E-2</v>
      </c>
      <c r="P392" s="112">
        <f t="shared" si="92"/>
        <v>723.28767123287685</v>
      </c>
      <c r="Q392" s="13">
        <f t="shared" si="120"/>
        <v>14465.753424657532</v>
      </c>
      <c r="R392" s="13">
        <f t="shared" si="93"/>
        <v>139.95433789954348</v>
      </c>
      <c r="T392" s="11" t="str">
        <f t="shared" si="104"/>
        <v>SG</v>
      </c>
      <c r="U392" s="12">
        <f t="shared" si="105"/>
        <v>6010956.1600000001</v>
      </c>
      <c r="V392" s="97">
        <f t="shared" si="106"/>
        <v>2.1205479452054792E-2</v>
      </c>
      <c r="W392" s="13">
        <f t="shared" si="107"/>
        <v>354.0700203835616</v>
      </c>
      <c r="X392" s="13">
        <f t="shared" si="108"/>
        <v>7074.3014163287644</v>
      </c>
      <c r="Y392" s="13">
        <f t="shared" si="109"/>
        <v>61.870762605783796</v>
      </c>
      <c r="AA392" s="11" t="s">
        <v>189</v>
      </c>
      <c r="AB392" s="98">
        <f t="shared" si="110"/>
        <v>15000000</v>
      </c>
      <c r="AC392" s="97">
        <f t="shared" si="111"/>
        <v>2.579E-2</v>
      </c>
      <c r="AD392" s="13">
        <f t="shared" si="96"/>
        <v>1074.5833333333333</v>
      </c>
      <c r="AE392" s="13">
        <f t="shared" si="112"/>
        <v>21491.666666666664</v>
      </c>
      <c r="AF392" s="13">
        <f t="shared" si="97"/>
        <v>345.41666666666663</v>
      </c>
      <c r="AH392" s="235">
        <f>'CT- € Ellipsis BNP'!X392</f>
        <v>100499135.53797564</v>
      </c>
      <c r="AI392" s="236">
        <f>'CT- € Ellipsis BNP'!AA392</f>
        <v>2.2439478578633043E-2</v>
      </c>
      <c r="AJ392" s="90">
        <f>'CT- € Ellipsis BNP'!W392</f>
        <v>18692.95915812254</v>
      </c>
      <c r="AK392" s="91">
        <f>'CT- € Ellipsis BNP'!AC392</f>
        <v>13831.848047011428</v>
      </c>
      <c r="AM392" s="235">
        <f>'codeis €'!Z392</f>
        <v>67100880</v>
      </c>
      <c r="AN392" s="236">
        <f>'codeis €'!AF392</f>
        <v>2.0819937670163213E-2</v>
      </c>
      <c r="AO392" s="90">
        <f>'codeis €'!AC392</f>
        <v>11615.999999992549</v>
      </c>
      <c r="AP392" s="91">
        <f>'codeis €'!AI392</f>
        <v>8367.2299611036615</v>
      </c>
      <c r="AR392" s="12">
        <f t="shared" si="98"/>
        <v>202150971.69797564</v>
      </c>
      <c r="AS392" s="118">
        <f t="shared" si="113"/>
        <v>0.02</v>
      </c>
      <c r="AT392" s="118">
        <f t="shared" si="99"/>
        <v>2.2032212211795979E-2</v>
      </c>
      <c r="AU392" s="12">
        <f t="shared" si="100"/>
        <v>32535.761294175973</v>
      </c>
      <c r="AV392" s="12">
        <f t="shared" si="101"/>
        <v>22746.319775287084</v>
      </c>
      <c r="AW392" s="19"/>
    </row>
    <row r="393" spans="2:49" x14ac:dyDescent="0.25">
      <c r="B393" s="9" t="str">
        <f t="shared" si="94"/>
        <v>1 2026</v>
      </c>
      <c r="C393" s="88">
        <f t="shared" si="114"/>
        <v>46042</v>
      </c>
      <c r="D393" s="88">
        <f t="shared" si="115"/>
        <v>46043</v>
      </c>
      <c r="E393" s="89">
        <f t="shared" si="95"/>
        <v>1</v>
      </c>
      <c r="G393" s="11" t="s">
        <v>7</v>
      </c>
      <c r="H393" s="285">
        <f>H392+570000</f>
        <v>2110000</v>
      </c>
      <c r="I393" s="14">
        <f t="shared" si="116"/>
        <v>1.7500000000000002E-2</v>
      </c>
      <c r="J393" s="13">
        <f t="shared" si="117"/>
        <v>102.56944444444444</v>
      </c>
      <c r="K393" s="13">
        <f t="shared" si="118"/>
        <v>3321.1111111111122</v>
      </c>
      <c r="M393" s="11" t="s">
        <v>7</v>
      </c>
      <c r="N393" s="12">
        <f t="shared" si="121"/>
        <v>12000000</v>
      </c>
      <c r="O393" s="97">
        <f t="shared" si="103"/>
        <v>2.1698630136986304E-2</v>
      </c>
      <c r="P393" s="112">
        <f t="shared" si="92"/>
        <v>723.28767123287685</v>
      </c>
      <c r="Q393" s="13">
        <f t="shared" si="120"/>
        <v>15189.041095890409</v>
      </c>
      <c r="R393" s="13">
        <f t="shared" si="93"/>
        <v>139.95433789954348</v>
      </c>
      <c r="T393" s="11" t="str">
        <f t="shared" si="104"/>
        <v>SG</v>
      </c>
      <c r="U393" s="12">
        <f t="shared" si="105"/>
        <v>6010956.1600000001</v>
      </c>
      <c r="V393" s="97">
        <f t="shared" si="106"/>
        <v>2.1205479452054792E-2</v>
      </c>
      <c r="W393" s="13">
        <f t="shared" si="107"/>
        <v>354.0700203835616</v>
      </c>
      <c r="X393" s="13">
        <f t="shared" si="108"/>
        <v>7428.3714367123257</v>
      </c>
      <c r="Y393" s="13">
        <f t="shared" si="109"/>
        <v>61.870762605783796</v>
      </c>
      <c r="AA393" s="11" t="s">
        <v>189</v>
      </c>
      <c r="AB393" s="98">
        <f t="shared" si="110"/>
        <v>15000000</v>
      </c>
      <c r="AC393" s="97">
        <f t="shared" si="111"/>
        <v>2.579E-2</v>
      </c>
      <c r="AD393" s="13">
        <f t="shared" si="96"/>
        <v>1074.5833333333333</v>
      </c>
      <c r="AE393" s="13">
        <f t="shared" si="112"/>
        <v>22566.249999999996</v>
      </c>
      <c r="AF393" s="13">
        <f t="shared" si="97"/>
        <v>345.41666666666663</v>
      </c>
      <c r="AH393" s="235">
        <f>'CT- € Ellipsis BNP'!X393</f>
        <v>100505399.37239799</v>
      </c>
      <c r="AI393" s="236">
        <f>'CT- € Ellipsis BNP'!AA393</f>
        <v>2.2439478578633043E-2</v>
      </c>
      <c r="AJ393" s="90">
        <f>'CT- € Ellipsis BNP'!W393</f>
        <v>6263.8344223499298</v>
      </c>
      <c r="AK393" s="91">
        <f>'CT- € Ellipsis BNP'!AC393</f>
        <v>1402.7233112388185</v>
      </c>
      <c r="AM393" s="235">
        <f>'codeis €'!Z393</f>
        <v>67104774.000000007</v>
      </c>
      <c r="AN393" s="236">
        <f>'codeis €'!AF393</f>
        <v>2.0819937670163213E-2</v>
      </c>
      <c r="AO393" s="90">
        <f>'codeis €'!AC393</f>
        <v>3894.0000000074506</v>
      </c>
      <c r="AP393" s="91">
        <f>'codeis €'!AI393</f>
        <v>645.22996111856173</v>
      </c>
      <c r="AR393" s="12">
        <f t="shared" si="98"/>
        <v>202731129.53239799</v>
      </c>
      <c r="AS393" s="118">
        <f t="shared" si="113"/>
        <v>0.02</v>
      </c>
      <c r="AT393" s="118">
        <f t="shared" si="99"/>
        <v>2.201945871649082E-2</v>
      </c>
      <c r="AU393" s="12">
        <f t="shared" si="100"/>
        <v>12412.344891751596</v>
      </c>
      <c r="AV393" s="12">
        <f t="shared" si="101"/>
        <v>2595.1950395293743</v>
      </c>
      <c r="AW393" s="19"/>
    </row>
    <row r="394" spans="2:49" x14ac:dyDescent="0.25">
      <c r="B394" s="9" t="str">
        <f t="shared" si="94"/>
        <v>1 2026</v>
      </c>
      <c r="C394" s="88">
        <f t="shared" si="114"/>
        <v>46043</v>
      </c>
      <c r="D394" s="88">
        <f t="shared" si="115"/>
        <v>46044</v>
      </c>
      <c r="E394" s="89">
        <f t="shared" si="95"/>
        <v>1</v>
      </c>
      <c r="G394" s="11" t="s">
        <v>7</v>
      </c>
      <c r="H394" s="12">
        <f t="shared" si="102"/>
        <v>2110000</v>
      </c>
      <c r="I394" s="14">
        <f t="shared" si="116"/>
        <v>1.7500000000000002E-2</v>
      </c>
      <c r="J394" s="13">
        <f t="shared" si="117"/>
        <v>102.56944444444444</v>
      </c>
      <c r="K394" s="13">
        <f t="shared" si="118"/>
        <v>3423.6805555555566</v>
      </c>
      <c r="M394" s="11" t="s">
        <v>7</v>
      </c>
      <c r="N394" s="12">
        <f t="shared" si="121"/>
        <v>12000000</v>
      </c>
      <c r="O394" s="97">
        <f t="shared" si="103"/>
        <v>2.1698630136986304E-2</v>
      </c>
      <c r="P394" s="112">
        <f t="shared" si="92"/>
        <v>723.28767123287685</v>
      </c>
      <c r="Q394" s="13">
        <f t="shared" si="120"/>
        <v>15912.328767123285</v>
      </c>
      <c r="R394" s="13">
        <f t="shared" si="93"/>
        <v>139.95433789954348</v>
      </c>
      <c r="T394" s="11" t="str">
        <f t="shared" si="104"/>
        <v>SG</v>
      </c>
      <c r="U394" s="12">
        <f t="shared" si="105"/>
        <v>6010956.1600000001</v>
      </c>
      <c r="V394" s="97">
        <f t="shared" si="106"/>
        <v>2.1205479452054792E-2</v>
      </c>
      <c r="W394" s="13">
        <f t="shared" si="107"/>
        <v>354.0700203835616</v>
      </c>
      <c r="X394" s="13">
        <f t="shared" si="108"/>
        <v>7782.441457095887</v>
      </c>
      <c r="Y394" s="13">
        <f t="shared" si="109"/>
        <v>61.870762605783796</v>
      </c>
      <c r="AA394" s="11" t="s">
        <v>189</v>
      </c>
      <c r="AB394" s="98">
        <f t="shared" si="110"/>
        <v>15000000</v>
      </c>
      <c r="AC394" s="97">
        <f t="shared" si="111"/>
        <v>2.579E-2</v>
      </c>
      <c r="AD394" s="13">
        <f t="shared" si="96"/>
        <v>1074.5833333333333</v>
      </c>
      <c r="AE394" s="13">
        <f t="shared" si="112"/>
        <v>23640.833333333328</v>
      </c>
      <c r="AF394" s="13">
        <f t="shared" si="97"/>
        <v>345.41666666666663</v>
      </c>
      <c r="AH394" s="235">
        <f>'CT- € Ellipsis BNP'!X394</f>
        <v>100505399.37239799</v>
      </c>
      <c r="AI394" s="236">
        <f>'CT- € Ellipsis BNP'!AA394</f>
        <v>2.2439478578633043E-2</v>
      </c>
      <c r="AJ394" s="90">
        <f>'CT- € Ellipsis BNP'!W394</f>
        <v>0</v>
      </c>
      <c r="AK394" s="91">
        <f>'CT- € Ellipsis BNP'!AC394</f>
        <v>-4861.1111111111113</v>
      </c>
      <c r="AM394" s="235">
        <f>'codeis €'!Z394</f>
        <v>67108668.000000007</v>
      </c>
      <c r="AN394" s="236">
        <f>'codeis €'!AF394</f>
        <v>2.0819937670163213E-2</v>
      </c>
      <c r="AO394" s="90">
        <f>'codeis €'!AC394</f>
        <v>3894</v>
      </c>
      <c r="AP394" s="91">
        <f>'codeis €'!AI394</f>
        <v>645.22996111111115</v>
      </c>
      <c r="AR394" s="12">
        <f t="shared" si="98"/>
        <v>202735023.53239799</v>
      </c>
      <c r="AS394" s="118">
        <f t="shared" si="113"/>
        <v>0.02</v>
      </c>
      <c r="AT394" s="118">
        <f t="shared" si="99"/>
        <v>2.2019435676885364E-2</v>
      </c>
      <c r="AU394" s="12">
        <f t="shared" si="100"/>
        <v>6148.5104693942158</v>
      </c>
      <c r="AV394" s="12">
        <f t="shared" si="101"/>
        <v>-3668.6393828280061</v>
      </c>
      <c r="AW394" s="19"/>
    </row>
    <row r="395" spans="2:49" x14ac:dyDescent="0.25">
      <c r="B395" s="9" t="str">
        <f t="shared" si="94"/>
        <v>1 2026</v>
      </c>
      <c r="C395" s="88">
        <f t="shared" si="114"/>
        <v>46044</v>
      </c>
      <c r="D395" s="88">
        <f t="shared" si="115"/>
        <v>46045</v>
      </c>
      <c r="E395" s="89">
        <f t="shared" si="95"/>
        <v>1</v>
      </c>
      <c r="G395" s="11" t="s">
        <v>7</v>
      </c>
      <c r="H395" s="12">
        <f t="shared" si="102"/>
        <v>2110000</v>
      </c>
      <c r="I395" s="14">
        <f t="shared" si="116"/>
        <v>1.7500000000000002E-2</v>
      </c>
      <c r="J395" s="13">
        <f t="shared" si="117"/>
        <v>102.56944444444444</v>
      </c>
      <c r="K395" s="13">
        <f t="shared" si="118"/>
        <v>3526.2500000000009</v>
      </c>
      <c r="M395" s="11" t="s">
        <v>7</v>
      </c>
      <c r="N395" s="12">
        <f t="shared" si="121"/>
        <v>12000000</v>
      </c>
      <c r="O395" s="97">
        <f t="shared" si="103"/>
        <v>2.1698630136986304E-2</v>
      </c>
      <c r="P395" s="112">
        <f t="shared" si="92"/>
        <v>723.28767123287685</v>
      </c>
      <c r="Q395" s="13">
        <f t="shared" si="120"/>
        <v>16635.616438356163</v>
      </c>
      <c r="R395" s="13">
        <f t="shared" si="93"/>
        <v>139.95433789954348</v>
      </c>
      <c r="T395" s="11" t="str">
        <f t="shared" si="104"/>
        <v>SG</v>
      </c>
      <c r="U395" s="12">
        <f t="shared" si="105"/>
        <v>6010956.1600000001</v>
      </c>
      <c r="V395" s="97">
        <f t="shared" si="106"/>
        <v>2.1205479452054792E-2</v>
      </c>
      <c r="W395" s="13">
        <f t="shared" si="107"/>
        <v>354.0700203835616</v>
      </c>
      <c r="X395" s="13">
        <f t="shared" si="108"/>
        <v>8136.5114774794483</v>
      </c>
      <c r="Y395" s="13">
        <f t="shared" si="109"/>
        <v>61.870762605783796</v>
      </c>
      <c r="AA395" s="11" t="s">
        <v>189</v>
      </c>
      <c r="AB395" s="98">
        <f t="shared" si="110"/>
        <v>15000000</v>
      </c>
      <c r="AC395" s="97">
        <f t="shared" si="111"/>
        <v>2.579E-2</v>
      </c>
      <c r="AD395" s="13">
        <f t="shared" si="96"/>
        <v>1074.5833333333333</v>
      </c>
      <c r="AE395" s="13">
        <f t="shared" si="112"/>
        <v>24715.416666666661</v>
      </c>
      <c r="AF395" s="13">
        <f t="shared" si="97"/>
        <v>345.41666666666663</v>
      </c>
      <c r="AH395" s="235">
        <f>'CT- € Ellipsis BNP'!X395</f>
        <v>100517927.04124273</v>
      </c>
      <c r="AI395" s="236">
        <f>'CT- € Ellipsis BNP'!AA395</f>
        <v>2.2439478578633043E-2</v>
      </c>
      <c r="AJ395" s="90">
        <f>'CT- € Ellipsis BNP'!W395</f>
        <v>12527.668844744563</v>
      </c>
      <c r="AK395" s="91">
        <f>'CT- € Ellipsis BNP'!AC395</f>
        <v>7666.5577336334518</v>
      </c>
      <c r="AM395" s="235">
        <f>'codeis €'!Z395</f>
        <v>67112496</v>
      </c>
      <c r="AN395" s="236">
        <f>'codeis €'!AF395</f>
        <v>2.0819937670163213E-2</v>
      </c>
      <c r="AO395" s="90">
        <f>'codeis €'!AC395</f>
        <v>3827.9999999925494</v>
      </c>
      <c r="AP395" s="91">
        <f>'codeis €'!AI395</f>
        <v>579.22996110366057</v>
      </c>
      <c r="AR395" s="12">
        <f t="shared" si="98"/>
        <v>202751379.20124272</v>
      </c>
      <c r="AS395" s="118">
        <f t="shared" si="113"/>
        <v>0.02</v>
      </c>
      <c r="AT395" s="118">
        <f t="shared" si="99"/>
        <v>2.2019438983792605E-2</v>
      </c>
      <c r="AU395" s="12">
        <f t="shared" si="100"/>
        <v>18610.179314131328</v>
      </c>
      <c r="AV395" s="12">
        <f t="shared" si="101"/>
        <v>8793.0294619091073</v>
      </c>
      <c r="AW395" s="19"/>
    </row>
    <row r="396" spans="2:49" x14ac:dyDescent="0.25">
      <c r="B396" s="9" t="str">
        <f t="shared" si="94"/>
        <v>1 2026</v>
      </c>
      <c r="C396" s="88">
        <f t="shared" si="114"/>
        <v>46045</v>
      </c>
      <c r="D396" s="88">
        <f t="shared" si="115"/>
        <v>46046</v>
      </c>
      <c r="E396" s="89">
        <f t="shared" si="95"/>
        <v>1</v>
      </c>
      <c r="G396" s="11" t="s">
        <v>7</v>
      </c>
      <c r="H396" s="12">
        <f t="shared" si="102"/>
        <v>2110000</v>
      </c>
      <c r="I396" s="14">
        <f t="shared" si="116"/>
        <v>1.7500000000000002E-2</v>
      </c>
      <c r="J396" s="13">
        <f t="shared" si="117"/>
        <v>102.56944444444444</v>
      </c>
      <c r="K396" s="13">
        <f t="shared" si="118"/>
        <v>3628.8194444444453</v>
      </c>
      <c r="M396" s="11" t="s">
        <v>7</v>
      </c>
      <c r="N396" s="12">
        <f t="shared" si="121"/>
        <v>12000000</v>
      </c>
      <c r="O396" s="97">
        <f t="shared" si="103"/>
        <v>2.1698630136986304E-2</v>
      </c>
      <c r="P396" s="112">
        <f t="shared" si="92"/>
        <v>723.28767123287685</v>
      </c>
      <c r="Q396" s="13">
        <f t="shared" si="120"/>
        <v>17358.904109589039</v>
      </c>
      <c r="R396" s="13">
        <f t="shared" si="93"/>
        <v>139.95433789954348</v>
      </c>
      <c r="T396" s="11" t="str">
        <f t="shared" si="104"/>
        <v>SG</v>
      </c>
      <c r="U396" s="12">
        <f t="shared" si="105"/>
        <v>6010956.1600000001</v>
      </c>
      <c r="V396" s="97">
        <f t="shared" si="106"/>
        <v>2.1205479452054792E-2</v>
      </c>
      <c r="W396" s="13">
        <f t="shared" si="107"/>
        <v>354.0700203835616</v>
      </c>
      <c r="X396" s="13">
        <f t="shared" si="108"/>
        <v>8490.5814978630096</v>
      </c>
      <c r="Y396" s="13">
        <f t="shared" si="109"/>
        <v>61.870762605783796</v>
      </c>
      <c r="AA396" s="11" t="s">
        <v>189</v>
      </c>
      <c r="AB396" s="98">
        <f t="shared" si="110"/>
        <v>15000000</v>
      </c>
      <c r="AC396" s="97">
        <f t="shared" si="111"/>
        <v>2.579E-2</v>
      </c>
      <c r="AD396" s="13">
        <f t="shared" si="96"/>
        <v>1074.5833333333333</v>
      </c>
      <c r="AE396" s="13">
        <f t="shared" si="112"/>
        <v>25789.999999999993</v>
      </c>
      <c r="AF396" s="13">
        <f t="shared" si="97"/>
        <v>345.41666666666663</v>
      </c>
      <c r="AH396" s="235">
        <f>'CT- € Ellipsis BNP'!X396</f>
        <v>100524190.8756651</v>
      </c>
      <c r="AI396" s="236">
        <f>'CT- € Ellipsis BNP'!AA396</f>
        <v>2.2439478578633043E-2</v>
      </c>
      <c r="AJ396" s="90">
        <f>'CT- € Ellipsis BNP'!W396</f>
        <v>6263.834422364831</v>
      </c>
      <c r="AK396" s="91">
        <f>'CT- € Ellipsis BNP'!AC396</f>
        <v>1402.7233112537197</v>
      </c>
      <c r="AM396" s="235">
        <f>'codeis €'!Z396</f>
        <v>67116390</v>
      </c>
      <c r="AN396" s="236">
        <f>'codeis €'!AF396</f>
        <v>2.0819937670163213E-2</v>
      </c>
      <c r="AO396" s="90">
        <f>'codeis €'!AC396</f>
        <v>3894</v>
      </c>
      <c r="AP396" s="91">
        <f>'codeis €'!AI396</f>
        <v>645.22996111111115</v>
      </c>
      <c r="AR396" s="12">
        <f t="shared" si="98"/>
        <v>202761537.03566509</v>
      </c>
      <c r="AS396" s="118">
        <f t="shared" si="113"/>
        <v>0.02</v>
      </c>
      <c r="AT396" s="118">
        <f t="shared" si="99"/>
        <v>2.201942892370097E-2</v>
      </c>
      <c r="AU396" s="12">
        <f t="shared" si="100"/>
        <v>12412.344891759047</v>
      </c>
      <c r="AV396" s="12">
        <f t="shared" si="101"/>
        <v>2595.1950395368249</v>
      </c>
      <c r="AW396" s="19"/>
    </row>
    <row r="397" spans="2:49" x14ac:dyDescent="0.25">
      <c r="B397" s="9" t="str">
        <f t="shared" si="94"/>
        <v>1 2026</v>
      </c>
      <c r="C397" s="88">
        <f t="shared" si="114"/>
        <v>46046</v>
      </c>
      <c r="D397" s="88">
        <f t="shared" si="115"/>
        <v>46047</v>
      </c>
      <c r="E397" s="89">
        <f t="shared" si="95"/>
        <v>1</v>
      </c>
      <c r="G397" s="11" t="s">
        <v>7</v>
      </c>
      <c r="H397" s="12">
        <f t="shared" si="102"/>
        <v>2110000</v>
      </c>
      <c r="I397" s="14">
        <f t="shared" si="116"/>
        <v>1.7500000000000002E-2</v>
      </c>
      <c r="J397" s="13">
        <f t="shared" si="117"/>
        <v>102.56944444444444</v>
      </c>
      <c r="K397" s="13">
        <f t="shared" si="118"/>
        <v>3731.3888888888896</v>
      </c>
      <c r="M397" s="11" t="s">
        <v>7</v>
      </c>
      <c r="N397" s="12">
        <f t="shared" si="121"/>
        <v>12000000</v>
      </c>
      <c r="O397" s="97">
        <f t="shared" si="103"/>
        <v>2.1698630136986304E-2</v>
      </c>
      <c r="P397" s="112">
        <f t="shared" si="92"/>
        <v>723.28767123287685</v>
      </c>
      <c r="Q397" s="13">
        <f t="shared" si="120"/>
        <v>18082.191780821915</v>
      </c>
      <c r="R397" s="13">
        <f t="shared" si="93"/>
        <v>139.95433789954348</v>
      </c>
      <c r="T397" s="11" t="str">
        <f t="shared" si="104"/>
        <v>SG</v>
      </c>
      <c r="U397" s="12">
        <f t="shared" si="105"/>
        <v>6010956.1600000001</v>
      </c>
      <c r="V397" s="97">
        <f t="shared" si="106"/>
        <v>2.1205479452054792E-2</v>
      </c>
      <c r="W397" s="13">
        <f t="shared" si="107"/>
        <v>354.0700203835616</v>
      </c>
      <c r="X397" s="13">
        <f t="shared" si="108"/>
        <v>8844.6515182465719</v>
      </c>
      <c r="Y397" s="13">
        <f t="shared" si="109"/>
        <v>61.870762605783796</v>
      </c>
      <c r="AA397" s="11" t="s">
        <v>189</v>
      </c>
      <c r="AB397" s="98">
        <f t="shared" si="110"/>
        <v>15000000</v>
      </c>
      <c r="AC397" s="97">
        <f t="shared" si="111"/>
        <v>2.579E-2</v>
      </c>
      <c r="AD397" s="13">
        <f t="shared" si="96"/>
        <v>1074.5833333333333</v>
      </c>
      <c r="AE397" s="13">
        <f t="shared" si="112"/>
        <v>26864.583333333325</v>
      </c>
      <c r="AF397" s="13">
        <f t="shared" si="97"/>
        <v>345.41666666666663</v>
      </c>
      <c r="AH397" s="235">
        <f>'CT- € Ellipsis BNP'!X397</f>
        <v>100524190.8756651</v>
      </c>
      <c r="AI397" s="236">
        <f>'CT- € Ellipsis BNP'!AA397</f>
        <v>2.2439478578633043E-2</v>
      </c>
      <c r="AJ397" s="90">
        <f>'CT- € Ellipsis BNP'!W397</f>
        <v>0</v>
      </c>
      <c r="AK397" s="91">
        <f>'CT- € Ellipsis BNP'!AC397</f>
        <v>-4861.1111111111113</v>
      </c>
      <c r="AM397" s="235">
        <f>'codeis €'!Z397</f>
        <v>67116390</v>
      </c>
      <c r="AN397" s="236">
        <f>'codeis €'!AF397</f>
        <v>2.0819937670163213E-2</v>
      </c>
      <c r="AO397" s="90">
        <f>'codeis €'!AC397</f>
        <v>0</v>
      </c>
      <c r="AP397" s="91">
        <f>'codeis €'!AI397</f>
        <v>-3248.7700388888888</v>
      </c>
      <c r="AR397" s="12">
        <f t="shared" si="98"/>
        <v>202761537.03566509</v>
      </c>
      <c r="AS397" s="118">
        <f t="shared" si="113"/>
        <v>0.02</v>
      </c>
      <c r="AT397" s="118">
        <f t="shared" si="99"/>
        <v>2.201942892370097E-2</v>
      </c>
      <c r="AU397" s="12">
        <f t="shared" si="100"/>
        <v>2254.5104693942162</v>
      </c>
      <c r="AV397" s="12">
        <f t="shared" si="101"/>
        <v>-7562.6393828280061</v>
      </c>
      <c r="AW397" s="19"/>
    </row>
    <row r="398" spans="2:49" x14ac:dyDescent="0.25">
      <c r="B398" s="9" t="str">
        <f t="shared" si="94"/>
        <v>1 2026</v>
      </c>
      <c r="C398" s="88">
        <f t="shared" si="114"/>
        <v>46047</v>
      </c>
      <c r="D398" s="88">
        <f t="shared" si="115"/>
        <v>46048</v>
      </c>
      <c r="E398" s="89">
        <f t="shared" si="95"/>
        <v>1</v>
      </c>
      <c r="G398" s="11" t="s">
        <v>7</v>
      </c>
      <c r="H398" s="12">
        <f t="shared" si="102"/>
        <v>2110000</v>
      </c>
      <c r="I398" s="14">
        <f t="shared" si="116"/>
        <v>1.7500000000000002E-2</v>
      </c>
      <c r="J398" s="13">
        <f t="shared" si="117"/>
        <v>102.56944444444444</v>
      </c>
      <c r="K398" s="13">
        <f t="shared" si="118"/>
        <v>3833.9583333333339</v>
      </c>
      <c r="M398" s="11" t="s">
        <v>7</v>
      </c>
      <c r="N398" s="12">
        <f t="shared" si="121"/>
        <v>12000000</v>
      </c>
      <c r="O398" s="97">
        <f t="shared" si="103"/>
        <v>2.1698630136986304E-2</v>
      </c>
      <c r="P398" s="112">
        <f t="shared" si="92"/>
        <v>723.28767123287685</v>
      </c>
      <c r="Q398" s="13">
        <f t="shared" si="120"/>
        <v>18805.479452054791</v>
      </c>
      <c r="R398" s="13">
        <f t="shared" si="93"/>
        <v>139.95433789954348</v>
      </c>
      <c r="T398" s="11" t="str">
        <f t="shared" si="104"/>
        <v>SG</v>
      </c>
      <c r="U398" s="12">
        <f t="shared" si="105"/>
        <v>6010956.1600000001</v>
      </c>
      <c r="V398" s="97">
        <f t="shared" si="106"/>
        <v>2.1205479452054792E-2</v>
      </c>
      <c r="W398" s="13">
        <f t="shared" si="107"/>
        <v>354.0700203835616</v>
      </c>
      <c r="X398" s="13">
        <f t="shared" si="108"/>
        <v>9198.7215386301341</v>
      </c>
      <c r="Y398" s="13">
        <f t="shared" si="109"/>
        <v>61.870762605783796</v>
      </c>
      <c r="AA398" s="11" t="s">
        <v>189</v>
      </c>
      <c r="AB398" s="98">
        <f t="shared" si="110"/>
        <v>15000000</v>
      </c>
      <c r="AC398" s="97">
        <f t="shared" si="111"/>
        <v>2.579E-2</v>
      </c>
      <c r="AD398" s="13">
        <f t="shared" si="96"/>
        <v>1074.5833333333333</v>
      </c>
      <c r="AE398" s="13">
        <f t="shared" si="112"/>
        <v>27939.166666666657</v>
      </c>
      <c r="AF398" s="13">
        <f t="shared" si="97"/>
        <v>345.41666666666663</v>
      </c>
      <c r="AH398" s="235">
        <f>'CT- € Ellipsis BNP'!X398</f>
        <v>100524190.8756651</v>
      </c>
      <c r="AI398" s="236">
        <f>'CT- € Ellipsis BNP'!AA398</f>
        <v>2.2439478578633043E-2</v>
      </c>
      <c r="AJ398" s="90">
        <f>'CT- € Ellipsis BNP'!W398</f>
        <v>0</v>
      </c>
      <c r="AK398" s="91">
        <f>'CT- € Ellipsis BNP'!AC398</f>
        <v>-4861.1111111111113</v>
      </c>
      <c r="AM398" s="235">
        <f>'codeis €'!Z398</f>
        <v>67116390</v>
      </c>
      <c r="AN398" s="236">
        <f>'codeis €'!AF398</f>
        <v>2.0819937670163213E-2</v>
      </c>
      <c r="AO398" s="90">
        <f>'codeis €'!AC398</f>
        <v>0</v>
      </c>
      <c r="AP398" s="91">
        <f>'codeis €'!AI398</f>
        <v>-3248.7700388888888</v>
      </c>
      <c r="AR398" s="12">
        <f t="shared" si="98"/>
        <v>202761537.03566509</v>
      </c>
      <c r="AS398" s="118">
        <f t="shared" si="113"/>
        <v>0.02</v>
      </c>
      <c r="AT398" s="118">
        <f t="shared" si="99"/>
        <v>2.201942892370097E-2</v>
      </c>
      <c r="AU398" s="12">
        <f t="shared" si="100"/>
        <v>2254.5104693942162</v>
      </c>
      <c r="AV398" s="12">
        <f t="shared" si="101"/>
        <v>-7562.6393828280061</v>
      </c>
      <c r="AW398" s="19"/>
    </row>
    <row r="399" spans="2:49" x14ac:dyDescent="0.25">
      <c r="B399" s="9" t="str">
        <f t="shared" si="94"/>
        <v>1 2026</v>
      </c>
      <c r="C399" s="88">
        <f t="shared" si="114"/>
        <v>46048</v>
      </c>
      <c r="D399" s="88">
        <f t="shared" si="115"/>
        <v>46049</v>
      </c>
      <c r="E399" s="89">
        <f t="shared" si="95"/>
        <v>1</v>
      </c>
      <c r="G399" s="11" t="s">
        <v>7</v>
      </c>
      <c r="H399" s="106">
        <f>H398+3800000</f>
        <v>5910000</v>
      </c>
      <c r="I399" s="14">
        <f t="shared" si="116"/>
        <v>1.7500000000000002E-2</v>
      </c>
      <c r="J399" s="13">
        <f t="shared" si="117"/>
        <v>287.29166666666669</v>
      </c>
      <c r="K399" s="13">
        <f t="shared" si="118"/>
        <v>4121.2500000000009</v>
      </c>
      <c r="M399" s="11" t="s">
        <v>7</v>
      </c>
      <c r="N399" s="12">
        <f t="shared" si="121"/>
        <v>12000000</v>
      </c>
      <c r="O399" s="97">
        <f t="shared" si="103"/>
        <v>2.1698630136986304E-2</v>
      </c>
      <c r="P399" s="112">
        <f t="shared" si="92"/>
        <v>723.28767123287685</v>
      </c>
      <c r="Q399" s="13">
        <f t="shared" si="120"/>
        <v>19528.767123287667</v>
      </c>
      <c r="R399" s="13">
        <f t="shared" si="93"/>
        <v>139.95433789954348</v>
      </c>
      <c r="T399" s="11" t="str">
        <f t="shared" si="104"/>
        <v>SG</v>
      </c>
      <c r="U399" s="12">
        <f t="shared" si="105"/>
        <v>6010956.1600000001</v>
      </c>
      <c r="V399" s="97">
        <f t="shared" si="106"/>
        <v>2.1205479452054792E-2</v>
      </c>
      <c r="W399" s="13">
        <f t="shared" si="107"/>
        <v>354.0700203835616</v>
      </c>
      <c r="X399" s="13">
        <f t="shared" si="108"/>
        <v>9552.7915590136963</v>
      </c>
      <c r="Y399" s="13">
        <f t="shared" si="109"/>
        <v>61.870762605783796</v>
      </c>
      <c r="AA399" s="11" t="s">
        <v>189</v>
      </c>
      <c r="AB399" s="98">
        <f t="shared" si="110"/>
        <v>15000000</v>
      </c>
      <c r="AC399" s="97">
        <f t="shared" si="111"/>
        <v>2.579E-2</v>
      </c>
      <c r="AD399" s="13">
        <f t="shared" si="96"/>
        <v>1074.5833333333333</v>
      </c>
      <c r="AE399" s="13">
        <f t="shared" si="112"/>
        <v>29013.749999999989</v>
      </c>
      <c r="AF399" s="13">
        <f t="shared" si="97"/>
        <v>345.41666666666663</v>
      </c>
      <c r="AH399" s="235">
        <f>'CT- € Ellipsis BNP'!X399</f>
        <v>100542982.37893221</v>
      </c>
      <c r="AI399" s="236">
        <f>'CT- € Ellipsis BNP'!AA399</f>
        <v>2.2439478578633043E-2</v>
      </c>
      <c r="AJ399" s="90">
        <f>'CT- € Ellipsis BNP'!W399</f>
        <v>18791.503267109394</v>
      </c>
      <c r="AK399" s="91">
        <f>'CT- € Ellipsis BNP'!AC399</f>
        <v>13930.392155998283</v>
      </c>
      <c r="AM399" s="235">
        <f>'codeis €'!Z399</f>
        <v>47193068.799999997</v>
      </c>
      <c r="AN399" s="236">
        <f>'codeis €'!AF399</f>
        <v>2.0819937670163213E-2</v>
      </c>
      <c r="AO399" s="90">
        <f>'codeis €'!AC399</f>
        <v>11682</v>
      </c>
      <c r="AP399" s="91">
        <f>'codeis €'!AI399</f>
        <v>8433.2299611111121</v>
      </c>
      <c r="AR399" s="12">
        <f t="shared" si="98"/>
        <v>186657007.33893219</v>
      </c>
      <c r="AS399" s="118">
        <f t="shared" si="113"/>
        <v>0.02</v>
      </c>
      <c r="AT399" s="118">
        <f t="shared" si="99"/>
        <v>2.2055494609480444E-2</v>
      </c>
      <c r="AU399" s="12">
        <f t="shared" si="100"/>
        <v>32912.735958725832</v>
      </c>
      <c r="AV399" s="12">
        <f t="shared" si="101"/>
        <v>22910.863884281389</v>
      </c>
      <c r="AW399" s="19"/>
    </row>
    <row r="400" spans="2:49" x14ac:dyDescent="0.25">
      <c r="B400" s="9" t="str">
        <f t="shared" si="94"/>
        <v>1 2026</v>
      </c>
      <c r="C400" s="88">
        <f t="shared" si="114"/>
        <v>46049</v>
      </c>
      <c r="D400" s="88">
        <f t="shared" si="115"/>
        <v>46050</v>
      </c>
      <c r="E400" s="89">
        <f t="shared" si="95"/>
        <v>1</v>
      </c>
      <c r="G400" s="11" t="s">
        <v>7</v>
      </c>
      <c r="H400" s="106">
        <f>H399-300000</f>
        <v>5610000</v>
      </c>
      <c r="I400" s="14">
        <f t="shared" si="116"/>
        <v>1.7500000000000002E-2</v>
      </c>
      <c r="J400" s="13">
        <f t="shared" si="117"/>
        <v>272.70833333333337</v>
      </c>
      <c r="K400" s="13">
        <f t="shared" si="118"/>
        <v>4393.9583333333339</v>
      </c>
      <c r="M400" s="11" t="s">
        <v>7</v>
      </c>
      <c r="N400" s="12">
        <f t="shared" si="121"/>
        <v>12000000</v>
      </c>
      <c r="O400" s="97">
        <f t="shared" si="103"/>
        <v>2.1698630136986304E-2</v>
      </c>
      <c r="P400" s="112">
        <f t="shared" si="92"/>
        <v>723.28767123287685</v>
      </c>
      <c r="Q400" s="13">
        <f t="shared" si="120"/>
        <v>20252.054794520544</v>
      </c>
      <c r="R400" s="13">
        <f t="shared" si="93"/>
        <v>139.95433789954348</v>
      </c>
      <c r="T400" s="11" t="str">
        <f t="shared" si="104"/>
        <v>SG</v>
      </c>
      <c r="U400" s="12">
        <f t="shared" si="105"/>
        <v>6010956.1600000001</v>
      </c>
      <c r="V400" s="97">
        <f t="shared" si="106"/>
        <v>2.1205479452054792E-2</v>
      </c>
      <c r="W400" s="13">
        <f t="shared" si="107"/>
        <v>354.0700203835616</v>
      </c>
      <c r="X400" s="13">
        <f t="shared" si="108"/>
        <v>9906.8615793972585</v>
      </c>
      <c r="Y400" s="13">
        <f t="shared" si="109"/>
        <v>61.870762605783796</v>
      </c>
      <c r="AA400" s="11" t="s">
        <v>189</v>
      </c>
      <c r="AB400" s="98">
        <f t="shared" si="110"/>
        <v>15000000</v>
      </c>
      <c r="AC400" s="97">
        <f t="shared" si="111"/>
        <v>2.579E-2</v>
      </c>
      <c r="AD400" s="13">
        <f t="shared" si="96"/>
        <v>1074.5833333333333</v>
      </c>
      <c r="AE400" s="13">
        <f t="shared" si="112"/>
        <v>30088.333333333321</v>
      </c>
      <c r="AF400" s="13">
        <f t="shared" si="97"/>
        <v>345.41666666666663</v>
      </c>
      <c r="AH400" s="235">
        <f>'CT- € Ellipsis BNP'!X400</f>
        <v>100549246.21335459</v>
      </c>
      <c r="AI400" s="236">
        <f>'CT- € Ellipsis BNP'!AA400</f>
        <v>2.2439478578633043E-2</v>
      </c>
      <c r="AJ400" s="90">
        <f>'CT- € Ellipsis BNP'!W400</f>
        <v>6263.8344223797321</v>
      </c>
      <c r="AK400" s="91">
        <f>'CT- € Ellipsis BNP'!AC400</f>
        <v>1402.7233112686208</v>
      </c>
      <c r="AM400" s="235">
        <f>'codeis €'!Z400</f>
        <v>47195806.400000006</v>
      </c>
      <c r="AN400" s="236">
        <f>'codeis €'!AF400</f>
        <v>2.0819937670163213E-2</v>
      </c>
      <c r="AO400" s="90">
        <f>'codeis €'!AC400</f>
        <v>2737.6000000089407</v>
      </c>
      <c r="AP400" s="91">
        <f>'codeis €'!AI400</f>
        <v>451.86725000894103</v>
      </c>
      <c r="AR400" s="12">
        <f t="shared" si="98"/>
        <v>186366008.77335459</v>
      </c>
      <c r="AS400" s="118">
        <f t="shared" si="113"/>
        <v>0.02</v>
      </c>
      <c r="AT400" s="118">
        <f t="shared" si="99"/>
        <v>2.206282250764792E-2</v>
      </c>
      <c r="AU400" s="12">
        <f t="shared" si="100"/>
        <v>11426.083780671779</v>
      </c>
      <c r="AV400" s="12">
        <f t="shared" si="101"/>
        <v>2401.8323284495555</v>
      </c>
      <c r="AW400" s="19"/>
    </row>
    <row r="401" spans="2:49" x14ac:dyDescent="0.25">
      <c r="B401" s="9" t="str">
        <f t="shared" si="94"/>
        <v>1 2026</v>
      </c>
      <c r="C401" s="88">
        <f t="shared" si="114"/>
        <v>46050</v>
      </c>
      <c r="D401" s="88">
        <f t="shared" si="115"/>
        <v>46051</v>
      </c>
      <c r="E401" s="89">
        <f t="shared" si="95"/>
        <v>1</v>
      </c>
      <c r="G401" s="11" t="s">
        <v>7</v>
      </c>
      <c r="H401" s="12">
        <f t="shared" si="102"/>
        <v>5610000</v>
      </c>
      <c r="I401" s="14">
        <f t="shared" si="116"/>
        <v>1.7500000000000002E-2</v>
      </c>
      <c r="J401" s="13">
        <f t="shared" si="117"/>
        <v>272.70833333333337</v>
      </c>
      <c r="K401" s="13">
        <f t="shared" si="118"/>
        <v>4666.666666666667</v>
      </c>
      <c r="M401" s="11" t="s">
        <v>7</v>
      </c>
      <c r="N401" s="12">
        <f t="shared" si="121"/>
        <v>12000000</v>
      </c>
      <c r="O401" s="97">
        <f t="shared" si="103"/>
        <v>2.1698630136986304E-2</v>
      </c>
      <c r="P401" s="112">
        <f t="shared" si="92"/>
        <v>723.28767123287685</v>
      </c>
      <c r="Q401" s="13">
        <f t="shared" si="120"/>
        <v>20975.34246575342</v>
      </c>
      <c r="R401" s="13">
        <f t="shared" si="93"/>
        <v>139.95433789954348</v>
      </c>
      <c r="T401" s="11" t="str">
        <f t="shared" si="104"/>
        <v>SG</v>
      </c>
      <c r="U401" s="12">
        <f t="shared" si="105"/>
        <v>6010956.1600000001</v>
      </c>
      <c r="V401" s="97">
        <f t="shared" si="106"/>
        <v>2.1205479452054792E-2</v>
      </c>
      <c r="W401" s="13">
        <f t="shared" si="107"/>
        <v>354.0700203835616</v>
      </c>
      <c r="X401" s="13">
        <f t="shared" si="108"/>
        <v>10260.931599780821</v>
      </c>
      <c r="Y401" s="13">
        <f t="shared" si="109"/>
        <v>61.870762605783796</v>
      </c>
      <c r="AA401" s="11" t="s">
        <v>189</v>
      </c>
      <c r="AB401" s="98">
        <f t="shared" si="110"/>
        <v>15000000</v>
      </c>
      <c r="AC401" s="97">
        <f t="shared" si="111"/>
        <v>2.579E-2</v>
      </c>
      <c r="AD401" s="13">
        <f t="shared" si="96"/>
        <v>1074.5833333333333</v>
      </c>
      <c r="AE401" s="13">
        <f t="shared" si="112"/>
        <v>31162.916666666653</v>
      </c>
      <c r="AF401" s="13">
        <f t="shared" si="97"/>
        <v>345.41666666666663</v>
      </c>
      <c r="AH401" s="235">
        <f>'CT- € Ellipsis BNP'!X401</f>
        <v>100555510.04777697</v>
      </c>
      <c r="AI401" s="236">
        <f>'CT- € Ellipsis BNP'!AA401</f>
        <v>2.2439478578633043E-2</v>
      </c>
      <c r="AJ401" s="90">
        <f>'CT- € Ellipsis BNP'!W401</f>
        <v>6263.8344223797321</v>
      </c>
      <c r="AK401" s="91">
        <f>'CT- € Ellipsis BNP'!AC401</f>
        <v>1402.7233112686208</v>
      </c>
      <c r="AM401" s="235">
        <f>'codeis €'!Z401</f>
        <v>47198497.600000001</v>
      </c>
      <c r="AN401" s="236">
        <f>'codeis €'!AF401</f>
        <v>2.0819937670163213E-2</v>
      </c>
      <c r="AO401" s="90">
        <f>'codeis €'!AC401</f>
        <v>2691.1999999955297</v>
      </c>
      <c r="AP401" s="91">
        <f>'codeis €'!AI401</f>
        <v>405.46724999552998</v>
      </c>
      <c r="AR401" s="12">
        <f t="shared" si="98"/>
        <v>186374963.80777696</v>
      </c>
      <c r="AS401" s="118">
        <f t="shared" si="113"/>
        <v>0.02</v>
      </c>
      <c r="AT401" s="118">
        <f t="shared" si="99"/>
        <v>2.2062817219703705E-2</v>
      </c>
      <c r="AU401" s="12">
        <f t="shared" si="100"/>
        <v>11379.683780658368</v>
      </c>
      <c r="AV401" s="12">
        <f t="shared" si="101"/>
        <v>2355.4323284361444</v>
      </c>
      <c r="AW401" s="19"/>
    </row>
    <row r="402" spans="2:49" x14ac:dyDescent="0.25">
      <c r="B402" s="9" t="str">
        <f t="shared" si="94"/>
        <v>1 2026</v>
      </c>
      <c r="C402" s="88">
        <f t="shared" si="114"/>
        <v>46051</v>
      </c>
      <c r="D402" s="88">
        <f t="shared" si="115"/>
        <v>46052</v>
      </c>
      <c r="E402" s="89">
        <f t="shared" si="95"/>
        <v>1</v>
      </c>
      <c r="G402" s="11" t="s">
        <v>7</v>
      </c>
      <c r="H402" s="12">
        <f t="shared" si="102"/>
        <v>5610000</v>
      </c>
      <c r="I402" s="14">
        <f t="shared" si="116"/>
        <v>1.7500000000000002E-2</v>
      </c>
      <c r="J402" s="13">
        <f t="shared" si="117"/>
        <v>272.70833333333337</v>
      </c>
      <c r="K402" s="13">
        <f t="shared" si="118"/>
        <v>4939.375</v>
      </c>
      <c r="M402" s="11" t="s">
        <v>7</v>
      </c>
      <c r="N402" s="12">
        <f t="shared" si="121"/>
        <v>12000000</v>
      </c>
      <c r="O402" s="97">
        <f t="shared" si="103"/>
        <v>2.1698630136986304E-2</v>
      </c>
      <c r="P402" s="112">
        <f t="shared" si="92"/>
        <v>723.28767123287685</v>
      </c>
      <c r="Q402" s="13">
        <f t="shared" si="120"/>
        <v>21698.630136986296</v>
      </c>
      <c r="R402" s="13">
        <f t="shared" si="93"/>
        <v>139.95433789954348</v>
      </c>
      <c r="T402" s="11" t="str">
        <f t="shared" si="104"/>
        <v>SG</v>
      </c>
      <c r="U402" s="12">
        <f t="shared" si="105"/>
        <v>6010956.1600000001</v>
      </c>
      <c r="V402" s="97">
        <f t="shared" si="106"/>
        <v>2.1205479452054792E-2</v>
      </c>
      <c r="W402" s="13">
        <f t="shared" si="107"/>
        <v>354.0700203835616</v>
      </c>
      <c r="X402" s="13">
        <f t="shared" si="108"/>
        <v>10615.001620164383</v>
      </c>
      <c r="Y402" s="13">
        <f t="shared" si="109"/>
        <v>61.870762605783796</v>
      </c>
      <c r="AA402" s="11" t="s">
        <v>189</v>
      </c>
      <c r="AB402" s="98">
        <f t="shared" si="110"/>
        <v>15000000</v>
      </c>
      <c r="AC402" s="97">
        <f t="shared" si="111"/>
        <v>2.579E-2</v>
      </c>
      <c r="AD402" s="13">
        <f t="shared" si="96"/>
        <v>1074.5833333333333</v>
      </c>
      <c r="AE402" s="13">
        <f t="shared" si="112"/>
        <v>32237.499999999985</v>
      </c>
      <c r="AF402" s="13">
        <f t="shared" si="97"/>
        <v>345.41666666666663</v>
      </c>
      <c r="AH402" s="235">
        <f>'CT- € Ellipsis BNP'!X402</f>
        <v>100561773.88219932</v>
      </c>
      <c r="AI402" s="236">
        <f>'CT- € Ellipsis BNP'!AA402</f>
        <v>2.2439478578633043E-2</v>
      </c>
      <c r="AJ402" s="90">
        <f>'CT- € Ellipsis BNP'!W402</f>
        <v>6263.8344223499298</v>
      </c>
      <c r="AK402" s="91">
        <f>'CT- € Ellipsis BNP'!AC402</f>
        <v>1402.7233112388185</v>
      </c>
      <c r="AM402" s="235">
        <f>'codeis €'!Z402</f>
        <v>47201235.200000003</v>
      </c>
      <c r="AN402" s="236">
        <f>'codeis €'!AF402</f>
        <v>2.0819937670163213E-2</v>
      </c>
      <c r="AO402" s="90">
        <f>'codeis €'!AC402</f>
        <v>2737.6000000014901</v>
      </c>
      <c r="AP402" s="91">
        <f>'codeis €'!AI402</f>
        <v>451.86725000149045</v>
      </c>
      <c r="AR402" s="12">
        <f t="shared" si="98"/>
        <v>186383965.24219933</v>
      </c>
      <c r="AS402" s="118">
        <f t="shared" si="113"/>
        <v>0.02</v>
      </c>
      <c r="AT402" s="118">
        <f t="shared" si="99"/>
        <v>2.2062811622855994E-2</v>
      </c>
      <c r="AU402" s="12">
        <f t="shared" si="100"/>
        <v>11426.083780634526</v>
      </c>
      <c r="AV402" s="12">
        <f t="shared" si="101"/>
        <v>2401.8323284123026</v>
      </c>
      <c r="AW402" s="19"/>
    </row>
    <row r="403" spans="2:49" x14ac:dyDescent="0.25">
      <c r="B403" s="9" t="str">
        <f t="shared" si="94"/>
        <v>1 2026</v>
      </c>
      <c r="C403" s="142">
        <f t="shared" si="114"/>
        <v>46052</v>
      </c>
      <c r="D403" s="142">
        <f t="shared" si="115"/>
        <v>46053</v>
      </c>
      <c r="E403" s="143">
        <f t="shared" si="95"/>
        <v>1</v>
      </c>
      <c r="F403" s="17"/>
      <c r="G403" s="143" t="s">
        <v>7</v>
      </c>
      <c r="H403" s="562">
        <f>H402+1520000</f>
        <v>7130000</v>
      </c>
      <c r="I403" s="145">
        <f t="shared" si="116"/>
        <v>1.7500000000000002E-2</v>
      </c>
      <c r="J403" s="146">
        <f>+H403*I403*E403/360</f>
        <v>346.59722222222229</v>
      </c>
      <c r="K403" s="146">
        <f t="shared" si="118"/>
        <v>5285.9722222222226</v>
      </c>
      <c r="L403" s="17"/>
      <c r="M403" s="143" t="s">
        <v>7</v>
      </c>
      <c r="N403" s="144">
        <f t="shared" si="121"/>
        <v>12000000</v>
      </c>
      <c r="O403" s="97">
        <f t="shared" si="103"/>
        <v>2.1698630136986304E-2</v>
      </c>
      <c r="P403" s="146">
        <f t="shared" si="92"/>
        <v>723.28767123287685</v>
      </c>
      <c r="Q403" s="146">
        <f t="shared" si="120"/>
        <v>22421.917808219172</v>
      </c>
      <c r="R403" s="146">
        <f t="shared" si="93"/>
        <v>139.95433789954348</v>
      </c>
      <c r="S403" s="17"/>
      <c r="T403" s="442" t="str">
        <f t="shared" si="104"/>
        <v>SG</v>
      </c>
      <c r="U403" s="261">
        <f t="shared" si="105"/>
        <v>6010956.1600000001</v>
      </c>
      <c r="V403" s="175">
        <f t="shared" si="106"/>
        <v>2.1205479452054792E-2</v>
      </c>
      <c r="W403" s="268">
        <f t="shared" si="107"/>
        <v>354.0700203835616</v>
      </c>
      <c r="X403" s="13">
        <f t="shared" si="108"/>
        <v>10969.071640547945</v>
      </c>
      <c r="Y403" s="268">
        <f t="shared" si="109"/>
        <v>61.870762605783796</v>
      </c>
      <c r="Z403" s="17"/>
      <c r="AA403" s="442" t="s">
        <v>189</v>
      </c>
      <c r="AB403" s="261">
        <f t="shared" si="110"/>
        <v>15000000</v>
      </c>
      <c r="AC403" s="175">
        <f t="shared" si="111"/>
        <v>2.579E-2</v>
      </c>
      <c r="AD403" s="268">
        <f t="shared" si="96"/>
        <v>1074.5833333333333</v>
      </c>
      <c r="AE403" s="268">
        <f t="shared" si="112"/>
        <v>33312.083333333321</v>
      </c>
      <c r="AF403" s="268">
        <f t="shared" si="97"/>
        <v>345.41666666666663</v>
      </c>
      <c r="AG403" s="141"/>
      <c r="AH403" s="645">
        <f>'CT- € Ellipsis BNP'!X403</f>
        <v>100568037.71662171</v>
      </c>
      <c r="AI403" s="646">
        <f>'CT- € Ellipsis BNP'!AA403</f>
        <v>2.2439478578633043E-2</v>
      </c>
      <c r="AJ403" s="261">
        <f>'CT- € Ellipsis BNP'!W403</f>
        <v>6263.8344223946333</v>
      </c>
      <c r="AK403" s="268">
        <f>'CT- € Ellipsis BNP'!AC403</f>
        <v>1402.723311283522</v>
      </c>
      <c r="AM403" s="645">
        <f>'codeis €'!Z403</f>
        <v>47203972.799999997</v>
      </c>
      <c r="AN403" s="646">
        <f>'codeis €'!AF403</f>
        <v>2.0819937670163213E-2</v>
      </c>
      <c r="AO403" s="261">
        <f>'codeis €'!AC403</f>
        <v>2737.5999999940395</v>
      </c>
      <c r="AP403" s="268">
        <f>'codeis €'!AI403</f>
        <v>451.86724999403987</v>
      </c>
      <c r="AR403" s="261">
        <f t="shared" si="98"/>
        <v>187912966.67662171</v>
      </c>
      <c r="AS403" s="247">
        <f t="shared" si="113"/>
        <v>0.02</v>
      </c>
      <c r="AT403" s="247">
        <f t="shared" si="99"/>
        <v>2.2025898168176909E-2</v>
      </c>
      <c r="AU403" s="261">
        <f t="shared" si="100"/>
        <v>11499.972669560666</v>
      </c>
      <c r="AV403" s="261">
        <f t="shared" si="101"/>
        <v>2401.8323284495555</v>
      </c>
      <c r="AW403" s="19"/>
    </row>
    <row r="404" spans="2:49" x14ac:dyDescent="0.25">
      <c r="B404" s="9" t="str">
        <f t="shared" ref="B404" si="122">CONCATENATE(MONTH(D404)," ",YEAR(D404))</f>
        <v>2 2026</v>
      </c>
      <c r="C404" s="88">
        <f t="shared" ref="C404" si="123">D403</f>
        <v>46053</v>
      </c>
      <c r="D404" s="88">
        <f t="shared" si="115"/>
        <v>46054</v>
      </c>
      <c r="E404" s="89">
        <f t="shared" ref="E404" si="124">D404-C404</f>
        <v>1</v>
      </c>
      <c r="G404" s="11" t="s">
        <v>7</v>
      </c>
      <c r="H404" s="12">
        <f t="shared" si="102"/>
        <v>7130000</v>
      </c>
      <c r="I404" s="14">
        <f t="shared" si="116"/>
        <v>1.7500000000000002E-2</v>
      </c>
      <c r="J404" s="13">
        <f t="shared" ref="J404" si="125">+H404*I404*E404/360</f>
        <v>346.59722222222229</v>
      </c>
      <c r="K404" s="13">
        <f t="shared" ref="K404" si="126">K403+J404</f>
        <v>5632.5694444444453</v>
      </c>
      <c r="M404" s="11" t="s">
        <v>7</v>
      </c>
      <c r="N404" s="12">
        <f t="shared" si="121"/>
        <v>12000000</v>
      </c>
      <c r="O404" s="97">
        <f t="shared" si="103"/>
        <v>2.1698630136986304E-2</v>
      </c>
      <c r="P404" s="112">
        <f t="shared" ref="P404" si="127">+N404*O404*$E404/360</f>
        <v>723.28767123287685</v>
      </c>
      <c r="Q404" s="13">
        <f t="shared" ref="Q404" si="128">Q403+P404</f>
        <v>23145.205479452048</v>
      </c>
      <c r="R404" s="13">
        <f t="shared" ref="R404" si="129">P404-(+N404*I404*$E404/360)</f>
        <v>139.95433789954348</v>
      </c>
      <c r="T404" s="11" t="str">
        <f t="shared" si="104"/>
        <v>SG</v>
      </c>
      <c r="U404" s="12">
        <f t="shared" si="105"/>
        <v>6010956.1600000001</v>
      </c>
      <c r="V404" s="97">
        <f t="shared" si="106"/>
        <v>2.1205479452054792E-2</v>
      </c>
      <c r="W404" s="13">
        <f t="shared" ref="W404" si="130">V404*U404*E404/360</f>
        <v>354.0700203835616</v>
      </c>
      <c r="X404" s="13">
        <f t="shared" si="108"/>
        <v>11323.141660931507</v>
      </c>
      <c r="Y404" s="13">
        <f t="shared" ref="Y404" si="131">W404-(+U404*$I404*$E404/360)</f>
        <v>61.870762605783796</v>
      </c>
      <c r="AA404" s="11" t="s">
        <v>189</v>
      </c>
      <c r="AB404" s="98">
        <f t="shared" si="110"/>
        <v>15000000</v>
      </c>
      <c r="AC404" s="97">
        <f t="shared" si="111"/>
        <v>2.579E-2</v>
      </c>
      <c r="AD404" s="13">
        <f t="shared" ref="AD404" si="132">+AB404*AC404*$E404/360</f>
        <v>1074.5833333333333</v>
      </c>
      <c r="AE404" s="13">
        <f t="shared" ref="AE404" si="133">AE403+AD404</f>
        <v>34386.666666666657</v>
      </c>
      <c r="AF404" s="13">
        <f t="shared" ref="AF404" si="134">AD404-((+AB404*$I404*$E404/360))</f>
        <v>345.41666666666663</v>
      </c>
      <c r="AH404" s="235">
        <f>'CT- € Ellipsis BNP'!X404</f>
        <v>100568037.71662171</v>
      </c>
      <c r="AI404" s="236">
        <f>'CT- € Ellipsis BNP'!AA404</f>
        <v>2.2439478578633043E-2</v>
      </c>
      <c r="AJ404" s="90">
        <f>'CT- € Ellipsis BNP'!W404</f>
        <v>0</v>
      </c>
      <c r="AK404" s="91">
        <f>'CT- € Ellipsis BNP'!AC404</f>
        <v>-4861.1111111111113</v>
      </c>
      <c r="AM404" s="235">
        <f>'codeis €'!Z404</f>
        <v>0</v>
      </c>
      <c r="AN404" s="236">
        <f>'codeis €'!AF404</f>
        <v>0</v>
      </c>
      <c r="AO404" s="90">
        <f>'codeis €'!AC404</f>
        <v>0</v>
      </c>
      <c r="AP404" s="91">
        <f>'codeis €'!AI404</f>
        <v>0</v>
      </c>
      <c r="AR404" s="12">
        <f t="shared" si="98"/>
        <v>140708993.87662169</v>
      </c>
      <c r="AS404" s="118">
        <f t="shared" si="113"/>
        <v>0.02</v>
      </c>
      <c r="AT404" s="118">
        <f t="shared" si="99"/>
        <v>2.2430464535811004E-2</v>
      </c>
      <c r="AU404" s="12">
        <f t="shared" si="100"/>
        <v>2498.538247171994</v>
      </c>
      <c r="AV404" s="12">
        <f t="shared" si="101"/>
        <v>-4313.8693439391172</v>
      </c>
      <c r="AW404" s="19"/>
    </row>
    <row r="405" spans="2:49" x14ac:dyDescent="0.25">
      <c r="B405" s="9" t="str">
        <f t="shared" ref="B405:B468" si="135">CONCATENATE(MONTH(D405)," ",YEAR(D405))</f>
        <v>2 2026</v>
      </c>
      <c r="C405" s="88">
        <f t="shared" ref="C405:C468" si="136">D404</f>
        <v>46054</v>
      </c>
      <c r="D405" s="88">
        <f t="shared" si="115"/>
        <v>46055</v>
      </c>
      <c r="E405" s="89">
        <f t="shared" ref="E405:E468" si="137">D405-C405</f>
        <v>1</v>
      </c>
      <c r="G405" s="11" t="s">
        <v>7</v>
      </c>
      <c r="H405" s="12">
        <f t="shared" si="102"/>
        <v>7130000</v>
      </c>
      <c r="I405" s="14">
        <f t="shared" si="116"/>
        <v>1.7500000000000002E-2</v>
      </c>
      <c r="J405" s="13">
        <f t="shared" ref="J405:J468" si="138">+H405*I405*E405/360</f>
        <v>346.59722222222229</v>
      </c>
      <c r="K405" s="13">
        <f t="shared" ref="K405:K468" si="139">K404+J405</f>
        <v>5979.1666666666679</v>
      </c>
      <c r="M405" s="11" t="s">
        <v>7</v>
      </c>
      <c r="N405" s="12">
        <f t="shared" si="121"/>
        <v>12000000</v>
      </c>
      <c r="O405" s="97">
        <f t="shared" si="103"/>
        <v>2.1698630136986304E-2</v>
      </c>
      <c r="P405" s="112">
        <f t="shared" ref="P405:P468" si="140">+N405*O405*$E405/360</f>
        <v>723.28767123287685</v>
      </c>
      <c r="Q405" s="13">
        <f t="shared" ref="Q405:Q468" si="141">Q404+P405</f>
        <v>23868.493150684924</v>
      </c>
      <c r="R405" s="13">
        <f t="shared" ref="R405:R468" si="142">P405-(+N405*I405*$E405/360)</f>
        <v>139.95433789954348</v>
      </c>
      <c r="T405" s="11" t="str">
        <f t="shared" si="104"/>
        <v>SG</v>
      </c>
      <c r="U405" s="12">
        <f t="shared" si="105"/>
        <v>6010956.1600000001</v>
      </c>
      <c r="V405" s="97">
        <f t="shared" si="106"/>
        <v>2.1205479452054792E-2</v>
      </c>
      <c r="W405" s="13">
        <f t="shared" ref="W405:W468" si="143">V405*U405*E405/360</f>
        <v>354.0700203835616</v>
      </c>
      <c r="X405" s="13">
        <f t="shared" si="108"/>
        <v>11677.21168131507</v>
      </c>
      <c r="Y405" s="13">
        <f t="shared" ref="Y405:Y468" si="144">W405-(+U405*$I405*$E405/360)</f>
        <v>61.870762605783796</v>
      </c>
      <c r="AA405" s="11" t="s">
        <v>189</v>
      </c>
      <c r="AB405" s="98">
        <f t="shared" si="110"/>
        <v>15000000</v>
      </c>
      <c r="AC405" s="97">
        <f t="shared" si="111"/>
        <v>2.579E-2</v>
      </c>
      <c r="AD405" s="13">
        <f t="shared" ref="AD405:AD468" si="145">+AB405*AC405*$E405/360</f>
        <v>1074.5833333333333</v>
      </c>
      <c r="AE405" s="13">
        <f t="shared" ref="AE405:AE468" si="146">AE404+AD405</f>
        <v>35461.249999999993</v>
      </c>
      <c r="AF405" s="13">
        <f t="shared" ref="AF405:AF468" si="147">AD405-((+AB405*$I405*$E405/360))</f>
        <v>345.41666666666663</v>
      </c>
      <c r="AH405" s="235">
        <f>'CT- € Ellipsis BNP'!X405</f>
        <v>100568037.71662171</v>
      </c>
      <c r="AI405" s="236">
        <f>'CT- € Ellipsis BNP'!AA405</f>
        <v>2.2439478578633043E-2</v>
      </c>
      <c r="AJ405" s="90">
        <f>'CT- € Ellipsis BNP'!W405</f>
        <v>0</v>
      </c>
      <c r="AK405" s="91">
        <f>'CT- € Ellipsis BNP'!AC405</f>
        <v>-4861.1111111111113</v>
      </c>
      <c r="AM405" s="235">
        <f>'codeis €'!Z405</f>
        <v>0</v>
      </c>
      <c r="AN405" s="236">
        <f>'codeis €'!AF405</f>
        <v>0</v>
      </c>
      <c r="AO405" s="90">
        <f>'codeis €'!AC405</f>
        <v>0</v>
      </c>
      <c r="AP405" s="91">
        <f>'codeis €'!AI405</f>
        <v>0</v>
      </c>
      <c r="AR405" s="12">
        <f t="shared" ref="AR405:AR468" si="148">+N405+H405++AH405+AM405+AB405+U405</f>
        <v>140708993.87662169</v>
      </c>
      <c r="AS405" s="118">
        <f t="shared" ref="AS405:AS468" si="149">AS404</f>
        <v>0.02</v>
      </c>
      <c r="AT405" s="118">
        <f t="shared" ref="AT405:AT468" si="150">SUM((I405*H405),(O405*N405),(U405*V405),(AB405*AC405),(AH405*AI405),(AM405*AN405))/AR405</f>
        <v>2.2430464535811004E-2</v>
      </c>
      <c r="AU405" s="12">
        <f t="shared" ref="AU405:AU468" si="151">+P405++J405+W405+AD405+AJ405+AO405</f>
        <v>2498.538247171994</v>
      </c>
      <c r="AV405" s="12">
        <f t="shared" ref="AV405:AV468" si="152">+R405+Y405+AF405+AK405+AP405</f>
        <v>-4313.8693439391172</v>
      </c>
      <c r="AW405" s="19"/>
    </row>
    <row r="406" spans="2:49" x14ac:dyDescent="0.25">
      <c r="B406" s="9" t="str">
        <f t="shared" si="135"/>
        <v>2 2026</v>
      </c>
      <c r="C406" s="88">
        <f t="shared" si="136"/>
        <v>46055</v>
      </c>
      <c r="D406" s="88">
        <f t="shared" si="115"/>
        <v>46056</v>
      </c>
      <c r="E406" s="89">
        <f t="shared" si="137"/>
        <v>1</v>
      </c>
      <c r="G406" s="11" t="s">
        <v>7</v>
      </c>
      <c r="H406" s="12">
        <f t="shared" si="102"/>
        <v>7130000</v>
      </c>
      <c r="I406" s="14">
        <f t="shared" si="116"/>
        <v>1.7500000000000002E-2</v>
      </c>
      <c r="J406" s="13">
        <f t="shared" si="138"/>
        <v>346.59722222222229</v>
      </c>
      <c r="K406" s="13">
        <f t="shared" si="139"/>
        <v>6325.7638888888905</v>
      </c>
      <c r="M406" s="11" t="s">
        <v>7</v>
      </c>
      <c r="N406" s="12">
        <f t="shared" si="121"/>
        <v>12000000</v>
      </c>
      <c r="O406" s="97">
        <f t="shared" si="103"/>
        <v>2.1698630136986304E-2</v>
      </c>
      <c r="P406" s="112">
        <f t="shared" si="140"/>
        <v>723.28767123287685</v>
      </c>
      <c r="Q406" s="13">
        <f t="shared" si="141"/>
        <v>24591.7808219178</v>
      </c>
      <c r="R406" s="13">
        <f t="shared" si="142"/>
        <v>139.95433789954348</v>
      </c>
      <c r="T406" s="11" t="str">
        <f t="shared" si="104"/>
        <v>SG</v>
      </c>
      <c r="U406" s="12">
        <f t="shared" si="105"/>
        <v>6010956.1600000001</v>
      </c>
      <c r="V406" s="97">
        <f t="shared" si="106"/>
        <v>2.1205479452054792E-2</v>
      </c>
      <c r="W406" s="13">
        <f t="shared" si="143"/>
        <v>354.0700203835616</v>
      </c>
      <c r="X406" s="13">
        <f t="shared" si="108"/>
        <v>12031.281701698632</v>
      </c>
      <c r="Y406" s="13">
        <f t="shared" si="144"/>
        <v>61.870762605783796</v>
      </c>
      <c r="AA406" s="11" t="s">
        <v>189</v>
      </c>
      <c r="AB406" s="98">
        <f t="shared" si="110"/>
        <v>15000000</v>
      </c>
      <c r="AC406" s="97">
        <f t="shared" si="111"/>
        <v>2.579E-2</v>
      </c>
      <c r="AD406" s="13">
        <f t="shared" si="145"/>
        <v>1074.5833333333333</v>
      </c>
      <c r="AE406" s="13">
        <f t="shared" si="146"/>
        <v>36535.833333333328</v>
      </c>
      <c r="AF406" s="13">
        <f t="shared" si="147"/>
        <v>345.41666666666663</v>
      </c>
      <c r="AH406" s="235">
        <f>'CT- € Ellipsis BNP'!X406</f>
        <v>100586829.21988881</v>
      </c>
      <c r="AI406" s="236">
        <f>'CT- € Ellipsis BNP'!AA406</f>
        <v>2.2439478578633043E-2</v>
      </c>
      <c r="AJ406" s="90">
        <f>'CT- € Ellipsis BNP'!W406</f>
        <v>18791.503267094493</v>
      </c>
      <c r="AK406" s="91">
        <f>'CT- € Ellipsis BNP'!AC406</f>
        <v>13930.392155983382</v>
      </c>
      <c r="AM406" s="235">
        <f>'codeis €'!Z406</f>
        <v>0</v>
      </c>
      <c r="AN406" s="236">
        <f>'codeis €'!AF406</f>
        <v>0</v>
      </c>
      <c r="AO406" s="90">
        <f>'codeis €'!AC406</f>
        <v>0</v>
      </c>
      <c r="AP406" s="91">
        <f>'codeis €'!AI406</f>
        <v>0</v>
      </c>
      <c r="AR406" s="12">
        <f t="shared" si="148"/>
        <v>140727785.3798888</v>
      </c>
      <c r="AS406" s="118">
        <f t="shared" si="149"/>
        <v>0.02</v>
      </c>
      <c r="AT406" s="118">
        <f t="shared" si="150"/>
        <v>2.2430465739463959E-2</v>
      </c>
      <c r="AU406" s="12">
        <f t="shared" si="151"/>
        <v>21290.041514266486</v>
      </c>
      <c r="AV406" s="12">
        <f t="shared" si="152"/>
        <v>14477.633923155376</v>
      </c>
      <c r="AW406" s="19"/>
    </row>
    <row r="407" spans="2:49" x14ac:dyDescent="0.25">
      <c r="B407" s="9" t="str">
        <f t="shared" si="135"/>
        <v>2 2026</v>
      </c>
      <c r="C407" s="88">
        <f t="shared" si="136"/>
        <v>46056</v>
      </c>
      <c r="D407" s="88">
        <f t="shared" si="115"/>
        <v>46057</v>
      </c>
      <c r="E407" s="89">
        <f t="shared" si="137"/>
        <v>1</v>
      </c>
      <c r="G407" s="11" t="s">
        <v>7</v>
      </c>
      <c r="H407" s="12">
        <f t="shared" si="102"/>
        <v>7130000</v>
      </c>
      <c r="I407" s="14">
        <f t="shared" si="116"/>
        <v>1.7500000000000002E-2</v>
      </c>
      <c r="J407" s="13">
        <f t="shared" si="138"/>
        <v>346.59722222222229</v>
      </c>
      <c r="K407" s="13">
        <f t="shared" si="139"/>
        <v>6672.3611111111131</v>
      </c>
      <c r="M407" s="11" t="s">
        <v>7</v>
      </c>
      <c r="N407" s="12">
        <f t="shared" si="121"/>
        <v>12000000</v>
      </c>
      <c r="O407" s="97">
        <f t="shared" si="103"/>
        <v>2.1698630136986304E-2</v>
      </c>
      <c r="P407" s="112">
        <f t="shared" si="140"/>
        <v>723.28767123287685</v>
      </c>
      <c r="Q407" s="13">
        <f t="shared" si="141"/>
        <v>25315.068493150677</v>
      </c>
      <c r="R407" s="13">
        <f t="shared" si="142"/>
        <v>139.95433789954348</v>
      </c>
      <c r="T407" s="11" t="str">
        <f t="shared" si="104"/>
        <v>SG</v>
      </c>
      <c r="U407" s="12">
        <f t="shared" si="105"/>
        <v>6010956.1600000001</v>
      </c>
      <c r="V407" s="97">
        <f t="shared" si="106"/>
        <v>2.1205479452054792E-2</v>
      </c>
      <c r="W407" s="13">
        <f t="shared" si="143"/>
        <v>354.0700203835616</v>
      </c>
      <c r="X407" s="13">
        <f t="shared" si="108"/>
        <v>12385.351722082194</v>
      </c>
      <c r="Y407" s="13">
        <f t="shared" si="144"/>
        <v>61.870762605783796</v>
      </c>
      <c r="AA407" s="11" t="s">
        <v>189</v>
      </c>
      <c r="AB407" s="98">
        <f t="shared" si="110"/>
        <v>15000000</v>
      </c>
      <c r="AC407" s="97">
        <f t="shared" si="111"/>
        <v>2.579E-2</v>
      </c>
      <c r="AD407" s="13">
        <f t="shared" si="145"/>
        <v>1074.5833333333333</v>
      </c>
      <c r="AE407" s="13">
        <f t="shared" si="146"/>
        <v>37610.416666666664</v>
      </c>
      <c r="AF407" s="13">
        <f t="shared" si="147"/>
        <v>345.41666666666663</v>
      </c>
      <c r="AH407" s="235">
        <f>'CT- € Ellipsis BNP'!X407</f>
        <v>100593093.05431117</v>
      </c>
      <c r="AI407" s="236">
        <f>'CT- € Ellipsis BNP'!AA407</f>
        <v>2.2439478578633043E-2</v>
      </c>
      <c r="AJ407" s="90">
        <f>'CT- € Ellipsis BNP'!W407</f>
        <v>6263.834422364831</v>
      </c>
      <c r="AK407" s="91">
        <f>'CT- € Ellipsis BNP'!AC407</f>
        <v>1402.7233112537197</v>
      </c>
      <c r="AM407" s="235">
        <f>'codeis €'!Z407</f>
        <v>0</v>
      </c>
      <c r="AN407" s="236">
        <f>'codeis €'!AF407</f>
        <v>0</v>
      </c>
      <c r="AO407" s="90">
        <f>'codeis €'!AC407</f>
        <v>0</v>
      </c>
      <c r="AP407" s="91">
        <f>'codeis €'!AI407</f>
        <v>0</v>
      </c>
      <c r="AR407" s="12">
        <f t="shared" si="148"/>
        <v>140734049.21431115</v>
      </c>
      <c r="AS407" s="118">
        <f t="shared" si="149"/>
        <v>0.02</v>
      </c>
      <c r="AT407" s="118">
        <f t="shared" si="150"/>
        <v>2.2430466140610186E-2</v>
      </c>
      <c r="AU407" s="12">
        <f t="shared" si="151"/>
        <v>8762.3726695368241</v>
      </c>
      <c r="AV407" s="12">
        <f t="shared" si="152"/>
        <v>1949.9650784257135</v>
      </c>
      <c r="AW407" s="19"/>
    </row>
    <row r="408" spans="2:49" x14ac:dyDescent="0.25">
      <c r="B408" s="9" t="str">
        <f t="shared" si="135"/>
        <v>2 2026</v>
      </c>
      <c r="C408" s="88">
        <f t="shared" si="136"/>
        <v>46057</v>
      </c>
      <c r="D408" s="88">
        <f t="shared" si="115"/>
        <v>46058</v>
      </c>
      <c r="E408" s="89">
        <f t="shared" si="137"/>
        <v>1</v>
      </c>
      <c r="G408" s="11" t="s">
        <v>7</v>
      </c>
      <c r="H408" s="12">
        <f t="shared" si="102"/>
        <v>7130000</v>
      </c>
      <c r="I408" s="14">
        <f t="shared" si="116"/>
        <v>1.7500000000000002E-2</v>
      </c>
      <c r="J408" s="13">
        <f t="shared" si="138"/>
        <v>346.59722222222229</v>
      </c>
      <c r="K408" s="13">
        <f t="shared" si="139"/>
        <v>7018.9583333333358</v>
      </c>
      <c r="M408" s="11" t="s">
        <v>7</v>
      </c>
      <c r="N408" s="12">
        <f t="shared" si="121"/>
        <v>12000000</v>
      </c>
      <c r="O408" s="97">
        <f t="shared" si="103"/>
        <v>2.1698630136986304E-2</v>
      </c>
      <c r="P408" s="112">
        <f t="shared" si="140"/>
        <v>723.28767123287685</v>
      </c>
      <c r="Q408" s="13">
        <f t="shared" si="141"/>
        <v>26038.356164383553</v>
      </c>
      <c r="R408" s="13">
        <f t="shared" si="142"/>
        <v>139.95433789954348</v>
      </c>
      <c r="T408" s="11" t="str">
        <f t="shared" si="104"/>
        <v>SG</v>
      </c>
      <c r="U408" s="12">
        <f t="shared" si="105"/>
        <v>6010956.1600000001</v>
      </c>
      <c r="V408" s="97">
        <f t="shared" si="106"/>
        <v>2.1205479452054792E-2</v>
      </c>
      <c r="W408" s="13">
        <f t="shared" si="143"/>
        <v>354.0700203835616</v>
      </c>
      <c r="X408" s="13">
        <f t="shared" si="108"/>
        <v>12739.421742465756</v>
      </c>
      <c r="Y408" s="13">
        <f t="shared" si="144"/>
        <v>61.870762605783796</v>
      </c>
      <c r="AA408" s="11" t="s">
        <v>189</v>
      </c>
      <c r="AB408" s="98">
        <f t="shared" si="110"/>
        <v>15000000</v>
      </c>
      <c r="AC408" s="97">
        <f t="shared" si="111"/>
        <v>2.579E-2</v>
      </c>
      <c r="AD408" s="13">
        <f t="shared" si="145"/>
        <v>1074.5833333333333</v>
      </c>
      <c r="AE408" s="13">
        <f t="shared" si="146"/>
        <v>38685</v>
      </c>
      <c r="AF408" s="13">
        <f t="shared" si="147"/>
        <v>345.41666666666663</v>
      </c>
      <c r="AH408" s="235">
        <f>'CT- € Ellipsis BNP'!X408</f>
        <v>0</v>
      </c>
      <c r="AI408" s="236">
        <f>'CT- € Ellipsis BNP'!AA408</f>
        <v>0</v>
      </c>
      <c r="AJ408" s="90">
        <f>'CT- € Ellipsis BNP'!W408</f>
        <v>0</v>
      </c>
      <c r="AK408" s="91">
        <f>'CT- € Ellipsis BNP'!AC408</f>
        <v>0</v>
      </c>
      <c r="AM408" s="235">
        <f>'codeis €'!Z408</f>
        <v>0</v>
      </c>
      <c r="AN408" s="236">
        <f>'codeis €'!AF408</f>
        <v>0</v>
      </c>
      <c r="AO408" s="90">
        <f>'codeis €'!AC408</f>
        <v>0</v>
      </c>
      <c r="AP408" s="91">
        <f>'codeis €'!AI408</f>
        <v>0</v>
      </c>
      <c r="AR408" s="12">
        <f t="shared" si="148"/>
        <v>40140956.159999996</v>
      </c>
      <c r="AS408" s="118">
        <f t="shared" si="149"/>
        <v>0.02</v>
      </c>
      <c r="AT408" s="118">
        <f t="shared" si="150"/>
        <v>2.2407881003049777E-2</v>
      </c>
      <c r="AU408" s="12">
        <f t="shared" si="151"/>
        <v>2498.538247171994</v>
      </c>
      <c r="AV408" s="12">
        <f t="shared" si="152"/>
        <v>547.24176717199384</v>
      </c>
      <c r="AW408" s="19"/>
    </row>
    <row r="409" spans="2:49" x14ac:dyDescent="0.25">
      <c r="B409" s="9" t="str">
        <f t="shared" si="135"/>
        <v>2 2026</v>
      </c>
      <c r="C409" s="88">
        <f t="shared" si="136"/>
        <v>46058</v>
      </c>
      <c r="D409" s="88">
        <f t="shared" si="115"/>
        <v>46059</v>
      </c>
      <c r="E409" s="89">
        <f t="shared" si="137"/>
        <v>1</v>
      </c>
      <c r="G409" s="11" t="s">
        <v>7</v>
      </c>
      <c r="H409" s="12">
        <f t="shared" si="102"/>
        <v>7130000</v>
      </c>
      <c r="I409" s="14">
        <f t="shared" si="116"/>
        <v>1.7500000000000002E-2</v>
      </c>
      <c r="J409" s="13">
        <f t="shared" si="138"/>
        <v>346.59722222222229</v>
      </c>
      <c r="K409" s="13">
        <f t="shared" si="139"/>
        <v>7365.5555555555584</v>
      </c>
      <c r="M409" s="11" t="s">
        <v>7</v>
      </c>
      <c r="N409" s="12">
        <f t="shared" si="121"/>
        <v>12000000</v>
      </c>
      <c r="O409" s="97">
        <f t="shared" si="103"/>
        <v>2.1698630136986304E-2</v>
      </c>
      <c r="P409" s="112">
        <f t="shared" si="140"/>
        <v>723.28767123287685</v>
      </c>
      <c r="Q409" s="13">
        <f t="shared" si="141"/>
        <v>26761.643835616429</v>
      </c>
      <c r="R409" s="13">
        <f t="shared" si="142"/>
        <v>139.95433789954348</v>
      </c>
      <c r="T409" s="11" t="str">
        <f t="shared" si="104"/>
        <v>SG</v>
      </c>
      <c r="U409" s="12">
        <f t="shared" si="105"/>
        <v>6010956.1600000001</v>
      </c>
      <c r="V409" s="97">
        <f t="shared" si="106"/>
        <v>2.1205479452054792E-2</v>
      </c>
      <c r="W409" s="13">
        <f t="shared" si="143"/>
        <v>354.0700203835616</v>
      </c>
      <c r="X409" s="13">
        <f t="shared" si="108"/>
        <v>13093.491762849319</v>
      </c>
      <c r="Y409" s="13">
        <f t="shared" si="144"/>
        <v>61.870762605783796</v>
      </c>
      <c r="AA409" s="11" t="s">
        <v>189</v>
      </c>
      <c r="AB409" s="98">
        <f t="shared" si="110"/>
        <v>15000000</v>
      </c>
      <c r="AC409" s="97">
        <f t="shared" si="111"/>
        <v>2.579E-2</v>
      </c>
      <c r="AD409" s="13">
        <f t="shared" si="145"/>
        <v>1074.5833333333333</v>
      </c>
      <c r="AE409" s="13">
        <f t="shared" si="146"/>
        <v>39759.583333333336</v>
      </c>
      <c r="AF409" s="13">
        <f t="shared" si="147"/>
        <v>345.41666666666663</v>
      </c>
      <c r="AH409" s="235">
        <f>'CT- € Ellipsis BNP'!X409</f>
        <v>0</v>
      </c>
      <c r="AI409" s="236">
        <f>'CT- € Ellipsis BNP'!AA409</f>
        <v>0</v>
      </c>
      <c r="AJ409" s="90">
        <f>'CT- € Ellipsis BNP'!W409</f>
        <v>0</v>
      </c>
      <c r="AK409" s="91">
        <f>'CT- € Ellipsis BNP'!AC409</f>
        <v>0</v>
      </c>
      <c r="AM409" s="235">
        <f>'codeis €'!Z409</f>
        <v>0</v>
      </c>
      <c r="AN409" s="236">
        <f>'codeis €'!AF409</f>
        <v>0</v>
      </c>
      <c r="AO409" s="90">
        <f>'codeis €'!AC409</f>
        <v>0</v>
      </c>
      <c r="AP409" s="91">
        <f>'codeis €'!AI409</f>
        <v>0</v>
      </c>
      <c r="AR409" s="12">
        <f t="shared" si="148"/>
        <v>40140956.159999996</v>
      </c>
      <c r="AS409" s="118">
        <f t="shared" si="149"/>
        <v>0.02</v>
      </c>
      <c r="AT409" s="118">
        <f t="shared" si="150"/>
        <v>2.2407881003049777E-2</v>
      </c>
      <c r="AU409" s="12">
        <f t="shared" si="151"/>
        <v>2498.538247171994</v>
      </c>
      <c r="AV409" s="12">
        <f t="shared" si="152"/>
        <v>547.24176717199384</v>
      </c>
      <c r="AW409" s="19"/>
    </row>
    <row r="410" spans="2:49" x14ac:dyDescent="0.25">
      <c r="B410" s="9" t="str">
        <f t="shared" si="135"/>
        <v>2 2026</v>
      </c>
      <c r="C410" s="88">
        <f t="shared" si="136"/>
        <v>46059</v>
      </c>
      <c r="D410" s="88">
        <f t="shared" si="115"/>
        <v>46060</v>
      </c>
      <c r="E410" s="89">
        <f t="shared" si="137"/>
        <v>1</v>
      </c>
      <c r="G410" s="11" t="s">
        <v>7</v>
      </c>
      <c r="H410" s="12">
        <f t="shared" si="102"/>
        <v>7130000</v>
      </c>
      <c r="I410" s="14">
        <f t="shared" si="116"/>
        <v>1.7500000000000002E-2</v>
      </c>
      <c r="J410" s="13">
        <f t="shared" si="138"/>
        <v>346.59722222222229</v>
      </c>
      <c r="K410" s="13">
        <f t="shared" si="139"/>
        <v>7712.152777777781</v>
      </c>
      <c r="M410" s="11" t="s">
        <v>7</v>
      </c>
      <c r="N410" s="12">
        <f t="shared" si="121"/>
        <v>12000000</v>
      </c>
      <c r="O410" s="97">
        <f t="shared" si="103"/>
        <v>2.1698630136986304E-2</v>
      </c>
      <c r="P410" s="112">
        <f t="shared" si="140"/>
        <v>723.28767123287685</v>
      </c>
      <c r="Q410" s="13">
        <f t="shared" si="141"/>
        <v>27484.931506849305</v>
      </c>
      <c r="R410" s="13">
        <f t="shared" si="142"/>
        <v>139.95433789954348</v>
      </c>
      <c r="T410" s="11" t="str">
        <f t="shared" si="104"/>
        <v>SG</v>
      </c>
      <c r="U410" s="12">
        <f t="shared" si="105"/>
        <v>6010956.1600000001</v>
      </c>
      <c r="V410" s="97">
        <f t="shared" si="106"/>
        <v>2.1205479452054792E-2</v>
      </c>
      <c r="W410" s="13">
        <f t="shared" si="143"/>
        <v>354.0700203835616</v>
      </c>
      <c r="X410" s="13">
        <f t="shared" si="108"/>
        <v>13447.561783232881</v>
      </c>
      <c r="Y410" s="13">
        <f t="shared" si="144"/>
        <v>61.870762605783796</v>
      </c>
      <c r="AA410" s="11" t="s">
        <v>189</v>
      </c>
      <c r="AB410" s="98">
        <f t="shared" si="110"/>
        <v>15000000</v>
      </c>
      <c r="AC410" s="97">
        <f t="shared" si="111"/>
        <v>2.579E-2</v>
      </c>
      <c r="AD410" s="13">
        <f t="shared" si="145"/>
        <v>1074.5833333333333</v>
      </c>
      <c r="AE410" s="13">
        <f t="shared" si="146"/>
        <v>40834.166666666672</v>
      </c>
      <c r="AF410" s="13">
        <f t="shared" si="147"/>
        <v>345.41666666666663</v>
      </c>
      <c r="AH410" s="235">
        <f>'CT- € Ellipsis BNP'!X410</f>
        <v>0</v>
      </c>
      <c r="AI410" s="236">
        <f>'CT- € Ellipsis BNP'!AA410</f>
        <v>0</v>
      </c>
      <c r="AJ410" s="90">
        <f>'CT- € Ellipsis BNP'!W410</f>
        <v>0</v>
      </c>
      <c r="AK410" s="91">
        <f>'CT- € Ellipsis BNP'!AC410</f>
        <v>0</v>
      </c>
      <c r="AM410" s="235">
        <f>'codeis €'!Z410</f>
        <v>0</v>
      </c>
      <c r="AN410" s="236">
        <f>'codeis €'!AF410</f>
        <v>0</v>
      </c>
      <c r="AO410" s="90">
        <f>'codeis €'!AC410</f>
        <v>0</v>
      </c>
      <c r="AP410" s="91">
        <f>'codeis €'!AI410</f>
        <v>0</v>
      </c>
      <c r="AR410" s="12">
        <f t="shared" si="148"/>
        <v>40140956.159999996</v>
      </c>
      <c r="AS410" s="118">
        <f t="shared" si="149"/>
        <v>0.02</v>
      </c>
      <c r="AT410" s="118">
        <f t="shared" si="150"/>
        <v>2.2407881003049777E-2</v>
      </c>
      <c r="AU410" s="12">
        <f t="shared" si="151"/>
        <v>2498.538247171994</v>
      </c>
      <c r="AV410" s="12">
        <f t="shared" si="152"/>
        <v>547.24176717199384</v>
      </c>
      <c r="AW410" s="19"/>
    </row>
    <row r="411" spans="2:49" x14ac:dyDescent="0.25">
      <c r="B411" s="9" t="str">
        <f t="shared" si="135"/>
        <v>2 2026</v>
      </c>
      <c r="C411" s="88">
        <f t="shared" si="136"/>
        <v>46060</v>
      </c>
      <c r="D411" s="88">
        <f t="shared" si="115"/>
        <v>46061</v>
      </c>
      <c r="E411" s="89">
        <f t="shared" si="137"/>
        <v>1</v>
      </c>
      <c r="G411" s="11" t="s">
        <v>7</v>
      </c>
      <c r="H411" s="12">
        <f t="shared" si="102"/>
        <v>7130000</v>
      </c>
      <c r="I411" s="14">
        <f t="shared" si="116"/>
        <v>1.7500000000000002E-2</v>
      </c>
      <c r="J411" s="13">
        <f t="shared" si="138"/>
        <v>346.59722222222229</v>
      </c>
      <c r="K411" s="13">
        <f t="shared" si="139"/>
        <v>8058.7500000000036</v>
      </c>
      <c r="M411" s="11" t="s">
        <v>7</v>
      </c>
      <c r="N411" s="12">
        <f t="shared" si="121"/>
        <v>12000000</v>
      </c>
      <c r="O411" s="97">
        <f t="shared" si="103"/>
        <v>2.1698630136986304E-2</v>
      </c>
      <c r="P411" s="112">
        <f t="shared" si="140"/>
        <v>723.28767123287685</v>
      </c>
      <c r="Q411" s="13">
        <f t="shared" si="141"/>
        <v>28208.219178082181</v>
      </c>
      <c r="R411" s="13">
        <f t="shared" si="142"/>
        <v>139.95433789954348</v>
      </c>
      <c r="T411" s="11" t="str">
        <f t="shared" si="104"/>
        <v>SG</v>
      </c>
      <c r="U411" s="12">
        <f t="shared" si="105"/>
        <v>6010956.1600000001</v>
      </c>
      <c r="V411" s="97">
        <f t="shared" si="106"/>
        <v>2.1205479452054792E-2</v>
      </c>
      <c r="W411" s="13">
        <f t="shared" si="143"/>
        <v>354.0700203835616</v>
      </c>
      <c r="X411" s="13">
        <f t="shared" si="108"/>
        <v>13801.631803616443</v>
      </c>
      <c r="Y411" s="13">
        <f t="shared" si="144"/>
        <v>61.870762605783796</v>
      </c>
      <c r="AA411" s="11" t="s">
        <v>189</v>
      </c>
      <c r="AB411" s="98">
        <f t="shared" si="110"/>
        <v>15000000</v>
      </c>
      <c r="AC411" s="97">
        <f t="shared" si="111"/>
        <v>2.579E-2</v>
      </c>
      <c r="AD411" s="13">
        <f t="shared" si="145"/>
        <v>1074.5833333333333</v>
      </c>
      <c r="AE411" s="13">
        <f t="shared" si="146"/>
        <v>41908.750000000007</v>
      </c>
      <c r="AF411" s="13">
        <f t="shared" si="147"/>
        <v>345.41666666666663</v>
      </c>
      <c r="AH411" s="235">
        <f>'CT- € Ellipsis BNP'!X411</f>
        <v>0</v>
      </c>
      <c r="AI411" s="236">
        <f>'CT- € Ellipsis BNP'!AA411</f>
        <v>0</v>
      </c>
      <c r="AJ411" s="90">
        <f>'CT- € Ellipsis BNP'!W411</f>
        <v>0</v>
      </c>
      <c r="AK411" s="91">
        <f>'CT- € Ellipsis BNP'!AC411</f>
        <v>0</v>
      </c>
      <c r="AM411" s="235">
        <f>'codeis €'!Z411</f>
        <v>0</v>
      </c>
      <c r="AN411" s="236">
        <f>'codeis €'!AF411</f>
        <v>0</v>
      </c>
      <c r="AO411" s="90">
        <f>'codeis €'!AC411</f>
        <v>0</v>
      </c>
      <c r="AP411" s="91">
        <f>'codeis €'!AI411</f>
        <v>0</v>
      </c>
      <c r="AR411" s="12">
        <f t="shared" si="148"/>
        <v>40140956.159999996</v>
      </c>
      <c r="AS411" s="118">
        <f t="shared" si="149"/>
        <v>0.02</v>
      </c>
      <c r="AT411" s="118">
        <f t="shared" si="150"/>
        <v>2.2407881003049777E-2</v>
      </c>
      <c r="AU411" s="12">
        <f t="shared" si="151"/>
        <v>2498.538247171994</v>
      </c>
      <c r="AV411" s="12">
        <f t="shared" si="152"/>
        <v>547.24176717199384</v>
      </c>
      <c r="AW411" s="19"/>
    </row>
    <row r="412" spans="2:49" x14ac:dyDescent="0.25">
      <c r="B412" s="9" t="str">
        <f t="shared" si="135"/>
        <v>2 2026</v>
      </c>
      <c r="C412" s="88">
        <f t="shared" si="136"/>
        <v>46061</v>
      </c>
      <c r="D412" s="88">
        <f t="shared" si="115"/>
        <v>46062</v>
      </c>
      <c r="E412" s="89">
        <f t="shared" si="137"/>
        <v>1</v>
      </c>
      <c r="G412" s="11" t="s">
        <v>7</v>
      </c>
      <c r="H412" s="12">
        <f t="shared" si="102"/>
        <v>7130000</v>
      </c>
      <c r="I412" s="14">
        <f t="shared" si="116"/>
        <v>1.7500000000000002E-2</v>
      </c>
      <c r="J412" s="13">
        <f t="shared" si="138"/>
        <v>346.59722222222229</v>
      </c>
      <c r="K412" s="13">
        <f t="shared" si="139"/>
        <v>8405.3472222222263</v>
      </c>
      <c r="M412" s="11" t="s">
        <v>7</v>
      </c>
      <c r="N412" s="12">
        <f t="shared" si="121"/>
        <v>12000000</v>
      </c>
      <c r="O412" s="97">
        <f t="shared" si="103"/>
        <v>2.1698630136986304E-2</v>
      </c>
      <c r="P412" s="112">
        <f t="shared" si="140"/>
        <v>723.28767123287685</v>
      </c>
      <c r="Q412" s="13">
        <f t="shared" si="141"/>
        <v>28931.506849315057</v>
      </c>
      <c r="R412" s="13">
        <f t="shared" si="142"/>
        <v>139.95433789954348</v>
      </c>
      <c r="T412" s="11" t="str">
        <f t="shared" si="104"/>
        <v>SG</v>
      </c>
      <c r="U412" s="12">
        <f t="shared" si="105"/>
        <v>6010956.1600000001</v>
      </c>
      <c r="V412" s="97">
        <f t="shared" si="106"/>
        <v>2.1205479452054792E-2</v>
      </c>
      <c r="W412" s="13">
        <f t="shared" si="143"/>
        <v>354.0700203835616</v>
      </c>
      <c r="X412" s="13">
        <f t="shared" si="108"/>
        <v>14155.701824000005</v>
      </c>
      <c r="Y412" s="13">
        <f t="shared" si="144"/>
        <v>61.870762605783796</v>
      </c>
      <c r="AA412" s="11" t="s">
        <v>189</v>
      </c>
      <c r="AB412" s="98">
        <f t="shared" si="110"/>
        <v>15000000</v>
      </c>
      <c r="AC412" s="97">
        <f t="shared" si="111"/>
        <v>2.579E-2</v>
      </c>
      <c r="AD412" s="13">
        <f t="shared" si="145"/>
        <v>1074.5833333333333</v>
      </c>
      <c r="AE412" s="13">
        <f t="shared" si="146"/>
        <v>42983.333333333343</v>
      </c>
      <c r="AF412" s="13">
        <f t="shared" si="147"/>
        <v>345.41666666666663</v>
      </c>
      <c r="AH412" s="235">
        <f>'CT- € Ellipsis BNP'!X412</f>
        <v>0</v>
      </c>
      <c r="AI412" s="236">
        <f>'CT- € Ellipsis BNP'!AA412</f>
        <v>0</v>
      </c>
      <c r="AJ412" s="90">
        <f>'CT- € Ellipsis BNP'!W412</f>
        <v>0</v>
      </c>
      <c r="AK412" s="91">
        <f>'CT- € Ellipsis BNP'!AC412</f>
        <v>0</v>
      </c>
      <c r="AM412" s="235">
        <f>'codeis €'!Z412</f>
        <v>0</v>
      </c>
      <c r="AN412" s="236">
        <f>'codeis €'!AF412</f>
        <v>0</v>
      </c>
      <c r="AO412" s="90">
        <f>'codeis €'!AC412</f>
        <v>0</v>
      </c>
      <c r="AP412" s="91">
        <f>'codeis €'!AI412</f>
        <v>0</v>
      </c>
      <c r="AR412" s="12">
        <f t="shared" si="148"/>
        <v>40140956.159999996</v>
      </c>
      <c r="AS412" s="118">
        <f t="shared" si="149"/>
        <v>0.02</v>
      </c>
      <c r="AT412" s="118">
        <f t="shared" si="150"/>
        <v>2.2407881003049777E-2</v>
      </c>
      <c r="AU412" s="12">
        <f t="shared" si="151"/>
        <v>2498.538247171994</v>
      </c>
      <c r="AV412" s="12">
        <f t="shared" si="152"/>
        <v>547.24176717199384</v>
      </c>
      <c r="AW412" s="19"/>
    </row>
    <row r="413" spans="2:49" x14ac:dyDescent="0.25">
      <c r="B413" s="9" t="str">
        <f t="shared" si="135"/>
        <v>2 2026</v>
      </c>
      <c r="C413" s="88">
        <f t="shared" si="136"/>
        <v>46062</v>
      </c>
      <c r="D413" s="88">
        <f t="shared" si="115"/>
        <v>46063</v>
      </c>
      <c r="E413" s="89">
        <f t="shared" si="137"/>
        <v>1</v>
      </c>
      <c r="G413" s="11" t="s">
        <v>7</v>
      </c>
      <c r="H413" s="12">
        <f t="shared" si="102"/>
        <v>7130000</v>
      </c>
      <c r="I413" s="14">
        <f t="shared" si="116"/>
        <v>1.7500000000000002E-2</v>
      </c>
      <c r="J413" s="13">
        <f t="shared" si="138"/>
        <v>346.59722222222229</v>
      </c>
      <c r="K413" s="13">
        <f t="shared" si="139"/>
        <v>8751.9444444444489</v>
      </c>
      <c r="M413" s="11" t="s">
        <v>7</v>
      </c>
      <c r="N413" s="12">
        <f t="shared" si="121"/>
        <v>12000000</v>
      </c>
      <c r="O413" s="97">
        <f t="shared" si="103"/>
        <v>2.1698630136986304E-2</v>
      </c>
      <c r="P413" s="112">
        <f t="shared" si="140"/>
        <v>723.28767123287685</v>
      </c>
      <c r="Q413" s="13">
        <f t="shared" si="141"/>
        <v>29654.794520547934</v>
      </c>
      <c r="R413" s="13">
        <f t="shared" si="142"/>
        <v>139.95433789954348</v>
      </c>
      <c r="T413" s="11" t="str">
        <f t="shared" si="104"/>
        <v>SG</v>
      </c>
      <c r="U413" s="12">
        <f t="shared" si="105"/>
        <v>6010956.1600000001</v>
      </c>
      <c r="V413" s="97">
        <f t="shared" si="106"/>
        <v>2.1205479452054792E-2</v>
      </c>
      <c r="W413" s="13">
        <f t="shared" si="143"/>
        <v>354.0700203835616</v>
      </c>
      <c r="X413" s="13">
        <f t="shared" si="108"/>
        <v>14509.771844383567</v>
      </c>
      <c r="Y413" s="13">
        <f t="shared" si="144"/>
        <v>61.870762605783796</v>
      </c>
      <c r="AA413" s="11" t="s">
        <v>189</v>
      </c>
      <c r="AB413" s="98">
        <f t="shared" si="110"/>
        <v>15000000</v>
      </c>
      <c r="AC413" s="97">
        <f t="shared" si="111"/>
        <v>2.579E-2</v>
      </c>
      <c r="AD413" s="13">
        <f t="shared" si="145"/>
        <v>1074.5833333333333</v>
      </c>
      <c r="AE413" s="13">
        <f t="shared" si="146"/>
        <v>44057.916666666679</v>
      </c>
      <c r="AF413" s="13">
        <f t="shared" si="147"/>
        <v>345.41666666666663</v>
      </c>
      <c r="AH413" s="235">
        <f>'CT- € Ellipsis BNP'!X413</f>
        <v>0</v>
      </c>
      <c r="AI413" s="236">
        <f>'CT- € Ellipsis BNP'!AA413</f>
        <v>0</v>
      </c>
      <c r="AJ413" s="90">
        <f>'CT- € Ellipsis BNP'!W413</f>
        <v>0</v>
      </c>
      <c r="AK413" s="91">
        <f>'CT- € Ellipsis BNP'!AC413</f>
        <v>0</v>
      </c>
      <c r="AM413" s="235">
        <f>'codeis €'!Z413</f>
        <v>0</v>
      </c>
      <c r="AN413" s="236">
        <f>'codeis €'!AF413</f>
        <v>0</v>
      </c>
      <c r="AO413" s="90">
        <f>'codeis €'!AC413</f>
        <v>0</v>
      </c>
      <c r="AP413" s="91">
        <f>'codeis €'!AI413</f>
        <v>0</v>
      </c>
      <c r="AR413" s="12">
        <f t="shared" si="148"/>
        <v>40140956.159999996</v>
      </c>
      <c r="AS413" s="118">
        <f t="shared" si="149"/>
        <v>0.02</v>
      </c>
      <c r="AT413" s="118">
        <f t="shared" si="150"/>
        <v>2.2407881003049777E-2</v>
      </c>
      <c r="AU413" s="12">
        <f t="shared" si="151"/>
        <v>2498.538247171994</v>
      </c>
      <c r="AV413" s="12">
        <f t="shared" si="152"/>
        <v>547.24176717199384</v>
      </c>
      <c r="AW413" s="19"/>
    </row>
    <row r="414" spans="2:49" x14ac:dyDescent="0.25">
      <c r="B414" s="9" t="str">
        <f t="shared" si="135"/>
        <v>2 2026</v>
      </c>
      <c r="C414" s="88">
        <f t="shared" si="136"/>
        <v>46063</v>
      </c>
      <c r="D414" s="88">
        <f t="shared" si="115"/>
        <v>46064</v>
      </c>
      <c r="E414" s="89">
        <f t="shared" si="137"/>
        <v>1</v>
      </c>
      <c r="G414" s="11" t="s">
        <v>7</v>
      </c>
      <c r="H414" s="106">
        <f>H413-2250000</f>
        <v>4880000</v>
      </c>
      <c r="I414" s="14">
        <f t="shared" si="116"/>
        <v>1.7500000000000002E-2</v>
      </c>
      <c r="J414" s="13">
        <f t="shared" si="138"/>
        <v>237.22222222222226</v>
      </c>
      <c r="K414" s="13">
        <f t="shared" si="139"/>
        <v>8989.1666666666715</v>
      </c>
      <c r="M414" s="11" t="s">
        <v>7</v>
      </c>
      <c r="N414" s="12">
        <f t="shared" si="121"/>
        <v>12000000</v>
      </c>
      <c r="O414" s="97">
        <f t="shared" si="103"/>
        <v>2.1698630136986304E-2</v>
      </c>
      <c r="P414" s="112">
        <f t="shared" si="140"/>
        <v>723.28767123287685</v>
      </c>
      <c r="Q414" s="13">
        <f t="shared" si="141"/>
        <v>30378.08219178081</v>
      </c>
      <c r="R414" s="13">
        <f t="shared" si="142"/>
        <v>139.95433789954348</v>
      </c>
      <c r="T414" s="11" t="str">
        <f t="shared" si="104"/>
        <v>SG</v>
      </c>
      <c r="U414" s="12">
        <f t="shared" si="105"/>
        <v>6010956.1600000001</v>
      </c>
      <c r="V414" s="97">
        <f t="shared" si="106"/>
        <v>2.1205479452054792E-2</v>
      </c>
      <c r="W414" s="13">
        <f t="shared" si="143"/>
        <v>354.0700203835616</v>
      </c>
      <c r="X414" s="13">
        <f t="shared" si="108"/>
        <v>14863.84186476713</v>
      </c>
      <c r="Y414" s="13">
        <f t="shared" si="144"/>
        <v>61.870762605783796</v>
      </c>
      <c r="AA414" s="11" t="s">
        <v>189</v>
      </c>
      <c r="AB414" s="98">
        <f t="shared" si="110"/>
        <v>15000000</v>
      </c>
      <c r="AC414" s="97">
        <f t="shared" si="111"/>
        <v>2.579E-2</v>
      </c>
      <c r="AD414" s="13">
        <f t="shared" si="145"/>
        <v>1074.5833333333333</v>
      </c>
      <c r="AE414" s="13">
        <f t="shared" si="146"/>
        <v>45132.500000000015</v>
      </c>
      <c r="AF414" s="13">
        <f t="shared" si="147"/>
        <v>345.41666666666663</v>
      </c>
      <c r="AH414" s="235">
        <f>'CT- € Ellipsis BNP'!X414</f>
        <v>0</v>
      </c>
      <c r="AI414" s="236">
        <f>'CT- € Ellipsis BNP'!AA414</f>
        <v>0</v>
      </c>
      <c r="AJ414" s="90">
        <f>'CT- € Ellipsis BNP'!W414</f>
        <v>0</v>
      </c>
      <c r="AK414" s="91">
        <f>'CT- € Ellipsis BNP'!AC414</f>
        <v>0</v>
      </c>
      <c r="AM414" s="235">
        <f>'codeis €'!Z414</f>
        <v>0</v>
      </c>
      <c r="AN414" s="236">
        <f>'codeis €'!AF414</f>
        <v>0</v>
      </c>
      <c r="AO414" s="90">
        <f>'codeis €'!AC414</f>
        <v>0</v>
      </c>
      <c r="AP414" s="91">
        <f>'codeis €'!AI414</f>
        <v>0</v>
      </c>
      <c r="AR414" s="12">
        <f t="shared" si="148"/>
        <v>37890956.159999996</v>
      </c>
      <c r="AS414" s="118">
        <f t="shared" si="149"/>
        <v>0.02</v>
      </c>
      <c r="AT414" s="118">
        <f t="shared" si="150"/>
        <v>2.269931551344409E-2</v>
      </c>
      <c r="AU414" s="12">
        <f t="shared" si="151"/>
        <v>2389.163247171994</v>
      </c>
      <c r="AV414" s="12">
        <f t="shared" si="152"/>
        <v>547.24176717199384</v>
      </c>
      <c r="AW414" s="19"/>
    </row>
    <row r="415" spans="2:49" x14ac:dyDescent="0.25">
      <c r="B415" s="9" t="str">
        <f t="shared" si="135"/>
        <v>2 2026</v>
      </c>
      <c r="C415" s="88">
        <f t="shared" si="136"/>
        <v>46064</v>
      </c>
      <c r="D415" s="88">
        <f t="shared" si="115"/>
        <v>46065</v>
      </c>
      <c r="E415" s="89">
        <f t="shared" si="137"/>
        <v>1</v>
      </c>
      <c r="G415" s="11" t="s">
        <v>7</v>
      </c>
      <c r="H415" s="12">
        <f t="shared" si="102"/>
        <v>4880000</v>
      </c>
      <c r="I415" s="14">
        <f t="shared" si="116"/>
        <v>1.7500000000000002E-2</v>
      </c>
      <c r="J415" s="13">
        <f t="shared" si="138"/>
        <v>237.22222222222226</v>
      </c>
      <c r="K415" s="13">
        <f t="shared" si="139"/>
        <v>9226.3888888888941</v>
      </c>
      <c r="M415" s="11" t="s">
        <v>7</v>
      </c>
      <c r="N415" s="12">
        <f t="shared" si="121"/>
        <v>12000000</v>
      </c>
      <c r="O415" s="97">
        <f t="shared" si="103"/>
        <v>2.1698630136986304E-2</v>
      </c>
      <c r="P415" s="112">
        <f t="shared" si="140"/>
        <v>723.28767123287685</v>
      </c>
      <c r="Q415" s="13">
        <f t="shared" si="141"/>
        <v>31101.369863013686</v>
      </c>
      <c r="R415" s="13">
        <f t="shared" si="142"/>
        <v>139.95433789954348</v>
      </c>
      <c r="T415" s="11" t="str">
        <f t="shared" si="104"/>
        <v>SG</v>
      </c>
      <c r="U415" s="12">
        <f t="shared" si="105"/>
        <v>6010956.1600000001</v>
      </c>
      <c r="V415" s="97">
        <f t="shared" si="106"/>
        <v>2.1205479452054792E-2</v>
      </c>
      <c r="W415" s="13">
        <f t="shared" si="143"/>
        <v>354.0700203835616</v>
      </c>
      <c r="X415" s="13">
        <f t="shared" si="108"/>
        <v>15217.911885150692</v>
      </c>
      <c r="Y415" s="13">
        <f t="shared" si="144"/>
        <v>61.870762605783796</v>
      </c>
      <c r="AA415" s="11" t="s">
        <v>189</v>
      </c>
      <c r="AB415" s="98">
        <f t="shared" si="110"/>
        <v>15000000</v>
      </c>
      <c r="AC415" s="97">
        <f t="shared" si="111"/>
        <v>2.579E-2</v>
      </c>
      <c r="AD415" s="13">
        <f t="shared" si="145"/>
        <v>1074.5833333333333</v>
      </c>
      <c r="AE415" s="13">
        <f t="shared" si="146"/>
        <v>46207.08333333335</v>
      </c>
      <c r="AF415" s="13">
        <f t="shared" si="147"/>
        <v>345.41666666666663</v>
      </c>
      <c r="AH415" s="235">
        <f>'CT- € Ellipsis BNP'!X415</f>
        <v>0</v>
      </c>
      <c r="AI415" s="236">
        <f>'CT- € Ellipsis BNP'!AA415</f>
        <v>0</v>
      </c>
      <c r="AJ415" s="90">
        <f>'CT- € Ellipsis BNP'!W415</f>
        <v>0</v>
      </c>
      <c r="AK415" s="91">
        <f>'CT- € Ellipsis BNP'!AC415</f>
        <v>0</v>
      </c>
      <c r="AM415" s="235">
        <f>'codeis €'!Z415</f>
        <v>0</v>
      </c>
      <c r="AN415" s="236">
        <f>'codeis €'!AF415</f>
        <v>0</v>
      </c>
      <c r="AO415" s="90">
        <f>'codeis €'!AC415</f>
        <v>0</v>
      </c>
      <c r="AP415" s="91">
        <f>'codeis €'!AI415</f>
        <v>0</v>
      </c>
      <c r="AR415" s="12">
        <f t="shared" si="148"/>
        <v>37890956.159999996</v>
      </c>
      <c r="AS415" s="118">
        <f t="shared" si="149"/>
        <v>0.02</v>
      </c>
      <c r="AT415" s="118">
        <f t="shared" si="150"/>
        <v>2.269931551344409E-2</v>
      </c>
      <c r="AU415" s="12">
        <f t="shared" si="151"/>
        <v>2389.163247171994</v>
      </c>
      <c r="AV415" s="12">
        <f t="shared" si="152"/>
        <v>547.24176717199384</v>
      </c>
      <c r="AW415" s="19"/>
    </row>
    <row r="416" spans="2:49" x14ac:dyDescent="0.25">
      <c r="B416" s="9" t="str">
        <f t="shared" si="135"/>
        <v>2 2026</v>
      </c>
      <c r="C416" s="88">
        <f t="shared" si="136"/>
        <v>46065</v>
      </c>
      <c r="D416" s="88">
        <f t="shared" si="115"/>
        <v>46066</v>
      </c>
      <c r="E416" s="89">
        <f t="shared" si="137"/>
        <v>1</v>
      </c>
      <c r="G416" s="11" t="s">
        <v>7</v>
      </c>
      <c r="H416" s="12">
        <f t="shared" si="102"/>
        <v>4880000</v>
      </c>
      <c r="I416" s="14">
        <f t="shared" si="116"/>
        <v>1.7500000000000002E-2</v>
      </c>
      <c r="J416" s="13">
        <f t="shared" si="138"/>
        <v>237.22222222222226</v>
      </c>
      <c r="K416" s="13">
        <f t="shared" si="139"/>
        <v>9463.6111111111168</v>
      </c>
      <c r="M416" s="11" t="s">
        <v>7</v>
      </c>
      <c r="N416" s="12">
        <f t="shared" si="121"/>
        <v>12000000</v>
      </c>
      <c r="O416" s="97">
        <f t="shared" si="103"/>
        <v>2.1698630136986304E-2</v>
      </c>
      <c r="P416" s="112">
        <f t="shared" si="140"/>
        <v>723.28767123287685</v>
      </c>
      <c r="Q416" s="13">
        <f t="shared" si="141"/>
        <v>31824.657534246562</v>
      </c>
      <c r="R416" s="13">
        <f t="shared" si="142"/>
        <v>139.95433789954348</v>
      </c>
      <c r="T416" s="11" t="str">
        <f t="shared" si="104"/>
        <v>SG</v>
      </c>
      <c r="U416" s="12">
        <f t="shared" si="105"/>
        <v>6010956.1600000001</v>
      </c>
      <c r="V416" s="97">
        <f t="shared" si="106"/>
        <v>2.1205479452054792E-2</v>
      </c>
      <c r="W416" s="13">
        <f t="shared" si="143"/>
        <v>354.0700203835616</v>
      </c>
      <c r="X416" s="13">
        <f t="shared" si="108"/>
        <v>15571.981905534254</v>
      </c>
      <c r="Y416" s="13">
        <f t="shared" si="144"/>
        <v>61.870762605783796</v>
      </c>
      <c r="AA416" s="11" t="s">
        <v>189</v>
      </c>
      <c r="AB416" s="98">
        <f t="shared" si="110"/>
        <v>15000000</v>
      </c>
      <c r="AC416" s="97">
        <f t="shared" si="111"/>
        <v>2.579E-2</v>
      </c>
      <c r="AD416" s="13">
        <f t="shared" si="145"/>
        <v>1074.5833333333333</v>
      </c>
      <c r="AE416" s="13">
        <f t="shared" si="146"/>
        <v>47281.666666666686</v>
      </c>
      <c r="AF416" s="13">
        <f t="shared" si="147"/>
        <v>345.41666666666663</v>
      </c>
      <c r="AH416" s="235">
        <f>'CT- € Ellipsis BNP'!X416</f>
        <v>0</v>
      </c>
      <c r="AI416" s="236">
        <f>'CT- € Ellipsis BNP'!AA416</f>
        <v>0</v>
      </c>
      <c r="AJ416" s="90">
        <f>'CT- € Ellipsis BNP'!W416</f>
        <v>0</v>
      </c>
      <c r="AK416" s="91">
        <f>'CT- € Ellipsis BNP'!AC416</f>
        <v>0</v>
      </c>
      <c r="AM416" s="235">
        <f>'codeis €'!Z416</f>
        <v>0</v>
      </c>
      <c r="AN416" s="236">
        <f>'codeis €'!AF416</f>
        <v>0</v>
      </c>
      <c r="AO416" s="90">
        <f>'codeis €'!AC416</f>
        <v>0</v>
      </c>
      <c r="AP416" s="91">
        <f>'codeis €'!AI416</f>
        <v>0</v>
      </c>
      <c r="AR416" s="12">
        <f t="shared" si="148"/>
        <v>37890956.159999996</v>
      </c>
      <c r="AS416" s="118">
        <f t="shared" si="149"/>
        <v>0.02</v>
      </c>
      <c r="AT416" s="118">
        <f t="shared" si="150"/>
        <v>2.269931551344409E-2</v>
      </c>
      <c r="AU416" s="12">
        <f t="shared" si="151"/>
        <v>2389.163247171994</v>
      </c>
      <c r="AV416" s="12">
        <f t="shared" si="152"/>
        <v>547.24176717199384</v>
      </c>
      <c r="AW416" s="19"/>
    </row>
    <row r="417" spans="2:49" x14ac:dyDescent="0.25">
      <c r="B417" s="9" t="str">
        <f t="shared" si="135"/>
        <v>2 2026</v>
      </c>
      <c r="C417" s="88">
        <f t="shared" si="136"/>
        <v>46066</v>
      </c>
      <c r="D417" s="88">
        <f t="shared" si="115"/>
        <v>46067</v>
      </c>
      <c r="E417" s="89">
        <f t="shared" si="137"/>
        <v>1</v>
      </c>
      <c r="G417" s="11" t="s">
        <v>7</v>
      </c>
      <c r="H417" s="12">
        <f t="shared" si="102"/>
        <v>4880000</v>
      </c>
      <c r="I417" s="14">
        <f t="shared" si="116"/>
        <v>1.7500000000000002E-2</v>
      </c>
      <c r="J417" s="13">
        <f t="shared" si="138"/>
        <v>237.22222222222226</v>
      </c>
      <c r="K417" s="13">
        <f t="shared" si="139"/>
        <v>9700.8333333333394</v>
      </c>
      <c r="M417" s="11" t="s">
        <v>7</v>
      </c>
      <c r="N417" s="12">
        <f t="shared" si="121"/>
        <v>12000000</v>
      </c>
      <c r="O417" s="97">
        <f t="shared" si="103"/>
        <v>2.1698630136986304E-2</v>
      </c>
      <c r="P417" s="112">
        <f t="shared" si="140"/>
        <v>723.28767123287685</v>
      </c>
      <c r="Q417" s="13">
        <f t="shared" si="141"/>
        <v>32547.945205479438</v>
      </c>
      <c r="R417" s="13">
        <f t="shared" si="142"/>
        <v>139.95433789954348</v>
      </c>
      <c r="T417" s="11" t="str">
        <f t="shared" si="104"/>
        <v>SG</v>
      </c>
      <c r="U417" s="12">
        <f t="shared" si="105"/>
        <v>6010956.1600000001</v>
      </c>
      <c r="V417" s="97">
        <f t="shared" si="106"/>
        <v>2.1205479452054792E-2</v>
      </c>
      <c r="W417" s="13">
        <f t="shared" si="143"/>
        <v>354.0700203835616</v>
      </c>
      <c r="X417" s="13">
        <f t="shared" si="108"/>
        <v>15926.051925917816</v>
      </c>
      <c r="Y417" s="13">
        <f t="shared" si="144"/>
        <v>61.870762605783796</v>
      </c>
      <c r="AA417" s="11" t="s">
        <v>189</v>
      </c>
      <c r="AB417" s="98">
        <f t="shared" si="110"/>
        <v>15000000</v>
      </c>
      <c r="AC417" s="97">
        <f t="shared" si="111"/>
        <v>2.579E-2</v>
      </c>
      <c r="AD417" s="13">
        <f t="shared" si="145"/>
        <v>1074.5833333333333</v>
      </c>
      <c r="AE417" s="13">
        <f t="shared" si="146"/>
        <v>48356.250000000022</v>
      </c>
      <c r="AF417" s="13">
        <f t="shared" si="147"/>
        <v>345.41666666666663</v>
      </c>
      <c r="AH417" s="235">
        <f>'CT- € Ellipsis BNP'!X417</f>
        <v>0</v>
      </c>
      <c r="AI417" s="236">
        <f>'CT- € Ellipsis BNP'!AA417</f>
        <v>0</v>
      </c>
      <c r="AJ417" s="90">
        <f>'CT- € Ellipsis BNP'!W417</f>
        <v>0</v>
      </c>
      <c r="AK417" s="91">
        <f>'CT- € Ellipsis BNP'!AC417</f>
        <v>0</v>
      </c>
      <c r="AM417" s="235">
        <f>'codeis €'!Z417</f>
        <v>0</v>
      </c>
      <c r="AN417" s="236">
        <f>'codeis €'!AF417</f>
        <v>0</v>
      </c>
      <c r="AO417" s="90">
        <f>'codeis €'!AC417</f>
        <v>0</v>
      </c>
      <c r="AP417" s="91">
        <f>'codeis €'!AI417</f>
        <v>0</v>
      </c>
      <c r="AR417" s="12">
        <f t="shared" si="148"/>
        <v>37890956.159999996</v>
      </c>
      <c r="AS417" s="118">
        <f t="shared" si="149"/>
        <v>0.02</v>
      </c>
      <c r="AT417" s="118">
        <f t="shared" si="150"/>
        <v>2.269931551344409E-2</v>
      </c>
      <c r="AU417" s="12">
        <f t="shared" si="151"/>
        <v>2389.163247171994</v>
      </c>
      <c r="AV417" s="12">
        <f t="shared" si="152"/>
        <v>547.24176717199384</v>
      </c>
      <c r="AW417" s="19"/>
    </row>
    <row r="418" spans="2:49" x14ac:dyDescent="0.25">
      <c r="B418" s="9" t="str">
        <f t="shared" si="135"/>
        <v>2 2026</v>
      </c>
      <c r="C418" s="88">
        <f t="shared" si="136"/>
        <v>46067</v>
      </c>
      <c r="D418" s="88">
        <f t="shared" si="115"/>
        <v>46068</v>
      </c>
      <c r="E418" s="89">
        <f t="shared" si="137"/>
        <v>1</v>
      </c>
      <c r="G418" s="11" t="s">
        <v>7</v>
      </c>
      <c r="H418" s="12">
        <f t="shared" si="102"/>
        <v>4880000</v>
      </c>
      <c r="I418" s="14">
        <f t="shared" si="116"/>
        <v>1.7500000000000002E-2</v>
      </c>
      <c r="J418" s="13">
        <f t="shared" si="138"/>
        <v>237.22222222222226</v>
      </c>
      <c r="K418" s="13">
        <f t="shared" si="139"/>
        <v>9938.055555555562</v>
      </c>
      <c r="M418" s="11" t="s">
        <v>7</v>
      </c>
      <c r="N418" s="12">
        <f t="shared" si="121"/>
        <v>12000000</v>
      </c>
      <c r="O418" s="97">
        <f t="shared" si="103"/>
        <v>2.1698630136986304E-2</v>
      </c>
      <c r="P418" s="112">
        <f t="shared" si="140"/>
        <v>723.28767123287685</v>
      </c>
      <c r="Q418" s="13">
        <f t="shared" si="141"/>
        <v>33271.232876712318</v>
      </c>
      <c r="R418" s="13">
        <f t="shared" si="142"/>
        <v>139.95433789954348</v>
      </c>
      <c r="T418" s="11" t="str">
        <f t="shared" si="104"/>
        <v>SG</v>
      </c>
      <c r="U418" s="12">
        <f t="shared" si="105"/>
        <v>6010956.1600000001</v>
      </c>
      <c r="V418" s="97">
        <f t="shared" si="106"/>
        <v>2.1205479452054792E-2</v>
      </c>
      <c r="W418" s="13">
        <f t="shared" si="143"/>
        <v>354.0700203835616</v>
      </c>
      <c r="X418" s="13">
        <f t="shared" si="108"/>
        <v>16280.121946301379</v>
      </c>
      <c r="Y418" s="13">
        <f t="shared" si="144"/>
        <v>61.870762605783796</v>
      </c>
      <c r="AA418" s="11" t="s">
        <v>189</v>
      </c>
      <c r="AB418" s="98">
        <f t="shared" si="110"/>
        <v>15000000</v>
      </c>
      <c r="AC418" s="97">
        <f t="shared" si="111"/>
        <v>2.579E-2</v>
      </c>
      <c r="AD418" s="13">
        <f t="shared" si="145"/>
        <v>1074.5833333333333</v>
      </c>
      <c r="AE418" s="13">
        <f t="shared" si="146"/>
        <v>49430.833333333358</v>
      </c>
      <c r="AF418" s="13">
        <f t="shared" si="147"/>
        <v>345.41666666666663</v>
      </c>
      <c r="AH418" s="235">
        <f>'CT- € Ellipsis BNP'!X418</f>
        <v>0</v>
      </c>
      <c r="AI418" s="236">
        <f>'CT- € Ellipsis BNP'!AA418</f>
        <v>0</v>
      </c>
      <c r="AJ418" s="90">
        <f>'CT- € Ellipsis BNP'!W418</f>
        <v>0</v>
      </c>
      <c r="AK418" s="91">
        <f>'CT- € Ellipsis BNP'!AC418</f>
        <v>0</v>
      </c>
      <c r="AM418" s="235">
        <f>'codeis €'!Z418</f>
        <v>0</v>
      </c>
      <c r="AN418" s="236">
        <f>'codeis €'!AF418</f>
        <v>0</v>
      </c>
      <c r="AO418" s="90">
        <f>'codeis €'!AC418</f>
        <v>0</v>
      </c>
      <c r="AP418" s="91">
        <f>'codeis €'!AI418</f>
        <v>0</v>
      </c>
      <c r="AR418" s="12">
        <f t="shared" si="148"/>
        <v>37890956.159999996</v>
      </c>
      <c r="AS418" s="118">
        <f t="shared" si="149"/>
        <v>0.02</v>
      </c>
      <c r="AT418" s="118">
        <f t="shared" si="150"/>
        <v>2.269931551344409E-2</v>
      </c>
      <c r="AU418" s="12">
        <f t="shared" si="151"/>
        <v>2389.163247171994</v>
      </c>
      <c r="AV418" s="12">
        <f t="shared" si="152"/>
        <v>547.24176717199384</v>
      </c>
      <c r="AW418" s="19"/>
    </row>
    <row r="419" spans="2:49" x14ac:dyDescent="0.25">
      <c r="B419" s="9" t="str">
        <f t="shared" si="135"/>
        <v>2 2026</v>
      </c>
      <c r="C419" s="88">
        <f t="shared" si="136"/>
        <v>46068</v>
      </c>
      <c r="D419" s="88">
        <f t="shared" si="115"/>
        <v>46069</v>
      </c>
      <c r="E419" s="89">
        <f t="shared" si="137"/>
        <v>1</v>
      </c>
      <c r="G419" s="11" t="s">
        <v>7</v>
      </c>
      <c r="H419" s="12">
        <f t="shared" si="102"/>
        <v>4880000</v>
      </c>
      <c r="I419" s="14">
        <f t="shared" si="116"/>
        <v>1.7500000000000002E-2</v>
      </c>
      <c r="J419" s="13">
        <f t="shared" si="138"/>
        <v>237.22222222222226</v>
      </c>
      <c r="K419" s="13">
        <f t="shared" si="139"/>
        <v>10175.277777777785</v>
      </c>
      <c r="M419" s="11" t="s">
        <v>7</v>
      </c>
      <c r="N419" s="12">
        <f t="shared" si="121"/>
        <v>12000000</v>
      </c>
      <c r="O419" s="97">
        <f t="shared" si="103"/>
        <v>2.1698630136986304E-2</v>
      </c>
      <c r="P419" s="112">
        <f t="shared" si="140"/>
        <v>723.28767123287685</v>
      </c>
      <c r="Q419" s="13">
        <f t="shared" si="141"/>
        <v>33994.520547945198</v>
      </c>
      <c r="R419" s="13">
        <f t="shared" si="142"/>
        <v>139.95433789954348</v>
      </c>
      <c r="T419" s="11" t="str">
        <f t="shared" si="104"/>
        <v>SG</v>
      </c>
      <c r="U419" s="12">
        <f t="shared" si="105"/>
        <v>6010956.1600000001</v>
      </c>
      <c r="V419" s="97">
        <f t="shared" si="106"/>
        <v>2.1205479452054792E-2</v>
      </c>
      <c r="W419" s="13">
        <f t="shared" si="143"/>
        <v>354.0700203835616</v>
      </c>
      <c r="X419" s="13">
        <f t="shared" si="108"/>
        <v>16634.191966684939</v>
      </c>
      <c r="Y419" s="13">
        <f t="shared" si="144"/>
        <v>61.870762605783796</v>
      </c>
      <c r="AA419" s="11" t="s">
        <v>189</v>
      </c>
      <c r="AB419" s="98">
        <f t="shared" si="110"/>
        <v>15000000</v>
      </c>
      <c r="AC419" s="97">
        <f t="shared" si="111"/>
        <v>2.579E-2</v>
      </c>
      <c r="AD419" s="13">
        <f t="shared" si="145"/>
        <v>1074.5833333333333</v>
      </c>
      <c r="AE419" s="13">
        <f t="shared" si="146"/>
        <v>50505.416666666693</v>
      </c>
      <c r="AF419" s="13">
        <f t="shared" si="147"/>
        <v>345.41666666666663</v>
      </c>
      <c r="AH419" s="235">
        <f>'CT- € Ellipsis BNP'!X419</f>
        <v>0</v>
      </c>
      <c r="AI419" s="236">
        <f>'CT- € Ellipsis BNP'!AA419</f>
        <v>0</v>
      </c>
      <c r="AJ419" s="90">
        <f>'CT- € Ellipsis BNP'!W419</f>
        <v>0</v>
      </c>
      <c r="AK419" s="91">
        <f>'CT- € Ellipsis BNP'!AC419</f>
        <v>0</v>
      </c>
      <c r="AM419" s="235">
        <f>'codeis €'!Z419</f>
        <v>0</v>
      </c>
      <c r="AN419" s="236">
        <f>'codeis €'!AF419</f>
        <v>0</v>
      </c>
      <c r="AO419" s="90">
        <f>'codeis €'!AC419</f>
        <v>0</v>
      </c>
      <c r="AP419" s="91">
        <f>'codeis €'!AI419</f>
        <v>0</v>
      </c>
      <c r="AR419" s="12">
        <f t="shared" si="148"/>
        <v>37890956.159999996</v>
      </c>
      <c r="AS419" s="118">
        <f t="shared" si="149"/>
        <v>0.02</v>
      </c>
      <c r="AT419" s="118">
        <f t="shared" si="150"/>
        <v>2.269931551344409E-2</v>
      </c>
      <c r="AU419" s="12">
        <f t="shared" si="151"/>
        <v>2389.163247171994</v>
      </c>
      <c r="AV419" s="12">
        <f t="shared" si="152"/>
        <v>547.24176717199384</v>
      </c>
      <c r="AW419" s="19"/>
    </row>
    <row r="420" spans="2:49" x14ac:dyDescent="0.25">
      <c r="B420" s="9" t="str">
        <f t="shared" si="135"/>
        <v>2 2026</v>
      </c>
      <c r="C420" s="88">
        <f t="shared" si="136"/>
        <v>46069</v>
      </c>
      <c r="D420" s="88">
        <f t="shared" si="115"/>
        <v>46070</v>
      </c>
      <c r="E420" s="89">
        <f t="shared" si="137"/>
        <v>1</v>
      </c>
      <c r="G420" s="11" t="s">
        <v>7</v>
      </c>
      <c r="H420" s="12">
        <f t="shared" si="102"/>
        <v>4880000</v>
      </c>
      <c r="I420" s="14">
        <f t="shared" si="116"/>
        <v>1.7500000000000002E-2</v>
      </c>
      <c r="J420" s="13">
        <f t="shared" si="138"/>
        <v>237.22222222222226</v>
      </c>
      <c r="K420" s="13">
        <f t="shared" si="139"/>
        <v>10412.500000000007</v>
      </c>
      <c r="M420" s="11" t="s">
        <v>7</v>
      </c>
      <c r="N420" s="12">
        <f t="shared" si="121"/>
        <v>12000000</v>
      </c>
      <c r="O420" s="97">
        <f t="shared" si="103"/>
        <v>2.1698630136986304E-2</v>
      </c>
      <c r="P420" s="112">
        <f t="shared" si="140"/>
        <v>723.28767123287685</v>
      </c>
      <c r="Q420" s="13">
        <f t="shared" si="141"/>
        <v>34717.808219178078</v>
      </c>
      <c r="R420" s="13">
        <f t="shared" si="142"/>
        <v>139.95433789954348</v>
      </c>
      <c r="T420" s="11" t="str">
        <f t="shared" si="104"/>
        <v>SG</v>
      </c>
      <c r="U420" s="12">
        <f t="shared" si="105"/>
        <v>6010956.1600000001</v>
      </c>
      <c r="V420" s="97">
        <f t="shared" si="106"/>
        <v>2.1205479452054792E-2</v>
      </c>
      <c r="W420" s="13">
        <f t="shared" si="143"/>
        <v>354.0700203835616</v>
      </c>
      <c r="X420" s="13">
        <f t="shared" si="108"/>
        <v>16988.261987068501</v>
      </c>
      <c r="Y420" s="13">
        <f t="shared" si="144"/>
        <v>61.870762605783796</v>
      </c>
      <c r="AA420" s="11" t="s">
        <v>189</v>
      </c>
      <c r="AB420" s="98">
        <f t="shared" si="110"/>
        <v>15000000</v>
      </c>
      <c r="AC420" s="97">
        <f t="shared" si="111"/>
        <v>2.579E-2</v>
      </c>
      <c r="AD420" s="13">
        <f t="shared" si="145"/>
        <v>1074.5833333333333</v>
      </c>
      <c r="AE420" s="13">
        <f t="shared" si="146"/>
        <v>51580.000000000029</v>
      </c>
      <c r="AF420" s="13">
        <f t="shared" si="147"/>
        <v>345.41666666666663</v>
      </c>
      <c r="AH420" s="235">
        <f>'CT- € Ellipsis BNP'!X420</f>
        <v>0</v>
      </c>
      <c r="AI420" s="236">
        <f>'CT- € Ellipsis BNP'!AA420</f>
        <v>0</v>
      </c>
      <c r="AJ420" s="90">
        <f>'CT- € Ellipsis BNP'!W420</f>
        <v>0</v>
      </c>
      <c r="AK420" s="91">
        <f>'CT- € Ellipsis BNP'!AC420</f>
        <v>0</v>
      </c>
      <c r="AM420" s="235">
        <f>'codeis €'!Z420</f>
        <v>0</v>
      </c>
      <c r="AN420" s="236">
        <f>'codeis €'!AF420</f>
        <v>0</v>
      </c>
      <c r="AO420" s="90">
        <f>'codeis €'!AC420</f>
        <v>0</v>
      </c>
      <c r="AP420" s="91">
        <f>'codeis €'!AI420</f>
        <v>0</v>
      </c>
      <c r="AR420" s="12">
        <f t="shared" si="148"/>
        <v>37890956.159999996</v>
      </c>
      <c r="AS420" s="118">
        <f t="shared" si="149"/>
        <v>0.02</v>
      </c>
      <c r="AT420" s="118">
        <f t="shared" si="150"/>
        <v>2.269931551344409E-2</v>
      </c>
      <c r="AU420" s="12">
        <f t="shared" si="151"/>
        <v>2389.163247171994</v>
      </c>
      <c r="AV420" s="12">
        <f t="shared" si="152"/>
        <v>547.24176717199384</v>
      </c>
      <c r="AW420" s="19"/>
    </row>
    <row r="421" spans="2:49" x14ac:dyDescent="0.25">
      <c r="B421" s="9" t="str">
        <f t="shared" si="135"/>
        <v>2 2026</v>
      </c>
      <c r="C421" s="88">
        <f t="shared" si="136"/>
        <v>46070</v>
      </c>
      <c r="D421" s="88">
        <f t="shared" si="115"/>
        <v>46071</v>
      </c>
      <c r="E421" s="89">
        <f t="shared" si="137"/>
        <v>1</v>
      </c>
      <c r="G421" s="11" t="s">
        <v>7</v>
      </c>
      <c r="H421" s="12">
        <f t="shared" si="102"/>
        <v>4880000</v>
      </c>
      <c r="I421" s="14">
        <f t="shared" si="116"/>
        <v>1.7500000000000002E-2</v>
      </c>
      <c r="J421" s="13">
        <f t="shared" si="138"/>
        <v>237.22222222222226</v>
      </c>
      <c r="K421" s="13">
        <f t="shared" si="139"/>
        <v>10649.72222222223</v>
      </c>
      <c r="M421" s="11" t="s">
        <v>7</v>
      </c>
      <c r="N421" s="12">
        <f t="shared" si="121"/>
        <v>12000000</v>
      </c>
      <c r="O421" s="97">
        <f t="shared" si="103"/>
        <v>2.1698630136986304E-2</v>
      </c>
      <c r="P421" s="112">
        <f t="shared" si="140"/>
        <v>723.28767123287685</v>
      </c>
      <c r="Q421" s="13">
        <f t="shared" si="141"/>
        <v>35441.095890410958</v>
      </c>
      <c r="R421" s="13">
        <f t="shared" si="142"/>
        <v>139.95433789954348</v>
      </c>
      <c r="T421" s="11" t="str">
        <f t="shared" si="104"/>
        <v>SG</v>
      </c>
      <c r="U421" s="12">
        <f t="shared" si="105"/>
        <v>6010956.1600000001</v>
      </c>
      <c r="V421" s="97">
        <f t="shared" si="106"/>
        <v>2.1205479452054792E-2</v>
      </c>
      <c r="W421" s="13">
        <f t="shared" si="143"/>
        <v>354.0700203835616</v>
      </c>
      <c r="X421" s="13">
        <f t="shared" si="108"/>
        <v>17342.332007452063</v>
      </c>
      <c r="Y421" s="13">
        <f t="shared" si="144"/>
        <v>61.870762605783796</v>
      </c>
      <c r="AA421" s="11" t="s">
        <v>189</v>
      </c>
      <c r="AB421" s="98">
        <f t="shared" si="110"/>
        <v>15000000</v>
      </c>
      <c r="AC421" s="97">
        <f t="shared" si="111"/>
        <v>2.579E-2</v>
      </c>
      <c r="AD421" s="13">
        <f t="shared" si="145"/>
        <v>1074.5833333333333</v>
      </c>
      <c r="AE421" s="13">
        <f t="shared" si="146"/>
        <v>52654.583333333365</v>
      </c>
      <c r="AF421" s="13">
        <f t="shared" si="147"/>
        <v>345.41666666666663</v>
      </c>
      <c r="AH421" s="235">
        <f>'CT- € Ellipsis BNP'!X421</f>
        <v>0</v>
      </c>
      <c r="AI421" s="236">
        <f>'CT- € Ellipsis BNP'!AA421</f>
        <v>0</v>
      </c>
      <c r="AJ421" s="90">
        <f>'CT- € Ellipsis BNP'!W421</f>
        <v>0</v>
      </c>
      <c r="AK421" s="91">
        <f>'CT- € Ellipsis BNP'!AC421</f>
        <v>0</v>
      </c>
      <c r="AM421" s="235">
        <f>'codeis €'!Z421</f>
        <v>0</v>
      </c>
      <c r="AN421" s="236">
        <f>'codeis €'!AF421</f>
        <v>0</v>
      </c>
      <c r="AO421" s="90">
        <f>'codeis €'!AC421</f>
        <v>0</v>
      </c>
      <c r="AP421" s="91">
        <f>'codeis €'!AI421</f>
        <v>0</v>
      </c>
      <c r="AR421" s="12">
        <f t="shared" si="148"/>
        <v>37890956.159999996</v>
      </c>
      <c r="AS421" s="118">
        <f t="shared" si="149"/>
        <v>0.02</v>
      </c>
      <c r="AT421" s="118">
        <f t="shared" si="150"/>
        <v>2.269931551344409E-2</v>
      </c>
      <c r="AU421" s="12">
        <f t="shared" si="151"/>
        <v>2389.163247171994</v>
      </c>
      <c r="AV421" s="12">
        <f t="shared" si="152"/>
        <v>547.24176717199384</v>
      </c>
      <c r="AW421" s="19"/>
    </row>
    <row r="422" spans="2:49" x14ac:dyDescent="0.25">
      <c r="B422" s="9" t="str">
        <f t="shared" si="135"/>
        <v>2 2026</v>
      </c>
      <c r="C422" s="88">
        <f t="shared" si="136"/>
        <v>46071</v>
      </c>
      <c r="D422" s="88">
        <f t="shared" si="115"/>
        <v>46072</v>
      </c>
      <c r="E422" s="89">
        <f t="shared" si="137"/>
        <v>1</v>
      </c>
      <c r="G422" s="11" t="s">
        <v>7</v>
      </c>
      <c r="H422" s="12">
        <f t="shared" si="102"/>
        <v>4880000</v>
      </c>
      <c r="I422" s="14">
        <f t="shared" si="116"/>
        <v>1.7500000000000002E-2</v>
      </c>
      <c r="J422" s="13">
        <f t="shared" si="138"/>
        <v>237.22222222222226</v>
      </c>
      <c r="K422" s="13">
        <f t="shared" si="139"/>
        <v>10886.944444444453</v>
      </c>
      <c r="M422" s="11" t="s">
        <v>7</v>
      </c>
      <c r="N422" s="12">
        <f t="shared" si="121"/>
        <v>12000000</v>
      </c>
      <c r="O422" s="97">
        <f t="shared" si="103"/>
        <v>2.1698630136986304E-2</v>
      </c>
      <c r="P422" s="112">
        <f t="shared" si="140"/>
        <v>723.28767123287685</v>
      </c>
      <c r="Q422" s="13">
        <f t="shared" si="141"/>
        <v>36164.383561643837</v>
      </c>
      <c r="R422" s="13">
        <f t="shared" si="142"/>
        <v>139.95433789954348</v>
      </c>
      <c r="T422" s="11" t="str">
        <f t="shared" si="104"/>
        <v>SG</v>
      </c>
      <c r="U422" s="12">
        <f t="shared" si="105"/>
        <v>6010956.1600000001</v>
      </c>
      <c r="V422" s="97">
        <f t="shared" si="106"/>
        <v>2.1205479452054792E-2</v>
      </c>
      <c r="W422" s="13">
        <f t="shared" si="143"/>
        <v>354.0700203835616</v>
      </c>
      <c r="X422" s="13">
        <f t="shared" si="108"/>
        <v>17696.402027835626</v>
      </c>
      <c r="Y422" s="13">
        <f t="shared" si="144"/>
        <v>61.870762605783796</v>
      </c>
      <c r="AA422" s="11" t="s">
        <v>189</v>
      </c>
      <c r="AB422" s="98">
        <f t="shared" si="110"/>
        <v>15000000</v>
      </c>
      <c r="AC422" s="97">
        <f t="shared" si="111"/>
        <v>2.579E-2</v>
      </c>
      <c r="AD422" s="13">
        <f t="shared" si="145"/>
        <v>1074.5833333333333</v>
      </c>
      <c r="AE422" s="13">
        <f t="shared" si="146"/>
        <v>53729.166666666701</v>
      </c>
      <c r="AF422" s="13">
        <f t="shared" si="147"/>
        <v>345.41666666666663</v>
      </c>
      <c r="AH422" s="235">
        <f>'CT- € Ellipsis BNP'!X422</f>
        <v>0</v>
      </c>
      <c r="AI422" s="236">
        <f>'CT- € Ellipsis BNP'!AA422</f>
        <v>0</v>
      </c>
      <c r="AJ422" s="90">
        <f>'CT- € Ellipsis BNP'!W422</f>
        <v>0</v>
      </c>
      <c r="AK422" s="91">
        <f>'CT- € Ellipsis BNP'!AC422</f>
        <v>0</v>
      </c>
      <c r="AM422" s="235">
        <f>'codeis €'!Z422</f>
        <v>0</v>
      </c>
      <c r="AN422" s="236">
        <f>'codeis €'!AF422</f>
        <v>0</v>
      </c>
      <c r="AO422" s="90">
        <f>'codeis €'!AC422</f>
        <v>0</v>
      </c>
      <c r="AP422" s="91">
        <f>'codeis €'!AI422</f>
        <v>0</v>
      </c>
      <c r="AR422" s="12">
        <f t="shared" si="148"/>
        <v>37890956.159999996</v>
      </c>
      <c r="AS422" s="118">
        <f t="shared" si="149"/>
        <v>0.02</v>
      </c>
      <c r="AT422" s="118">
        <f t="shared" si="150"/>
        <v>2.269931551344409E-2</v>
      </c>
      <c r="AU422" s="12">
        <f t="shared" si="151"/>
        <v>2389.163247171994</v>
      </c>
      <c r="AV422" s="12">
        <f t="shared" si="152"/>
        <v>547.24176717199384</v>
      </c>
      <c r="AW422" s="19"/>
    </row>
    <row r="423" spans="2:49" x14ac:dyDescent="0.25">
      <c r="B423" s="9" t="str">
        <f t="shared" si="135"/>
        <v>2 2026</v>
      </c>
      <c r="C423" s="88">
        <f t="shared" si="136"/>
        <v>46072</v>
      </c>
      <c r="D423" s="88">
        <f t="shared" si="115"/>
        <v>46073</v>
      </c>
      <c r="E423" s="89">
        <f t="shared" si="137"/>
        <v>1</v>
      </c>
      <c r="G423" s="11" t="s">
        <v>7</v>
      </c>
      <c r="H423" s="135">
        <f>H422+120000</f>
        <v>5000000</v>
      </c>
      <c r="I423" s="14">
        <f t="shared" si="116"/>
        <v>1.7500000000000002E-2</v>
      </c>
      <c r="J423" s="13">
        <f t="shared" si="138"/>
        <v>243.0555555555556</v>
      </c>
      <c r="K423" s="13">
        <f t="shared" si="139"/>
        <v>11130.000000000007</v>
      </c>
      <c r="M423" s="11" t="s">
        <v>7</v>
      </c>
      <c r="N423" s="12">
        <f t="shared" si="121"/>
        <v>12000000</v>
      </c>
      <c r="O423" s="97">
        <f t="shared" si="103"/>
        <v>2.1698630136986304E-2</v>
      </c>
      <c r="P423" s="112">
        <f t="shared" si="140"/>
        <v>723.28767123287685</v>
      </c>
      <c r="Q423" s="13">
        <f t="shared" si="141"/>
        <v>36887.671232876717</v>
      </c>
      <c r="R423" s="13">
        <f t="shared" si="142"/>
        <v>139.95433789954348</v>
      </c>
      <c r="T423" s="11" t="str">
        <f t="shared" si="104"/>
        <v>SG</v>
      </c>
      <c r="U423" s="12">
        <f t="shared" si="105"/>
        <v>6010956.1600000001</v>
      </c>
      <c r="V423" s="97">
        <f t="shared" si="106"/>
        <v>2.1205479452054792E-2</v>
      </c>
      <c r="W423" s="13">
        <f t="shared" si="143"/>
        <v>354.0700203835616</v>
      </c>
      <c r="X423" s="13">
        <f t="shared" si="108"/>
        <v>18050.472048219188</v>
      </c>
      <c r="Y423" s="13">
        <f t="shared" si="144"/>
        <v>61.870762605783796</v>
      </c>
      <c r="AA423" s="11" t="s">
        <v>189</v>
      </c>
      <c r="AB423" s="98">
        <f t="shared" si="110"/>
        <v>15000000</v>
      </c>
      <c r="AC423" s="97">
        <f t="shared" si="111"/>
        <v>2.579E-2</v>
      </c>
      <c r="AD423" s="13">
        <f t="shared" si="145"/>
        <v>1074.5833333333333</v>
      </c>
      <c r="AE423" s="13">
        <f t="shared" si="146"/>
        <v>54803.750000000036</v>
      </c>
      <c r="AF423" s="13">
        <f t="shared" si="147"/>
        <v>345.41666666666663</v>
      </c>
      <c r="AH423" s="235">
        <f>'CT- € Ellipsis BNP'!X423</f>
        <v>0</v>
      </c>
      <c r="AI423" s="236">
        <f>'CT- € Ellipsis BNP'!AA423</f>
        <v>0</v>
      </c>
      <c r="AJ423" s="90">
        <f>'CT- € Ellipsis BNP'!W423</f>
        <v>0</v>
      </c>
      <c r="AK423" s="91">
        <f>'CT- € Ellipsis BNP'!AC423</f>
        <v>0</v>
      </c>
      <c r="AM423" s="235">
        <f>'codeis €'!Z423</f>
        <v>0</v>
      </c>
      <c r="AN423" s="236">
        <f>'codeis €'!AF423</f>
        <v>0</v>
      </c>
      <c r="AO423" s="90">
        <f>'codeis €'!AC423</f>
        <v>0</v>
      </c>
      <c r="AP423" s="91">
        <f>'codeis €'!AI423</f>
        <v>0</v>
      </c>
      <c r="AR423" s="12">
        <f t="shared" si="148"/>
        <v>38010956.159999996</v>
      </c>
      <c r="AS423" s="118">
        <f t="shared" si="149"/>
        <v>0.02</v>
      </c>
      <c r="AT423" s="118">
        <f t="shared" si="150"/>
        <v>2.2682901354879201E-2</v>
      </c>
      <c r="AU423" s="12">
        <f t="shared" si="151"/>
        <v>2394.9965805053271</v>
      </c>
      <c r="AV423" s="12">
        <f t="shared" si="152"/>
        <v>547.24176717199384</v>
      </c>
      <c r="AW423" s="19"/>
    </row>
    <row r="424" spans="2:49" x14ac:dyDescent="0.25">
      <c r="B424" s="9" t="str">
        <f t="shared" si="135"/>
        <v>2 2026</v>
      </c>
      <c r="C424" s="88">
        <f t="shared" si="136"/>
        <v>46073</v>
      </c>
      <c r="D424" s="88">
        <f t="shared" si="115"/>
        <v>46074</v>
      </c>
      <c r="E424" s="89">
        <f t="shared" si="137"/>
        <v>1</v>
      </c>
      <c r="G424" s="11" t="s">
        <v>7</v>
      </c>
      <c r="H424" s="12">
        <f t="shared" si="102"/>
        <v>5000000</v>
      </c>
      <c r="I424" s="14">
        <f t="shared" si="116"/>
        <v>1.7500000000000002E-2</v>
      </c>
      <c r="J424" s="13">
        <f t="shared" si="138"/>
        <v>243.0555555555556</v>
      </c>
      <c r="K424" s="13">
        <f t="shared" si="139"/>
        <v>11373.055555555562</v>
      </c>
      <c r="M424" s="11" t="s">
        <v>7</v>
      </c>
      <c r="N424" s="12">
        <f t="shared" si="121"/>
        <v>12000000</v>
      </c>
      <c r="O424" s="97">
        <f t="shared" si="103"/>
        <v>2.1698630136986304E-2</v>
      </c>
      <c r="P424" s="112">
        <f t="shared" si="140"/>
        <v>723.28767123287685</v>
      </c>
      <c r="Q424" s="13">
        <f t="shared" si="141"/>
        <v>37610.958904109597</v>
      </c>
      <c r="R424" s="13">
        <f t="shared" si="142"/>
        <v>139.95433789954348</v>
      </c>
      <c r="T424" s="11" t="str">
        <f t="shared" si="104"/>
        <v>SG</v>
      </c>
      <c r="U424" s="12">
        <f t="shared" si="105"/>
        <v>6010956.1600000001</v>
      </c>
      <c r="V424" s="97">
        <f t="shared" si="106"/>
        <v>2.1205479452054792E-2</v>
      </c>
      <c r="W424" s="13">
        <f t="shared" si="143"/>
        <v>354.0700203835616</v>
      </c>
      <c r="X424" s="13">
        <f t="shared" si="108"/>
        <v>18404.54206860275</v>
      </c>
      <c r="Y424" s="13">
        <f t="shared" si="144"/>
        <v>61.870762605783796</v>
      </c>
      <c r="AA424" s="11" t="s">
        <v>189</v>
      </c>
      <c r="AB424" s="98">
        <f t="shared" si="110"/>
        <v>15000000</v>
      </c>
      <c r="AC424" s="97">
        <f t="shared" si="111"/>
        <v>2.579E-2</v>
      </c>
      <c r="AD424" s="13">
        <f t="shared" si="145"/>
        <v>1074.5833333333333</v>
      </c>
      <c r="AE424" s="13">
        <f t="shared" si="146"/>
        <v>55878.333333333372</v>
      </c>
      <c r="AF424" s="13">
        <f t="shared" si="147"/>
        <v>345.41666666666663</v>
      </c>
      <c r="AH424" s="235">
        <f>'CT- € Ellipsis BNP'!X424</f>
        <v>0</v>
      </c>
      <c r="AI424" s="236">
        <f>'CT- € Ellipsis BNP'!AA424</f>
        <v>0</v>
      </c>
      <c r="AJ424" s="90">
        <f>'CT- € Ellipsis BNP'!W424</f>
        <v>0</v>
      </c>
      <c r="AK424" s="91">
        <f>'CT- € Ellipsis BNP'!AC424</f>
        <v>0</v>
      </c>
      <c r="AM424" s="235">
        <f>'codeis €'!Z424</f>
        <v>0</v>
      </c>
      <c r="AN424" s="236">
        <f>'codeis €'!AF424</f>
        <v>0</v>
      </c>
      <c r="AO424" s="90">
        <f>'codeis €'!AC424</f>
        <v>0</v>
      </c>
      <c r="AP424" s="91">
        <f>'codeis €'!AI424</f>
        <v>0</v>
      </c>
      <c r="AR424" s="12">
        <f t="shared" si="148"/>
        <v>38010956.159999996</v>
      </c>
      <c r="AS424" s="118">
        <f t="shared" si="149"/>
        <v>0.02</v>
      </c>
      <c r="AT424" s="118">
        <f t="shared" si="150"/>
        <v>2.2682901354879201E-2</v>
      </c>
      <c r="AU424" s="12">
        <f t="shared" si="151"/>
        <v>2394.9965805053271</v>
      </c>
      <c r="AV424" s="12">
        <f t="shared" si="152"/>
        <v>547.24176717199384</v>
      </c>
      <c r="AW424" s="19"/>
    </row>
    <row r="425" spans="2:49" x14ac:dyDescent="0.25">
      <c r="B425" s="9" t="str">
        <f t="shared" si="135"/>
        <v>2 2026</v>
      </c>
      <c r="C425" s="88">
        <f t="shared" si="136"/>
        <v>46074</v>
      </c>
      <c r="D425" s="88">
        <f t="shared" si="115"/>
        <v>46075</v>
      </c>
      <c r="E425" s="89">
        <f t="shared" si="137"/>
        <v>1</v>
      </c>
      <c r="G425" s="11" t="s">
        <v>7</v>
      </c>
      <c r="H425" s="12">
        <f t="shared" si="102"/>
        <v>5000000</v>
      </c>
      <c r="I425" s="14">
        <f t="shared" si="116"/>
        <v>1.7500000000000002E-2</v>
      </c>
      <c r="J425" s="13">
        <f t="shared" si="138"/>
        <v>243.0555555555556</v>
      </c>
      <c r="K425" s="13">
        <f t="shared" si="139"/>
        <v>11616.111111111117</v>
      </c>
      <c r="M425" s="11" t="s">
        <v>7</v>
      </c>
      <c r="N425" s="12">
        <f t="shared" si="121"/>
        <v>12000000</v>
      </c>
      <c r="O425" s="97">
        <f t="shared" si="103"/>
        <v>2.1698630136986304E-2</v>
      </c>
      <c r="P425" s="112">
        <f t="shared" si="140"/>
        <v>723.28767123287685</v>
      </c>
      <c r="Q425" s="13">
        <f t="shared" si="141"/>
        <v>38334.246575342477</v>
      </c>
      <c r="R425" s="13">
        <f t="shared" si="142"/>
        <v>139.95433789954348</v>
      </c>
      <c r="T425" s="11" t="str">
        <f t="shared" si="104"/>
        <v>SG</v>
      </c>
      <c r="U425" s="12">
        <f t="shared" si="105"/>
        <v>6010956.1600000001</v>
      </c>
      <c r="V425" s="97">
        <f t="shared" si="106"/>
        <v>2.1205479452054792E-2</v>
      </c>
      <c r="W425" s="13">
        <f t="shared" si="143"/>
        <v>354.0700203835616</v>
      </c>
      <c r="X425" s="13">
        <f t="shared" si="108"/>
        <v>18758.612088986312</v>
      </c>
      <c r="Y425" s="13">
        <f t="shared" si="144"/>
        <v>61.870762605783796</v>
      </c>
      <c r="AA425" s="11" t="s">
        <v>189</v>
      </c>
      <c r="AB425" s="98">
        <f t="shared" si="110"/>
        <v>15000000</v>
      </c>
      <c r="AC425" s="97">
        <f t="shared" si="111"/>
        <v>2.579E-2</v>
      </c>
      <c r="AD425" s="13">
        <f t="shared" si="145"/>
        <v>1074.5833333333333</v>
      </c>
      <c r="AE425" s="13">
        <f t="shared" si="146"/>
        <v>56952.916666666708</v>
      </c>
      <c r="AF425" s="13">
        <f t="shared" si="147"/>
        <v>345.41666666666663</v>
      </c>
      <c r="AH425" s="235">
        <f>'CT- € Ellipsis BNP'!X425</f>
        <v>0</v>
      </c>
      <c r="AI425" s="236">
        <f>'CT- € Ellipsis BNP'!AA425</f>
        <v>0</v>
      </c>
      <c r="AJ425" s="90">
        <f>'CT- € Ellipsis BNP'!W425</f>
        <v>0</v>
      </c>
      <c r="AK425" s="91">
        <f>'CT- € Ellipsis BNP'!AC425</f>
        <v>0</v>
      </c>
      <c r="AM425" s="235">
        <f>'codeis €'!Z425</f>
        <v>0</v>
      </c>
      <c r="AN425" s="236">
        <f>'codeis €'!AF425</f>
        <v>0</v>
      </c>
      <c r="AO425" s="90">
        <f>'codeis €'!AC425</f>
        <v>0</v>
      </c>
      <c r="AP425" s="91">
        <f>'codeis €'!AI425</f>
        <v>0</v>
      </c>
      <c r="AR425" s="12">
        <f t="shared" si="148"/>
        <v>38010956.159999996</v>
      </c>
      <c r="AS425" s="118">
        <f t="shared" si="149"/>
        <v>0.02</v>
      </c>
      <c r="AT425" s="118">
        <f t="shared" si="150"/>
        <v>2.2682901354879201E-2</v>
      </c>
      <c r="AU425" s="12">
        <f t="shared" si="151"/>
        <v>2394.9965805053271</v>
      </c>
      <c r="AV425" s="12">
        <f t="shared" si="152"/>
        <v>547.24176717199384</v>
      </c>
      <c r="AW425" s="19"/>
    </row>
    <row r="426" spans="2:49" x14ac:dyDescent="0.25">
      <c r="B426" s="9" t="str">
        <f t="shared" si="135"/>
        <v>2 2026</v>
      </c>
      <c r="C426" s="88">
        <f t="shared" si="136"/>
        <v>46075</v>
      </c>
      <c r="D426" s="88">
        <f t="shared" si="115"/>
        <v>46076</v>
      </c>
      <c r="E426" s="89">
        <f t="shared" si="137"/>
        <v>1</v>
      </c>
      <c r="G426" s="11" t="s">
        <v>7</v>
      </c>
      <c r="H426" s="12">
        <f t="shared" si="102"/>
        <v>5000000</v>
      </c>
      <c r="I426" s="14">
        <f t="shared" si="116"/>
        <v>1.7500000000000002E-2</v>
      </c>
      <c r="J426" s="13">
        <f t="shared" si="138"/>
        <v>243.0555555555556</v>
      </c>
      <c r="K426" s="13">
        <f t="shared" si="139"/>
        <v>11859.166666666672</v>
      </c>
      <c r="M426" s="11" t="s">
        <v>7</v>
      </c>
      <c r="N426" s="12">
        <f t="shared" si="121"/>
        <v>12000000</v>
      </c>
      <c r="O426" s="97">
        <f t="shared" si="103"/>
        <v>2.1698630136986304E-2</v>
      </c>
      <c r="P426" s="112">
        <f t="shared" si="140"/>
        <v>723.28767123287685</v>
      </c>
      <c r="Q426" s="13">
        <f t="shared" si="141"/>
        <v>39057.534246575357</v>
      </c>
      <c r="R426" s="13">
        <f t="shared" si="142"/>
        <v>139.95433789954348</v>
      </c>
      <c r="T426" s="11" t="str">
        <f t="shared" si="104"/>
        <v>SG</v>
      </c>
      <c r="U426" s="12">
        <f t="shared" si="105"/>
        <v>6010956.1600000001</v>
      </c>
      <c r="V426" s="97">
        <f t="shared" si="106"/>
        <v>2.1205479452054792E-2</v>
      </c>
      <c r="W426" s="13">
        <f t="shared" si="143"/>
        <v>354.0700203835616</v>
      </c>
      <c r="X426" s="13">
        <f t="shared" si="108"/>
        <v>19112.682109369875</v>
      </c>
      <c r="Y426" s="13">
        <f t="shared" si="144"/>
        <v>61.870762605783796</v>
      </c>
      <c r="AA426" s="11" t="s">
        <v>189</v>
      </c>
      <c r="AB426" s="98">
        <f t="shared" si="110"/>
        <v>15000000</v>
      </c>
      <c r="AC426" s="97">
        <f t="shared" si="111"/>
        <v>2.579E-2</v>
      </c>
      <c r="AD426" s="13">
        <f t="shared" si="145"/>
        <v>1074.5833333333333</v>
      </c>
      <c r="AE426" s="13">
        <f t="shared" si="146"/>
        <v>58027.500000000044</v>
      </c>
      <c r="AF426" s="13">
        <f t="shared" si="147"/>
        <v>345.41666666666663</v>
      </c>
      <c r="AH426" s="235">
        <f>'CT- € Ellipsis BNP'!X426</f>
        <v>0</v>
      </c>
      <c r="AI426" s="236">
        <f>'CT- € Ellipsis BNP'!AA426</f>
        <v>0</v>
      </c>
      <c r="AJ426" s="90">
        <f>'CT- € Ellipsis BNP'!W426</f>
        <v>0</v>
      </c>
      <c r="AK426" s="91">
        <f>'CT- € Ellipsis BNP'!AC426</f>
        <v>0</v>
      </c>
      <c r="AM426" s="235">
        <f>'codeis €'!Z426</f>
        <v>0</v>
      </c>
      <c r="AN426" s="236">
        <f>'codeis €'!AF426</f>
        <v>0</v>
      </c>
      <c r="AO426" s="90">
        <f>'codeis €'!AC426</f>
        <v>0</v>
      </c>
      <c r="AP426" s="91">
        <f>'codeis €'!AI426</f>
        <v>0</v>
      </c>
      <c r="AR426" s="12">
        <f t="shared" si="148"/>
        <v>38010956.159999996</v>
      </c>
      <c r="AS426" s="118">
        <f t="shared" si="149"/>
        <v>0.02</v>
      </c>
      <c r="AT426" s="118">
        <f t="shared" si="150"/>
        <v>2.2682901354879201E-2</v>
      </c>
      <c r="AU426" s="12">
        <f t="shared" si="151"/>
        <v>2394.9965805053271</v>
      </c>
      <c r="AV426" s="12">
        <f t="shared" si="152"/>
        <v>547.24176717199384</v>
      </c>
      <c r="AW426" s="19"/>
    </row>
    <row r="427" spans="2:49" x14ac:dyDescent="0.25">
      <c r="B427" s="9" t="str">
        <f t="shared" si="135"/>
        <v>2 2026</v>
      </c>
      <c r="C427" s="88">
        <f t="shared" si="136"/>
        <v>46076</v>
      </c>
      <c r="D427" s="88">
        <f t="shared" si="115"/>
        <v>46077</v>
      </c>
      <c r="E427" s="89">
        <f t="shared" si="137"/>
        <v>1</v>
      </c>
      <c r="G427" s="11" t="s">
        <v>7</v>
      </c>
      <c r="H427" s="12">
        <f t="shared" si="102"/>
        <v>5000000</v>
      </c>
      <c r="I427" s="14">
        <f t="shared" si="116"/>
        <v>1.7500000000000002E-2</v>
      </c>
      <c r="J427" s="13">
        <f t="shared" si="138"/>
        <v>243.0555555555556</v>
      </c>
      <c r="K427" s="13">
        <f t="shared" si="139"/>
        <v>12102.222222222226</v>
      </c>
      <c r="M427" s="11" t="s">
        <v>7</v>
      </c>
      <c r="N427" s="12">
        <f t="shared" si="121"/>
        <v>12000000</v>
      </c>
      <c r="O427" s="97">
        <f t="shared" si="103"/>
        <v>2.1698630136986304E-2</v>
      </c>
      <c r="P427" s="112">
        <f t="shared" si="140"/>
        <v>723.28767123287685</v>
      </c>
      <c r="Q427" s="13">
        <f t="shared" si="141"/>
        <v>39780.821917808236</v>
      </c>
      <c r="R427" s="13">
        <f t="shared" si="142"/>
        <v>139.95433789954348</v>
      </c>
      <c r="T427" s="11" t="str">
        <f t="shared" si="104"/>
        <v>SG</v>
      </c>
      <c r="U427" s="12">
        <f t="shared" si="105"/>
        <v>6010956.1600000001</v>
      </c>
      <c r="V427" s="97">
        <f t="shared" si="106"/>
        <v>2.1205479452054792E-2</v>
      </c>
      <c r="W427" s="13">
        <f t="shared" si="143"/>
        <v>354.0700203835616</v>
      </c>
      <c r="X427" s="13">
        <f t="shared" si="108"/>
        <v>19466.752129753437</v>
      </c>
      <c r="Y427" s="13">
        <f t="shared" si="144"/>
        <v>61.870762605783796</v>
      </c>
      <c r="AA427" s="11" t="s">
        <v>189</v>
      </c>
      <c r="AB427" s="98">
        <f t="shared" si="110"/>
        <v>15000000</v>
      </c>
      <c r="AC427" s="97">
        <f t="shared" si="111"/>
        <v>2.579E-2</v>
      </c>
      <c r="AD427" s="13">
        <f t="shared" si="145"/>
        <v>1074.5833333333333</v>
      </c>
      <c r="AE427" s="13">
        <f t="shared" si="146"/>
        <v>59102.083333333379</v>
      </c>
      <c r="AF427" s="13">
        <f t="shared" si="147"/>
        <v>345.41666666666663</v>
      </c>
      <c r="AH427" s="235">
        <f>'CT- € Ellipsis BNP'!X427</f>
        <v>0</v>
      </c>
      <c r="AI427" s="236">
        <f>'CT- € Ellipsis BNP'!AA427</f>
        <v>0</v>
      </c>
      <c r="AJ427" s="90">
        <f>'CT- € Ellipsis BNP'!W427</f>
        <v>0</v>
      </c>
      <c r="AK427" s="91">
        <f>'CT- € Ellipsis BNP'!AC427</f>
        <v>0</v>
      </c>
      <c r="AM427" s="235">
        <f>'codeis €'!Z427</f>
        <v>0</v>
      </c>
      <c r="AN427" s="236">
        <f>'codeis €'!AF427</f>
        <v>0</v>
      </c>
      <c r="AO427" s="90">
        <f>'codeis €'!AC427</f>
        <v>0</v>
      </c>
      <c r="AP427" s="91">
        <f>'codeis €'!AI427</f>
        <v>0</v>
      </c>
      <c r="AR427" s="12">
        <f t="shared" si="148"/>
        <v>38010956.159999996</v>
      </c>
      <c r="AS427" s="118">
        <f t="shared" si="149"/>
        <v>0.02</v>
      </c>
      <c r="AT427" s="118">
        <f t="shared" si="150"/>
        <v>2.2682901354879201E-2</v>
      </c>
      <c r="AU427" s="12">
        <f t="shared" si="151"/>
        <v>2394.9965805053271</v>
      </c>
      <c r="AV427" s="12">
        <f t="shared" si="152"/>
        <v>547.24176717199384</v>
      </c>
      <c r="AW427" s="19"/>
    </row>
    <row r="428" spans="2:49" x14ac:dyDescent="0.25">
      <c r="B428" s="9" t="str">
        <f t="shared" si="135"/>
        <v>2 2026</v>
      </c>
      <c r="C428" s="88">
        <f t="shared" si="136"/>
        <v>46077</v>
      </c>
      <c r="D428" s="88">
        <f t="shared" si="115"/>
        <v>46078</v>
      </c>
      <c r="E428" s="89">
        <f t="shared" si="137"/>
        <v>1</v>
      </c>
      <c r="G428" s="11" t="s">
        <v>7</v>
      </c>
      <c r="H428" s="12">
        <f t="shared" si="102"/>
        <v>5000000</v>
      </c>
      <c r="I428" s="14">
        <f t="shared" si="116"/>
        <v>1.7500000000000002E-2</v>
      </c>
      <c r="J428" s="13">
        <f t="shared" si="138"/>
        <v>243.0555555555556</v>
      </c>
      <c r="K428" s="13">
        <f t="shared" si="139"/>
        <v>12345.277777777781</v>
      </c>
      <c r="M428" s="11" t="s">
        <v>7</v>
      </c>
      <c r="N428" s="12">
        <f t="shared" si="121"/>
        <v>12000000</v>
      </c>
      <c r="O428" s="97">
        <f t="shared" si="103"/>
        <v>2.1698630136986304E-2</v>
      </c>
      <c r="P428" s="112">
        <f t="shared" si="140"/>
        <v>723.28767123287685</v>
      </c>
      <c r="Q428" s="13">
        <f t="shared" si="141"/>
        <v>40504.109589041116</v>
      </c>
      <c r="R428" s="13">
        <f t="shared" si="142"/>
        <v>139.95433789954348</v>
      </c>
      <c r="T428" s="11" t="str">
        <f t="shared" si="104"/>
        <v>SG</v>
      </c>
      <c r="U428" s="12">
        <f t="shared" si="105"/>
        <v>6010956.1600000001</v>
      </c>
      <c r="V428" s="97">
        <f t="shared" si="106"/>
        <v>2.1205479452054792E-2</v>
      </c>
      <c r="W428" s="13">
        <f t="shared" si="143"/>
        <v>354.0700203835616</v>
      </c>
      <c r="X428" s="13">
        <f t="shared" si="108"/>
        <v>19820.822150136999</v>
      </c>
      <c r="Y428" s="13">
        <f t="shared" si="144"/>
        <v>61.870762605783796</v>
      </c>
      <c r="AA428" s="11" t="s">
        <v>189</v>
      </c>
      <c r="AB428" s="98">
        <f t="shared" si="110"/>
        <v>15000000</v>
      </c>
      <c r="AC428" s="97">
        <f t="shared" si="111"/>
        <v>2.579E-2</v>
      </c>
      <c r="AD428" s="13">
        <f t="shared" si="145"/>
        <v>1074.5833333333333</v>
      </c>
      <c r="AE428" s="13">
        <f t="shared" si="146"/>
        <v>60176.666666666715</v>
      </c>
      <c r="AF428" s="13">
        <f t="shared" si="147"/>
        <v>345.41666666666663</v>
      </c>
      <c r="AH428" s="235">
        <f>'CT- € Ellipsis BNP'!X428</f>
        <v>0</v>
      </c>
      <c r="AI428" s="236">
        <f>'CT- € Ellipsis BNP'!AA428</f>
        <v>0</v>
      </c>
      <c r="AJ428" s="90">
        <f>'CT- € Ellipsis BNP'!W428</f>
        <v>0</v>
      </c>
      <c r="AK428" s="91">
        <f>'CT- € Ellipsis BNP'!AC428</f>
        <v>0</v>
      </c>
      <c r="AM428" s="235">
        <f>'codeis €'!Z428</f>
        <v>0</v>
      </c>
      <c r="AN428" s="236">
        <f>'codeis €'!AF428</f>
        <v>0</v>
      </c>
      <c r="AO428" s="90">
        <f>'codeis €'!AC428</f>
        <v>0</v>
      </c>
      <c r="AP428" s="91">
        <f>'codeis €'!AI428</f>
        <v>0</v>
      </c>
      <c r="AR428" s="12">
        <f t="shared" si="148"/>
        <v>38010956.159999996</v>
      </c>
      <c r="AS428" s="118">
        <f t="shared" si="149"/>
        <v>0.02</v>
      </c>
      <c r="AT428" s="118">
        <f t="shared" si="150"/>
        <v>2.2682901354879201E-2</v>
      </c>
      <c r="AU428" s="12">
        <f t="shared" si="151"/>
        <v>2394.9965805053271</v>
      </c>
      <c r="AV428" s="12">
        <f t="shared" si="152"/>
        <v>547.24176717199384</v>
      </c>
      <c r="AW428" s="19"/>
    </row>
    <row r="429" spans="2:49" x14ac:dyDescent="0.25">
      <c r="B429" s="9" t="str">
        <f t="shared" si="135"/>
        <v>2 2026</v>
      </c>
      <c r="C429" s="88">
        <f t="shared" si="136"/>
        <v>46078</v>
      </c>
      <c r="D429" s="88">
        <f t="shared" si="115"/>
        <v>46079</v>
      </c>
      <c r="E429" s="89">
        <f t="shared" si="137"/>
        <v>1</v>
      </c>
      <c r="G429" s="11" t="s">
        <v>7</v>
      </c>
      <c r="H429" s="135">
        <f>H428-800000</f>
        <v>4200000</v>
      </c>
      <c r="I429" s="14">
        <f t="shared" si="116"/>
        <v>1.7500000000000002E-2</v>
      </c>
      <c r="J429" s="13">
        <f t="shared" si="138"/>
        <v>204.16666666666666</v>
      </c>
      <c r="K429" s="13">
        <f t="shared" si="139"/>
        <v>12549.444444444447</v>
      </c>
      <c r="M429" s="11" t="s">
        <v>7</v>
      </c>
      <c r="N429" s="12">
        <f t="shared" si="121"/>
        <v>12000000</v>
      </c>
      <c r="O429" s="97">
        <f t="shared" si="103"/>
        <v>2.1698630136986304E-2</v>
      </c>
      <c r="P429" s="112">
        <f t="shared" si="140"/>
        <v>723.28767123287685</v>
      </c>
      <c r="Q429" s="13">
        <f t="shared" si="141"/>
        <v>41227.397260273996</v>
      </c>
      <c r="R429" s="13">
        <f t="shared" si="142"/>
        <v>139.95433789954348</v>
      </c>
      <c r="T429" s="11" t="str">
        <f t="shared" si="104"/>
        <v>SG</v>
      </c>
      <c r="U429" s="12">
        <f t="shared" si="105"/>
        <v>6010956.1600000001</v>
      </c>
      <c r="V429" s="97">
        <f t="shared" si="106"/>
        <v>2.1205479452054792E-2</v>
      </c>
      <c r="W429" s="13">
        <f t="shared" si="143"/>
        <v>354.0700203835616</v>
      </c>
      <c r="X429" s="13">
        <f t="shared" si="108"/>
        <v>20174.892170520561</v>
      </c>
      <c r="Y429" s="13">
        <f t="shared" si="144"/>
        <v>61.870762605783796</v>
      </c>
      <c r="AA429" s="11" t="s">
        <v>189</v>
      </c>
      <c r="AB429" s="98">
        <f t="shared" si="110"/>
        <v>15000000</v>
      </c>
      <c r="AC429" s="97">
        <f t="shared" si="111"/>
        <v>2.579E-2</v>
      </c>
      <c r="AD429" s="13">
        <f t="shared" si="145"/>
        <v>1074.5833333333333</v>
      </c>
      <c r="AE429" s="13">
        <f t="shared" si="146"/>
        <v>61251.250000000051</v>
      </c>
      <c r="AF429" s="13">
        <f t="shared" si="147"/>
        <v>345.41666666666663</v>
      </c>
      <c r="AH429" s="235">
        <f>'CT- € Ellipsis BNP'!X429</f>
        <v>0</v>
      </c>
      <c r="AI429" s="236">
        <f>'CT- € Ellipsis BNP'!AA429</f>
        <v>0</v>
      </c>
      <c r="AJ429" s="90">
        <f>'CT- € Ellipsis BNP'!W429</f>
        <v>0</v>
      </c>
      <c r="AK429" s="91">
        <f>'CT- € Ellipsis BNP'!AC429</f>
        <v>0</v>
      </c>
      <c r="AM429" s="235">
        <f>'codeis €'!Z429</f>
        <v>0</v>
      </c>
      <c r="AN429" s="236">
        <f>'codeis €'!AF429</f>
        <v>0</v>
      </c>
      <c r="AO429" s="90">
        <f>'codeis €'!AC429</f>
        <v>0</v>
      </c>
      <c r="AP429" s="91">
        <f>'codeis €'!AI429</f>
        <v>0</v>
      </c>
      <c r="AR429" s="12">
        <f t="shared" si="148"/>
        <v>37210956.159999996</v>
      </c>
      <c r="AS429" s="118">
        <f t="shared" si="149"/>
        <v>0.02</v>
      </c>
      <c r="AT429" s="118">
        <f t="shared" si="150"/>
        <v>2.2794328781416559E-2</v>
      </c>
      <c r="AU429" s="12">
        <f t="shared" si="151"/>
        <v>2356.1076916164384</v>
      </c>
      <c r="AV429" s="12">
        <f t="shared" si="152"/>
        <v>547.24176717199384</v>
      </c>
      <c r="AW429" s="19"/>
    </row>
    <row r="430" spans="2:49" x14ac:dyDescent="0.25">
      <c r="B430" s="9" t="str">
        <f t="shared" si="135"/>
        <v>2 2026</v>
      </c>
      <c r="C430" s="88">
        <f t="shared" si="136"/>
        <v>46079</v>
      </c>
      <c r="D430" s="88">
        <f t="shared" si="115"/>
        <v>46080</v>
      </c>
      <c r="E430" s="89">
        <f t="shared" si="137"/>
        <v>1</v>
      </c>
      <c r="G430" s="11" t="s">
        <v>7</v>
      </c>
      <c r="H430" s="12">
        <f t="shared" si="102"/>
        <v>4200000</v>
      </c>
      <c r="I430" s="14">
        <f t="shared" si="116"/>
        <v>1.7500000000000002E-2</v>
      </c>
      <c r="J430" s="13">
        <f t="shared" si="138"/>
        <v>204.16666666666666</v>
      </c>
      <c r="K430" s="13">
        <f t="shared" si="139"/>
        <v>12753.611111111113</v>
      </c>
      <c r="M430" s="11" t="s">
        <v>7</v>
      </c>
      <c r="N430" s="12">
        <f t="shared" si="121"/>
        <v>12000000</v>
      </c>
      <c r="O430" s="97">
        <f t="shared" si="103"/>
        <v>2.1698630136986304E-2</v>
      </c>
      <c r="P430" s="112">
        <f t="shared" si="140"/>
        <v>723.28767123287685</v>
      </c>
      <c r="Q430" s="13">
        <f t="shared" si="141"/>
        <v>41950.684931506876</v>
      </c>
      <c r="R430" s="13">
        <f t="shared" si="142"/>
        <v>139.95433789954348</v>
      </c>
      <c r="T430" s="11" t="str">
        <f t="shared" si="104"/>
        <v>SG</v>
      </c>
      <c r="U430" s="12">
        <f t="shared" si="105"/>
        <v>6010956.1600000001</v>
      </c>
      <c r="V430" s="97">
        <f t="shared" si="106"/>
        <v>2.1205479452054792E-2</v>
      </c>
      <c r="W430" s="13">
        <f t="shared" si="143"/>
        <v>354.0700203835616</v>
      </c>
      <c r="X430" s="13">
        <f t="shared" si="108"/>
        <v>20528.962190904123</v>
      </c>
      <c r="Y430" s="13">
        <f t="shared" si="144"/>
        <v>61.870762605783796</v>
      </c>
      <c r="AA430" s="11" t="s">
        <v>189</v>
      </c>
      <c r="AB430" s="98">
        <f t="shared" si="110"/>
        <v>15000000</v>
      </c>
      <c r="AC430" s="97">
        <f t="shared" si="111"/>
        <v>2.579E-2</v>
      </c>
      <c r="AD430" s="13">
        <f t="shared" si="145"/>
        <v>1074.5833333333333</v>
      </c>
      <c r="AE430" s="13">
        <f t="shared" si="146"/>
        <v>62325.833333333387</v>
      </c>
      <c r="AF430" s="13">
        <f t="shared" si="147"/>
        <v>345.41666666666663</v>
      </c>
      <c r="AH430" s="235">
        <f>'CT- € Ellipsis BNP'!X430</f>
        <v>0</v>
      </c>
      <c r="AI430" s="236">
        <f>'CT- € Ellipsis BNP'!AA430</f>
        <v>0</v>
      </c>
      <c r="AJ430" s="90">
        <f>'CT- € Ellipsis BNP'!W430</f>
        <v>0</v>
      </c>
      <c r="AK430" s="91">
        <f>'CT- € Ellipsis BNP'!AC430</f>
        <v>0</v>
      </c>
      <c r="AM430" s="235">
        <f>'codeis €'!Z430</f>
        <v>0</v>
      </c>
      <c r="AN430" s="236">
        <f>'codeis €'!AF430</f>
        <v>0</v>
      </c>
      <c r="AO430" s="90">
        <f>'codeis €'!AC430</f>
        <v>0</v>
      </c>
      <c r="AP430" s="91">
        <f>'codeis €'!AI430</f>
        <v>0</v>
      </c>
      <c r="AR430" s="12">
        <f t="shared" si="148"/>
        <v>37210956.159999996</v>
      </c>
      <c r="AS430" s="118">
        <f t="shared" si="149"/>
        <v>0.02</v>
      </c>
      <c r="AT430" s="118">
        <f t="shared" si="150"/>
        <v>2.2794328781416559E-2</v>
      </c>
      <c r="AU430" s="12">
        <f t="shared" si="151"/>
        <v>2356.1076916164384</v>
      </c>
      <c r="AV430" s="12">
        <f t="shared" si="152"/>
        <v>547.24176717199384</v>
      </c>
      <c r="AW430" s="19"/>
    </row>
    <row r="431" spans="2:49" x14ac:dyDescent="0.25">
      <c r="B431" s="9" t="str">
        <f t="shared" si="135"/>
        <v>2 2026</v>
      </c>
      <c r="C431" s="88">
        <f t="shared" si="136"/>
        <v>46080</v>
      </c>
      <c r="D431" s="88">
        <f t="shared" si="115"/>
        <v>46081</v>
      </c>
      <c r="E431" s="89">
        <f t="shared" si="137"/>
        <v>1</v>
      </c>
      <c r="G431" s="11" t="s">
        <v>7</v>
      </c>
      <c r="H431" s="12">
        <f t="shared" si="102"/>
        <v>4200000</v>
      </c>
      <c r="I431" s="14">
        <f t="shared" si="116"/>
        <v>1.7500000000000002E-2</v>
      </c>
      <c r="J431" s="13">
        <f t="shared" si="138"/>
        <v>204.16666666666666</v>
      </c>
      <c r="K431" s="13">
        <f t="shared" si="139"/>
        <v>12957.777777777779</v>
      </c>
      <c r="M431" s="11" t="s">
        <v>7</v>
      </c>
      <c r="N431" s="12">
        <f t="shared" si="121"/>
        <v>12000000</v>
      </c>
      <c r="O431" s="97">
        <f t="shared" si="103"/>
        <v>2.1698630136986304E-2</v>
      </c>
      <c r="P431" s="112">
        <f t="shared" si="140"/>
        <v>723.28767123287685</v>
      </c>
      <c r="Q431" s="13">
        <f t="shared" si="141"/>
        <v>42673.972602739756</v>
      </c>
      <c r="R431" s="13">
        <f t="shared" si="142"/>
        <v>139.95433789954348</v>
      </c>
      <c r="T431" s="11" t="str">
        <f t="shared" si="104"/>
        <v>SG</v>
      </c>
      <c r="U431" s="12">
        <f t="shared" si="105"/>
        <v>6010956.1600000001</v>
      </c>
      <c r="V431" s="97">
        <f t="shared" si="106"/>
        <v>2.1205479452054792E-2</v>
      </c>
      <c r="W431" s="13">
        <f t="shared" si="143"/>
        <v>354.0700203835616</v>
      </c>
      <c r="X431" s="13">
        <f t="shared" si="108"/>
        <v>20883.032211287686</v>
      </c>
      <c r="Y431" s="13">
        <f t="shared" si="144"/>
        <v>61.870762605783796</v>
      </c>
      <c r="AA431" s="11" t="s">
        <v>189</v>
      </c>
      <c r="AB431" s="98">
        <f t="shared" si="110"/>
        <v>15000000</v>
      </c>
      <c r="AC431" s="97">
        <f t="shared" si="111"/>
        <v>2.579E-2</v>
      </c>
      <c r="AD431" s="13">
        <f t="shared" si="145"/>
        <v>1074.5833333333333</v>
      </c>
      <c r="AE431" s="13">
        <f t="shared" si="146"/>
        <v>63400.416666666722</v>
      </c>
      <c r="AF431" s="13">
        <f t="shared" si="147"/>
        <v>345.41666666666663</v>
      </c>
      <c r="AH431" s="235">
        <f>'CT- € Ellipsis BNP'!X431</f>
        <v>0</v>
      </c>
      <c r="AI431" s="236">
        <f>'CT- € Ellipsis BNP'!AA431</f>
        <v>0</v>
      </c>
      <c r="AJ431" s="90">
        <f>'CT- € Ellipsis BNP'!W431</f>
        <v>0</v>
      </c>
      <c r="AK431" s="91">
        <f>'CT- € Ellipsis BNP'!AC431</f>
        <v>0</v>
      </c>
      <c r="AM431" s="235">
        <f>'codeis €'!Z431</f>
        <v>0</v>
      </c>
      <c r="AN431" s="236">
        <f>'codeis €'!AF431</f>
        <v>0</v>
      </c>
      <c r="AO431" s="90">
        <f>'codeis €'!AC431</f>
        <v>0</v>
      </c>
      <c r="AP431" s="91">
        <f>'codeis €'!AI431</f>
        <v>0</v>
      </c>
      <c r="AR431" s="12">
        <f t="shared" si="148"/>
        <v>37210956.159999996</v>
      </c>
      <c r="AS431" s="118">
        <f t="shared" si="149"/>
        <v>0.02</v>
      </c>
      <c r="AT431" s="118">
        <f t="shared" si="150"/>
        <v>2.2794328781416559E-2</v>
      </c>
      <c r="AU431" s="12">
        <f t="shared" si="151"/>
        <v>2356.1076916164384</v>
      </c>
      <c r="AV431" s="12">
        <f t="shared" si="152"/>
        <v>547.24176717199384</v>
      </c>
      <c r="AW431" s="19"/>
    </row>
    <row r="432" spans="2:49" x14ac:dyDescent="0.25">
      <c r="B432" s="9" t="str">
        <f t="shared" si="135"/>
        <v>3 2026</v>
      </c>
      <c r="C432" s="88">
        <f t="shared" si="136"/>
        <v>46081</v>
      </c>
      <c r="D432" s="88">
        <f t="shared" si="115"/>
        <v>46082</v>
      </c>
      <c r="E432" s="89">
        <f t="shared" si="137"/>
        <v>1</v>
      </c>
      <c r="G432" s="11" t="s">
        <v>7</v>
      </c>
      <c r="H432" s="12">
        <f t="shared" si="102"/>
        <v>4200000</v>
      </c>
      <c r="I432" s="14">
        <f t="shared" si="116"/>
        <v>1.7500000000000002E-2</v>
      </c>
      <c r="J432" s="13">
        <f t="shared" si="138"/>
        <v>204.16666666666666</v>
      </c>
      <c r="K432" s="13">
        <f t="shared" si="139"/>
        <v>13161.944444444445</v>
      </c>
      <c r="M432" s="11" t="s">
        <v>7</v>
      </c>
      <c r="N432" s="12">
        <f t="shared" si="121"/>
        <v>12000000</v>
      </c>
      <c r="O432" s="97">
        <f t="shared" si="103"/>
        <v>2.1698630136986304E-2</v>
      </c>
      <c r="P432" s="112">
        <f t="shared" si="140"/>
        <v>723.28767123287685</v>
      </c>
      <c r="Q432" s="13">
        <f t="shared" si="141"/>
        <v>43397.260273972635</v>
      </c>
      <c r="R432" s="13">
        <f t="shared" si="142"/>
        <v>139.95433789954348</v>
      </c>
      <c r="T432" s="11" t="str">
        <f t="shared" si="104"/>
        <v>SG</v>
      </c>
      <c r="U432" s="12">
        <f t="shared" si="105"/>
        <v>6010956.1600000001</v>
      </c>
      <c r="V432" s="97">
        <f t="shared" si="106"/>
        <v>2.1205479452054792E-2</v>
      </c>
      <c r="W432" s="13">
        <f t="shared" si="143"/>
        <v>354.0700203835616</v>
      </c>
      <c r="X432" s="13">
        <f t="shared" si="108"/>
        <v>21237.102231671248</v>
      </c>
      <c r="Y432" s="13">
        <f t="shared" si="144"/>
        <v>61.870762605783796</v>
      </c>
      <c r="AA432" s="11" t="s">
        <v>189</v>
      </c>
      <c r="AB432" s="98">
        <f t="shared" si="110"/>
        <v>15000000</v>
      </c>
      <c r="AC432" s="97">
        <f t="shared" si="111"/>
        <v>2.579E-2</v>
      </c>
      <c r="AD432" s="13">
        <f t="shared" si="145"/>
        <v>1074.5833333333333</v>
      </c>
      <c r="AE432" s="13">
        <f t="shared" si="146"/>
        <v>64475.000000000058</v>
      </c>
      <c r="AF432" s="13">
        <f t="shared" si="147"/>
        <v>345.41666666666663</v>
      </c>
      <c r="AH432" s="235">
        <f>'CT- € Ellipsis BNP'!X432</f>
        <v>0</v>
      </c>
      <c r="AI432" s="236">
        <f>'CT- € Ellipsis BNP'!AA432</f>
        <v>0</v>
      </c>
      <c r="AJ432" s="90">
        <f>'CT- € Ellipsis BNP'!W432</f>
        <v>0</v>
      </c>
      <c r="AK432" s="91">
        <f>'CT- € Ellipsis BNP'!AC432</f>
        <v>0</v>
      </c>
      <c r="AM432" s="235">
        <f>'codeis €'!Z432</f>
        <v>0</v>
      </c>
      <c r="AN432" s="236">
        <f>'codeis €'!AF432</f>
        <v>0</v>
      </c>
      <c r="AO432" s="90">
        <f>'codeis €'!AC432</f>
        <v>0</v>
      </c>
      <c r="AP432" s="91">
        <f>'codeis €'!AI432</f>
        <v>0</v>
      </c>
      <c r="AR432" s="12">
        <f t="shared" si="148"/>
        <v>37210956.159999996</v>
      </c>
      <c r="AS432" s="118">
        <f t="shared" si="149"/>
        <v>0.02</v>
      </c>
      <c r="AT432" s="118">
        <f t="shared" si="150"/>
        <v>2.2794328781416559E-2</v>
      </c>
      <c r="AU432" s="12">
        <f t="shared" si="151"/>
        <v>2356.1076916164384</v>
      </c>
      <c r="AV432" s="12">
        <f t="shared" si="152"/>
        <v>547.24176717199384</v>
      </c>
      <c r="AW432" s="19"/>
    </row>
    <row r="433" spans="2:49" x14ac:dyDescent="0.25">
      <c r="B433" s="9" t="str">
        <f t="shared" si="135"/>
        <v>3 2026</v>
      </c>
      <c r="C433" s="88">
        <f t="shared" si="136"/>
        <v>46082</v>
      </c>
      <c r="D433" s="88">
        <f t="shared" si="115"/>
        <v>46083</v>
      </c>
      <c r="E433" s="89">
        <f t="shared" si="137"/>
        <v>1</v>
      </c>
      <c r="G433" s="11" t="s">
        <v>7</v>
      </c>
      <c r="H433" s="12">
        <f t="shared" si="102"/>
        <v>4200000</v>
      </c>
      <c r="I433" s="14">
        <f t="shared" si="116"/>
        <v>1.7500000000000002E-2</v>
      </c>
      <c r="J433" s="13">
        <f t="shared" si="138"/>
        <v>204.16666666666666</v>
      </c>
      <c r="K433" s="13">
        <f t="shared" si="139"/>
        <v>13366.111111111111</v>
      </c>
      <c r="M433" s="11" t="s">
        <v>7</v>
      </c>
      <c r="N433" s="12">
        <f t="shared" si="121"/>
        <v>12000000</v>
      </c>
      <c r="O433" s="97">
        <f t="shared" si="103"/>
        <v>2.1698630136986304E-2</v>
      </c>
      <c r="P433" s="112">
        <f t="shared" si="140"/>
        <v>723.28767123287685</v>
      </c>
      <c r="Q433" s="13">
        <f t="shared" si="141"/>
        <v>44120.547945205515</v>
      </c>
      <c r="R433" s="13">
        <f t="shared" si="142"/>
        <v>139.95433789954348</v>
      </c>
      <c r="T433" s="11" t="str">
        <f t="shared" si="104"/>
        <v>SG</v>
      </c>
      <c r="U433" s="12">
        <f t="shared" si="105"/>
        <v>6010956.1600000001</v>
      </c>
      <c r="V433" s="97">
        <f t="shared" si="106"/>
        <v>2.1205479452054792E-2</v>
      </c>
      <c r="W433" s="13">
        <f t="shared" si="143"/>
        <v>354.0700203835616</v>
      </c>
      <c r="X433" s="13">
        <f t="shared" si="108"/>
        <v>21591.17225205481</v>
      </c>
      <c r="Y433" s="13">
        <f t="shared" si="144"/>
        <v>61.870762605783796</v>
      </c>
      <c r="AA433" s="11" t="s">
        <v>189</v>
      </c>
      <c r="AB433" s="98">
        <f t="shared" si="110"/>
        <v>15000000</v>
      </c>
      <c r="AC433" s="97">
        <f t="shared" si="111"/>
        <v>2.579E-2</v>
      </c>
      <c r="AD433" s="13">
        <f t="shared" si="145"/>
        <v>1074.5833333333333</v>
      </c>
      <c r="AE433" s="13">
        <f t="shared" si="146"/>
        <v>65549.583333333387</v>
      </c>
      <c r="AF433" s="13">
        <f t="shared" si="147"/>
        <v>345.41666666666663</v>
      </c>
      <c r="AH433" s="235">
        <f>'CT- € Ellipsis BNP'!X433</f>
        <v>0</v>
      </c>
      <c r="AI433" s="236">
        <f>'CT- € Ellipsis BNP'!AA433</f>
        <v>0</v>
      </c>
      <c r="AJ433" s="90">
        <f>'CT- € Ellipsis BNP'!W433</f>
        <v>0</v>
      </c>
      <c r="AK433" s="91">
        <f>'CT- € Ellipsis BNP'!AC433</f>
        <v>0</v>
      </c>
      <c r="AM433" s="235">
        <f>'codeis €'!Z433</f>
        <v>0</v>
      </c>
      <c r="AN433" s="236">
        <f>'codeis €'!AF433</f>
        <v>0</v>
      </c>
      <c r="AO433" s="90">
        <f>'codeis €'!AC433</f>
        <v>0</v>
      </c>
      <c r="AP433" s="91">
        <f>'codeis €'!AI433</f>
        <v>0</v>
      </c>
      <c r="AR433" s="12">
        <f t="shared" si="148"/>
        <v>37210956.159999996</v>
      </c>
      <c r="AS433" s="118">
        <f t="shared" si="149"/>
        <v>0.02</v>
      </c>
      <c r="AT433" s="118">
        <f t="shared" si="150"/>
        <v>2.2794328781416559E-2</v>
      </c>
      <c r="AU433" s="12">
        <f t="shared" si="151"/>
        <v>2356.1076916164384</v>
      </c>
      <c r="AV433" s="12">
        <f t="shared" si="152"/>
        <v>547.24176717199384</v>
      </c>
      <c r="AW433" s="19"/>
    </row>
    <row r="434" spans="2:49" x14ac:dyDescent="0.25">
      <c r="B434" s="9" t="str">
        <f t="shared" si="135"/>
        <v>3 2026</v>
      </c>
      <c r="C434" s="88">
        <f t="shared" si="136"/>
        <v>46083</v>
      </c>
      <c r="D434" s="88">
        <f t="shared" si="115"/>
        <v>46084</v>
      </c>
      <c r="E434" s="89">
        <f t="shared" si="137"/>
        <v>1</v>
      </c>
      <c r="G434" s="11" t="s">
        <v>7</v>
      </c>
      <c r="H434" s="12">
        <f t="shared" si="102"/>
        <v>4200000</v>
      </c>
      <c r="I434" s="14">
        <f t="shared" si="116"/>
        <v>1.7500000000000002E-2</v>
      </c>
      <c r="J434" s="13">
        <f t="shared" si="138"/>
        <v>204.16666666666666</v>
      </c>
      <c r="K434" s="13">
        <f t="shared" si="139"/>
        <v>13570.277777777777</v>
      </c>
      <c r="M434" s="11" t="s">
        <v>7</v>
      </c>
      <c r="N434" s="12">
        <f t="shared" si="121"/>
        <v>12000000</v>
      </c>
      <c r="O434" s="97">
        <f t="shared" si="103"/>
        <v>2.1698630136986304E-2</v>
      </c>
      <c r="P434" s="112">
        <f t="shared" si="140"/>
        <v>723.28767123287685</v>
      </c>
      <c r="Q434" s="13">
        <f t="shared" si="141"/>
        <v>44843.835616438395</v>
      </c>
      <c r="R434" s="13">
        <f t="shared" si="142"/>
        <v>139.95433789954348</v>
      </c>
      <c r="T434" s="11" t="str">
        <f t="shared" si="104"/>
        <v>SG</v>
      </c>
      <c r="U434" s="12">
        <f t="shared" si="105"/>
        <v>6010956.1600000001</v>
      </c>
      <c r="V434" s="97">
        <f t="shared" si="106"/>
        <v>2.1205479452054792E-2</v>
      </c>
      <c r="W434" s="13">
        <f t="shared" si="143"/>
        <v>354.0700203835616</v>
      </c>
      <c r="X434" s="13">
        <f t="shared" si="108"/>
        <v>21945.242272438372</v>
      </c>
      <c r="Y434" s="13">
        <f t="shared" si="144"/>
        <v>61.870762605783796</v>
      </c>
      <c r="AA434" s="11" t="s">
        <v>189</v>
      </c>
      <c r="AB434" s="98">
        <f t="shared" si="110"/>
        <v>15000000</v>
      </c>
      <c r="AC434" s="97">
        <f t="shared" si="111"/>
        <v>2.579E-2</v>
      </c>
      <c r="AD434" s="13">
        <f t="shared" si="145"/>
        <v>1074.5833333333333</v>
      </c>
      <c r="AE434" s="13">
        <f t="shared" si="146"/>
        <v>66624.166666666715</v>
      </c>
      <c r="AF434" s="13">
        <f t="shared" si="147"/>
        <v>345.41666666666663</v>
      </c>
      <c r="AH434" s="235">
        <f>'CT- € Ellipsis BNP'!X434</f>
        <v>0</v>
      </c>
      <c r="AI434" s="236">
        <f>'CT- € Ellipsis BNP'!AA434</f>
        <v>0</v>
      </c>
      <c r="AJ434" s="90">
        <f>'CT- € Ellipsis BNP'!W434</f>
        <v>0</v>
      </c>
      <c r="AK434" s="91">
        <f>'CT- € Ellipsis BNP'!AC434</f>
        <v>0</v>
      </c>
      <c r="AM434" s="235">
        <f>'codeis €'!Z434</f>
        <v>0</v>
      </c>
      <c r="AN434" s="236">
        <f>'codeis €'!AF434</f>
        <v>0</v>
      </c>
      <c r="AO434" s="90">
        <f>'codeis €'!AC434</f>
        <v>0</v>
      </c>
      <c r="AP434" s="91">
        <f>'codeis €'!AI434</f>
        <v>0</v>
      </c>
      <c r="AR434" s="12">
        <f t="shared" si="148"/>
        <v>37210956.159999996</v>
      </c>
      <c r="AS434" s="118">
        <f t="shared" si="149"/>
        <v>0.02</v>
      </c>
      <c r="AT434" s="118">
        <f t="shared" si="150"/>
        <v>2.2794328781416559E-2</v>
      </c>
      <c r="AU434" s="12">
        <f t="shared" si="151"/>
        <v>2356.1076916164384</v>
      </c>
      <c r="AV434" s="12">
        <f t="shared" si="152"/>
        <v>547.24176717199384</v>
      </c>
      <c r="AW434" s="19"/>
    </row>
    <row r="435" spans="2:49" x14ac:dyDescent="0.25">
      <c r="B435" s="9" t="str">
        <f t="shared" si="135"/>
        <v>3 2026</v>
      </c>
      <c r="C435" s="88">
        <f t="shared" si="136"/>
        <v>46084</v>
      </c>
      <c r="D435" s="88">
        <f t="shared" si="115"/>
        <v>46085</v>
      </c>
      <c r="E435" s="89">
        <f t="shared" si="137"/>
        <v>1</v>
      </c>
      <c r="G435" s="11" t="s">
        <v>7</v>
      </c>
      <c r="H435" s="12">
        <f t="shared" si="102"/>
        <v>4200000</v>
      </c>
      <c r="I435" s="14">
        <f t="shared" si="116"/>
        <v>1.7500000000000002E-2</v>
      </c>
      <c r="J435" s="13">
        <f t="shared" si="138"/>
        <v>204.16666666666666</v>
      </c>
      <c r="K435" s="13">
        <f t="shared" si="139"/>
        <v>13774.444444444443</v>
      </c>
      <c r="M435" s="11" t="s">
        <v>7</v>
      </c>
      <c r="N435" s="12">
        <f t="shared" si="121"/>
        <v>12000000</v>
      </c>
      <c r="O435" s="97">
        <f t="shared" si="103"/>
        <v>2.1698630136986304E-2</v>
      </c>
      <c r="P435" s="112">
        <f t="shared" si="140"/>
        <v>723.28767123287685</v>
      </c>
      <c r="Q435" s="13">
        <f t="shared" si="141"/>
        <v>45567.123287671275</v>
      </c>
      <c r="R435" s="13">
        <f t="shared" si="142"/>
        <v>139.95433789954348</v>
      </c>
      <c r="T435" s="11" t="str">
        <f t="shared" si="104"/>
        <v>SG</v>
      </c>
      <c r="U435" s="12">
        <f t="shared" si="105"/>
        <v>6010956.1600000001</v>
      </c>
      <c r="V435" s="97">
        <f t="shared" si="106"/>
        <v>2.1205479452054792E-2</v>
      </c>
      <c r="W435" s="13">
        <f t="shared" si="143"/>
        <v>354.0700203835616</v>
      </c>
      <c r="X435" s="13">
        <f t="shared" si="108"/>
        <v>22299.312292821935</v>
      </c>
      <c r="Y435" s="13">
        <f t="shared" si="144"/>
        <v>61.870762605783796</v>
      </c>
      <c r="AA435" s="11" t="s">
        <v>189</v>
      </c>
      <c r="AB435" s="98">
        <f t="shared" si="110"/>
        <v>15000000</v>
      </c>
      <c r="AC435" s="97">
        <f t="shared" si="111"/>
        <v>2.579E-2</v>
      </c>
      <c r="AD435" s="13">
        <f t="shared" si="145"/>
        <v>1074.5833333333333</v>
      </c>
      <c r="AE435" s="13">
        <f t="shared" si="146"/>
        <v>67698.750000000044</v>
      </c>
      <c r="AF435" s="13">
        <f t="shared" si="147"/>
        <v>345.41666666666663</v>
      </c>
      <c r="AH435" s="235">
        <f>'CT- € Ellipsis BNP'!X435</f>
        <v>0</v>
      </c>
      <c r="AI435" s="236">
        <f>'CT- € Ellipsis BNP'!AA435</f>
        <v>0</v>
      </c>
      <c r="AJ435" s="90">
        <f>'CT- € Ellipsis BNP'!W435</f>
        <v>0</v>
      </c>
      <c r="AK435" s="91">
        <f>'CT- € Ellipsis BNP'!AC435</f>
        <v>0</v>
      </c>
      <c r="AM435" s="235">
        <f>'codeis €'!Z435</f>
        <v>0</v>
      </c>
      <c r="AN435" s="236">
        <f>'codeis €'!AF435</f>
        <v>0</v>
      </c>
      <c r="AO435" s="90">
        <f>'codeis €'!AC435</f>
        <v>0</v>
      </c>
      <c r="AP435" s="91">
        <f>'codeis €'!AI435</f>
        <v>0</v>
      </c>
      <c r="AR435" s="12">
        <f t="shared" si="148"/>
        <v>37210956.159999996</v>
      </c>
      <c r="AS435" s="118">
        <f t="shared" si="149"/>
        <v>0.02</v>
      </c>
      <c r="AT435" s="118">
        <f t="shared" si="150"/>
        <v>2.2794328781416559E-2</v>
      </c>
      <c r="AU435" s="12">
        <f t="shared" si="151"/>
        <v>2356.1076916164384</v>
      </c>
      <c r="AV435" s="12">
        <f t="shared" si="152"/>
        <v>547.24176717199384</v>
      </c>
      <c r="AW435" s="19"/>
    </row>
    <row r="436" spans="2:49" x14ac:dyDescent="0.25">
      <c r="B436" s="9" t="str">
        <f t="shared" si="135"/>
        <v>3 2026</v>
      </c>
      <c r="C436" s="88">
        <f t="shared" si="136"/>
        <v>46085</v>
      </c>
      <c r="D436" s="88">
        <f t="shared" si="115"/>
        <v>46086</v>
      </c>
      <c r="E436" s="89">
        <f t="shared" si="137"/>
        <v>1</v>
      </c>
      <c r="G436" s="11" t="s">
        <v>7</v>
      </c>
      <c r="H436" s="135">
        <f>H435+30000000</f>
        <v>34200000</v>
      </c>
      <c r="I436" s="14">
        <f t="shared" si="116"/>
        <v>1.7500000000000002E-2</v>
      </c>
      <c r="J436" s="13">
        <f t="shared" si="138"/>
        <v>1662.5</v>
      </c>
      <c r="K436" s="13">
        <f t="shared" si="139"/>
        <v>15436.944444444443</v>
      </c>
      <c r="M436" s="11" t="s">
        <v>7</v>
      </c>
      <c r="N436" s="12">
        <f t="shared" si="121"/>
        <v>12000000</v>
      </c>
      <c r="O436" s="97">
        <f t="shared" si="103"/>
        <v>2.1698630136986304E-2</v>
      </c>
      <c r="P436" s="112">
        <f t="shared" si="140"/>
        <v>723.28767123287685</v>
      </c>
      <c r="Q436" s="13">
        <f t="shared" si="141"/>
        <v>46290.410958904155</v>
      </c>
      <c r="R436" s="13">
        <f t="shared" si="142"/>
        <v>139.95433789954348</v>
      </c>
      <c r="T436" s="11" t="str">
        <f t="shared" si="104"/>
        <v>SG</v>
      </c>
      <c r="U436" s="12">
        <f t="shared" si="105"/>
        <v>6010956.1600000001</v>
      </c>
      <c r="V436" s="97">
        <f t="shared" si="106"/>
        <v>2.1205479452054792E-2</v>
      </c>
      <c r="W436" s="13">
        <f t="shared" si="143"/>
        <v>354.0700203835616</v>
      </c>
      <c r="X436" s="13">
        <f t="shared" si="108"/>
        <v>22653.382313205497</v>
      </c>
      <c r="Y436" s="13">
        <f t="shared" si="144"/>
        <v>61.870762605783796</v>
      </c>
      <c r="AA436" s="11" t="s">
        <v>189</v>
      </c>
      <c r="AB436" s="98">
        <f t="shared" si="110"/>
        <v>15000000</v>
      </c>
      <c r="AC436" s="97">
        <f t="shared" si="111"/>
        <v>2.579E-2</v>
      </c>
      <c r="AD436" s="13">
        <f t="shared" si="145"/>
        <v>1074.5833333333333</v>
      </c>
      <c r="AE436" s="13">
        <f t="shared" si="146"/>
        <v>68773.333333333372</v>
      </c>
      <c r="AF436" s="13">
        <f t="shared" si="147"/>
        <v>345.41666666666663</v>
      </c>
      <c r="AH436" s="235">
        <f>'CT- € Ellipsis BNP'!X436</f>
        <v>0</v>
      </c>
      <c r="AI436" s="236">
        <f>'CT- € Ellipsis BNP'!AA436</f>
        <v>0</v>
      </c>
      <c r="AJ436" s="90">
        <f>'CT- € Ellipsis BNP'!W436</f>
        <v>0</v>
      </c>
      <c r="AK436" s="91">
        <f>'CT- € Ellipsis BNP'!AC436</f>
        <v>0</v>
      </c>
      <c r="AM436" s="235">
        <f>'codeis €'!Z436</f>
        <v>0</v>
      </c>
      <c r="AN436" s="236">
        <f>'codeis €'!AF436</f>
        <v>0</v>
      </c>
      <c r="AO436" s="90">
        <f>'codeis €'!AC436</f>
        <v>0</v>
      </c>
      <c r="AP436" s="91">
        <f>'codeis €'!AI436</f>
        <v>0</v>
      </c>
      <c r="AR436" s="12">
        <f t="shared" si="148"/>
        <v>67210956.159999996</v>
      </c>
      <c r="AS436" s="118">
        <f t="shared" si="149"/>
        <v>0.02</v>
      </c>
      <c r="AT436" s="118">
        <f t="shared" si="150"/>
        <v>2.0431174431039634E-2</v>
      </c>
      <c r="AU436" s="12">
        <f t="shared" si="151"/>
        <v>3814.4410249497723</v>
      </c>
      <c r="AV436" s="12">
        <f t="shared" si="152"/>
        <v>547.24176717199384</v>
      </c>
      <c r="AW436" s="19"/>
    </row>
    <row r="437" spans="2:49" x14ac:dyDescent="0.25">
      <c r="B437" s="9" t="str">
        <f t="shared" si="135"/>
        <v>3 2026</v>
      </c>
      <c r="C437" s="88">
        <f t="shared" si="136"/>
        <v>46086</v>
      </c>
      <c r="D437" s="88">
        <f t="shared" si="115"/>
        <v>46087</v>
      </c>
      <c r="E437" s="89">
        <f t="shared" si="137"/>
        <v>1</v>
      </c>
      <c r="G437" s="11" t="s">
        <v>7</v>
      </c>
      <c r="H437" s="135">
        <f>H436+50000</f>
        <v>34250000</v>
      </c>
      <c r="I437" s="14">
        <f t="shared" si="116"/>
        <v>1.7500000000000002E-2</v>
      </c>
      <c r="J437" s="13">
        <f t="shared" si="138"/>
        <v>1664.9305555555557</v>
      </c>
      <c r="K437" s="13">
        <f t="shared" si="139"/>
        <v>17101.875</v>
      </c>
      <c r="M437" s="11" t="s">
        <v>7</v>
      </c>
      <c r="N437" s="12">
        <f t="shared" si="121"/>
        <v>12000000</v>
      </c>
      <c r="O437" s="97">
        <f t="shared" si="103"/>
        <v>2.1698630136986304E-2</v>
      </c>
      <c r="P437" s="112">
        <f t="shared" si="140"/>
        <v>723.28767123287685</v>
      </c>
      <c r="Q437" s="13">
        <f t="shared" si="141"/>
        <v>47013.698630137034</v>
      </c>
      <c r="R437" s="13">
        <f t="shared" si="142"/>
        <v>139.95433789954348</v>
      </c>
      <c r="T437" s="11" t="str">
        <f t="shared" si="104"/>
        <v>SG</v>
      </c>
      <c r="U437" s="12">
        <f t="shared" si="105"/>
        <v>6010956.1600000001</v>
      </c>
      <c r="V437" s="97">
        <f t="shared" si="106"/>
        <v>2.1205479452054792E-2</v>
      </c>
      <c r="W437" s="13">
        <f t="shared" si="143"/>
        <v>354.0700203835616</v>
      </c>
      <c r="X437" s="13">
        <f t="shared" si="108"/>
        <v>23007.452333589059</v>
      </c>
      <c r="Y437" s="13">
        <f t="shared" si="144"/>
        <v>61.870762605783796</v>
      </c>
      <c r="AA437" s="11" t="s">
        <v>189</v>
      </c>
      <c r="AB437" s="98">
        <f t="shared" si="110"/>
        <v>15000000</v>
      </c>
      <c r="AC437" s="97">
        <f t="shared" si="111"/>
        <v>2.579E-2</v>
      </c>
      <c r="AD437" s="13">
        <f t="shared" si="145"/>
        <v>1074.5833333333333</v>
      </c>
      <c r="AE437" s="13">
        <f t="shared" si="146"/>
        <v>69847.916666666701</v>
      </c>
      <c r="AF437" s="13">
        <f t="shared" si="147"/>
        <v>345.41666666666663</v>
      </c>
      <c r="AH437" s="235">
        <f>'CT- € Ellipsis BNP'!X437</f>
        <v>0</v>
      </c>
      <c r="AI437" s="236">
        <f>'CT- € Ellipsis BNP'!AA437</f>
        <v>0</v>
      </c>
      <c r="AJ437" s="90">
        <f>'CT- € Ellipsis BNP'!W437</f>
        <v>0</v>
      </c>
      <c r="AK437" s="91">
        <f>'CT- € Ellipsis BNP'!AC437</f>
        <v>0</v>
      </c>
      <c r="AM437" s="235">
        <f>'codeis €'!Z437</f>
        <v>0</v>
      </c>
      <c r="AN437" s="236">
        <f>'codeis €'!AF437</f>
        <v>0</v>
      </c>
      <c r="AO437" s="90">
        <f>'codeis €'!AC437</f>
        <v>0</v>
      </c>
      <c r="AP437" s="91">
        <f>'codeis €'!AI437</f>
        <v>0</v>
      </c>
      <c r="AR437" s="12">
        <f t="shared" si="148"/>
        <v>67260956.159999996</v>
      </c>
      <c r="AS437" s="118">
        <f t="shared" si="149"/>
        <v>0.02</v>
      </c>
      <c r="AT437" s="118">
        <f t="shared" si="150"/>
        <v>2.0428995474183843E-2</v>
      </c>
      <c r="AU437" s="12">
        <f t="shared" si="151"/>
        <v>3816.871580505328</v>
      </c>
      <c r="AV437" s="12">
        <f t="shared" si="152"/>
        <v>547.24176717199384</v>
      </c>
      <c r="AW437" s="19"/>
    </row>
    <row r="438" spans="2:49" x14ac:dyDescent="0.25">
      <c r="B438" s="9" t="str">
        <f t="shared" si="135"/>
        <v>3 2026</v>
      </c>
      <c r="C438" s="88">
        <f t="shared" si="136"/>
        <v>46087</v>
      </c>
      <c r="D438" s="88">
        <f t="shared" si="115"/>
        <v>46088</v>
      </c>
      <c r="E438" s="89">
        <f t="shared" si="137"/>
        <v>1</v>
      </c>
      <c r="G438" s="11" t="s">
        <v>7</v>
      </c>
      <c r="H438" s="12">
        <f t="shared" si="102"/>
        <v>34250000</v>
      </c>
      <c r="I438" s="14">
        <f t="shared" si="116"/>
        <v>1.7500000000000002E-2</v>
      </c>
      <c r="J438" s="13">
        <f t="shared" si="138"/>
        <v>1664.9305555555557</v>
      </c>
      <c r="K438" s="13">
        <f t="shared" si="139"/>
        <v>18766.805555555555</v>
      </c>
      <c r="M438" s="11" t="s">
        <v>7</v>
      </c>
      <c r="N438" s="12">
        <f t="shared" si="121"/>
        <v>12000000</v>
      </c>
      <c r="O438" s="97">
        <f t="shared" si="103"/>
        <v>2.1698630136986304E-2</v>
      </c>
      <c r="P438" s="112">
        <f t="shared" si="140"/>
        <v>723.28767123287685</v>
      </c>
      <c r="Q438" s="13">
        <f t="shared" si="141"/>
        <v>47736.986301369914</v>
      </c>
      <c r="R438" s="13">
        <f t="shared" si="142"/>
        <v>139.95433789954348</v>
      </c>
      <c r="T438" s="11" t="str">
        <f t="shared" si="104"/>
        <v>SG</v>
      </c>
      <c r="U438" s="12">
        <f t="shared" si="105"/>
        <v>6010956.1600000001</v>
      </c>
      <c r="V438" s="97">
        <f t="shared" si="106"/>
        <v>2.1205479452054792E-2</v>
      </c>
      <c r="W438" s="13">
        <f t="shared" si="143"/>
        <v>354.0700203835616</v>
      </c>
      <c r="X438" s="13">
        <f t="shared" si="108"/>
        <v>23361.522353972621</v>
      </c>
      <c r="Y438" s="13">
        <f t="shared" si="144"/>
        <v>61.870762605783796</v>
      </c>
      <c r="AA438" s="11" t="s">
        <v>189</v>
      </c>
      <c r="AB438" s="98">
        <f t="shared" si="110"/>
        <v>15000000</v>
      </c>
      <c r="AC438" s="97">
        <f t="shared" si="111"/>
        <v>2.579E-2</v>
      </c>
      <c r="AD438" s="13">
        <f t="shared" si="145"/>
        <v>1074.5833333333333</v>
      </c>
      <c r="AE438" s="13">
        <f t="shared" si="146"/>
        <v>70922.500000000029</v>
      </c>
      <c r="AF438" s="13">
        <f t="shared" si="147"/>
        <v>345.41666666666663</v>
      </c>
      <c r="AH438" s="235">
        <f>'CT- € Ellipsis BNP'!X438</f>
        <v>0</v>
      </c>
      <c r="AI438" s="236">
        <f>'CT- € Ellipsis BNP'!AA438</f>
        <v>0</v>
      </c>
      <c r="AJ438" s="90">
        <f>'CT- € Ellipsis BNP'!W438</f>
        <v>0</v>
      </c>
      <c r="AK438" s="91">
        <f>'CT- € Ellipsis BNP'!AC438</f>
        <v>0</v>
      </c>
      <c r="AM438" s="235">
        <f>'codeis €'!Z438</f>
        <v>0</v>
      </c>
      <c r="AN438" s="236">
        <f>'codeis €'!AF438</f>
        <v>0</v>
      </c>
      <c r="AO438" s="90">
        <f>'codeis €'!AC438</f>
        <v>0</v>
      </c>
      <c r="AP438" s="91">
        <f>'codeis €'!AI438</f>
        <v>0</v>
      </c>
      <c r="AR438" s="12">
        <f t="shared" si="148"/>
        <v>67260956.159999996</v>
      </c>
      <c r="AS438" s="118">
        <f t="shared" si="149"/>
        <v>0.02</v>
      </c>
      <c r="AT438" s="118">
        <f t="shared" si="150"/>
        <v>2.0428995474183843E-2</v>
      </c>
      <c r="AU438" s="12">
        <f t="shared" si="151"/>
        <v>3816.871580505328</v>
      </c>
      <c r="AV438" s="12">
        <f t="shared" si="152"/>
        <v>547.24176717199384</v>
      </c>
      <c r="AW438" s="19"/>
    </row>
    <row r="439" spans="2:49" x14ac:dyDescent="0.25">
      <c r="B439" s="9" t="str">
        <f t="shared" si="135"/>
        <v>3 2026</v>
      </c>
      <c r="C439" s="88">
        <f t="shared" si="136"/>
        <v>46088</v>
      </c>
      <c r="D439" s="88">
        <f t="shared" si="115"/>
        <v>46089</v>
      </c>
      <c r="E439" s="89">
        <f t="shared" si="137"/>
        <v>1</v>
      </c>
      <c r="G439" s="11" t="s">
        <v>7</v>
      </c>
      <c r="H439" s="12">
        <f t="shared" ref="H439:I454" si="153">H438</f>
        <v>34250000</v>
      </c>
      <c r="I439" s="14">
        <f t="shared" si="116"/>
        <v>1.7500000000000002E-2</v>
      </c>
      <c r="J439" s="13">
        <f t="shared" si="138"/>
        <v>1664.9305555555557</v>
      </c>
      <c r="K439" s="13">
        <f t="shared" si="139"/>
        <v>20431.736111111109</v>
      </c>
      <c r="M439" s="11" t="s">
        <v>7</v>
      </c>
      <c r="N439" s="12">
        <f t="shared" si="121"/>
        <v>12000000</v>
      </c>
      <c r="O439" s="97">
        <f t="shared" si="121"/>
        <v>2.1698630136986304E-2</v>
      </c>
      <c r="P439" s="112">
        <f t="shared" si="140"/>
        <v>723.28767123287685</v>
      </c>
      <c r="Q439" s="13">
        <f t="shared" si="141"/>
        <v>48460.273972602794</v>
      </c>
      <c r="R439" s="13">
        <f t="shared" si="142"/>
        <v>139.95433789954348</v>
      </c>
      <c r="T439" s="11" t="str">
        <f t="shared" ref="T439:V454" si="154">T438</f>
        <v>SG</v>
      </c>
      <c r="U439" s="12">
        <f t="shared" si="154"/>
        <v>6010956.1600000001</v>
      </c>
      <c r="V439" s="97">
        <f t="shared" si="154"/>
        <v>2.1205479452054792E-2</v>
      </c>
      <c r="W439" s="13">
        <f t="shared" si="143"/>
        <v>354.0700203835616</v>
      </c>
      <c r="X439" s="13">
        <f t="shared" ref="X439:X502" si="155">X438+W439</f>
        <v>23715.592374356183</v>
      </c>
      <c r="Y439" s="13">
        <f t="shared" si="144"/>
        <v>61.870762605783796</v>
      </c>
      <c r="AA439" s="11" t="s">
        <v>189</v>
      </c>
      <c r="AB439" s="98">
        <f t="shared" ref="AB439:AC454" si="156">AB438</f>
        <v>15000000</v>
      </c>
      <c r="AC439" s="97">
        <f t="shared" si="156"/>
        <v>2.579E-2</v>
      </c>
      <c r="AD439" s="13">
        <f t="shared" si="145"/>
        <v>1074.5833333333333</v>
      </c>
      <c r="AE439" s="13">
        <f t="shared" si="146"/>
        <v>71997.083333333358</v>
      </c>
      <c r="AF439" s="13">
        <f t="shared" si="147"/>
        <v>345.41666666666663</v>
      </c>
      <c r="AH439" s="235">
        <f>'CT- € Ellipsis BNP'!X439</f>
        <v>0</v>
      </c>
      <c r="AI439" s="236">
        <f>'CT- € Ellipsis BNP'!AA439</f>
        <v>0</v>
      </c>
      <c r="AJ439" s="90">
        <f>'CT- € Ellipsis BNP'!W439</f>
        <v>0</v>
      </c>
      <c r="AK439" s="91">
        <f>'CT- € Ellipsis BNP'!AC439</f>
        <v>0</v>
      </c>
      <c r="AM439" s="235">
        <f>'codeis €'!Z439</f>
        <v>0</v>
      </c>
      <c r="AN439" s="236">
        <f>'codeis €'!AF439</f>
        <v>0</v>
      </c>
      <c r="AO439" s="90">
        <f>'codeis €'!AC439</f>
        <v>0</v>
      </c>
      <c r="AP439" s="91">
        <f>'codeis €'!AI439</f>
        <v>0</v>
      </c>
      <c r="AR439" s="12">
        <f t="shared" si="148"/>
        <v>67260956.159999996</v>
      </c>
      <c r="AS439" s="118">
        <f t="shared" si="149"/>
        <v>0.02</v>
      </c>
      <c r="AT439" s="118">
        <f t="shared" si="150"/>
        <v>2.0428995474183843E-2</v>
      </c>
      <c r="AU439" s="12">
        <f t="shared" si="151"/>
        <v>3816.871580505328</v>
      </c>
      <c r="AV439" s="12">
        <f t="shared" si="152"/>
        <v>547.24176717199384</v>
      </c>
      <c r="AW439" s="19"/>
    </row>
    <row r="440" spans="2:49" x14ac:dyDescent="0.25">
      <c r="B440" s="9" t="str">
        <f t="shared" si="135"/>
        <v>3 2026</v>
      </c>
      <c r="C440" s="88">
        <f t="shared" si="136"/>
        <v>46089</v>
      </c>
      <c r="D440" s="88">
        <f t="shared" ref="D440:D503" si="157">D439+1</f>
        <v>46090</v>
      </c>
      <c r="E440" s="89">
        <f t="shared" si="137"/>
        <v>1</v>
      </c>
      <c r="G440" s="11" t="s">
        <v>7</v>
      </c>
      <c r="H440" s="12">
        <f t="shared" si="153"/>
        <v>34250000</v>
      </c>
      <c r="I440" s="14">
        <f t="shared" si="153"/>
        <v>1.7500000000000002E-2</v>
      </c>
      <c r="J440" s="13">
        <f t="shared" si="138"/>
        <v>1664.9305555555557</v>
      </c>
      <c r="K440" s="13">
        <f t="shared" si="139"/>
        <v>22096.666666666664</v>
      </c>
      <c r="M440" s="11" t="s">
        <v>7</v>
      </c>
      <c r="N440" s="12">
        <f t="shared" ref="N440:O455" si="158">N439</f>
        <v>12000000</v>
      </c>
      <c r="O440" s="97">
        <f t="shared" si="158"/>
        <v>2.1698630136986304E-2</v>
      </c>
      <c r="P440" s="112">
        <f t="shared" si="140"/>
        <v>723.28767123287685</v>
      </c>
      <c r="Q440" s="13">
        <f t="shared" si="141"/>
        <v>49183.561643835674</v>
      </c>
      <c r="R440" s="13">
        <f t="shared" si="142"/>
        <v>139.95433789954348</v>
      </c>
      <c r="T440" s="11" t="str">
        <f t="shared" si="154"/>
        <v>SG</v>
      </c>
      <c r="U440" s="12">
        <f t="shared" si="154"/>
        <v>6010956.1600000001</v>
      </c>
      <c r="V440" s="97">
        <f t="shared" si="154"/>
        <v>2.1205479452054792E-2</v>
      </c>
      <c r="W440" s="13">
        <f t="shared" si="143"/>
        <v>354.0700203835616</v>
      </c>
      <c r="X440" s="13">
        <f t="shared" si="155"/>
        <v>24069.662394739746</v>
      </c>
      <c r="Y440" s="13">
        <f t="shared" si="144"/>
        <v>61.870762605783796</v>
      </c>
      <c r="AA440" s="11" t="s">
        <v>189</v>
      </c>
      <c r="AB440" s="98">
        <f t="shared" si="156"/>
        <v>15000000</v>
      </c>
      <c r="AC440" s="97">
        <f t="shared" si="156"/>
        <v>2.579E-2</v>
      </c>
      <c r="AD440" s="13">
        <f t="shared" si="145"/>
        <v>1074.5833333333333</v>
      </c>
      <c r="AE440" s="13">
        <f t="shared" si="146"/>
        <v>73071.666666666686</v>
      </c>
      <c r="AF440" s="13">
        <f t="shared" si="147"/>
        <v>345.41666666666663</v>
      </c>
      <c r="AH440" s="235">
        <f>'CT- € Ellipsis BNP'!X440</f>
        <v>0</v>
      </c>
      <c r="AI440" s="236">
        <f>'CT- € Ellipsis BNP'!AA440</f>
        <v>0</v>
      </c>
      <c r="AJ440" s="90">
        <f>'CT- € Ellipsis BNP'!W440</f>
        <v>0</v>
      </c>
      <c r="AK440" s="91">
        <f>'CT- € Ellipsis BNP'!AC440</f>
        <v>0</v>
      </c>
      <c r="AM440" s="235">
        <f>'codeis €'!Z440</f>
        <v>0</v>
      </c>
      <c r="AN440" s="236">
        <f>'codeis €'!AF440</f>
        <v>0</v>
      </c>
      <c r="AO440" s="90">
        <f>'codeis €'!AC440</f>
        <v>0</v>
      </c>
      <c r="AP440" s="91">
        <f>'codeis €'!AI440</f>
        <v>0</v>
      </c>
      <c r="AR440" s="12">
        <f t="shared" si="148"/>
        <v>67260956.159999996</v>
      </c>
      <c r="AS440" s="118">
        <f t="shared" si="149"/>
        <v>0.02</v>
      </c>
      <c r="AT440" s="118">
        <f t="shared" si="150"/>
        <v>2.0428995474183843E-2</v>
      </c>
      <c r="AU440" s="12">
        <f t="shared" si="151"/>
        <v>3816.871580505328</v>
      </c>
      <c r="AV440" s="12">
        <f t="shared" si="152"/>
        <v>547.24176717199384</v>
      </c>
      <c r="AW440" s="19"/>
    </row>
    <row r="441" spans="2:49" x14ac:dyDescent="0.25">
      <c r="B441" s="9" t="str">
        <f t="shared" si="135"/>
        <v>3 2026</v>
      </c>
      <c r="C441" s="88">
        <f t="shared" si="136"/>
        <v>46090</v>
      </c>
      <c r="D441" s="88">
        <f t="shared" si="157"/>
        <v>46091</v>
      </c>
      <c r="E441" s="89">
        <f t="shared" si="137"/>
        <v>1</v>
      </c>
      <c r="G441" s="11" t="s">
        <v>7</v>
      </c>
      <c r="H441" s="12">
        <f t="shared" si="153"/>
        <v>34250000</v>
      </c>
      <c r="I441" s="14">
        <f t="shared" si="153"/>
        <v>1.7500000000000002E-2</v>
      </c>
      <c r="J441" s="13">
        <f t="shared" si="138"/>
        <v>1664.9305555555557</v>
      </c>
      <c r="K441" s="13">
        <f t="shared" si="139"/>
        <v>23761.597222222219</v>
      </c>
      <c r="M441" s="11" t="s">
        <v>7</v>
      </c>
      <c r="N441" s="12">
        <f t="shared" si="158"/>
        <v>12000000</v>
      </c>
      <c r="O441" s="97">
        <f t="shared" si="158"/>
        <v>2.1698630136986304E-2</v>
      </c>
      <c r="P441" s="112">
        <f t="shared" si="140"/>
        <v>723.28767123287685</v>
      </c>
      <c r="Q441" s="13">
        <f t="shared" si="141"/>
        <v>49906.849315068554</v>
      </c>
      <c r="R441" s="13">
        <f t="shared" si="142"/>
        <v>139.95433789954348</v>
      </c>
      <c r="T441" s="11" t="str">
        <f t="shared" si="154"/>
        <v>SG</v>
      </c>
      <c r="U441" s="12">
        <f t="shared" si="154"/>
        <v>6010956.1600000001</v>
      </c>
      <c r="V441" s="97">
        <f t="shared" si="154"/>
        <v>2.1205479452054792E-2</v>
      </c>
      <c r="W441" s="13">
        <f t="shared" si="143"/>
        <v>354.0700203835616</v>
      </c>
      <c r="X441" s="13">
        <f t="shared" si="155"/>
        <v>24423.732415123308</v>
      </c>
      <c r="Y441" s="13">
        <f t="shared" si="144"/>
        <v>61.870762605783796</v>
      </c>
      <c r="AA441" s="11" t="s">
        <v>189</v>
      </c>
      <c r="AB441" s="98">
        <f t="shared" si="156"/>
        <v>15000000</v>
      </c>
      <c r="AC441" s="97">
        <f t="shared" si="156"/>
        <v>2.579E-2</v>
      </c>
      <c r="AD441" s="13">
        <f t="shared" si="145"/>
        <v>1074.5833333333333</v>
      </c>
      <c r="AE441" s="13">
        <f t="shared" si="146"/>
        <v>74146.250000000015</v>
      </c>
      <c r="AF441" s="13">
        <f t="shared" si="147"/>
        <v>345.41666666666663</v>
      </c>
      <c r="AH441" s="235">
        <f>'CT- € Ellipsis BNP'!X441</f>
        <v>0</v>
      </c>
      <c r="AI441" s="236">
        <f>'CT- € Ellipsis BNP'!AA441</f>
        <v>0</v>
      </c>
      <c r="AJ441" s="90">
        <f>'CT- € Ellipsis BNP'!W441</f>
        <v>0</v>
      </c>
      <c r="AK441" s="91">
        <f>'CT- € Ellipsis BNP'!AC441</f>
        <v>0</v>
      </c>
      <c r="AM441" s="235">
        <f>'codeis €'!Z441</f>
        <v>0</v>
      </c>
      <c r="AN441" s="236">
        <f>'codeis €'!AF441</f>
        <v>0</v>
      </c>
      <c r="AO441" s="90">
        <f>'codeis €'!AC441</f>
        <v>0</v>
      </c>
      <c r="AP441" s="91">
        <f>'codeis €'!AI441</f>
        <v>0</v>
      </c>
      <c r="AR441" s="12">
        <f t="shared" si="148"/>
        <v>67260956.159999996</v>
      </c>
      <c r="AS441" s="118">
        <f t="shared" si="149"/>
        <v>0.02</v>
      </c>
      <c r="AT441" s="118">
        <f t="shared" si="150"/>
        <v>2.0428995474183843E-2</v>
      </c>
      <c r="AU441" s="12">
        <f t="shared" si="151"/>
        <v>3816.871580505328</v>
      </c>
      <c r="AV441" s="12">
        <f t="shared" si="152"/>
        <v>547.24176717199384</v>
      </c>
      <c r="AW441" s="19"/>
    </row>
    <row r="442" spans="2:49" x14ac:dyDescent="0.25">
      <c r="B442" s="9" t="str">
        <f t="shared" si="135"/>
        <v>3 2026</v>
      </c>
      <c r="C442" s="88">
        <f t="shared" si="136"/>
        <v>46091</v>
      </c>
      <c r="D442" s="88">
        <f t="shared" si="157"/>
        <v>46092</v>
      </c>
      <c r="E442" s="89">
        <f t="shared" si="137"/>
        <v>1</v>
      </c>
      <c r="G442" s="11" t="s">
        <v>7</v>
      </c>
      <c r="H442" s="12">
        <f t="shared" si="153"/>
        <v>34250000</v>
      </c>
      <c r="I442" s="14">
        <f t="shared" si="153"/>
        <v>1.7500000000000002E-2</v>
      </c>
      <c r="J442" s="13">
        <f t="shared" si="138"/>
        <v>1664.9305555555557</v>
      </c>
      <c r="K442" s="13">
        <f t="shared" si="139"/>
        <v>25426.527777777774</v>
      </c>
      <c r="M442" s="11" t="s">
        <v>7</v>
      </c>
      <c r="N442" s="12">
        <f t="shared" si="158"/>
        <v>12000000</v>
      </c>
      <c r="O442" s="97">
        <f t="shared" si="158"/>
        <v>2.1698630136986304E-2</v>
      </c>
      <c r="P442" s="112">
        <f t="shared" si="140"/>
        <v>723.28767123287685</v>
      </c>
      <c r="Q442" s="13">
        <f t="shared" si="141"/>
        <v>50630.136986301433</v>
      </c>
      <c r="R442" s="13">
        <f t="shared" si="142"/>
        <v>139.95433789954348</v>
      </c>
      <c r="T442" s="11" t="str">
        <f t="shared" si="154"/>
        <v>SG</v>
      </c>
      <c r="U442" s="12">
        <f t="shared" si="154"/>
        <v>6010956.1600000001</v>
      </c>
      <c r="V442" s="97">
        <f t="shared" si="154"/>
        <v>2.1205479452054792E-2</v>
      </c>
      <c r="W442" s="13">
        <f t="shared" si="143"/>
        <v>354.0700203835616</v>
      </c>
      <c r="X442" s="13">
        <f t="shared" si="155"/>
        <v>24777.80243550687</v>
      </c>
      <c r="Y442" s="13">
        <f t="shared" si="144"/>
        <v>61.870762605783796</v>
      </c>
      <c r="AA442" s="11" t="s">
        <v>189</v>
      </c>
      <c r="AB442" s="98">
        <f t="shared" si="156"/>
        <v>15000000</v>
      </c>
      <c r="AC442" s="97">
        <f t="shared" si="156"/>
        <v>2.579E-2</v>
      </c>
      <c r="AD442" s="13">
        <f t="shared" si="145"/>
        <v>1074.5833333333333</v>
      </c>
      <c r="AE442" s="13">
        <f t="shared" si="146"/>
        <v>75220.833333333343</v>
      </c>
      <c r="AF442" s="13">
        <f t="shared" si="147"/>
        <v>345.41666666666663</v>
      </c>
      <c r="AH442" s="235">
        <f>'CT- € Ellipsis BNP'!X442</f>
        <v>0</v>
      </c>
      <c r="AI442" s="236">
        <f>'CT- € Ellipsis BNP'!AA442</f>
        <v>0</v>
      </c>
      <c r="AJ442" s="90">
        <f>'CT- € Ellipsis BNP'!W442</f>
        <v>0</v>
      </c>
      <c r="AK442" s="91">
        <f>'CT- € Ellipsis BNP'!AC442</f>
        <v>0</v>
      </c>
      <c r="AM442" s="235">
        <f>'codeis €'!Z442</f>
        <v>0</v>
      </c>
      <c r="AN442" s="236">
        <f>'codeis €'!AF442</f>
        <v>0</v>
      </c>
      <c r="AO442" s="90">
        <f>'codeis €'!AC442</f>
        <v>0</v>
      </c>
      <c r="AP442" s="91">
        <f>'codeis €'!AI442</f>
        <v>0</v>
      </c>
      <c r="AR442" s="12">
        <f t="shared" si="148"/>
        <v>67260956.159999996</v>
      </c>
      <c r="AS442" s="118">
        <f t="shared" si="149"/>
        <v>0.02</v>
      </c>
      <c r="AT442" s="118">
        <f t="shared" si="150"/>
        <v>2.0428995474183843E-2</v>
      </c>
      <c r="AU442" s="12">
        <f t="shared" si="151"/>
        <v>3816.871580505328</v>
      </c>
      <c r="AV442" s="12">
        <f t="shared" si="152"/>
        <v>547.24176717199384</v>
      </c>
      <c r="AW442" s="19"/>
    </row>
    <row r="443" spans="2:49" x14ac:dyDescent="0.25">
      <c r="B443" s="9" t="str">
        <f t="shared" si="135"/>
        <v>3 2026</v>
      </c>
      <c r="C443" s="88">
        <f t="shared" si="136"/>
        <v>46092</v>
      </c>
      <c r="D443" s="88">
        <f t="shared" si="157"/>
        <v>46093</v>
      </c>
      <c r="E443" s="89">
        <f t="shared" si="137"/>
        <v>1</v>
      </c>
      <c r="G443" s="11" t="s">
        <v>7</v>
      </c>
      <c r="H443" s="12">
        <f t="shared" si="153"/>
        <v>34250000</v>
      </c>
      <c r="I443" s="14">
        <f t="shared" si="153"/>
        <v>1.7500000000000002E-2</v>
      </c>
      <c r="J443" s="13">
        <f t="shared" si="138"/>
        <v>1664.9305555555557</v>
      </c>
      <c r="K443" s="13">
        <f t="shared" si="139"/>
        <v>27091.458333333328</v>
      </c>
      <c r="M443" s="11" t="s">
        <v>7</v>
      </c>
      <c r="N443" s="12">
        <f t="shared" si="158"/>
        <v>12000000</v>
      </c>
      <c r="O443" s="97">
        <f t="shared" si="158"/>
        <v>2.1698630136986304E-2</v>
      </c>
      <c r="P443" s="112">
        <f t="shared" si="140"/>
        <v>723.28767123287685</v>
      </c>
      <c r="Q443" s="13">
        <f t="shared" si="141"/>
        <v>51353.424657534313</v>
      </c>
      <c r="R443" s="13">
        <f t="shared" si="142"/>
        <v>139.95433789954348</v>
      </c>
      <c r="T443" s="11" t="str">
        <f t="shared" si="154"/>
        <v>SG</v>
      </c>
      <c r="U443" s="12">
        <f t="shared" si="154"/>
        <v>6010956.1600000001</v>
      </c>
      <c r="V443" s="97">
        <f t="shared" si="154"/>
        <v>2.1205479452054792E-2</v>
      </c>
      <c r="W443" s="13">
        <f t="shared" si="143"/>
        <v>354.0700203835616</v>
      </c>
      <c r="X443" s="13">
        <f t="shared" si="155"/>
        <v>25131.872455890432</v>
      </c>
      <c r="Y443" s="13">
        <f t="shared" si="144"/>
        <v>61.870762605783796</v>
      </c>
      <c r="AA443" s="11" t="s">
        <v>189</v>
      </c>
      <c r="AB443" s="98">
        <f t="shared" si="156"/>
        <v>15000000</v>
      </c>
      <c r="AC443" s="97">
        <f t="shared" si="156"/>
        <v>2.579E-2</v>
      </c>
      <c r="AD443" s="13">
        <f t="shared" si="145"/>
        <v>1074.5833333333333</v>
      </c>
      <c r="AE443" s="13">
        <f t="shared" si="146"/>
        <v>76295.416666666672</v>
      </c>
      <c r="AF443" s="13">
        <f t="shared" si="147"/>
        <v>345.41666666666663</v>
      </c>
      <c r="AH443" s="235">
        <f>'CT- € Ellipsis BNP'!X443</f>
        <v>0</v>
      </c>
      <c r="AI443" s="236">
        <f>'CT- € Ellipsis BNP'!AA443</f>
        <v>0</v>
      </c>
      <c r="AJ443" s="90">
        <f>'CT- € Ellipsis BNP'!W443</f>
        <v>0</v>
      </c>
      <c r="AK443" s="91">
        <f>'CT- € Ellipsis BNP'!AC443</f>
        <v>0</v>
      </c>
      <c r="AM443" s="235">
        <f>'codeis €'!Z443</f>
        <v>0</v>
      </c>
      <c r="AN443" s="236">
        <f>'codeis €'!AF443</f>
        <v>0</v>
      </c>
      <c r="AO443" s="90">
        <f>'codeis €'!AC443</f>
        <v>0</v>
      </c>
      <c r="AP443" s="91">
        <f>'codeis €'!AI443</f>
        <v>0</v>
      </c>
      <c r="AR443" s="12">
        <f t="shared" si="148"/>
        <v>67260956.159999996</v>
      </c>
      <c r="AS443" s="118">
        <f t="shared" si="149"/>
        <v>0.02</v>
      </c>
      <c r="AT443" s="118">
        <f t="shared" si="150"/>
        <v>2.0428995474183843E-2</v>
      </c>
      <c r="AU443" s="12">
        <f t="shared" si="151"/>
        <v>3816.871580505328</v>
      </c>
      <c r="AV443" s="12">
        <f t="shared" si="152"/>
        <v>547.24176717199384</v>
      </c>
      <c r="AW443" s="19"/>
    </row>
    <row r="444" spans="2:49" x14ac:dyDescent="0.25">
      <c r="B444" s="9" t="str">
        <f t="shared" si="135"/>
        <v>3 2026</v>
      </c>
      <c r="C444" s="88">
        <f t="shared" si="136"/>
        <v>46093</v>
      </c>
      <c r="D444" s="88">
        <f t="shared" si="157"/>
        <v>46094</v>
      </c>
      <c r="E444" s="89">
        <f t="shared" si="137"/>
        <v>1</v>
      </c>
      <c r="G444" s="11" t="s">
        <v>7</v>
      </c>
      <c r="H444" s="12">
        <f t="shared" si="153"/>
        <v>34250000</v>
      </c>
      <c r="I444" s="14">
        <f t="shared" si="153"/>
        <v>1.7500000000000002E-2</v>
      </c>
      <c r="J444" s="13">
        <f t="shared" si="138"/>
        <v>1664.9305555555557</v>
      </c>
      <c r="K444" s="13">
        <f t="shared" si="139"/>
        <v>28756.388888888883</v>
      </c>
      <c r="M444" s="11" t="s">
        <v>7</v>
      </c>
      <c r="N444" s="12">
        <f t="shared" si="158"/>
        <v>12000000</v>
      </c>
      <c r="O444" s="97">
        <f t="shared" si="158"/>
        <v>2.1698630136986304E-2</v>
      </c>
      <c r="P444" s="112">
        <f t="shared" si="140"/>
        <v>723.28767123287685</v>
      </c>
      <c r="Q444" s="13">
        <f t="shared" si="141"/>
        <v>52076.712328767193</v>
      </c>
      <c r="R444" s="13">
        <f t="shared" si="142"/>
        <v>139.95433789954348</v>
      </c>
      <c r="T444" s="11" t="str">
        <f t="shared" si="154"/>
        <v>SG</v>
      </c>
      <c r="U444" s="12">
        <f t="shared" si="154"/>
        <v>6010956.1600000001</v>
      </c>
      <c r="V444" s="97">
        <f t="shared" si="154"/>
        <v>2.1205479452054792E-2</v>
      </c>
      <c r="W444" s="13">
        <f t="shared" si="143"/>
        <v>354.0700203835616</v>
      </c>
      <c r="X444" s="13">
        <f t="shared" si="155"/>
        <v>25485.942476273995</v>
      </c>
      <c r="Y444" s="13">
        <f t="shared" si="144"/>
        <v>61.870762605783796</v>
      </c>
      <c r="AA444" s="11" t="s">
        <v>189</v>
      </c>
      <c r="AB444" s="98">
        <f t="shared" si="156"/>
        <v>15000000</v>
      </c>
      <c r="AC444" s="97">
        <f t="shared" si="156"/>
        <v>2.579E-2</v>
      </c>
      <c r="AD444" s="13">
        <f t="shared" si="145"/>
        <v>1074.5833333333333</v>
      </c>
      <c r="AE444" s="13">
        <f t="shared" si="146"/>
        <v>77370</v>
      </c>
      <c r="AF444" s="13">
        <f t="shared" si="147"/>
        <v>345.41666666666663</v>
      </c>
      <c r="AH444" s="235">
        <f>'CT- € Ellipsis BNP'!X444</f>
        <v>0</v>
      </c>
      <c r="AI444" s="236">
        <f>'CT- € Ellipsis BNP'!AA444</f>
        <v>0</v>
      </c>
      <c r="AJ444" s="90">
        <f>'CT- € Ellipsis BNP'!W444</f>
        <v>0</v>
      </c>
      <c r="AK444" s="91">
        <f>'CT- € Ellipsis BNP'!AC444</f>
        <v>0</v>
      </c>
      <c r="AM444" s="235">
        <f>'codeis €'!Z444</f>
        <v>0</v>
      </c>
      <c r="AN444" s="236">
        <f>'codeis €'!AF444</f>
        <v>0</v>
      </c>
      <c r="AO444" s="90">
        <f>'codeis €'!AC444</f>
        <v>0</v>
      </c>
      <c r="AP444" s="91">
        <f>'codeis €'!AI444</f>
        <v>0</v>
      </c>
      <c r="AR444" s="12">
        <f t="shared" si="148"/>
        <v>67260956.159999996</v>
      </c>
      <c r="AS444" s="118">
        <f t="shared" si="149"/>
        <v>0.02</v>
      </c>
      <c r="AT444" s="118">
        <f t="shared" si="150"/>
        <v>2.0428995474183843E-2</v>
      </c>
      <c r="AU444" s="12">
        <f t="shared" si="151"/>
        <v>3816.871580505328</v>
      </c>
      <c r="AV444" s="12">
        <f t="shared" si="152"/>
        <v>547.24176717199384</v>
      </c>
      <c r="AW444" s="19"/>
    </row>
    <row r="445" spans="2:49" x14ac:dyDescent="0.25">
      <c r="B445" s="9" t="str">
        <f t="shared" si="135"/>
        <v>3 2026</v>
      </c>
      <c r="C445" s="88">
        <f t="shared" si="136"/>
        <v>46094</v>
      </c>
      <c r="D445" s="88">
        <f t="shared" si="157"/>
        <v>46095</v>
      </c>
      <c r="E445" s="89">
        <f t="shared" si="137"/>
        <v>1</v>
      </c>
      <c r="G445" s="11" t="s">
        <v>7</v>
      </c>
      <c r="H445" s="12">
        <f t="shared" si="153"/>
        <v>34250000</v>
      </c>
      <c r="I445" s="14">
        <f t="shared" si="153"/>
        <v>1.7500000000000002E-2</v>
      </c>
      <c r="J445" s="13">
        <f t="shared" si="138"/>
        <v>1664.9305555555557</v>
      </c>
      <c r="K445" s="13">
        <f t="shared" si="139"/>
        <v>30421.319444444438</v>
      </c>
      <c r="M445" s="11" t="s">
        <v>7</v>
      </c>
      <c r="N445" s="12">
        <f t="shared" si="158"/>
        <v>12000000</v>
      </c>
      <c r="O445" s="97">
        <f t="shared" si="158"/>
        <v>2.1698630136986304E-2</v>
      </c>
      <c r="P445" s="112">
        <f t="shared" si="140"/>
        <v>723.28767123287685</v>
      </c>
      <c r="Q445" s="13">
        <f t="shared" si="141"/>
        <v>52800.000000000073</v>
      </c>
      <c r="R445" s="13">
        <f t="shared" si="142"/>
        <v>139.95433789954348</v>
      </c>
      <c r="T445" s="11" t="str">
        <f t="shared" si="154"/>
        <v>SG</v>
      </c>
      <c r="U445" s="12">
        <f t="shared" si="154"/>
        <v>6010956.1600000001</v>
      </c>
      <c r="V445" s="97">
        <f t="shared" si="154"/>
        <v>2.1205479452054792E-2</v>
      </c>
      <c r="W445" s="13">
        <f t="shared" si="143"/>
        <v>354.0700203835616</v>
      </c>
      <c r="X445" s="13">
        <f t="shared" si="155"/>
        <v>25840.012496657557</v>
      </c>
      <c r="Y445" s="13">
        <f t="shared" si="144"/>
        <v>61.870762605783796</v>
      </c>
      <c r="AA445" s="11" t="s">
        <v>189</v>
      </c>
      <c r="AB445" s="98">
        <f t="shared" si="156"/>
        <v>15000000</v>
      </c>
      <c r="AC445" s="97">
        <f t="shared" si="156"/>
        <v>2.579E-2</v>
      </c>
      <c r="AD445" s="13">
        <f t="shared" si="145"/>
        <v>1074.5833333333333</v>
      </c>
      <c r="AE445" s="13">
        <f t="shared" si="146"/>
        <v>78444.583333333328</v>
      </c>
      <c r="AF445" s="13">
        <f t="shared" si="147"/>
        <v>345.41666666666663</v>
      </c>
      <c r="AH445" s="235">
        <f>'CT- € Ellipsis BNP'!X445</f>
        <v>0</v>
      </c>
      <c r="AI445" s="236">
        <f>'CT- € Ellipsis BNP'!AA445</f>
        <v>0</v>
      </c>
      <c r="AJ445" s="90">
        <f>'CT- € Ellipsis BNP'!W445</f>
        <v>0</v>
      </c>
      <c r="AK445" s="91">
        <f>'CT- € Ellipsis BNP'!AC445</f>
        <v>0</v>
      </c>
      <c r="AM445" s="235">
        <f>'codeis €'!Z445</f>
        <v>0</v>
      </c>
      <c r="AN445" s="236">
        <f>'codeis €'!AF445</f>
        <v>0</v>
      </c>
      <c r="AO445" s="90">
        <f>'codeis €'!AC445</f>
        <v>0</v>
      </c>
      <c r="AP445" s="91">
        <f>'codeis €'!AI445</f>
        <v>0</v>
      </c>
      <c r="AR445" s="12">
        <f t="shared" si="148"/>
        <v>67260956.159999996</v>
      </c>
      <c r="AS445" s="118">
        <f t="shared" si="149"/>
        <v>0.02</v>
      </c>
      <c r="AT445" s="118">
        <f t="shared" si="150"/>
        <v>2.0428995474183843E-2</v>
      </c>
      <c r="AU445" s="12">
        <f t="shared" si="151"/>
        <v>3816.871580505328</v>
      </c>
      <c r="AV445" s="12">
        <f t="shared" si="152"/>
        <v>547.24176717199384</v>
      </c>
      <c r="AW445" s="19"/>
    </row>
    <row r="446" spans="2:49" x14ac:dyDescent="0.25">
      <c r="B446" s="9" t="str">
        <f t="shared" si="135"/>
        <v>3 2026</v>
      </c>
      <c r="C446" s="88">
        <f t="shared" si="136"/>
        <v>46095</v>
      </c>
      <c r="D446" s="88">
        <f t="shared" si="157"/>
        <v>46096</v>
      </c>
      <c r="E446" s="89">
        <f t="shared" si="137"/>
        <v>1</v>
      </c>
      <c r="G446" s="11" t="s">
        <v>7</v>
      </c>
      <c r="H446" s="12">
        <f t="shared" si="153"/>
        <v>34250000</v>
      </c>
      <c r="I446" s="14">
        <f t="shared" si="153"/>
        <v>1.7500000000000002E-2</v>
      </c>
      <c r="J446" s="13">
        <f t="shared" si="138"/>
        <v>1664.9305555555557</v>
      </c>
      <c r="K446" s="13">
        <f t="shared" si="139"/>
        <v>32086.249999999993</v>
      </c>
      <c r="M446" s="11" t="s">
        <v>7</v>
      </c>
      <c r="N446" s="12">
        <f t="shared" si="158"/>
        <v>12000000</v>
      </c>
      <c r="O446" s="97">
        <f t="shared" si="158"/>
        <v>2.1698630136986304E-2</v>
      </c>
      <c r="P446" s="112">
        <f t="shared" si="140"/>
        <v>723.28767123287685</v>
      </c>
      <c r="Q446" s="13">
        <f t="shared" si="141"/>
        <v>53523.287671232953</v>
      </c>
      <c r="R446" s="13">
        <f t="shared" si="142"/>
        <v>139.95433789954348</v>
      </c>
      <c r="T446" s="11" t="str">
        <f t="shared" si="154"/>
        <v>SG</v>
      </c>
      <c r="U446" s="12">
        <f t="shared" si="154"/>
        <v>6010956.1600000001</v>
      </c>
      <c r="V446" s="97">
        <f t="shared" si="154"/>
        <v>2.1205479452054792E-2</v>
      </c>
      <c r="W446" s="13">
        <f t="shared" si="143"/>
        <v>354.0700203835616</v>
      </c>
      <c r="X446" s="13">
        <f t="shared" si="155"/>
        <v>26194.082517041119</v>
      </c>
      <c r="Y446" s="13">
        <f t="shared" si="144"/>
        <v>61.870762605783796</v>
      </c>
      <c r="AA446" s="11" t="s">
        <v>189</v>
      </c>
      <c r="AB446" s="98">
        <f t="shared" si="156"/>
        <v>15000000</v>
      </c>
      <c r="AC446" s="97">
        <f t="shared" si="156"/>
        <v>2.579E-2</v>
      </c>
      <c r="AD446" s="13">
        <f t="shared" si="145"/>
        <v>1074.5833333333333</v>
      </c>
      <c r="AE446" s="13">
        <f t="shared" si="146"/>
        <v>79519.166666666657</v>
      </c>
      <c r="AF446" s="13">
        <f t="shared" si="147"/>
        <v>345.41666666666663</v>
      </c>
      <c r="AH446" s="235">
        <f>'CT- € Ellipsis BNP'!X446</f>
        <v>0</v>
      </c>
      <c r="AI446" s="236">
        <f>'CT- € Ellipsis BNP'!AA446</f>
        <v>0</v>
      </c>
      <c r="AJ446" s="90">
        <f>'CT- € Ellipsis BNP'!W446</f>
        <v>0</v>
      </c>
      <c r="AK446" s="91">
        <f>'CT- € Ellipsis BNP'!AC446</f>
        <v>0</v>
      </c>
      <c r="AM446" s="235">
        <f>'codeis €'!Z446</f>
        <v>0</v>
      </c>
      <c r="AN446" s="236">
        <f>'codeis €'!AF446</f>
        <v>0</v>
      </c>
      <c r="AO446" s="90">
        <f>'codeis €'!AC446</f>
        <v>0</v>
      </c>
      <c r="AP446" s="91">
        <f>'codeis €'!AI446</f>
        <v>0</v>
      </c>
      <c r="AR446" s="12">
        <f t="shared" si="148"/>
        <v>67260956.159999996</v>
      </c>
      <c r="AS446" s="118">
        <f t="shared" si="149"/>
        <v>0.02</v>
      </c>
      <c r="AT446" s="118">
        <f t="shared" si="150"/>
        <v>2.0428995474183843E-2</v>
      </c>
      <c r="AU446" s="12">
        <f t="shared" si="151"/>
        <v>3816.871580505328</v>
      </c>
      <c r="AV446" s="12">
        <f t="shared" si="152"/>
        <v>547.24176717199384</v>
      </c>
      <c r="AW446" s="19"/>
    </row>
    <row r="447" spans="2:49" x14ac:dyDescent="0.25">
      <c r="B447" s="9" t="str">
        <f t="shared" si="135"/>
        <v>3 2026</v>
      </c>
      <c r="C447" s="88">
        <f t="shared" si="136"/>
        <v>46096</v>
      </c>
      <c r="D447" s="88">
        <f t="shared" si="157"/>
        <v>46097</v>
      </c>
      <c r="E447" s="89">
        <f t="shared" si="137"/>
        <v>1</v>
      </c>
      <c r="G447" s="11" t="s">
        <v>7</v>
      </c>
      <c r="H447" s="12">
        <f t="shared" si="153"/>
        <v>34250000</v>
      </c>
      <c r="I447" s="14">
        <f t="shared" si="153"/>
        <v>1.7500000000000002E-2</v>
      </c>
      <c r="J447" s="13">
        <f t="shared" si="138"/>
        <v>1664.9305555555557</v>
      </c>
      <c r="K447" s="13">
        <f t="shared" si="139"/>
        <v>33751.180555555547</v>
      </c>
      <c r="M447" s="11" t="s">
        <v>7</v>
      </c>
      <c r="N447" s="12">
        <f t="shared" si="158"/>
        <v>12000000</v>
      </c>
      <c r="O447" s="97">
        <f t="shared" si="158"/>
        <v>2.1698630136986304E-2</v>
      </c>
      <c r="P447" s="112">
        <f t="shared" si="140"/>
        <v>723.28767123287685</v>
      </c>
      <c r="Q447" s="13">
        <f t="shared" si="141"/>
        <v>54246.575342465832</v>
      </c>
      <c r="R447" s="13">
        <f t="shared" si="142"/>
        <v>139.95433789954348</v>
      </c>
      <c r="T447" s="11" t="str">
        <f t="shared" si="154"/>
        <v>SG</v>
      </c>
      <c r="U447" s="12">
        <f t="shared" si="154"/>
        <v>6010956.1600000001</v>
      </c>
      <c r="V447" s="97">
        <f t="shared" si="154"/>
        <v>2.1205479452054792E-2</v>
      </c>
      <c r="W447" s="13">
        <f t="shared" si="143"/>
        <v>354.0700203835616</v>
      </c>
      <c r="X447" s="13">
        <f t="shared" si="155"/>
        <v>26548.152537424681</v>
      </c>
      <c r="Y447" s="13">
        <f t="shared" si="144"/>
        <v>61.870762605783796</v>
      </c>
      <c r="AA447" s="11" t="s">
        <v>189</v>
      </c>
      <c r="AB447" s="98">
        <f t="shared" si="156"/>
        <v>15000000</v>
      </c>
      <c r="AC447" s="97">
        <f t="shared" si="156"/>
        <v>2.579E-2</v>
      </c>
      <c r="AD447" s="13">
        <f t="shared" si="145"/>
        <v>1074.5833333333333</v>
      </c>
      <c r="AE447" s="13">
        <f t="shared" si="146"/>
        <v>80593.749999999985</v>
      </c>
      <c r="AF447" s="13">
        <f t="shared" si="147"/>
        <v>345.41666666666663</v>
      </c>
      <c r="AH447" s="235">
        <f>'CT- € Ellipsis BNP'!X447</f>
        <v>0</v>
      </c>
      <c r="AI447" s="236">
        <f>'CT- € Ellipsis BNP'!AA447</f>
        <v>0</v>
      </c>
      <c r="AJ447" s="90">
        <f>'CT- € Ellipsis BNP'!W447</f>
        <v>0</v>
      </c>
      <c r="AK447" s="91">
        <f>'CT- € Ellipsis BNP'!AC447</f>
        <v>0</v>
      </c>
      <c r="AM447" s="235">
        <f>'codeis €'!Z447</f>
        <v>0</v>
      </c>
      <c r="AN447" s="236">
        <f>'codeis €'!AF447</f>
        <v>0</v>
      </c>
      <c r="AO447" s="90">
        <f>'codeis €'!AC447</f>
        <v>0</v>
      </c>
      <c r="AP447" s="91">
        <f>'codeis €'!AI447</f>
        <v>0</v>
      </c>
      <c r="AR447" s="12">
        <f t="shared" si="148"/>
        <v>67260956.159999996</v>
      </c>
      <c r="AS447" s="118">
        <f t="shared" si="149"/>
        <v>0.02</v>
      </c>
      <c r="AT447" s="118">
        <f t="shared" si="150"/>
        <v>2.0428995474183843E-2</v>
      </c>
      <c r="AU447" s="12">
        <f t="shared" si="151"/>
        <v>3816.871580505328</v>
      </c>
      <c r="AV447" s="12">
        <f t="shared" si="152"/>
        <v>547.24176717199384</v>
      </c>
      <c r="AW447" s="19"/>
    </row>
    <row r="448" spans="2:49" x14ac:dyDescent="0.25">
      <c r="B448" s="9" t="str">
        <f t="shared" si="135"/>
        <v>3 2026</v>
      </c>
      <c r="C448" s="88">
        <f t="shared" si="136"/>
        <v>46097</v>
      </c>
      <c r="D448" s="88">
        <f t="shared" si="157"/>
        <v>46098</v>
      </c>
      <c r="E448" s="89">
        <f t="shared" si="137"/>
        <v>1</v>
      </c>
      <c r="G448" s="11" t="s">
        <v>7</v>
      </c>
      <c r="H448" s="12">
        <f t="shared" si="153"/>
        <v>34250000</v>
      </c>
      <c r="I448" s="14">
        <f t="shared" si="153"/>
        <v>1.7500000000000002E-2</v>
      </c>
      <c r="J448" s="13">
        <f t="shared" si="138"/>
        <v>1664.9305555555557</v>
      </c>
      <c r="K448" s="13">
        <f t="shared" si="139"/>
        <v>35416.111111111102</v>
      </c>
      <c r="M448" s="11" t="s">
        <v>7</v>
      </c>
      <c r="N448" s="12">
        <f t="shared" si="158"/>
        <v>12000000</v>
      </c>
      <c r="O448" s="97">
        <f t="shared" si="158"/>
        <v>2.1698630136986304E-2</v>
      </c>
      <c r="P448" s="112">
        <f t="shared" si="140"/>
        <v>723.28767123287685</v>
      </c>
      <c r="Q448" s="13">
        <f t="shared" si="141"/>
        <v>54969.863013698712</v>
      </c>
      <c r="R448" s="13">
        <f t="shared" si="142"/>
        <v>139.95433789954348</v>
      </c>
      <c r="T448" s="11" t="str">
        <f t="shared" si="154"/>
        <v>SG</v>
      </c>
      <c r="U448" s="12">
        <f t="shared" si="154"/>
        <v>6010956.1600000001</v>
      </c>
      <c r="V448" s="97">
        <f t="shared" si="154"/>
        <v>2.1205479452054792E-2</v>
      </c>
      <c r="W448" s="13">
        <f t="shared" si="143"/>
        <v>354.0700203835616</v>
      </c>
      <c r="X448" s="13">
        <f t="shared" si="155"/>
        <v>26902.222557808243</v>
      </c>
      <c r="Y448" s="13">
        <f t="shared" si="144"/>
        <v>61.870762605783796</v>
      </c>
      <c r="AA448" s="11" t="s">
        <v>189</v>
      </c>
      <c r="AB448" s="98">
        <f t="shared" si="156"/>
        <v>15000000</v>
      </c>
      <c r="AC448" s="97">
        <f t="shared" si="156"/>
        <v>2.579E-2</v>
      </c>
      <c r="AD448" s="13">
        <f t="shared" si="145"/>
        <v>1074.5833333333333</v>
      </c>
      <c r="AE448" s="13">
        <f t="shared" si="146"/>
        <v>81668.333333333314</v>
      </c>
      <c r="AF448" s="13">
        <f t="shared" si="147"/>
        <v>345.41666666666663</v>
      </c>
      <c r="AH448" s="235">
        <f>'CT- € Ellipsis BNP'!X448</f>
        <v>0</v>
      </c>
      <c r="AI448" s="236">
        <f>'CT- € Ellipsis BNP'!AA448</f>
        <v>0</v>
      </c>
      <c r="AJ448" s="90">
        <f>'CT- € Ellipsis BNP'!W448</f>
        <v>0</v>
      </c>
      <c r="AK448" s="91">
        <f>'CT- € Ellipsis BNP'!AC448</f>
        <v>0</v>
      </c>
      <c r="AM448" s="235">
        <f>'codeis €'!Z448</f>
        <v>0</v>
      </c>
      <c r="AN448" s="236">
        <f>'codeis €'!AF448</f>
        <v>0</v>
      </c>
      <c r="AO448" s="90">
        <f>'codeis €'!AC448</f>
        <v>0</v>
      </c>
      <c r="AP448" s="91">
        <f>'codeis €'!AI448</f>
        <v>0</v>
      </c>
      <c r="AR448" s="12">
        <f t="shared" si="148"/>
        <v>67260956.159999996</v>
      </c>
      <c r="AS448" s="118">
        <f t="shared" si="149"/>
        <v>0.02</v>
      </c>
      <c r="AT448" s="118">
        <f t="shared" si="150"/>
        <v>2.0428995474183843E-2</v>
      </c>
      <c r="AU448" s="12">
        <f t="shared" si="151"/>
        <v>3816.871580505328</v>
      </c>
      <c r="AV448" s="12">
        <f t="shared" si="152"/>
        <v>547.24176717199384</v>
      </c>
      <c r="AW448" s="19"/>
    </row>
    <row r="449" spans="2:49" x14ac:dyDescent="0.25">
      <c r="B449" s="9" t="str">
        <f t="shared" si="135"/>
        <v>3 2026</v>
      </c>
      <c r="C449" s="88">
        <f t="shared" si="136"/>
        <v>46098</v>
      </c>
      <c r="D449" s="88">
        <f t="shared" si="157"/>
        <v>46099</v>
      </c>
      <c r="E449" s="89">
        <f t="shared" si="137"/>
        <v>1</v>
      </c>
      <c r="G449" s="11" t="s">
        <v>7</v>
      </c>
      <c r="H449" s="12">
        <f t="shared" si="153"/>
        <v>34250000</v>
      </c>
      <c r="I449" s="14">
        <f t="shared" si="153"/>
        <v>1.7500000000000002E-2</v>
      </c>
      <c r="J449" s="13">
        <f t="shared" si="138"/>
        <v>1664.9305555555557</v>
      </c>
      <c r="K449" s="13">
        <f t="shared" si="139"/>
        <v>37081.041666666657</v>
      </c>
      <c r="M449" s="11" t="s">
        <v>7</v>
      </c>
      <c r="N449" s="12">
        <f t="shared" si="158"/>
        <v>12000000</v>
      </c>
      <c r="O449" s="97">
        <f t="shared" si="158"/>
        <v>2.1698630136986304E-2</v>
      </c>
      <c r="P449" s="112">
        <f t="shared" si="140"/>
        <v>723.28767123287685</v>
      </c>
      <c r="Q449" s="13">
        <f t="shared" si="141"/>
        <v>55693.150684931592</v>
      </c>
      <c r="R449" s="13">
        <f t="shared" si="142"/>
        <v>139.95433789954348</v>
      </c>
      <c r="T449" s="11" t="str">
        <f t="shared" si="154"/>
        <v>SG</v>
      </c>
      <c r="U449" s="12">
        <f t="shared" si="154"/>
        <v>6010956.1600000001</v>
      </c>
      <c r="V449" s="97">
        <f t="shared" si="154"/>
        <v>2.1205479452054792E-2</v>
      </c>
      <c r="W449" s="13">
        <f t="shared" si="143"/>
        <v>354.0700203835616</v>
      </c>
      <c r="X449" s="13">
        <f t="shared" si="155"/>
        <v>27256.292578191806</v>
      </c>
      <c r="Y449" s="13">
        <f t="shared" si="144"/>
        <v>61.870762605783796</v>
      </c>
      <c r="AA449" s="11" t="s">
        <v>189</v>
      </c>
      <c r="AB449" s="98">
        <f t="shared" si="156"/>
        <v>15000000</v>
      </c>
      <c r="AC449" s="97">
        <f t="shared" si="156"/>
        <v>2.579E-2</v>
      </c>
      <c r="AD449" s="13">
        <f t="shared" si="145"/>
        <v>1074.5833333333333</v>
      </c>
      <c r="AE449" s="13">
        <f t="shared" si="146"/>
        <v>82742.916666666642</v>
      </c>
      <c r="AF449" s="13">
        <f t="shared" si="147"/>
        <v>345.41666666666663</v>
      </c>
      <c r="AH449" s="235">
        <f>'CT- € Ellipsis BNP'!X449</f>
        <v>0</v>
      </c>
      <c r="AI449" s="236">
        <f>'CT- € Ellipsis BNP'!AA449</f>
        <v>0</v>
      </c>
      <c r="AJ449" s="90">
        <f>'CT- € Ellipsis BNP'!W449</f>
        <v>0</v>
      </c>
      <c r="AK449" s="91">
        <f>'CT- € Ellipsis BNP'!AC449</f>
        <v>0</v>
      </c>
      <c r="AM449" s="235">
        <f>'codeis €'!Z449</f>
        <v>0</v>
      </c>
      <c r="AN449" s="236">
        <f>'codeis €'!AF449</f>
        <v>0</v>
      </c>
      <c r="AO449" s="90">
        <f>'codeis €'!AC449</f>
        <v>0</v>
      </c>
      <c r="AP449" s="91">
        <f>'codeis €'!AI449</f>
        <v>0</v>
      </c>
      <c r="AR449" s="12">
        <f t="shared" si="148"/>
        <v>67260956.159999996</v>
      </c>
      <c r="AS449" s="118">
        <f t="shared" si="149"/>
        <v>0.02</v>
      </c>
      <c r="AT449" s="118">
        <f t="shared" si="150"/>
        <v>2.0428995474183843E-2</v>
      </c>
      <c r="AU449" s="12">
        <f t="shared" si="151"/>
        <v>3816.871580505328</v>
      </c>
      <c r="AV449" s="12">
        <f t="shared" si="152"/>
        <v>547.24176717199384</v>
      </c>
      <c r="AW449" s="19"/>
    </row>
    <row r="450" spans="2:49" x14ac:dyDescent="0.25">
      <c r="B450" s="9" t="str">
        <f t="shared" si="135"/>
        <v>3 2026</v>
      </c>
      <c r="C450" s="88">
        <f t="shared" si="136"/>
        <v>46099</v>
      </c>
      <c r="D450" s="88">
        <f t="shared" si="157"/>
        <v>46100</v>
      </c>
      <c r="E450" s="89">
        <f t="shared" si="137"/>
        <v>1</v>
      </c>
      <c r="G450" s="11" t="s">
        <v>7</v>
      </c>
      <c r="H450" s="12">
        <f t="shared" si="153"/>
        <v>34250000</v>
      </c>
      <c r="I450" s="14">
        <f t="shared" si="153"/>
        <v>1.7500000000000002E-2</v>
      </c>
      <c r="J450" s="13">
        <f t="shared" si="138"/>
        <v>1664.9305555555557</v>
      </c>
      <c r="K450" s="13">
        <f t="shared" si="139"/>
        <v>38745.972222222212</v>
      </c>
      <c r="M450" s="11" t="s">
        <v>7</v>
      </c>
      <c r="N450" s="12">
        <f t="shared" si="158"/>
        <v>12000000</v>
      </c>
      <c r="O450" s="97">
        <f t="shared" si="158"/>
        <v>2.1698630136986304E-2</v>
      </c>
      <c r="P450" s="112">
        <f t="shared" si="140"/>
        <v>723.28767123287685</v>
      </c>
      <c r="Q450" s="13">
        <f t="shared" si="141"/>
        <v>56416.438356164472</v>
      </c>
      <c r="R450" s="13">
        <f t="shared" si="142"/>
        <v>139.95433789954348</v>
      </c>
      <c r="T450" s="11" t="str">
        <f t="shared" si="154"/>
        <v>SG</v>
      </c>
      <c r="U450" s="12">
        <f t="shared" si="154"/>
        <v>6010956.1600000001</v>
      </c>
      <c r="V450" s="97">
        <f t="shared" si="154"/>
        <v>2.1205479452054792E-2</v>
      </c>
      <c r="W450" s="13">
        <f t="shared" si="143"/>
        <v>354.0700203835616</v>
      </c>
      <c r="X450" s="13">
        <f t="shared" si="155"/>
        <v>27610.362598575368</v>
      </c>
      <c r="Y450" s="13">
        <f t="shared" si="144"/>
        <v>61.870762605783796</v>
      </c>
      <c r="AA450" s="11" t="s">
        <v>189</v>
      </c>
      <c r="AB450" s="98">
        <f t="shared" si="156"/>
        <v>15000000</v>
      </c>
      <c r="AC450" s="97">
        <f t="shared" si="156"/>
        <v>2.579E-2</v>
      </c>
      <c r="AD450" s="13">
        <f t="shared" si="145"/>
        <v>1074.5833333333333</v>
      </c>
      <c r="AE450" s="13">
        <f t="shared" si="146"/>
        <v>83817.499999999971</v>
      </c>
      <c r="AF450" s="13">
        <f t="shared" si="147"/>
        <v>345.41666666666663</v>
      </c>
      <c r="AH450" s="235">
        <f>'CT- € Ellipsis BNP'!X450</f>
        <v>0</v>
      </c>
      <c r="AI450" s="236">
        <f>'CT- € Ellipsis BNP'!AA450</f>
        <v>0</v>
      </c>
      <c r="AJ450" s="90">
        <f>'CT- € Ellipsis BNP'!W450</f>
        <v>0</v>
      </c>
      <c r="AK450" s="91">
        <f>'CT- € Ellipsis BNP'!AC450</f>
        <v>0</v>
      </c>
      <c r="AM450" s="235">
        <f>'codeis €'!Z450</f>
        <v>0</v>
      </c>
      <c r="AN450" s="236">
        <f>'codeis €'!AF450</f>
        <v>0</v>
      </c>
      <c r="AO450" s="90">
        <f>'codeis €'!AC450</f>
        <v>0</v>
      </c>
      <c r="AP450" s="91">
        <f>'codeis €'!AI450</f>
        <v>0</v>
      </c>
      <c r="AR450" s="12">
        <f t="shared" si="148"/>
        <v>67260956.159999996</v>
      </c>
      <c r="AS450" s="118">
        <f t="shared" si="149"/>
        <v>0.02</v>
      </c>
      <c r="AT450" s="118">
        <f t="shared" si="150"/>
        <v>2.0428995474183843E-2</v>
      </c>
      <c r="AU450" s="12">
        <f t="shared" si="151"/>
        <v>3816.871580505328</v>
      </c>
      <c r="AV450" s="12">
        <f t="shared" si="152"/>
        <v>547.24176717199384</v>
      </c>
      <c r="AW450" s="19"/>
    </row>
    <row r="451" spans="2:49" x14ac:dyDescent="0.25">
      <c r="B451" s="9" t="str">
        <f t="shared" si="135"/>
        <v>3 2026</v>
      </c>
      <c r="C451" s="88">
        <f t="shared" si="136"/>
        <v>46100</v>
      </c>
      <c r="D451" s="88">
        <f t="shared" si="157"/>
        <v>46101</v>
      </c>
      <c r="E451" s="89">
        <f t="shared" si="137"/>
        <v>1</v>
      </c>
      <c r="G451" s="11" t="s">
        <v>7</v>
      </c>
      <c r="H451" s="12">
        <f t="shared" si="153"/>
        <v>34250000</v>
      </c>
      <c r="I451" s="14">
        <f t="shared" si="153"/>
        <v>1.7500000000000002E-2</v>
      </c>
      <c r="J451" s="13">
        <f t="shared" si="138"/>
        <v>1664.9305555555557</v>
      </c>
      <c r="K451" s="13">
        <f t="shared" si="139"/>
        <v>40410.902777777766</v>
      </c>
      <c r="M451" s="11" t="s">
        <v>7</v>
      </c>
      <c r="N451" s="12">
        <f t="shared" si="158"/>
        <v>12000000</v>
      </c>
      <c r="O451" s="97">
        <f t="shared" si="158"/>
        <v>2.1698630136986304E-2</v>
      </c>
      <c r="P451" s="112">
        <f t="shared" si="140"/>
        <v>723.28767123287685</v>
      </c>
      <c r="Q451" s="13">
        <f t="shared" si="141"/>
        <v>57139.726027397352</v>
      </c>
      <c r="R451" s="13">
        <f t="shared" si="142"/>
        <v>139.95433789954348</v>
      </c>
      <c r="T451" s="11" t="str">
        <f t="shared" si="154"/>
        <v>SG</v>
      </c>
      <c r="U451" s="12">
        <f t="shared" si="154"/>
        <v>6010956.1600000001</v>
      </c>
      <c r="V451" s="97">
        <f t="shared" si="154"/>
        <v>2.1205479452054792E-2</v>
      </c>
      <c r="W451" s="13">
        <f t="shared" si="143"/>
        <v>354.0700203835616</v>
      </c>
      <c r="X451" s="13">
        <f t="shared" si="155"/>
        <v>27964.43261895893</v>
      </c>
      <c r="Y451" s="13">
        <f t="shared" si="144"/>
        <v>61.870762605783796</v>
      </c>
      <c r="AA451" s="11" t="s">
        <v>189</v>
      </c>
      <c r="AB451" s="98">
        <f t="shared" si="156"/>
        <v>15000000</v>
      </c>
      <c r="AC451" s="97">
        <f t="shared" si="156"/>
        <v>2.579E-2</v>
      </c>
      <c r="AD451" s="13">
        <f t="shared" si="145"/>
        <v>1074.5833333333333</v>
      </c>
      <c r="AE451" s="13">
        <f t="shared" si="146"/>
        <v>84892.083333333299</v>
      </c>
      <c r="AF451" s="13">
        <f t="shared" si="147"/>
        <v>345.41666666666663</v>
      </c>
      <c r="AH451" s="235">
        <f>'CT- € Ellipsis BNP'!X451</f>
        <v>0</v>
      </c>
      <c r="AI451" s="236">
        <f>'CT- € Ellipsis BNP'!AA451</f>
        <v>0</v>
      </c>
      <c r="AJ451" s="90">
        <f>'CT- € Ellipsis BNP'!W451</f>
        <v>0</v>
      </c>
      <c r="AK451" s="91">
        <f>'CT- € Ellipsis BNP'!AC451</f>
        <v>0</v>
      </c>
      <c r="AM451" s="235">
        <f>'codeis €'!Z451</f>
        <v>0</v>
      </c>
      <c r="AN451" s="236">
        <f>'codeis €'!AF451</f>
        <v>0</v>
      </c>
      <c r="AO451" s="90">
        <f>'codeis €'!AC451</f>
        <v>0</v>
      </c>
      <c r="AP451" s="91">
        <f>'codeis €'!AI451</f>
        <v>0</v>
      </c>
      <c r="AR451" s="12">
        <f t="shared" si="148"/>
        <v>67260956.159999996</v>
      </c>
      <c r="AS451" s="118">
        <f t="shared" si="149"/>
        <v>0.02</v>
      </c>
      <c r="AT451" s="118">
        <f t="shared" si="150"/>
        <v>2.0428995474183843E-2</v>
      </c>
      <c r="AU451" s="12">
        <f t="shared" si="151"/>
        <v>3816.871580505328</v>
      </c>
      <c r="AV451" s="12">
        <f t="shared" si="152"/>
        <v>547.24176717199384</v>
      </c>
      <c r="AW451" s="19"/>
    </row>
    <row r="452" spans="2:49" x14ac:dyDescent="0.25">
      <c r="B452" s="9" t="str">
        <f t="shared" si="135"/>
        <v>3 2026</v>
      </c>
      <c r="C452" s="88">
        <f t="shared" si="136"/>
        <v>46101</v>
      </c>
      <c r="D452" s="88">
        <f t="shared" si="157"/>
        <v>46102</v>
      </c>
      <c r="E452" s="89">
        <f t="shared" si="137"/>
        <v>1</v>
      </c>
      <c r="G452" s="11" t="s">
        <v>7</v>
      </c>
      <c r="H452" s="12">
        <f t="shared" si="153"/>
        <v>34250000</v>
      </c>
      <c r="I452" s="14">
        <f t="shared" si="153"/>
        <v>1.7500000000000002E-2</v>
      </c>
      <c r="J452" s="13">
        <f t="shared" si="138"/>
        <v>1664.9305555555557</v>
      </c>
      <c r="K452" s="13">
        <f t="shared" si="139"/>
        <v>42075.833333333321</v>
      </c>
      <c r="M452" s="11" t="s">
        <v>7</v>
      </c>
      <c r="N452" s="12">
        <f t="shared" si="158"/>
        <v>12000000</v>
      </c>
      <c r="O452" s="97">
        <f t="shared" si="158"/>
        <v>2.1698630136986304E-2</v>
      </c>
      <c r="P452" s="112">
        <f t="shared" si="140"/>
        <v>723.28767123287685</v>
      </c>
      <c r="Q452" s="13">
        <f t="shared" si="141"/>
        <v>57863.013698630231</v>
      </c>
      <c r="R452" s="13">
        <f t="shared" si="142"/>
        <v>139.95433789954348</v>
      </c>
      <c r="T452" s="11" t="str">
        <f t="shared" si="154"/>
        <v>SG</v>
      </c>
      <c r="U452" s="12">
        <f t="shared" si="154"/>
        <v>6010956.1600000001</v>
      </c>
      <c r="V452" s="97">
        <f t="shared" si="154"/>
        <v>2.1205479452054792E-2</v>
      </c>
      <c r="W452" s="13">
        <f t="shared" si="143"/>
        <v>354.0700203835616</v>
      </c>
      <c r="X452" s="13">
        <f t="shared" si="155"/>
        <v>28318.502639342492</v>
      </c>
      <c r="Y452" s="13">
        <f t="shared" si="144"/>
        <v>61.870762605783796</v>
      </c>
      <c r="AA452" s="11" t="s">
        <v>189</v>
      </c>
      <c r="AB452" s="98">
        <f t="shared" si="156"/>
        <v>15000000</v>
      </c>
      <c r="AC452" s="97">
        <f t="shared" si="156"/>
        <v>2.579E-2</v>
      </c>
      <c r="AD452" s="13">
        <f t="shared" si="145"/>
        <v>1074.5833333333333</v>
      </c>
      <c r="AE452" s="13">
        <f t="shared" si="146"/>
        <v>85966.666666666628</v>
      </c>
      <c r="AF452" s="13">
        <f t="shared" si="147"/>
        <v>345.41666666666663</v>
      </c>
      <c r="AH452" s="235">
        <f>'CT- € Ellipsis BNP'!X452</f>
        <v>0</v>
      </c>
      <c r="AI452" s="236">
        <f>'CT- € Ellipsis BNP'!AA452</f>
        <v>0</v>
      </c>
      <c r="AJ452" s="90">
        <f>'CT- € Ellipsis BNP'!W452</f>
        <v>0</v>
      </c>
      <c r="AK452" s="91">
        <f>'CT- € Ellipsis BNP'!AC452</f>
        <v>0</v>
      </c>
      <c r="AM452" s="235">
        <f>'codeis €'!Z452</f>
        <v>0</v>
      </c>
      <c r="AN452" s="236">
        <f>'codeis €'!AF452</f>
        <v>0</v>
      </c>
      <c r="AO452" s="90">
        <f>'codeis €'!AC452</f>
        <v>0</v>
      </c>
      <c r="AP452" s="91">
        <f>'codeis €'!AI452</f>
        <v>0</v>
      </c>
      <c r="AR452" s="12">
        <f t="shared" si="148"/>
        <v>67260956.159999996</v>
      </c>
      <c r="AS452" s="118">
        <f t="shared" si="149"/>
        <v>0.02</v>
      </c>
      <c r="AT452" s="118">
        <f t="shared" si="150"/>
        <v>2.0428995474183843E-2</v>
      </c>
      <c r="AU452" s="12">
        <f t="shared" si="151"/>
        <v>3816.871580505328</v>
      </c>
      <c r="AV452" s="12">
        <f t="shared" si="152"/>
        <v>547.24176717199384</v>
      </c>
      <c r="AW452" s="19"/>
    </row>
    <row r="453" spans="2:49" x14ac:dyDescent="0.25">
      <c r="B453" s="9" t="str">
        <f t="shared" si="135"/>
        <v>3 2026</v>
      </c>
      <c r="C453" s="88">
        <f t="shared" si="136"/>
        <v>46102</v>
      </c>
      <c r="D453" s="88">
        <f t="shared" si="157"/>
        <v>46103</v>
      </c>
      <c r="E453" s="89">
        <f t="shared" si="137"/>
        <v>1</v>
      </c>
      <c r="G453" s="11" t="s">
        <v>7</v>
      </c>
      <c r="H453" s="12">
        <f t="shared" si="153"/>
        <v>34250000</v>
      </c>
      <c r="I453" s="14">
        <f t="shared" si="153"/>
        <v>1.7500000000000002E-2</v>
      </c>
      <c r="J453" s="13">
        <f t="shared" si="138"/>
        <v>1664.9305555555557</v>
      </c>
      <c r="K453" s="13">
        <f t="shared" si="139"/>
        <v>43740.763888888876</v>
      </c>
      <c r="M453" s="11" t="s">
        <v>7</v>
      </c>
      <c r="N453" s="12">
        <f t="shared" si="158"/>
        <v>12000000</v>
      </c>
      <c r="O453" s="97">
        <f t="shared" si="158"/>
        <v>2.1698630136986304E-2</v>
      </c>
      <c r="P453" s="112">
        <f t="shared" si="140"/>
        <v>723.28767123287685</v>
      </c>
      <c r="Q453" s="13">
        <f t="shared" si="141"/>
        <v>58586.301369863111</v>
      </c>
      <c r="R453" s="13">
        <f t="shared" si="142"/>
        <v>139.95433789954348</v>
      </c>
      <c r="T453" s="11" t="str">
        <f t="shared" si="154"/>
        <v>SG</v>
      </c>
      <c r="U453" s="12">
        <f t="shared" si="154"/>
        <v>6010956.1600000001</v>
      </c>
      <c r="V453" s="97">
        <f t="shared" si="154"/>
        <v>2.1205479452054792E-2</v>
      </c>
      <c r="W453" s="13">
        <f t="shared" si="143"/>
        <v>354.0700203835616</v>
      </c>
      <c r="X453" s="13">
        <f t="shared" si="155"/>
        <v>28672.572659726055</v>
      </c>
      <c r="Y453" s="13">
        <f t="shared" si="144"/>
        <v>61.870762605783796</v>
      </c>
      <c r="AA453" s="11" t="s">
        <v>189</v>
      </c>
      <c r="AB453" s="98">
        <f t="shared" si="156"/>
        <v>15000000</v>
      </c>
      <c r="AC453" s="97">
        <f t="shared" si="156"/>
        <v>2.579E-2</v>
      </c>
      <c r="AD453" s="13">
        <f t="shared" si="145"/>
        <v>1074.5833333333333</v>
      </c>
      <c r="AE453" s="13">
        <f t="shared" si="146"/>
        <v>87041.249999999956</v>
      </c>
      <c r="AF453" s="13">
        <f t="shared" si="147"/>
        <v>345.41666666666663</v>
      </c>
      <c r="AH453" s="235">
        <f>'CT- € Ellipsis BNP'!X453</f>
        <v>0</v>
      </c>
      <c r="AI453" s="236">
        <f>'CT- € Ellipsis BNP'!AA453</f>
        <v>0</v>
      </c>
      <c r="AJ453" s="90">
        <f>'CT- € Ellipsis BNP'!W453</f>
        <v>0</v>
      </c>
      <c r="AK453" s="91">
        <f>'CT- € Ellipsis BNP'!AC453</f>
        <v>0</v>
      </c>
      <c r="AM453" s="235">
        <f>'codeis €'!Z453</f>
        <v>0</v>
      </c>
      <c r="AN453" s="236">
        <f>'codeis €'!AF453</f>
        <v>0</v>
      </c>
      <c r="AO453" s="90">
        <f>'codeis €'!AC453</f>
        <v>0</v>
      </c>
      <c r="AP453" s="91">
        <f>'codeis €'!AI453</f>
        <v>0</v>
      </c>
      <c r="AR453" s="12">
        <f t="shared" si="148"/>
        <v>67260956.159999996</v>
      </c>
      <c r="AS453" s="118">
        <f t="shared" si="149"/>
        <v>0.02</v>
      </c>
      <c r="AT453" s="118">
        <f t="shared" si="150"/>
        <v>2.0428995474183843E-2</v>
      </c>
      <c r="AU453" s="12">
        <f t="shared" si="151"/>
        <v>3816.871580505328</v>
      </c>
      <c r="AV453" s="12">
        <f t="shared" si="152"/>
        <v>547.24176717199384</v>
      </c>
      <c r="AW453" s="19"/>
    </row>
    <row r="454" spans="2:49" x14ac:dyDescent="0.25">
      <c r="B454" s="9" t="str">
        <f t="shared" si="135"/>
        <v>3 2026</v>
      </c>
      <c r="C454" s="88">
        <f t="shared" si="136"/>
        <v>46103</v>
      </c>
      <c r="D454" s="88">
        <f t="shared" si="157"/>
        <v>46104</v>
      </c>
      <c r="E454" s="89">
        <f t="shared" si="137"/>
        <v>1</v>
      </c>
      <c r="G454" s="11" t="s">
        <v>7</v>
      </c>
      <c r="H454" s="12">
        <f t="shared" si="153"/>
        <v>34250000</v>
      </c>
      <c r="I454" s="14">
        <f t="shared" si="153"/>
        <v>1.7500000000000002E-2</v>
      </c>
      <c r="J454" s="13">
        <f t="shared" si="138"/>
        <v>1664.9305555555557</v>
      </c>
      <c r="K454" s="13">
        <f t="shared" si="139"/>
        <v>45405.694444444431</v>
      </c>
      <c r="M454" s="11" t="s">
        <v>7</v>
      </c>
      <c r="N454" s="12">
        <f t="shared" si="158"/>
        <v>12000000</v>
      </c>
      <c r="O454" s="97">
        <f t="shared" si="158"/>
        <v>2.1698630136986304E-2</v>
      </c>
      <c r="P454" s="112">
        <f t="shared" si="140"/>
        <v>723.28767123287685</v>
      </c>
      <c r="Q454" s="13">
        <f t="shared" si="141"/>
        <v>59309.589041095991</v>
      </c>
      <c r="R454" s="13">
        <f t="shared" si="142"/>
        <v>139.95433789954348</v>
      </c>
      <c r="T454" s="11" t="str">
        <f t="shared" si="154"/>
        <v>SG</v>
      </c>
      <c r="U454" s="12">
        <f t="shared" si="154"/>
        <v>6010956.1600000001</v>
      </c>
      <c r="V454" s="97">
        <f t="shared" si="154"/>
        <v>2.1205479452054792E-2</v>
      </c>
      <c r="W454" s="13">
        <f t="shared" si="143"/>
        <v>354.0700203835616</v>
      </c>
      <c r="X454" s="13">
        <f t="shared" si="155"/>
        <v>29026.642680109617</v>
      </c>
      <c r="Y454" s="13">
        <f t="shared" si="144"/>
        <v>61.870762605783796</v>
      </c>
      <c r="AA454" s="11" t="s">
        <v>189</v>
      </c>
      <c r="AB454" s="98">
        <f t="shared" si="156"/>
        <v>15000000</v>
      </c>
      <c r="AC454" s="97">
        <f t="shared" si="156"/>
        <v>2.579E-2</v>
      </c>
      <c r="AD454" s="13">
        <f t="shared" si="145"/>
        <v>1074.5833333333333</v>
      </c>
      <c r="AE454" s="13">
        <f t="shared" si="146"/>
        <v>88115.833333333285</v>
      </c>
      <c r="AF454" s="13">
        <f t="shared" si="147"/>
        <v>345.41666666666663</v>
      </c>
      <c r="AH454" s="235">
        <f>'CT- € Ellipsis BNP'!X454</f>
        <v>0</v>
      </c>
      <c r="AI454" s="236">
        <f>'CT- € Ellipsis BNP'!AA454</f>
        <v>0</v>
      </c>
      <c r="AJ454" s="90">
        <f>'CT- € Ellipsis BNP'!W454</f>
        <v>0</v>
      </c>
      <c r="AK454" s="91">
        <f>'CT- € Ellipsis BNP'!AC454</f>
        <v>0</v>
      </c>
      <c r="AM454" s="235">
        <f>'codeis €'!Z454</f>
        <v>0</v>
      </c>
      <c r="AN454" s="236">
        <f>'codeis €'!AF454</f>
        <v>0</v>
      </c>
      <c r="AO454" s="90">
        <f>'codeis €'!AC454</f>
        <v>0</v>
      </c>
      <c r="AP454" s="91">
        <f>'codeis €'!AI454</f>
        <v>0</v>
      </c>
      <c r="AR454" s="12">
        <f t="shared" si="148"/>
        <v>67260956.159999996</v>
      </c>
      <c r="AS454" s="118">
        <f t="shared" si="149"/>
        <v>0.02</v>
      </c>
      <c r="AT454" s="118">
        <f t="shared" si="150"/>
        <v>2.0428995474183843E-2</v>
      </c>
      <c r="AU454" s="12">
        <f t="shared" si="151"/>
        <v>3816.871580505328</v>
      </c>
      <c r="AV454" s="12">
        <f t="shared" si="152"/>
        <v>547.24176717199384</v>
      </c>
      <c r="AW454" s="19"/>
    </row>
    <row r="455" spans="2:49" x14ac:dyDescent="0.25">
      <c r="B455" s="9" t="str">
        <f t="shared" si="135"/>
        <v>3 2026</v>
      </c>
      <c r="C455" s="88">
        <f t="shared" si="136"/>
        <v>46104</v>
      </c>
      <c r="D455" s="88">
        <f t="shared" si="157"/>
        <v>46105</v>
      </c>
      <c r="E455" s="89">
        <f t="shared" si="137"/>
        <v>1</v>
      </c>
      <c r="G455" s="11" t="s">
        <v>7</v>
      </c>
      <c r="H455" s="12">
        <f t="shared" ref="H455:I470" si="159">H454</f>
        <v>34250000</v>
      </c>
      <c r="I455" s="14">
        <f t="shared" si="159"/>
        <v>1.7500000000000002E-2</v>
      </c>
      <c r="J455" s="13">
        <f t="shared" si="138"/>
        <v>1664.9305555555557</v>
      </c>
      <c r="K455" s="13">
        <f t="shared" si="139"/>
        <v>47070.624999999985</v>
      </c>
      <c r="M455" s="11" t="s">
        <v>7</v>
      </c>
      <c r="N455" s="12">
        <f t="shared" si="158"/>
        <v>12000000</v>
      </c>
      <c r="O455" s="97">
        <f t="shared" si="158"/>
        <v>2.1698630136986304E-2</v>
      </c>
      <c r="P455" s="112">
        <f t="shared" si="140"/>
        <v>723.28767123287685</v>
      </c>
      <c r="Q455" s="13">
        <f t="shared" si="141"/>
        <v>60032.876712328871</v>
      </c>
      <c r="R455" s="13">
        <f t="shared" si="142"/>
        <v>139.95433789954348</v>
      </c>
      <c r="T455" s="11" t="str">
        <f t="shared" ref="T455:V470" si="160">T454</f>
        <v>SG</v>
      </c>
      <c r="U455" s="12">
        <f t="shared" si="160"/>
        <v>6010956.1600000001</v>
      </c>
      <c r="V455" s="97">
        <f t="shared" si="160"/>
        <v>2.1205479452054792E-2</v>
      </c>
      <c r="W455" s="13">
        <f t="shared" si="143"/>
        <v>354.0700203835616</v>
      </c>
      <c r="X455" s="13">
        <f t="shared" si="155"/>
        <v>29380.712700493179</v>
      </c>
      <c r="Y455" s="13">
        <f t="shared" si="144"/>
        <v>61.870762605783796</v>
      </c>
      <c r="AA455" s="11" t="s">
        <v>189</v>
      </c>
      <c r="AB455" s="98">
        <f t="shared" ref="AB455:AC470" si="161">AB454</f>
        <v>15000000</v>
      </c>
      <c r="AC455" s="97">
        <f t="shared" si="161"/>
        <v>2.579E-2</v>
      </c>
      <c r="AD455" s="13">
        <f t="shared" si="145"/>
        <v>1074.5833333333333</v>
      </c>
      <c r="AE455" s="13">
        <f t="shared" si="146"/>
        <v>89190.416666666613</v>
      </c>
      <c r="AF455" s="13">
        <f t="shared" si="147"/>
        <v>345.41666666666663</v>
      </c>
      <c r="AH455" s="235">
        <f>'CT- € Ellipsis BNP'!X455</f>
        <v>0</v>
      </c>
      <c r="AI455" s="236">
        <f>'CT- € Ellipsis BNP'!AA455</f>
        <v>0</v>
      </c>
      <c r="AJ455" s="90">
        <f>'CT- € Ellipsis BNP'!W455</f>
        <v>0</v>
      </c>
      <c r="AK455" s="91">
        <f>'CT- € Ellipsis BNP'!AC455</f>
        <v>0</v>
      </c>
      <c r="AM455" s="235">
        <f>'codeis €'!Z455</f>
        <v>0</v>
      </c>
      <c r="AN455" s="236">
        <f>'codeis €'!AF455</f>
        <v>0</v>
      </c>
      <c r="AO455" s="90">
        <f>'codeis €'!AC455</f>
        <v>0</v>
      </c>
      <c r="AP455" s="91">
        <f>'codeis €'!AI455</f>
        <v>0</v>
      </c>
      <c r="AR455" s="12">
        <f t="shared" si="148"/>
        <v>67260956.159999996</v>
      </c>
      <c r="AS455" s="118">
        <f t="shared" si="149"/>
        <v>0.02</v>
      </c>
      <c r="AT455" s="118">
        <f t="shared" si="150"/>
        <v>2.0428995474183843E-2</v>
      </c>
      <c r="AU455" s="12">
        <f t="shared" si="151"/>
        <v>3816.871580505328</v>
      </c>
      <c r="AV455" s="12">
        <f t="shared" si="152"/>
        <v>547.24176717199384</v>
      </c>
      <c r="AW455" s="19"/>
    </row>
    <row r="456" spans="2:49" x14ac:dyDescent="0.25">
      <c r="B456" s="9" t="str">
        <f t="shared" si="135"/>
        <v>3 2026</v>
      </c>
      <c r="C456" s="88">
        <f t="shared" si="136"/>
        <v>46105</v>
      </c>
      <c r="D456" s="88">
        <f t="shared" si="157"/>
        <v>46106</v>
      </c>
      <c r="E456" s="89">
        <f t="shared" si="137"/>
        <v>1</v>
      </c>
      <c r="G456" s="11" t="s">
        <v>7</v>
      </c>
      <c r="H456" s="12">
        <f t="shared" si="159"/>
        <v>34250000</v>
      </c>
      <c r="I456" s="14">
        <f t="shared" si="159"/>
        <v>1.7500000000000002E-2</v>
      </c>
      <c r="J456" s="13">
        <f t="shared" si="138"/>
        <v>1664.9305555555557</v>
      </c>
      <c r="K456" s="13">
        <f t="shared" si="139"/>
        <v>48735.55555555554</v>
      </c>
      <c r="M456" s="11" t="s">
        <v>7</v>
      </c>
      <c r="N456" s="12">
        <f t="shared" ref="N456:O471" si="162">N455</f>
        <v>12000000</v>
      </c>
      <c r="O456" s="97">
        <f t="shared" si="162"/>
        <v>2.1698630136986304E-2</v>
      </c>
      <c r="P456" s="112">
        <f t="shared" si="140"/>
        <v>723.28767123287685</v>
      </c>
      <c r="Q456" s="13">
        <f t="shared" si="141"/>
        <v>60756.164383561751</v>
      </c>
      <c r="R456" s="13">
        <f t="shared" si="142"/>
        <v>139.95433789954348</v>
      </c>
      <c r="T456" s="11" t="str">
        <f t="shared" si="160"/>
        <v>SG</v>
      </c>
      <c r="U456" s="12">
        <f t="shared" si="160"/>
        <v>6010956.1600000001</v>
      </c>
      <c r="V456" s="97">
        <f t="shared" si="160"/>
        <v>2.1205479452054792E-2</v>
      </c>
      <c r="W456" s="13">
        <f t="shared" si="143"/>
        <v>354.0700203835616</v>
      </c>
      <c r="X456" s="13">
        <f t="shared" si="155"/>
        <v>29734.782720876741</v>
      </c>
      <c r="Y456" s="13">
        <f t="shared" si="144"/>
        <v>61.870762605783796</v>
      </c>
      <c r="AA456" s="11" t="s">
        <v>189</v>
      </c>
      <c r="AB456" s="98">
        <f t="shared" si="161"/>
        <v>15000000</v>
      </c>
      <c r="AC456" s="97">
        <f t="shared" si="161"/>
        <v>2.579E-2</v>
      </c>
      <c r="AD456" s="13">
        <f t="shared" si="145"/>
        <v>1074.5833333333333</v>
      </c>
      <c r="AE456" s="13">
        <f t="shared" si="146"/>
        <v>90264.999999999942</v>
      </c>
      <c r="AF456" s="13">
        <f t="shared" si="147"/>
        <v>345.41666666666663</v>
      </c>
      <c r="AH456" s="235">
        <f>'CT- € Ellipsis BNP'!X456</f>
        <v>0</v>
      </c>
      <c r="AI456" s="236">
        <f>'CT- € Ellipsis BNP'!AA456</f>
        <v>0</v>
      </c>
      <c r="AJ456" s="90">
        <f>'CT- € Ellipsis BNP'!W456</f>
        <v>0</v>
      </c>
      <c r="AK456" s="91">
        <f>'CT- € Ellipsis BNP'!AC456</f>
        <v>0</v>
      </c>
      <c r="AM456" s="235">
        <f>'codeis €'!Z456</f>
        <v>0</v>
      </c>
      <c r="AN456" s="236">
        <f>'codeis €'!AF456</f>
        <v>0</v>
      </c>
      <c r="AO456" s="90">
        <f>'codeis €'!AC456</f>
        <v>0</v>
      </c>
      <c r="AP456" s="91">
        <f>'codeis €'!AI456</f>
        <v>0</v>
      </c>
      <c r="AR456" s="12">
        <f t="shared" si="148"/>
        <v>67260956.159999996</v>
      </c>
      <c r="AS456" s="118">
        <f t="shared" si="149"/>
        <v>0.02</v>
      </c>
      <c r="AT456" s="118">
        <f t="shared" si="150"/>
        <v>2.0428995474183843E-2</v>
      </c>
      <c r="AU456" s="12">
        <f t="shared" si="151"/>
        <v>3816.871580505328</v>
      </c>
      <c r="AV456" s="12">
        <f t="shared" si="152"/>
        <v>547.24176717199384</v>
      </c>
      <c r="AW456" s="19"/>
    </row>
    <row r="457" spans="2:49" x14ac:dyDescent="0.25">
      <c r="B457" s="9" t="str">
        <f t="shared" si="135"/>
        <v>3 2026</v>
      </c>
      <c r="C457" s="88">
        <f t="shared" si="136"/>
        <v>46106</v>
      </c>
      <c r="D457" s="88">
        <f t="shared" si="157"/>
        <v>46107</v>
      </c>
      <c r="E457" s="89">
        <f t="shared" si="137"/>
        <v>1</v>
      </c>
      <c r="G457" s="11" t="s">
        <v>7</v>
      </c>
      <c r="H457" s="12">
        <f t="shared" si="159"/>
        <v>34250000</v>
      </c>
      <c r="I457" s="14">
        <f t="shared" si="159"/>
        <v>1.7500000000000002E-2</v>
      </c>
      <c r="J457" s="13">
        <f t="shared" si="138"/>
        <v>1664.9305555555557</v>
      </c>
      <c r="K457" s="13">
        <f t="shared" si="139"/>
        <v>50400.486111111095</v>
      </c>
      <c r="M457" s="11" t="s">
        <v>7</v>
      </c>
      <c r="N457" s="12">
        <f t="shared" si="162"/>
        <v>12000000</v>
      </c>
      <c r="O457" s="97">
        <f t="shared" si="162"/>
        <v>2.1698630136986304E-2</v>
      </c>
      <c r="P457" s="112">
        <f t="shared" si="140"/>
        <v>723.28767123287685</v>
      </c>
      <c r="Q457" s="13">
        <f t="shared" si="141"/>
        <v>61479.45205479463</v>
      </c>
      <c r="R457" s="13">
        <f t="shared" si="142"/>
        <v>139.95433789954348</v>
      </c>
      <c r="T457" s="11" t="str">
        <f t="shared" si="160"/>
        <v>SG</v>
      </c>
      <c r="U457" s="12">
        <f t="shared" si="160"/>
        <v>6010956.1600000001</v>
      </c>
      <c r="V457" s="97">
        <f t="shared" si="160"/>
        <v>2.1205479452054792E-2</v>
      </c>
      <c r="W457" s="13">
        <f t="shared" si="143"/>
        <v>354.0700203835616</v>
      </c>
      <c r="X457" s="13">
        <f t="shared" si="155"/>
        <v>30088.852741260303</v>
      </c>
      <c r="Y457" s="13">
        <f t="shared" si="144"/>
        <v>61.870762605783796</v>
      </c>
      <c r="AA457" s="11" t="s">
        <v>189</v>
      </c>
      <c r="AB457" s="98">
        <f t="shared" si="161"/>
        <v>15000000</v>
      </c>
      <c r="AC457" s="97">
        <f t="shared" si="161"/>
        <v>2.579E-2</v>
      </c>
      <c r="AD457" s="13">
        <f t="shared" si="145"/>
        <v>1074.5833333333333</v>
      </c>
      <c r="AE457" s="13">
        <f t="shared" si="146"/>
        <v>91339.58333333327</v>
      </c>
      <c r="AF457" s="13">
        <f t="shared" si="147"/>
        <v>345.41666666666663</v>
      </c>
      <c r="AH457" s="235">
        <f>'CT- € Ellipsis BNP'!X457</f>
        <v>0</v>
      </c>
      <c r="AI457" s="236">
        <f>'CT- € Ellipsis BNP'!AA457</f>
        <v>0</v>
      </c>
      <c r="AJ457" s="90">
        <f>'CT- € Ellipsis BNP'!W457</f>
        <v>0</v>
      </c>
      <c r="AK457" s="91">
        <f>'CT- € Ellipsis BNP'!AC457</f>
        <v>0</v>
      </c>
      <c r="AM457" s="235">
        <f>'codeis €'!Z457</f>
        <v>0</v>
      </c>
      <c r="AN457" s="236">
        <f>'codeis €'!AF457</f>
        <v>0</v>
      </c>
      <c r="AO457" s="90">
        <f>'codeis €'!AC457</f>
        <v>0</v>
      </c>
      <c r="AP457" s="91">
        <f>'codeis €'!AI457</f>
        <v>0</v>
      </c>
      <c r="AR457" s="12">
        <f t="shared" si="148"/>
        <v>67260956.159999996</v>
      </c>
      <c r="AS457" s="118">
        <f t="shared" si="149"/>
        <v>0.02</v>
      </c>
      <c r="AT457" s="118">
        <f t="shared" si="150"/>
        <v>2.0428995474183843E-2</v>
      </c>
      <c r="AU457" s="12">
        <f t="shared" si="151"/>
        <v>3816.871580505328</v>
      </c>
      <c r="AV457" s="12">
        <f t="shared" si="152"/>
        <v>547.24176717199384</v>
      </c>
      <c r="AW457" s="19"/>
    </row>
    <row r="458" spans="2:49" x14ac:dyDescent="0.25">
      <c r="B458" s="9" t="str">
        <f t="shared" si="135"/>
        <v>3 2026</v>
      </c>
      <c r="C458" s="88">
        <f t="shared" si="136"/>
        <v>46107</v>
      </c>
      <c r="D458" s="88">
        <f t="shared" si="157"/>
        <v>46108</v>
      </c>
      <c r="E458" s="89">
        <f t="shared" si="137"/>
        <v>1</v>
      </c>
      <c r="G458" s="11" t="s">
        <v>7</v>
      </c>
      <c r="H458" s="12">
        <f t="shared" si="159"/>
        <v>34250000</v>
      </c>
      <c r="I458" s="14">
        <f t="shared" si="159"/>
        <v>1.7500000000000002E-2</v>
      </c>
      <c r="J458" s="13">
        <f t="shared" si="138"/>
        <v>1664.9305555555557</v>
      </c>
      <c r="K458" s="13">
        <f t="shared" si="139"/>
        <v>52065.41666666665</v>
      </c>
      <c r="M458" s="11" t="s">
        <v>7</v>
      </c>
      <c r="N458" s="12">
        <f t="shared" si="162"/>
        <v>12000000</v>
      </c>
      <c r="O458" s="97">
        <f t="shared" si="162"/>
        <v>2.1698630136986304E-2</v>
      </c>
      <c r="P458" s="112">
        <f t="shared" si="140"/>
        <v>723.28767123287685</v>
      </c>
      <c r="Q458" s="13">
        <f t="shared" si="141"/>
        <v>62202.73972602751</v>
      </c>
      <c r="R458" s="13">
        <f t="shared" si="142"/>
        <v>139.95433789954348</v>
      </c>
      <c r="T458" s="11" t="str">
        <f t="shared" si="160"/>
        <v>SG</v>
      </c>
      <c r="U458" s="12">
        <f t="shared" si="160"/>
        <v>6010956.1600000001</v>
      </c>
      <c r="V458" s="97">
        <f t="shared" si="160"/>
        <v>2.1205479452054792E-2</v>
      </c>
      <c r="W458" s="13">
        <f t="shared" si="143"/>
        <v>354.0700203835616</v>
      </c>
      <c r="X458" s="13">
        <f t="shared" si="155"/>
        <v>30442.922761643866</v>
      </c>
      <c r="Y458" s="13">
        <f t="shared" si="144"/>
        <v>61.870762605783796</v>
      </c>
      <c r="AA458" s="11" t="s">
        <v>189</v>
      </c>
      <c r="AB458" s="98">
        <f t="shared" si="161"/>
        <v>15000000</v>
      </c>
      <c r="AC458" s="97">
        <f t="shared" si="161"/>
        <v>2.579E-2</v>
      </c>
      <c r="AD458" s="13">
        <f t="shared" si="145"/>
        <v>1074.5833333333333</v>
      </c>
      <c r="AE458" s="13">
        <f t="shared" si="146"/>
        <v>92414.166666666599</v>
      </c>
      <c r="AF458" s="13">
        <f t="shared" si="147"/>
        <v>345.41666666666663</v>
      </c>
      <c r="AH458" s="235">
        <f>'CT- € Ellipsis BNP'!X458</f>
        <v>0</v>
      </c>
      <c r="AI458" s="236">
        <f>'CT- € Ellipsis BNP'!AA458</f>
        <v>0</v>
      </c>
      <c r="AJ458" s="90">
        <f>'CT- € Ellipsis BNP'!W458</f>
        <v>0</v>
      </c>
      <c r="AK458" s="91">
        <f>'CT- € Ellipsis BNP'!AC458</f>
        <v>0</v>
      </c>
      <c r="AM458" s="235">
        <f>'codeis €'!Z458</f>
        <v>0</v>
      </c>
      <c r="AN458" s="236">
        <f>'codeis €'!AF458</f>
        <v>0</v>
      </c>
      <c r="AO458" s="90">
        <f>'codeis €'!AC458</f>
        <v>0</v>
      </c>
      <c r="AP458" s="91">
        <f>'codeis €'!AI458</f>
        <v>0</v>
      </c>
      <c r="AR458" s="12">
        <f t="shared" si="148"/>
        <v>67260956.159999996</v>
      </c>
      <c r="AS458" s="118">
        <f t="shared" si="149"/>
        <v>0.02</v>
      </c>
      <c r="AT458" s="118">
        <f t="shared" si="150"/>
        <v>2.0428995474183843E-2</v>
      </c>
      <c r="AU458" s="12">
        <f t="shared" si="151"/>
        <v>3816.871580505328</v>
      </c>
      <c r="AV458" s="12">
        <f t="shared" si="152"/>
        <v>547.24176717199384</v>
      </c>
      <c r="AW458" s="19"/>
    </row>
    <row r="459" spans="2:49" x14ac:dyDescent="0.25">
      <c r="B459" s="9" t="str">
        <f t="shared" si="135"/>
        <v>3 2026</v>
      </c>
      <c r="C459" s="88">
        <f t="shared" si="136"/>
        <v>46108</v>
      </c>
      <c r="D459" s="88">
        <f t="shared" si="157"/>
        <v>46109</v>
      </c>
      <c r="E459" s="89">
        <f t="shared" si="137"/>
        <v>1</v>
      </c>
      <c r="G459" s="11" t="s">
        <v>7</v>
      </c>
      <c r="H459" s="12">
        <f t="shared" si="159"/>
        <v>34250000</v>
      </c>
      <c r="I459" s="14">
        <f t="shared" si="159"/>
        <v>1.7500000000000002E-2</v>
      </c>
      <c r="J459" s="13">
        <f t="shared" si="138"/>
        <v>1664.9305555555557</v>
      </c>
      <c r="K459" s="13">
        <f t="shared" si="139"/>
        <v>53730.347222222204</v>
      </c>
      <c r="M459" s="11" t="s">
        <v>7</v>
      </c>
      <c r="N459" s="12">
        <f t="shared" si="162"/>
        <v>12000000</v>
      </c>
      <c r="O459" s="97">
        <f t="shared" si="162"/>
        <v>2.1698630136986304E-2</v>
      </c>
      <c r="P459" s="112">
        <f t="shared" si="140"/>
        <v>723.28767123287685</v>
      </c>
      <c r="Q459" s="13">
        <f t="shared" si="141"/>
        <v>62926.02739726039</v>
      </c>
      <c r="R459" s="13">
        <f t="shared" si="142"/>
        <v>139.95433789954348</v>
      </c>
      <c r="T459" s="11" t="str">
        <f t="shared" si="160"/>
        <v>SG</v>
      </c>
      <c r="U459" s="12">
        <f t="shared" si="160"/>
        <v>6010956.1600000001</v>
      </c>
      <c r="V459" s="97">
        <f t="shared" si="160"/>
        <v>2.1205479452054792E-2</v>
      </c>
      <c r="W459" s="13">
        <f t="shared" si="143"/>
        <v>354.0700203835616</v>
      </c>
      <c r="X459" s="13">
        <f t="shared" si="155"/>
        <v>30796.992782027428</v>
      </c>
      <c r="Y459" s="13">
        <f t="shared" si="144"/>
        <v>61.870762605783796</v>
      </c>
      <c r="AA459" s="11" t="s">
        <v>189</v>
      </c>
      <c r="AB459" s="98">
        <f t="shared" si="161"/>
        <v>15000000</v>
      </c>
      <c r="AC459" s="97">
        <f t="shared" si="161"/>
        <v>2.579E-2</v>
      </c>
      <c r="AD459" s="13">
        <f t="shared" si="145"/>
        <v>1074.5833333333333</v>
      </c>
      <c r="AE459" s="13">
        <f t="shared" si="146"/>
        <v>93488.749999999927</v>
      </c>
      <c r="AF459" s="13">
        <f t="shared" si="147"/>
        <v>345.41666666666663</v>
      </c>
      <c r="AH459" s="235">
        <f>'CT- € Ellipsis BNP'!X459</f>
        <v>0</v>
      </c>
      <c r="AI459" s="236">
        <f>'CT- € Ellipsis BNP'!AA459</f>
        <v>0</v>
      </c>
      <c r="AJ459" s="90">
        <f>'CT- € Ellipsis BNP'!W459</f>
        <v>0</v>
      </c>
      <c r="AK459" s="91">
        <f>'CT- € Ellipsis BNP'!AC459</f>
        <v>0</v>
      </c>
      <c r="AM459" s="235">
        <f>'codeis €'!Z459</f>
        <v>0</v>
      </c>
      <c r="AN459" s="236">
        <f>'codeis €'!AF459</f>
        <v>0</v>
      </c>
      <c r="AO459" s="90">
        <f>'codeis €'!AC459</f>
        <v>0</v>
      </c>
      <c r="AP459" s="91">
        <f>'codeis €'!AI459</f>
        <v>0</v>
      </c>
      <c r="AR459" s="12">
        <f t="shared" si="148"/>
        <v>67260956.159999996</v>
      </c>
      <c r="AS459" s="118">
        <f t="shared" si="149"/>
        <v>0.02</v>
      </c>
      <c r="AT459" s="118">
        <f t="shared" si="150"/>
        <v>2.0428995474183843E-2</v>
      </c>
      <c r="AU459" s="12">
        <f t="shared" si="151"/>
        <v>3816.871580505328</v>
      </c>
      <c r="AV459" s="12">
        <f t="shared" si="152"/>
        <v>547.24176717199384</v>
      </c>
      <c r="AW459" s="19"/>
    </row>
    <row r="460" spans="2:49" x14ac:dyDescent="0.25">
      <c r="B460" s="9" t="str">
        <f t="shared" si="135"/>
        <v>3 2026</v>
      </c>
      <c r="C460" s="88">
        <f t="shared" si="136"/>
        <v>46109</v>
      </c>
      <c r="D460" s="88">
        <f t="shared" si="157"/>
        <v>46110</v>
      </c>
      <c r="E460" s="89">
        <f t="shared" si="137"/>
        <v>1</v>
      </c>
      <c r="G460" s="11" t="s">
        <v>7</v>
      </c>
      <c r="H460" s="12">
        <f t="shared" si="159"/>
        <v>34250000</v>
      </c>
      <c r="I460" s="14">
        <f t="shared" si="159"/>
        <v>1.7500000000000002E-2</v>
      </c>
      <c r="J460" s="13">
        <f t="shared" si="138"/>
        <v>1664.9305555555557</v>
      </c>
      <c r="K460" s="13">
        <f t="shared" si="139"/>
        <v>55395.277777777759</v>
      </c>
      <c r="M460" s="11" t="s">
        <v>7</v>
      </c>
      <c r="N460" s="12">
        <f t="shared" si="162"/>
        <v>12000000</v>
      </c>
      <c r="O460" s="97">
        <f t="shared" si="162"/>
        <v>2.1698630136986304E-2</v>
      </c>
      <c r="P460" s="112">
        <f t="shared" si="140"/>
        <v>723.28767123287685</v>
      </c>
      <c r="Q460" s="13">
        <f t="shared" si="141"/>
        <v>63649.31506849327</v>
      </c>
      <c r="R460" s="13">
        <f t="shared" si="142"/>
        <v>139.95433789954348</v>
      </c>
      <c r="T460" s="11" t="str">
        <f t="shared" si="160"/>
        <v>SG</v>
      </c>
      <c r="U460" s="12">
        <f t="shared" si="160"/>
        <v>6010956.1600000001</v>
      </c>
      <c r="V460" s="97">
        <f t="shared" si="160"/>
        <v>2.1205479452054792E-2</v>
      </c>
      <c r="W460" s="13">
        <f t="shared" si="143"/>
        <v>354.0700203835616</v>
      </c>
      <c r="X460" s="13">
        <f t="shared" si="155"/>
        <v>31151.06280241099</v>
      </c>
      <c r="Y460" s="13">
        <f t="shared" si="144"/>
        <v>61.870762605783796</v>
      </c>
      <c r="AA460" s="11" t="s">
        <v>189</v>
      </c>
      <c r="AB460" s="98">
        <f t="shared" si="161"/>
        <v>15000000</v>
      </c>
      <c r="AC460" s="97">
        <f t="shared" si="161"/>
        <v>2.579E-2</v>
      </c>
      <c r="AD460" s="13">
        <f t="shared" si="145"/>
        <v>1074.5833333333333</v>
      </c>
      <c r="AE460" s="13">
        <f t="shared" si="146"/>
        <v>94563.333333333256</v>
      </c>
      <c r="AF460" s="13">
        <f t="shared" si="147"/>
        <v>345.41666666666663</v>
      </c>
      <c r="AH460" s="235">
        <f>'CT- € Ellipsis BNP'!X460</f>
        <v>0</v>
      </c>
      <c r="AI460" s="236">
        <f>'CT- € Ellipsis BNP'!AA460</f>
        <v>0</v>
      </c>
      <c r="AJ460" s="90">
        <f>'CT- € Ellipsis BNP'!W460</f>
        <v>0</v>
      </c>
      <c r="AK460" s="91">
        <f>'CT- € Ellipsis BNP'!AC460</f>
        <v>0</v>
      </c>
      <c r="AM460" s="235">
        <f>'codeis €'!Z460</f>
        <v>0</v>
      </c>
      <c r="AN460" s="236">
        <f>'codeis €'!AF460</f>
        <v>0</v>
      </c>
      <c r="AO460" s="90">
        <f>'codeis €'!AC460</f>
        <v>0</v>
      </c>
      <c r="AP460" s="91">
        <f>'codeis €'!AI460</f>
        <v>0</v>
      </c>
      <c r="AR460" s="12">
        <f t="shared" si="148"/>
        <v>67260956.159999996</v>
      </c>
      <c r="AS460" s="118">
        <f t="shared" si="149"/>
        <v>0.02</v>
      </c>
      <c r="AT460" s="118">
        <f t="shared" si="150"/>
        <v>2.0428995474183843E-2</v>
      </c>
      <c r="AU460" s="12">
        <f t="shared" si="151"/>
        <v>3816.871580505328</v>
      </c>
      <c r="AV460" s="12">
        <f t="shared" si="152"/>
        <v>547.24176717199384</v>
      </c>
      <c r="AW460" s="19"/>
    </row>
    <row r="461" spans="2:49" x14ac:dyDescent="0.25">
      <c r="B461" s="9" t="str">
        <f t="shared" si="135"/>
        <v>3 2026</v>
      </c>
      <c r="C461" s="88">
        <f t="shared" si="136"/>
        <v>46110</v>
      </c>
      <c r="D461" s="88">
        <f t="shared" si="157"/>
        <v>46111</v>
      </c>
      <c r="E461" s="89">
        <f t="shared" si="137"/>
        <v>1</v>
      </c>
      <c r="G461" s="11" t="s">
        <v>7</v>
      </c>
      <c r="H461" s="12">
        <f t="shared" si="159"/>
        <v>34250000</v>
      </c>
      <c r="I461" s="14">
        <f t="shared" si="159"/>
        <v>1.7500000000000002E-2</v>
      </c>
      <c r="J461" s="13">
        <f t="shared" si="138"/>
        <v>1664.9305555555557</v>
      </c>
      <c r="K461" s="13">
        <f t="shared" si="139"/>
        <v>57060.208333333314</v>
      </c>
      <c r="M461" s="11" t="s">
        <v>7</v>
      </c>
      <c r="N461" s="12">
        <f t="shared" si="162"/>
        <v>12000000</v>
      </c>
      <c r="O461" s="97">
        <f t="shared" si="162"/>
        <v>2.1698630136986304E-2</v>
      </c>
      <c r="P461" s="112">
        <f t="shared" si="140"/>
        <v>723.28767123287685</v>
      </c>
      <c r="Q461" s="13">
        <f t="shared" si="141"/>
        <v>64372.60273972615</v>
      </c>
      <c r="R461" s="13">
        <f t="shared" si="142"/>
        <v>139.95433789954348</v>
      </c>
      <c r="T461" s="11" t="str">
        <f t="shared" si="160"/>
        <v>SG</v>
      </c>
      <c r="U461" s="12">
        <f t="shared" si="160"/>
        <v>6010956.1600000001</v>
      </c>
      <c r="V461" s="97">
        <f t="shared" si="160"/>
        <v>2.1205479452054792E-2</v>
      </c>
      <c r="W461" s="13">
        <f t="shared" si="143"/>
        <v>354.0700203835616</v>
      </c>
      <c r="X461" s="13">
        <f t="shared" si="155"/>
        <v>31505.132822794552</v>
      </c>
      <c r="Y461" s="13">
        <f t="shared" si="144"/>
        <v>61.870762605783796</v>
      </c>
      <c r="AA461" s="11" t="s">
        <v>189</v>
      </c>
      <c r="AB461" s="98">
        <f t="shared" si="161"/>
        <v>15000000</v>
      </c>
      <c r="AC461" s="97">
        <f t="shared" si="161"/>
        <v>2.579E-2</v>
      </c>
      <c r="AD461" s="13">
        <f t="shared" si="145"/>
        <v>1074.5833333333333</v>
      </c>
      <c r="AE461" s="13">
        <f t="shared" si="146"/>
        <v>95637.916666666584</v>
      </c>
      <c r="AF461" s="13">
        <f t="shared" si="147"/>
        <v>345.41666666666663</v>
      </c>
      <c r="AH461" s="235">
        <f>'CT- € Ellipsis BNP'!X461</f>
        <v>0</v>
      </c>
      <c r="AI461" s="236">
        <f>'CT- € Ellipsis BNP'!AA461</f>
        <v>0</v>
      </c>
      <c r="AJ461" s="90">
        <f>'CT- € Ellipsis BNP'!W461</f>
        <v>0</v>
      </c>
      <c r="AK461" s="91">
        <f>'CT- € Ellipsis BNP'!AC461</f>
        <v>0</v>
      </c>
      <c r="AM461" s="235">
        <f>'codeis €'!Z461</f>
        <v>0</v>
      </c>
      <c r="AN461" s="236">
        <f>'codeis €'!AF461</f>
        <v>0</v>
      </c>
      <c r="AO461" s="90">
        <f>'codeis €'!AC461</f>
        <v>0</v>
      </c>
      <c r="AP461" s="91">
        <f>'codeis €'!AI461</f>
        <v>0</v>
      </c>
      <c r="AR461" s="12">
        <f t="shared" si="148"/>
        <v>67260956.159999996</v>
      </c>
      <c r="AS461" s="118">
        <f t="shared" si="149"/>
        <v>0.02</v>
      </c>
      <c r="AT461" s="118">
        <f t="shared" si="150"/>
        <v>2.0428995474183843E-2</v>
      </c>
      <c r="AU461" s="12">
        <f t="shared" si="151"/>
        <v>3816.871580505328</v>
      </c>
      <c r="AV461" s="12">
        <f t="shared" si="152"/>
        <v>547.24176717199384</v>
      </c>
      <c r="AW461" s="19"/>
    </row>
    <row r="462" spans="2:49" x14ac:dyDescent="0.25">
      <c r="B462" s="9" t="str">
        <f t="shared" si="135"/>
        <v>3 2026</v>
      </c>
      <c r="C462" s="88">
        <f t="shared" si="136"/>
        <v>46111</v>
      </c>
      <c r="D462" s="88">
        <f t="shared" si="157"/>
        <v>46112</v>
      </c>
      <c r="E462" s="89">
        <f t="shared" si="137"/>
        <v>1</v>
      </c>
      <c r="G462" s="11" t="s">
        <v>7</v>
      </c>
      <c r="H462" s="12">
        <f t="shared" si="159"/>
        <v>34250000</v>
      </c>
      <c r="I462" s="14">
        <f t="shared" si="159"/>
        <v>1.7500000000000002E-2</v>
      </c>
      <c r="J462" s="13">
        <f t="shared" si="138"/>
        <v>1664.9305555555557</v>
      </c>
      <c r="K462" s="13">
        <f t="shared" si="139"/>
        <v>58725.138888888869</v>
      </c>
      <c r="M462" s="11" t="s">
        <v>7</v>
      </c>
      <c r="N462" s="12">
        <f t="shared" si="162"/>
        <v>12000000</v>
      </c>
      <c r="O462" s="97">
        <f t="shared" si="162"/>
        <v>2.1698630136986304E-2</v>
      </c>
      <c r="P462" s="112">
        <f t="shared" si="140"/>
        <v>723.28767123287685</v>
      </c>
      <c r="Q462" s="13">
        <f t="shared" si="141"/>
        <v>65095.890410959029</v>
      </c>
      <c r="R462" s="13">
        <f t="shared" si="142"/>
        <v>139.95433789954348</v>
      </c>
      <c r="T462" s="11" t="str">
        <f t="shared" si="160"/>
        <v>SG</v>
      </c>
      <c r="U462" s="12">
        <f t="shared" si="160"/>
        <v>6010956.1600000001</v>
      </c>
      <c r="V462" s="97">
        <f t="shared" si="160"/>
        <v>2.1205479452054792E-2</v>
      </c>
      <c r="W462" s="13">
        <f t="shared" si="143"/>
        <v>354.0700203835616</v>
      </c>
      <c r="X462" s="13">
        <f t="shared" si="155"/>
        <v>31859.202843178115</v>
      </c>
      <c r="Y462" s="13">
        <f t="shared" si="144"/>
        <v>61.870762605783796</v>
      </c>
      <c r="AA462" s="11" t="s">
        <v>189</v>
      </c>
      <c r="AB462" s="98">
        <f t="shared" si="161"/>
        <v>15000000</v>
      </c>
      <c r="AC462" s="97">
        <f t="shared" si="161"/>
        <v>2.579E-2</v>
      </c>
      <c r="AD462" s="13">
        <f t="shared" si="145"/>
        <v>1074.5833333333333</v>
      </c>
      <c r="AE462" s="13">
        <f t="shared" si="146"/>
        <v>96712.499999999913</v>
      </c>
      <c r="AF462" s="13">
        <f t="shared" si="147"/>
        <v>345.41666666666663</v>
      </c>
      <c r="AH462" s="235">
        <f>'CT- € Ellipsis BNP'!X462</f>
        <v>0</v>
      </c>
      <c r="AI462" s="236">
        <f>'CT- € Ellipsis BNP'!AA462</f>
        <v>0</v>
      </c>
      <c r="AJ462" s="90">
        <f>'CT- € Ellipsis BNP'!W462</f>
        <v>0</v>
      </c>
      <c r="AK462" s="91">
        <f>'CT- € Ellipsis BNP'!AC462</f>
        <v>0</v>
      </c>
      <c r="AM462" s="235">
        <f>'codeis €'!Z462</f>
        <v>0</v>
      </c>
      <c r="AN462" s="236">
        <f>'codeis €'!AF462</f>
        <v>0</v>
      </c>
      <c r="AO462" s="90">
        <f>'codeis €'!AC462</f>
        <v>0</v>
      </c>
      <c r="AP462" s="91">
        <f>'codeis €'!AI462</f>
        <v>0</v>
      </c>
      <c r="AR462" s="12">
        <f t="shared" si="148"/>
        <v>67260956.159999996</v>
      </c>
      <c r="AS462" s="118">
        <f t="shared" si="149"/>
        <v>0.02</v>
      </c>
      <c r="AT462" s="118">
        <f t="shared" si="150"/>
        <v>2.0428995474183843E-2</v>
      </c>
      <c r="AU462" s="12">
        <f t="shared" si="151"/>
        <v>3816.871580505328</v>
      </c>
      <c r="AV462" s="12">
        <f t="shared" si="152"/>
        <v>547.24176717199384</v>
      </c>
      <c r="AW462" s="19"/>
    </row>
    <row r="463" spans="2:49" x14ac:dyDescent="0.25">
      <c r="B463" s="9" t="str">
        <f t="shared" si="135"/>
        <v>4 2026</v>
      </c>
      <c r="C463" s="88">
        <f t="shared" si="136"/>
        <v>46112</v>
      </c>
      <c r="D463" s="88">
        <f t="shared" si="157"/>
        <v>46113</v>
      </c>
      <c r="E463" s="89">
        <f t="shared" si="137"/>
        <v>1</v>
      </c>
      <c r="G463" s="11" t="s">
        <v>7</v>
      </c>
      <c r="H463" s="12">
        <f t="shared" si="159"/>
        <v>34250000</v>
      </c>
      <c r="I463" s="14">
        <f t="shared" si="159"/>
        <v>1.7500000000000002E-2</v>
      </c>
      <c r="J463" s="13">
        <f t="shared" si="138"/>
        <v>1664.9305555555557</v>
      </c>
      <c r="K463" s="13">
        <f t="shared" si="139"/>
        <v>60390.069444444423</v>
      </c>
      <c r="M463" s="11" t="s">
        <v>7</v>
      </c>
      <c r="N463" s="12">
        <f t="shared" si="162"/>
        <v>12000000</v>
      </c>
      <c r="O463" s="97">
        <f t="shared" si="162"/>
        <v>2.1698630136986304E-2</v>
      </c>
      <c r="P463" s="112">
        <f t="shared" si="140"/>
        <v>723.28767123287685</v>
      </c>
      <c r="Q463" s="13">
        <f t="shared" si="141"/>
        <v>65819.178082191909</v>
      </c>
      <c r="R463" s="13">
        <f t="shared" si="142"/>
        <v>139.95433789954348</v>
      </c>
      <c r="T463" s="11" t="str">
        <f t="shared" si="160"/>
        <v>SG</v>
      </c>
      <c r="U463" s="12">
        <f t="shared" si="160"/>
        <v>6010956.1600000001</v>
      </c>
      <c r="V463" s="97">
        <f t="shared" si="160"/>
        <v>2.1205479452054792E-2</v>
      </c>
      <c r="W463" s="13">
        <f t="shared" si="143"/>
        <v>354.0700203835616</v>
      </c>
      <c r="X463" s="13">
        <f t="shared" si="155"/>
        <v>32213.272863561677</v>
      </c>
      <c r="Y463" s="13">
        <f t="shared" si="144"/>
        <v>61.870762605783796</v>
      </c>
      <c r="AA463" s="11" t="s">
        <v>189</v>
      </c>
      <c r="AB463" s="98">
        <f t="shared" si="161"/>
        <v>15000000</v>
      </c>
      <c r="AC463" s="97">
        <f t="shared" si="161"/>
        <v>2.579E-2</v>
      </c>
      <c r="AD463" s="13">
        <f t="shared" si="145"/>
        <v>1074.5833333333333</v>
      </c>
      <c r="AE463" s="13">
        <f t="shared" si="146"/>
        <v>97787.083333333241</v>
      </c>
      <c r="AF463" s="13">
        <f t="shared" si="147"/>
        <v>345.41666666666663</v>
      </c>
      <c r="AH463" s="235">
        <f>'CT- € Ellipsis BNP'!X463</f>
        <v>0</v>
      </c>
      <c r="AI463" s="236">
        <f>'CT- € Ellipsis BNP'!AA463</f>
        <v>0</v>
      </c>
      <c r="AJ463" s="90">
        <f>'CT- € Ellipsis BNP'!W463</f>
        <v>0</v>
      </c>
      <c r="AK463" s="91">
        <f>'CT- € Ellipsis BNP'!AC463</f>
        <v>0</v>
      </c>
      <c r="AM463" s="235">
        <f>'codeis €'!Z463</f>
        <v>0</v>
      </c>
      <c r="AN463" s="236">
        <f>'codeis €'!AF463</f>
        <v>0</v>
      </c>
      <c r="AO463" s="90">
        <f>'codeis €'!AC463</f>
        <v>0</v>
      </c>
      <c r="AP463" s="91">
        <f>'codeis €'!AI463</f>
        <v>0</v>
      </c>
      <c r="AR463" s="12">
        <f t="shared" si="148"/>
        <v>67260956.159999996</v>
      </c>
      <c r="AS463" s="118">
        <f t="shared" si="149"/>
        <v>0.02</v>
      </c>
      <c r="AT463" s="118">
        <f t="shared" si="150"/>
        <v>2.0428995474183843E-2</v>
      </c>
      <c r="AU463" s="12">
        <f t="shared" si="151"/>
        <v>3816.871580505328</v>
      </c>
      <c r="AV463" s="12">
        <f t="shared" si="152"/>
        <v>547.24176717199384</v>
      </c>
      <c r="AW463" s="19"/>
    </row>
    <row r="464" spans="2:49" x14ac:dyDescent="0.25">
      <c r="B464" s="9" t="str">
        <f t="shared" si="135"/>
        <v>4 2026</v>
      </c>
      <c r="C464" s="88">
        <f t="shared" si="136"/>
        <v>46113</v>
      </c>
      <c r="D464" s="88">
        <f t="shared" si="157"/>
        <v>46114</v>
      </c>
      <c r="E464" s="89">
        <f t="shared" si="137"/>
        <v>1</v>
      </c>
      <c r="G464" s="11" t="s">
        <v>7</v>
      </c>
      <c r="H464" s="12">
        <f t="shared" si="159"/>
        <v>34250000</v>
      </c>
      <c r="I464" s="14">
        <f t="shared" si="159"/>
        <v>1.7500000000000002E-2</v>
      </c>
      <c r="J464" s="13">
        <f t="shared" si="138"/>
        <v>1664.9305555555557</v>
      </c>
      <c r="K464" s="13">
        <f t="shared" si="139"/>
        <v>62054.999999999978</v>
      </c>
      <c r="M464" s="11" t="s">
        <v>7</v>
      </c>
      <c r="N464" s="12">
        <f t="shared" si="162"/>
        <v>12000000</v>
      </c>
      <c r="O464" s="97">
        <f t="shared" si="162"/>
        <v>2.1698630136986304E-2</v>
      </c>
      <c r="P464" s="112">
        <f t="shared" si="140"/>
        <v>723.28767123287685</v>
      </c>
      <c r="Q464" s="13">
        <f t="shared" si="141"/>
        <v>66542.465753424782</v>
      </c>
      <c r="R464" s="13">
        <f t="shared" si="142"/>
        <v>139.95433789954348</v>
      </c>
      <c r="T464" s="11" t="str">
        <f t="shared" si="160"/>
        <v>SG</v>
      </c>
      <c r="U464" s="12">
        <f t="shared" si="160"/>
        <v>6010956.1600000001</v>
      </c>
      <c r="V464" s="97">
        <f t="shared" si="160"/>
        <v>2.1205479452054792E-2</v>
      </c>
      <c r="W464" s="13">
        <f t="shared" si="143"/>
        <v>354.0700203835616</v>
      </c>
      <c r="X464" s="13">
        <f t="shared" si="155"/>
        <v>32567.342883945239</v>
      </c>
      <c r="Y464" s="13">
        <f t="shared" si="144"/>
        <v>61.870762605783796</v>
      </c>
      <c r="AA464" s="11" t="s">
        <v>189</v>
      </c>
      <c r="AB464" s="98">
        <f t="shared" si="161"/>
        <v>15000000</v>
      </c>
      <c r="AC464" s="97">
        <f t="shared" si="161"/>
        <v>2.579E-2</v>
      </c>
      <c r="AD464" s="13">
        <f t="shared" si="145"/>
        <v>1074.5833333333333</v>
      </c>
      <c r="AE464" s="13">
        <f t="shared" si="146"/>
        <v>98861.66666666657</v>
      </c>
      <c r="AF464" s="13">
        <f t="shared" si="147"/>
        <v>345.41666666666663</v>
      </c>
      <c r="AH464" s="235">
        <f>'CT- € Ellipsis BNP'!X464</f>
        <v>0</v>
      </c>
      <c r="AI464" s="236">
        <f>'CT- € Ellipsis BNP'!AA464</f>
        <v>0</v>
      </c>
      <c r="AJ464" s="90">
        <f>'CT- € Ellipsis BNP'!W464</f>
        <v>0</v>
      </c>
      <c r="AK464" s="91">
        <f>'CT- € Ellipsis BNP'!AC464</f>
        <v>0</v>
      </c>
      <c r="AM464" s="235">
        <f>'codeis €'!Z464</f>
        <v>0</v>
      </c>
      <c r="AN464" s="236">
        <f>'codeis €'!AF464</f>
        <v>0</v>
      </c>
      <c r="AO464" s="90">
        <f>'codeis €'!AC464</f>
        <v>0</v>
      </c>
      <c r="AP464" s="91">
        <f>'codeis €'!AI464</f>
        <v>0</v>
      </c>
      <c r="AR464" s="12">
        <f t="shared" si="148"/>
        <v>67260956.159999996</v>
      </c>
      <c r="AS464" s="118">
        <f t="shared" si="149"/>
        <v>0.02</v>
      </c>
      <c r="AT464" s="118">
        <f t="shared" si="150"/>
        <v>2.0428995474183843E-2</v>
      </c>
      <c r="AU464" s="12">
        <f t="shared" si="151"/>
        <v>3816.871580505328</v>
      </c>
      <c r="AV464" s="12">
        <f t="shared" si="152"/>
        <v>547.24176717199384</v>
      </c>
      <c r="AW464" s="19"/>
    </row>
    <row r="465" spans="2:49" x14ac:dyDescent="0.25">
      <c r="B465" s="9" t="str">
        <f t="shared" si="135"/>
        <v>4 2026</v>
      </c>
      <c r="C465" s="88">
        <f t="shared" si="136"/>
        <v>46114</v>
      </c>
      <c r="D465" s="88">
        <f t="shared" si="157"/>
        <v>46115</v>
      </c>
      <c r="E465" s="89">
        <f t="shared" si="137"/>
        <v>1</v>
      </c>
      <c r="G465" s="11" t="s">
        <v>7</v>
      </c>
      <c r="H465" s="12">
        <f t="shared" si="159"/>
        <v>34250000</v>
      </c>
      <c r="I465" s="14">
        <f t="shared" si="159"/>
        <v>1.7500000000000002E-2</v>
      </c>
      <c r="J465" s="13">
        <f t="shared" si="138"/>
        <v>1664.9305555555557</v>
      </c>
      <c r="K465" s="13">
        <f t="shared" si="139"/>
        <v>63719.930555555533</v>
      </c>
      <c r="M465" s="11" t="s">
        <v>7</v>
      </c>
      <c r="N465" s="12">
        <f t="shared" si="162"/>
        <v>12000000</v>
      </c>
      <c r="O465" s="97">
        <f t="shared" si="162"/>
        <v>2.1698630136986304E-2</v>
      </c>
      <c r="P465" s="112">
        <f t="shared" si="140"/>
        <v>723.28767123287685</v>
      </c>
      <c r="Q465" s="13">
        <f t="shared" si="141"/>
        <v>67265.753424657654</v>
      </c>
      <c r="R465" s="13">
        <f t="shared" si="142"/>
        <v>139.95433789954348</v>
      </c>
      <c r="T465" s="11" t="str">
        <f t="shared" si="160"/>
        <v>SG</v>
      </c>
      <c r="U465" s="12">
        <f t="shared" si="160"/>
        <v>6010956.1600000001</v>
      </c>
      <c r="V465" s="97">
        <f t="shared" si="160"/>
        <v>2.1205479452054792E-2</v>
      </c>
      <c r="W465" s="13">
        <f t="shared" si="143"/>
        <v>354.0700203835616</v>
      </c>
      <c r="X465" s="13">
        <f t="shared" si="155"/>
        <v>32921.412904328798</v>
      </c>
      <c r="Y465" s="13">
        <f t="shared" si="144"/>
        <v>61.870762605783796</v>
      </c>
      <c r="AA465" s="11" t="s">
        <v>189</v>
      </c>
      <c r="AB465" s="98">
        <f t="shared" si="161"/>
        <v>15000000</v>
      </c>
      <c r="AC465" s="97">
        <f t="shared" si="161"/>
        <v>2.579E-2</v>
      </c>
      <c r="AD465" s="13">
        <f t="shared" si="145"/>
        <v>1074.5833333333333</v>
      </c>
      <c r="AE465" s="13">
        <f t="shared" si="146"/>
        <v>99936.249999999898</v>
      </c>
      <c r="AF465" s="13">
        <f t="shared" si="147"/>
        <v>345.41666666666663</v>
      </c>
      <c r="AH465" s="235">
        <f>'CT- € Ellipsis BNP'!X465</f>
        <v>0</v>
      </c>
      <c r="AI465" s="236">
        <f>'CT- € Ellipsis BNP'!AA465</f>
        <v>0</v>
      </c>
      <c r="AJ465" s="90">
        <f>'CT- € Ellipsis BNP'!W465</f>
        <v>0</v>
      </c>
      <c r="AK465" s="91">
        <f>'CT- € Ellipsis BNP'!AC465</f>
        <v>0</v>
      </c>
      <c r="AM465" s="235">
        <f>'codeis €'!Z465</f>
        <v>0</v>
      </c>
      <c r="AN465" s="236">
        <f>'codeis €'!AF465</f>
        <v>0</v>
      </c>
      <c r="AO465" s="90">
        <f>'codeis €'!AC465</f>
        <v>0</v>
      </c>
      <c r="AP465" s="91">
        <f>'codeis €'!AI465</f>
        <v>0</v>
      </c>
      <c r="AR465" s="12">
        <f t="shared" si="148"/>
        <v>67260956.159999996</v>
      </c>
      <c r="AS465" s="118">
        <f t="shared" si="149"/>
        <v>0.02</v>
      </c>
      <c r="AT465" s="118">
        <f t="shared" si="150"/>
        <v>2.0428995474183843E-2</v>
      </c>
      <c r="AU465" s="12">
        <f t="shared" si="151"/>
        <v>3816.871580505328</v>
      </c>
      <c r="AV465" s="12">
        <f t="shared" si="152"/>
        <v>547.24176717199384</v>
      </c>
      <c r="AW465" s="19"/>
    </row>
    <row r="466" spans="2:49" x14ac:dyDescent="0.25">
      <c r="B466" s="9" t="str">
        <f t="shared" si="135"/>
        <v>4 2026</v>
      </c>
      <c r="C466" s="88">
        <f t="shared" si="136"/>
        <v>46115</v>
      </c>
      <c r="D466" s="88">
        <f t="shared" si="157"/>
        <v>46116</v>
      </c>
      <c r="E466" s="89">
        <f t="shared" si="137"/>
        <v>1</v>
      </c>
      <c r="G466" s="11" t="s">
        <v>7</v>
      </c>
      <c r="H466" s="12">
        <f t="shared" si="159"/>
        <v>34250000</v>
      </c>
      <c r="I466" s="14">
        <f t="shared" si="159"/>
        <v>1.7500000000000002E-2</v>
      </c>
      <c r="J466" s="13">
        <f t="shared" si="138"/>
        <v>1664.9305555555557</v>
      </c>
      <c r="K466" s="13">
        <f t="shared" si="139"/>
        <v>65384.861111111088</v>
      </c>
      <c r="M466" s="11" t="s">
        <v>7</v>
      </c>
      <c r="N466" s="12">
        <f t="shared" si="162"/>
        <v>12000000</v>
      </c>
      <c r="O466" s="97">
        <f t="shared" si="162"/>
        <v>2.1698630136986304E-2</v>
      </c>
      <c r="P466" s="112">
        <f t="shared" si="140"/>
        <v>723.28767123287685</v>
      </c>
      <c r="Q466" s="13">
        <f t="shared" si="141"/>
        <v>67989.041095890527</v>
      </c>
      <c r="R466" s="13">
        <f t="shared" si="142"/>
        <v>139.95433789954348</v>
      </c>
      <c r="T466" s="11" t="str">
        <f t="shared" si="160"/>
        <v>SG</v>
      </c>
      <c r="U466" s="12">
        <f t="shared" si="160"/>
        <v>6010956.1600000001</v>
      </c>
      <c r="V466" s="97">
        <f t="shared" si="160"/>
        <v>2.1205479452054792E-2</v>
      </c>
      <c r="W466" s="13">
        <f t="shared" si="143"/>
        <v>354.0700203835616</v>
      </c>
      <c r="X466" s="13">
        <f t="shared" si="155"/>
        <v>33275.482924712356</v>
      </c>
      <c r="Y466" s="13">
        <f t="shared" si="144"/>
        <v>61.870762605783796</v>
      </c>
      <c r="AA466" s="11" t="s">
        <v>189</v>
      </c>
      <c r="AB466" s="98">
        <f t="shared" si="161"/>
        <v>15000000</v>
      </c>
      <c r="AC466" s="97">
        <f t="shared" si="161"/>
        <v>2.579E-2</v>
      </c>
      <c r="AD466" s="13">
        <f t="shared" si="145"/>
        <v>1074.5833333333333</v>
      </c>
      <c r="AE466" s="13">
        <f t="shared" si="146"/>
        <v>101010.83333333323</v>
      </c>
      <c r="AF466" s="13">
        <f t="shared" si="147"/>
        <v>345.41666666666663</v>
      </c>
      <c r="AH466" s="235">
        <f>'CT- € Ellipsis BNP'!X466</f>
        <v>0</v>
      </c>
      <c r="AI466" s="236">
        <f>'CT- € Ellipsis BNP'!AA466</f>
        <v>0</v>
      </c>
      <c r="AJ466" s="90">
        <f>'CT- € Ellipsis BNP'!W466</f>
        <v>0</v>
      </c>
      <c r="AK466" s="91">
        <f>'CT- € Ellipsis BNP'!AC466</f>
        <v>0</v>
      </c>
      <c r="AM466" s="235">
        <f>'codeis €'!Z466</f>
        <v>0</v>
      </c>
      <c r="AN466" s="236">
        <f>'codeis €'!AF466</f>
        <v>0</v>
      </c>
      <c r="AO466" s="90">
        <f>'codeis €'!AC466</f>
        <v>0</v>
      </c>
      <c r="AP466" s="91">
        <f>'codeis €'!AI466</f>
        <v>0</v>
      </c>
      <c r="AR466" s="12">
        <f t="shared" si="148"/>
        <v>67260956.159999996</v>
      </c>
      <c r="AS466" s="118">
        <f t="shared" si="149"/>
        <v>0.02</v>
      </c>
      <c r="AT466" s="118">
        <f t="shared" si="150"/>
        <v>2.0428995474183843E-2</v>
      </c>
      <c r="AU466" s="12">
        <f t="shared" si="151"/>
        <v>3816.871580505328</v>
      </c>
      <c r="AV466" s="12">
        <f t="shared" si="152"/>
        <v>547.24176717199384</v>
      </c>
      <c r="AW466" s="19"/>
    </row>
    <row r="467" spans="2:49" x14ac:dyDescent="0.25">
      <c r="B467" s="9" t="str">
        <f t="shared" si="135"/>
        <v>4 2026</v>
      </c>
      <c r="C467" s="88">
        <f t="shared" si="136"/>
        <v>46116</v>
      </c>
      <c r="D467" s="88">
        <f t="shared" si="157"/>
        <v>46117</v>
      </c>
      <c r="E467" s="89">
        <f t="shared" si="137"/>
        <v>1</v>
      </c>
      <c r="G467" s="11" t="s">
        <v>7</v>
      </c>
      <c r="H467" s="12">
        <f t="shared" si="159"/>
        <v>34250000</v>
      </c>
      <c r="I467" s="14">
        <f t="shared" si="159"/>
        <v>1.7500000000000002E-2</v>
      </c>
      <c r="J467" s="13">
        <f t="shared" si="138"/>
        <v>1664.9305555555557</v>
      </c>
      <c r="K467" s="13">
        <f t="shared" si="139"/>
        <v>67049.791666666642</v>
      </c>
      <c r="M467" s="11" t="s">
        <v>7</v>
      </c>
      <c r="N467" s="12">
        <f t="shared" si="162"/>
        <v>12000000</v>
      </c>
      <c r="O467" s="97">
        <f t="shared" si="162"/>
        <v>2.1698630136986304E-2</v>
      </c>
      <c r="P467" s="112">
        <f t="shared" si="140"/>
        <v>723.28767123287685</v>
      </c>
      <c r="Q467" s="13">
        <f t="shared" si="141"/>
        <v>68712.328767123399</v>
      </c>
      <c r="R467" s="13">
        <f t="shared" si="142"/>
        <v>139.95433789954348</v>
      </c>
      <c r="T467" s="11" t="str">
        <f t="shared" si="160"/>
        <v>SG</v>
      </c>
      <c r="U467" s="12">
        <f t="shared" si="160"/>
        <v>6010956.1600000001</v>
      </c>
      <c r="V467" s="97">
        <f t="shared" si="160"/>
        <v>2.1205479452054792E-2</v>
      </c>
      <c r="W467" s="13">
        <f t="shared" si="143"/>
        <v>354.0700203835616</v>
      </c>
      <c r="X467" s="13">
        <f t="shared" si="155"/>
        <v>33629.552945095915</v>
      </c>
      <c r="Y467" s="13">
        <f t="shared" si="144"/>
        <v>61.870762605783796</v>
      </c>
      <c r="AA467" s="11" t="s">
        <v>189</v>
      </c>
      <c r="AB467" s="98">
        <f t="shared" si="161"/>
        <v>15000000</v>
      </c>
      <c r="AC467" s="97">
        <f t="shared" si="161"/>
        <v>2.579E-2</v>
      </c>
      <c r="AD467" s="13">
        <f t="shared" si="145"/>
        <v>1074.5833333333333</v>
      </c>
      <c r="AE467" s="13">
        <f t="shared" si="146"/>
        <v>102085.41666666656</v>
      </c>
      <c r="AF467" s="13">
        <f t="shared" si="147"/>
        <v>345.41666666666663</v>
      </c>
      <c r="AH467" s="235">
        <f>'CT- € Ellipsis BNP'!X467</f>
        <v>0</v>
      </c>
      <c r="AI467" s="236">
        <f>'CT- € Ellipsis BNP'!AA467</f>
        <v>0</v>
      </c>
      <c r="AJ467" s="90">
        <f>'CT- € Ellipsis BNP'!W467</f>
        <v>0</v>
      </c>
      <c r="AK467" s="91">
        <f>'CT- € Ellipsis BNP'!AC467</f>
        <v>0</v>
      </c>
      <c r="AM467" s="235">
        <f>'codeis €'!Z467</f>
        <v>0</v>
      </c>
      <c r="AN467" s="236">
        <f>'codeis €'!AF467</f>
        <v>0</v>
      </c>
      <c r="AO467" s="90">
        <f>'codeis €'!AC467</f>
        <v>0</v>
      </c>
      <c r="AP467" s="91">
        <f>'codeis €'!AI467</f>
        <v>0</v>
      </c>
      <c r="AR467" s="12">
        <f t="shared" si="148"/>
        <v>67260956.159999996</v>
      </c>
      <c r="AS467" s="118">
        <f t="shared" si="149"/>
        <v>0.02</v>
      </c>
      <c r="AT467" s="118">
        <f t="shared" si="150"/>
        <v>2.0428995474183843E-2</v>
      </c>
      <c r="AU467" s="12">
        <f t="shared" si="151"/>
        <v>3816.871580505328</v>
      </c>
      <c r="AV467" s="12">
        <f t="shared" si="152"/>
        <v>547.24176717199384</v>
      </c>
      <c r="AW467" s="19"/>
    </row>
    <row r="468" spans="2:49" x14ac:dyDescent="0.25">
      <c r="B468" s="9" t="str">
        <f t="shared" si="135"/>
        <v>4 2026</v>
      </c>
      <c r="C468" s="88">
        <f t="shared" si="136"/>
        <v>46117</v>
      </c>
      <c r="D468" s="88">
        <f t="shared" si="157"/>
        <v>46118</v>
      </c>
      <c r="E468" s="89">
        <f t="shared" si="137"/>
        <v>1</v>
      </c>
      <c r="G468" s="11" t="s">
        <v>7</v>
      </c>
      <c r="H468" s="12">
        <f t="shared" si="159"/>
        <v>34250000</v>
      </c>
      <c r="I468" s="14">
        <f t="shared" si="159"/>
        <v>1.7500000000000002E-2</v>
      </c>
      <c r="J468" s="13">
        <f t="shared" si="138"/>
        <v>1664.9305555555557</v>
      </c>
      <c r="K468" s="13">
        <f t="shared" si="139"/>
        <v>68714.722222222204</v>
      </c>
      <c r="M468" s="11" t="s">
        <v>7</v>
      </c>
      <c r="N468" s="12">
        <f t="shared" si="162"/>
        <v>12000000</v>
      </c>
      <c r="O468" s="97">
        <f t="shared" si="162"/>
        <v>2.1698630136986304E-2</v>
      </c>
      <c r="P468" s="112">
        <f t="shared" si="140"/>
        <v>723.28767123287685</v>
      </c>
      <c r="Q468" s="13">
        <f t="shared" si="141"/>
        <v>69435.616438356272</v>
      </c>
      <c r="R468" s="13">
        <f t="shared" si="142"/>
        <v>139.95433789954348</v>
      </c>
      <c r="T468" s="11" t="str">
        <f t="shared" si="160"/>
        <v>SG</v>
      </c>
      <c r="U468" s="12">
        <f t="shared" si="160"/>
        <v>6010956.1600000001</v>
      </c>
      <c r="V468" s="97">
        <f t="shared" si="160"/>
        <v>2.1205479452054792E-2</v>
      </c>
      <c r="W468" s="13">
        <f t="shared" si="143"/>
        <v>354.0700203835616</v>
      </c>
      <c r="X468" s="13">
        <f t="shared" si="155"/>
        <v>33983.622965479473</v>
      </c>
      <c r="Y468" s="13">
        <f t="shared" si="144"/>
        <v>61.870762605783796</v>
      </c>
      <c r="AA468" s="11" t="s">
        <v>189</v>
      </c>
      <c r="AB468" s="98">
        <f t="shared" si="161"/>
        <v>15000000</v>
      </c>
      <c r="AC468" s="97">
        <f t="shared" si="161"/>
        <v>2.579E-2</v>
      </c>
      <c r="AD468" s="13">
        <f t="shared" si="145"/>
        <v>1074.5833333333333</v>
      </c>
      <c r="AE468" s="13">
        <f t="shared" si="146"/>
        <v>103159.99999999988</v>
      </c>
      <c r="AF468" s="13">
        <f t="shared" si="147"/>
        <v>345.41666666666663</v>
      </c>
      <c r="AH468" s="235">
        <f>'CT- € Ellipsis BNP'!X468</f>
        <v>0</v>
      </c>
      <c r="AI468" s="236">
        <f>'CT- € Ellipsis BNP'!AA468</f>
        <v>0</v>
      </c>
      <c r="AJ468" s="90">
        <f>'CT- € Ellipsis BNP'!W468</f>
        <v>0</v>
      </c>
      <c r="AK468" s="91">
        <f>'CT- € Ellipsis BNP'!AC468</f>
        <v>0</v>
      </c>
      <c r="AM468" s="235">
        <f>'codeis €'!Z468</f>
        <v>0</v>
      </c>
      <c r="AN468" s="236">
        <f>'codeis €'!AF468</f>
        <v>0</v>
      </c>
      <c r="AO468" s="90">
        <f>'codeis €'!AC468</f>
        <v>0</v>
      </c>
      <c r="AP468" s="91">
        <f>'codeis €'!AI468</f>
        <v>0</v>
      </c>
      <c r="AR468" s="12">
        <f t="shared" si="148"/>
        <v>67260956.159999996</v>
      </c>
      <c r="AS468" s="118">
        <f t="shared" si="149"/>
        <v>0.02</v>
      </c>
      <c r="AT468" s="118">
        <f t="shared" si="150"/>
        <v>2.0428995474183843E-2</v>
      </c>
      <c r="AU468" s="12">
        <f t="shared" si="151"/>
        <v>3816.871580505328</v>
      </c>
      <c r="AV468" s="12">
        <f t="shared" si="152"/>
        <v>547.24176717199384</v>
      </c>
      <c r="AW468" s="19"/>
    </row>
    <row r="469" spans="2:49" x14ac:dyDescent="0.25">
      <c r="B469" s="9" t="str">
        <f t="shared" ref="B469:B532" si="163">CONCATENATE(MONTH(D469)," ",YEAR(D469))</f>
        <v>4 2026</v>
      </c>
      <c r="C469" s="88">
        <f t="shared" ref="C469:C532" si="164">D468</f>
        <v>46118</v>
      </c>
      <c r="D469" s="88">
        <f t="shared" si="157"/>
        <v>46119</v>
      </c>
      <c r="E469" s="89">
        <f t="shared" ref="E469:E532" si="165">D469-C469</f>
        <v>1</v>
      </c>
      <c r="G469" s="11" t="s">
        <v>7</v>
      </c>
      <c r="H469" s="12">
        <f t="shared" si="159"/>
        <v>34250000</v>
      </c>
      <c r="I469" s="14">
        <f t="shared" si="159"/>
        <v>1.7500000000000002E-2</v>
      </c>
      <c r="J469" s="13">
        <f t="shared" ref="J469:J532" si="166">+H469*I469*E469/360</f>
        <v>1664.9305555555557</v>
      </c>
      <c r="K469" s="13">
        <f t="shared" ref="K469:K532" si="167">K468+J469</f>
        <v>70379.652777777766</v>
      </c>
      <c r="M469" s="11" t="s">
        <v>7</v>
      </c>
      <c r="N469" s="12">
        <f t="shared" si="162"/>
        <v>12000000</v>
      </c>
      <c r="O469" s="97">
        <f t="shared" si="162"/>
        <v>2.1698630136986304E-2</v>
      </c>
      <c r="P469" s="112">
        <f t="shared" ref="P469:P532" si="168">+N469*O469*$E469/360</f>
        <v>723.28767123287685</v>
      </c>
      <c r="Q469" s="13">
        <f t="shared" ref="Q469:Q532" si="169">Q468+P469</f>
        <v>70158.904109589144</v>
      </c>
      <c r="R469" s="13">
        <f t="shared" ref="R469:R532" si="170">P469-(+N469*I469*$E469/360)</f>
        <v>139.95433789954348</v>
      </c>
      <c r="T469" s="11" t="str">
        <f t="shared" si="160"/>
        <v>SG</v>
      </c>
      <c r="U469" s="12">
        <f t="shared" si="160"/>
        <v>6010956.1600000001</v>
      </c>
      <c r="V469" s="97">
        <f t="shared" si="160"/>
        <v>2.1205479452054792E-2</v>
      </c>
      <c r="W469" s="13">
        <f t="shared" ref="W469:W532" si="171">V469*U469*E469/360</f>
        <v>354.0700203835616</v>
      </c>
      <c r="X469" s="13">
        <f t="shared" si="155"/>
        <v>34337.692985863032</v>
      </c>
      <c r="Y469" s="13">
        <f t="shared" ref="Y469:Y532" si="172">W469-(+U469*$I469*$E469/360)</f>
        <v>61.870762605783796</v>
      </c>
      <c r="AA469" s="11" t="s">
        <v>189</v>
      </c>
      <c r="AB469" s="98">
        <f t="shared" si="161"/>
        <v>15000000</v>
      </c>
      <c r="AC469" s="97">
        <f t="shared" si="161"/>
        <v>2.579E-2</v>
      </c>
      <c r="AD469" s="13">
        <f t="shared" ref="AD469:AD532" si="173">+AB469*AC469*$E469/360</f>
        <v>1074.5833333333333</v>
      </c>
      <c r="AE469" s="13">
        <f t="shared" ref="AE469:AE532" si="174">AE468+AD469</f>
        <v>104234.58333333321</v>
      </c>
      <c r="AF469" s="13">
        <f t="shared" ref="AF469:AF532" si="175">AD469-((+AB469*$I469*$E469/360))</f>
        <v>345.41666666666663</v>
      </c>
      <c r="AH469" s="235">
        <f>'CT- € Ellipsis BNP'!X469</f>
        <v>0</v>
      </c>
      <c r="AI469" s="236">
        <f>'CT- € Ellipsis BNP'!AA469</f>
        <v>0</v>
      </c>
      <c r="AJ469" s="90">
        <f>'CT- € Ellipsis BNP'!W469</f>
        <v>0</v>
      </c>
      <c r="AK469" s="91">
        <f>'CT- € Ellipsis BNP'!AC469</f>
        <v>0</v>
      </c>
      <c r="AM469" s="235">
        <f>'codeis €'!Z469</f>
        <v>0</v>
      </c>
      <c r="AN469" s="236">
        <f>'codeis €'!AF469</f>
        <v>0</v>
      </c>
      <c r="AO469" s="90">
        <f>'codeis €'!AC469</f>
        <v>0</v>
      </c>
      <c r="AP469" s="91">
        <f>'codeis €'!AI469</f>
        <v>0</v>
      </c>
      <c r="AR469" s="12">
        <f t="shared" ref="AR469:AR532" si="176">+N469+H469++AH469+AM469+AB469+U469</f>
        <v>67260956.159999996</v>
      </c>
      <c r="AS469" s="118">
        <f t="shared" ref="AS469:AS532" si="177">AS468</f>
        <v>0.02</v>
      </c>
      <c r="AT469" s="118">
        <f t="shared" ref="AT469:AT532" si="178">SUM((I469*H469),(O469*N469),(U469*V469),(AB469*AC469),(AH469*AI469),(AM469*AN469))/AR469</f>
        <v>2.0428995474183843E-2</v>
      </c>
      <c r="AU469" s="12">
        <f t="shared" ref="AU469:AU532" si="179">+P469++J469+W469+AD469+AJ469+AO469</f>
        <v>3816.871580505328</v>
      </c>
      <c r="AV469" s="12">
        <f t="shared" ref="AV469:AV532" si="180">+R469+Y469+AF469+AK469+AP469</f>
        <v>547.24176717199384</v>
      </c>
      <c r="AW469" s="19"/>
    </row>
    <row r="470" spans="2:49" x14ac:dyDescent="0.25">
      <c r="B470" s="9" t="str">
        <f t="shared" si="163"/>
        <v>4 2026</v>
      </c>
      <c r="C470" s="88">
        <f t="shared" si="164"/>
        <v>46119</v>
      </c>
      <c r="D470" s="88">
        <f t="shared" si="157"/>
        <v>46120</v>
      </c>
      <c r="E470" s="89">
        <f t="shared" si="165"/>
        <v>1</v>
      </c>
      <c r="G470" s="11" t="s">
        <v>7</v>
      </c>
      <c r="H470" s="12">
        <f t="shared" si="159"/>
        <v>34250000</v>
      </c>
      <c r="I470" s="14">
        <f t="shared" si="159"/>
        <v>1.7500000000000002E-2</v>
      </c>
      <c r="J470" s="13">
        <f t="shared" si="166"/>
        <v>1664.9305555555557</v>
      </c>
      <c r="K470" s="13">
        <f t="shared" si="167"/>
        <v>72044.583333333328</v>
      </c>
      <c r="M470" s="11" t="s">
        <v>7</v>
      </c>
      <c r="N470" s="12">
        <f t="shared" si="162"/>
        <v>12000000</v>
      </c>
      <c r="O470" s="97">
        <f t="shared" si="162"/>
        <v>2.1698630136986304E-2</v>
      </c>
      <c r="P470" s="112">
        <f t="shared" si="168"/>
        <v>723.28767123287685</v>
      </c>
      <c r="Q470" s="13">
        <f t="shared" si="169"/>
        <v>70882.191780822017</v>
      </c>
      <c r="R470" s="13">
        <f t="shared" si="170"/>
        <v>139.95433789954348</v>
      </c>
      <c r="T470" s="11" t="str">
        <f t="shared" si="160"/>
        <v>SG</v>
      </c>
      <c r="U470" s="12">
        <f t="shared" si="160"/>
        <v>6010956.1600000001</v>
      </c>
      <c r="V470" s="97">
        <f t="shared" si="160"/>
        <v>2.1205479452054792E-2</v>
      </c>
      <c r="W470" s="13">
        <f t="shared" si="171"/>
        <v>354.0700203835616</v>
      </c>
      <c r="X470" s="13">
        <f t="shared" si="155"/>
        <v>34691.763006246591</v>
      </c>
      <c r="Y470" s="13">
        <f t="shared" si="172"/>
        <v>61.870762605783796</v>
      </c>
      <c r="AA470" s="11" t="s">
        <v>189</v>
      </c>
      <c r="AB470" s="98">
        <f t="shared" si="161"/>
        <v>15000000</v>
      </c>
      <c r="AC470" s="97">
        <f t="shared" si="161"/>
        <v>2.579E-2</v>
      </c>
      <c r="AD470" s="13">
        <f t="shared" si="173"/>
        <v>1074.5833333333333</v>
      </c>
      <c r="AE470" s="13">
        <f t="shared" si="174"/>
        <v>105309.16666666654</v>
      </c>
      <c r="AF470" s="13">
        <f t="shared" si="175"/>
        <v>345.41666666666663</v>
      </c>
      <c r="AH470" s="235">
        <f>'CT- € Ellipsis BNP'!X470</f>
        <v>0</v>
      </c>
      <c r="AI470" s="236">
        <f>'CT- € Ellipsis BNP'!AA470</f>
        <v>0</v>
      </c>
      <c r="AJ470" s="90">
        <f>'CT- € Ellipsis BNP'!W470</f>
        <v>0</v>
      </c>
      <c r="AK470" s="91">
        <f>'CT- € Ellipsis BNP'!AC470</f>
        <v>0</v>
      </c>
      <c r="AM470" s="235">
        <f>'codeis €'!Z470</f>
        <v>0</v>
      </c>
      <c r="AN470" s="236">
        <f>'codeis €'!AF470</f>
        <v>0</v>
      </c>
      <c r="AO470" s="90">
        <f>'codeis €'!AC470</f>
        <v>0</v>
      </c>
      <c r="AP470" s="91">
        <f>'codeis €'!AI470</f>
        <v>0</v>
      </c>
      <c r="AR470" s="12">
        <f t="shared" si="176"/>
        <v>67260956.159999996</v>
      </c>
      <c r="AS470" s="118">
        <f t="shared" si="177"/>
        <v>0.02</v>
      </c>
      <c r="AT470" s="118">
        <f t="shared" si="178"/>
        <v>2.0428995474183843E-2</v>
      </c>
      <c r="AU470" s="12">
        <f t="shared" si="179"/>
        <v>3816.871580505328</v>
      </c>
      <c r="AV470" s="12">
        <f t="shared" si="180"/>
        <v>547.24176717199384</v>
      </c>
      <c r="AW470" s="19"/>
    </row>
    <row r="471" spans="2:49" x14ac:dyDescent="0.25">
      <c r="B471" s="9" t="str">
        <f t="shared" si="163"/>
        <v>4 2026</v>
      </c>
      <c r="C471" s="88">
        <f t="shared" si="164"/>
        <v>46120</v>
      </c>
      <c r="D471" s="88">
        <f t="shared" si="157"/>
        <v>46121</v>
      </c>
      <c r="E471" s="89">
        <f t="shared" si="165"/>
        <v>1</v>
      </c>
      <c r="G471" s="11" t="s">
        <v>7</v>
      </c>
      <c r="H471" s="12">
        <f t="shared" ref="H471:I486" si="181">H470</f>
        <v>34250000</v>
      </c>
      <c r="I471" s="14">
        <f t="shared" si="181"/>
        <v>1.7500000000000002E-2</v>
      </c>
      <c r="J471" s="13">
        <f t="shared" si="166"/>
        <v>1664.9305555555557</v>
      </c>
      <c r="K471" s="13">
        <f t="shared" si="167"/>
        <v>73709.513888888891</v>
      </c>
      <c r="M471" s="11" t="s">
        <v>7</v>
      </c>
      <c r="N471" s="12">
        <f t="shared" si="162"/>
        <v>12000000</v>
      </c>
      <c r="O471" s="97">
        <f t="shared" si="162"/>
        <v>2.1698630136986304E-2</v>
      </c>
      <c r="P471" s="112">
        <f t="shared" si="168"/>
        <v>723.28767123287685</v>
      </c>
      <c r="Q471" s="13">
        <f t="shared" si="169"/>
        <v>71605.479452054889</v>
      </c>
      <c r="R471" s="13">
        <f t="shared" si="170"/>
        <v>139.95433789954348</v>
      </c>
      <c r="T471" s="11" t="str">
        <f t="shared" ref="T471:V486" si="182">T470</f>
        <v>SG</v>
      </c>
      <c r="U471" s="12">
        <f t="shared" si="182"/>
        <v>6010956.1600000001</v>
      </c>
      <c r="V471" s="97">
        <f t="shared" si="182"/>
        <v>2.1205479452054792E-2</v>
      </c>
      <c r="W471" s="13">
        <f t="shared" si="171"/>
        <v>354.0700203835616</v>
      </c>
      <c r="X471" s="13">
        <f t="shared" si="155"/>
        <v>35045.833026630149</v>
      </c>
      <c r="Y471" s="13">
        <f t="shared" si="172"/>
        <v>61.870762605783796</v>
      </c>
      <c r="AA471" s="11" t="s">
        <v>189</v>
      </c>
      <c r="AB471" s="98">
        <f t="shared" ref="AB471:AC486" si="183">AB470</f>
        <v>15000000</v>
      </c>
      <c r="AC471" s="97">
        <f t="shared" si="183"/>
        <v>2.579E-2</v>
      </c>
      <c r="AD471" s="13">
        <f t="shared" si="173"/>
        <v>1074.5833333333333</v>
      </c>
      <c r="AE471" s="13">
        <f t="shared" si="174"/>
        <v>106383.74999999987</v>
      </c>
      <c r="AF471" s="13">
        <f t="shared" si="175"/>
        <v>345.41666666666663</v>
      </c>
      <c r="AH471" s="235">
        <f>'CT- € Ellipsis BNP'!X471</f>
        <v>0</v>
      </c>
      <c r="AI471" s="236">
        <f>'CT- € Ellipsis BNP'!AA471</f>
        <v>0</v>
      </c>
      <c r="AJ471" s="90">
        <f>'CT- € Ellipsis BNP'!W471</f>
        <v>0</v>
      </c>
      <c r="AK471" s="91">
        <f>'CT- € Ellipsis BNP'!AC471</f>
        <v>0</v>
      </c>
      <c r="AM471" s="235">
        <f>'codeis €'!Z471</f>
        <v>0</v>
      </c>
      <c r="AN471" s="236">
        <f>'codeis €'!AF471</f>
        <v>0</v>
      </c>
      <c r="AO471" s="90">
        <f>'codeis €'!AC471</f>
        <v>0</v>
      </c>
      <c r="AP471" s="91">
        <f>'codeis €'!AI471</f>
        <v>0</v>
      </c>
      <c r="AR471" s="12">
        <f t="shared" si="176"/>
        <v>67260956.159999996</v>
      </c>
      <c r="AS471" s="118">
        <f t="shared" si="177"/>
        <v>0.02</v>
      </c>
      <c r="AT471" s="118">
        <f t="shared" si="178"/>
        <v>2.0428995474183843E-2</v>
      </c>
      <c r="AU471" s="12">
        <f t="shared" si="179"/>
        <v>3816.871580505328</v>
      </c>
      <c r="AV471" s="12">
        <f t="shared" si="180"/>
        <v>547.24176717199384</v>
      </c>
      <c r="AW471" s="19"/>
    </row>
    <row r="472" spans="2:49" x14ac:dyDescent="0.25">
      <c r="B472" s="9" t="str">
        <f t="shared" si="163"/>
        <v>4 2026</v>
      </c>
      <c r="C472" s="88">
        <f t="shared" si="164"/>
        <v>46121</v>
      </c>
      <c r="D472" s="88">
        <f t="shared" si="157"/>
        <v>46122</v>
      </c>
      <c r="E472" s="89">
        <f t="shared" si="165"/>
        <v>1</v>
      </c>
      <c r="G472" s="11" t="s">
        <v>7</v>
      </c>
      <c r="H472" s="12">
        <f t="shared" si="181"/>
        <v>34250000</v>
      </c>
      <c r="I472" s="14">
        <f t="shared" si="181"/>
        <v>1.7500000000000002E-2</v>
      </c>
      <c r="J472" s="13">
        <f t="shared" si="166"/>
        <v>1664.9305555555557</v>
      </c>
      <c r="K472" s="13">
        <f t="shared" si="167"/>
        <v>75374.444444444453</v>
      </c>
      <c r="M472" s="11" t="s">
        <v>7</v>
      </c>
      <c r="N472" s="12">
        <f t="shared" ref="N472:O487" si="184">N471</f>
        <v>12000000</v>
      </c>
      <c r="O472" s="97">
        <f t="shared" si="184"/>
        <v>2.1698630136986304E-2</v>
      </c>
      <c r="P472" s="112">
        <f t="shared" si="168"/>
        <v>723.28767123287685</v>
      </c>
      <c r="Q472" s="13">
        <f t="shared" si="169"/>
        <v>72328.767123287762</v>
      </c>
      <c r="R472" s="13">
        <f t="shared" si="170"/>
        <v>139.95433789954348</v>
      </c>
      <c r="T472" s="11" t="str">
        <f t="shared" si="182"/>
        <v>SG</v>
      </c>
      <c r="U472" s="12">
        <f t="shared" si="182"/>
        <v>6010956.1600000001</v>
      </c>
      <c r="V472" s="97">
        <f t="shared" si="182"/>
        <v>2.1205479452054792E-2</v>
      </c>
      <c r="W472" s="13">
        <f t="shared" si="171"/>
        <v>354.0700203835616</v>
      </c>
      <c r="X472" s="13">
        <f t="shared" si="155"/>
        <v>35399.903047013708</v>
      </c>
      <c r="Y472" s="13">
        <f t="shared" si="172"/>
        <v>61.870762605783796</v>
      </c>
      <c r="AA472" s="11" t="s">
        <v>189</v>
      </c>
      <c r="AB472" s="98">
        <f t="shared" si="183"/>
        <v>15000000</v>
      </c>
      <c r="AC472" s="97">
        <f t="shared" si="183"/>
        <v>2.579E-2</v>
      </c>
      <c r="AD472" s="13">
        <f t="shared" si="173"/>
        <v>1074.5833333333333</v>
      </c>
      <c r="AE472" s="13">
        <f t="shared" si="174"/>
        <v>107458.3333333332</v>
      </c>
      <c r="AF472" s="13">
        <f t="shared" si="175"/>
        <v>345.41666666666663</v>
      </c>
      <c r="AH472" s="235">
        <f>'CT- € Ellipsis BNP'!X472</f>
        <v>0</v>
      </c>
      <c r="AI472" s="236">
        <f>'CT- € Ellipsis BNP'!AA472</f>
        <v>0</v>
      </c>
      <c r="AJ472" s="90">
        <f>'CT- € Ellipsis BNP'!W472</f>
        <v>0</v>
      </c>
      <c r="AK472" s="91">
        <f>'CT- € Ellipsis BNP'!AC472</f>
        <v>0</v>
      </c>
      <c r="AM472" s="235">
        <f>'codeis €'!Z472</f>
        <v>0</v>
      </c>
      <c r="AN472" s="236">
        <f>'codeis €'!AF472</f>
        <v>0</v>
      </c>
      <c r="AO472" s="90">
        <f>'codeis €'!AC472</f>
        <v>0</v>
      </c>
      <c r="AP472" s="91">
        <f>'codeis €'!AI472</f>
        <v>0</v>
      </c>
      <c r="AR472" s="12">
        <f t="shared" si="176"/>
        <v>67260956.159999996</v>
      </c>
      <c r="AS472" s="118">
        <f t="shared" si="177"/>
        <v>0.02</v>
      </c>
      <c r="AT472" s="118">
        <f t="shared" si="178"/>
        <v>2.0428995474183843E-2</v>
      </c>
      <c r="AU472" s="12">
        <f t="shared" si="179"/>
        <v>3816.871580505328</v>
      </c>
      <c r="AV472" s="12">
        <f t="shared" si="180"/>
        <v>547.24176717199384</v>
      </c>
      <c r="AW472" s="19"/>
    </row>
    <row r="473" spans="2:49" x14ac:dyDescent="0.25">
      <c r="B473" s="9" t="str">
        <f t="shared" si="163"/>
        <v>4 2026</v>
      </c>
      <c r="C473" s="88">
        <f t="shared" si="164"/>
        <v>46122</v>
      </c>
      <c r="D473" s="88">
        <f t="shared" si="157"/>
        <v>46123</v>
      </c>
      <c r="E473" s="89">
        <f t="shared" si="165"/>
        <v>1</v>
      </c>
      <c r="G473" s="11" t="s">
        <v>7</v>
      </c>
      <c r="H473" s="12">
        <f t="shared" si="181"/>
        <v>34250000</v>
      </c>
      <c r="I473" s="14">
        <f t="shared" si="181"/>
        <v>1.7500000000000002E-2</v>
      </c>
      <c r="J473" s="13">
        <f t="shared" si="166"/>
        <v>1664.9305555555557</v>
      </c>
      <c r="K473" s="13">
        <f t="shared" si="167"/>
        <v>77039.375000000015</v>
      </c>
      <c r="M473" s="11" t="s">
        <v>7</v>
      </c>
      <c r="N473" s="12">
        <f t="shared" si="184"/>
        <v>12000000</v>
      </c>
      <c r="O473" s="97">
        <f t="shared" si="184"/>
        <v>2.1698630136986304E-2</v>
      </c>
      <c r="P473" s="112">
        <f t="shared" si="168"/>
        <v>723.28767123287685</v>
      </c>
      <c r="Q473" s="13">
        <f t="shared" si="169"/>
        <v>73052.054794520634</v>
      </c>
      <c r="R473" s="13">
        <f t="shared" si="170"/>
        <v>139.95433789954348</v>
      </c>
      <c r="T473" s="11" t="str">
        <f t="shared" si="182"/>
        <v>SG</v>
      </c>
      <c r="U473" s="12">
        <f t="shared" si="182"/>
        <v>6010956.1600000001</v>
      </c>
      <c r="V473" s="97">
        <f t="shared" si="182"/>
        <v>2.1205479452054792E-2</v>
      </c>
      <c r="W473" s="13">
        <f t="shared" si="171"/>
        <v>354.0700203835616</v>
      </c>
      <c r="X473" s="13">
        <f t="shared" si="155"/>
        <v>35753.973067397266</v>
      </c>
      <c r="Y473" s="13">
        <f t="shared" si="172"/>
        <v>61.870762605783796</v>
      </c>
      <c r="AA473" s="11" t="s">
        <v>189</v>
      </c>
      <c r="AB473" s="98">
        <f t="shared" si="183"/>
        <v>15000000</v>
      </c>
      <c r="AC473" s="97">
        <f t="shared" si="183"/>
        <v>2.579E-2</v>
      </c>
      <c r="AD473" s="13">
        <f t="shared" si="173"/>
        <v>1074.5833333333333</v>
      </c>
      <c r="AE473" s="13">
        <f t="shared" si="174"/>
        <v>108532.91666666653</v>
      </c>
      <c r="AF473" s="13">
        <f t="shared" si="175"/>
        <v>345.41666666666663</v>
      </c>
      <c r="AH473" s="235">
        <f>'CT- € Ellipsis BNP'!X473</f>
        <v>0</v>
      </c>
      <c r="AI473" s="236">
        <f>'CT- € Ellipsis BNP'!AA473</f>
        <v>0</v>
      </c>
      <c r="AJ473" s="90">
        <f>'CT- € Ellipsis BNP'!W473</f>
        <v>0</v>
      </c>
      <c r="AK473" s="91">
        <f>'CT- € Ellipsis BNP'!AC473</f>
        <v>0</v>
      </c>
      <c r="AM473" s="235">
        <f>'codeis €'!Z473</f>
        <v>0</v>
      </c>
      <c r="AN473" s="236">
        <f>'codeis €'!AF473</f>
        <v>0</v>
      </c>
      <c r="AO473" s="90">
        <f>'codeis €'!AC473</f>
        <v>0</v>
      </c>
      <c r="AP473" s="91">
        <f>'codeis €'!AI473</f>
        <v>0</v>
      </c>
      <c r="AR473" s="12">
        <f t="shared" si="176"/>
        <v>67260956.159999996</v>
      </c>
      <c r="AS473" s="118">
        <f t="shared" si="177"/>
        <v>0.02</v>
      </c>
      <c r="AT473" s="118">
        <f t="shared" si="178"/>
        <v>2.0428995474183843E-2</v>
      </c>
      <c r="AU473" s="12">
        <f t="shared" si="179"/>
        <v>3816.871580505328</v>
      </c>
      <c r="AV473" s="12">
        <f t="shared" si="180"/>
        <v>547.24176717199384</v>
      </c>
      <c r="AW473" s="19"/>
    </row>
    <row r="474" spans="2:49" x14ac:dyDescent="0.25">
      <c r="B474" s="9" t="str">
        <f t="shared" si="163"/>
        <v>4 2026</v>
      </c>
      <c r="C474" s="88">
        <f t="shared" si="164"/>
        <v>46123</v>
      </c>
      <c r="D474" s="88">
        <f t="shared" si="157"/>
        <v>46124</v>
      </c>
      <c r="E474" s="89">
        <f t="shared" si="165"/>
        <v>1</v>
      </c>
      <c r="G474" s="11" t="s">
        <v>7</v>
      </c>
      <c r="H474" s="12">
        <f t="shared" si="181"/>
        <v>34250000</v>
      </c>
      <c r="I474" s="14">
        <f t="shared" si="181"/>
        <v>1.7500000000000002E-2</v>
      </c>
      <c r="J474" s="13">
        <f t="shared" si="166"/>
        <v>1664.9305555555557</v>
      </c>
      <c r="K474" s="13">
        <f t="shared" si="167"/>
        <v>78704.305555555577</v>
      </c>
      <c r="M474" s="11" t="s">
        <v>7</v>
      </c>
      <c r="N474" s="12">
        <f t="shared" si="184"/>
        <v>12000000</v>
      </c>
      <c r="O474" s="97">
        <f t="shared" si="184"/>
        <v>2.1698630136986304E-2</v>
      </c>
      <c r="P474" s="112">
        <f t="shared" si="168"/>
        <v>723.28767123287685</v>
      </c>
      <c r="Q474" s="13">
        <f t="shared" si="169"/>
        <v>73775.342465753507</v>
      </c>
      <c r="R474" s="13">
        <f t="shared" si="170"/>
        <v>139.95433789954348</v>
      </c>
      <c r="T474" s="11" t="str">
        <f t="shared" si="182"/>
        <v>SG</v>
      </c>
      <c r="U474" s="12">
        <f t="shared" si="182"/>
        <v>6010956.1600000001</v>
      </c>
      <c r="V474" s="97">
        <f t="shared" si="182"/>
        <v>2.1205479452054792E-2</v>
      </c>
      <c r="W474" s="13">
        <f t="shared" si="171"/>
        <v>354.0700203835616</v>
      </c>
      <c r="X474" s="13">
        <f t="shared" si="155"/>
        <v>36108.043087780825</v>
      </c>
      <c r="Y474" s="13">
        <f t="shared" si="172"/>
        <v>61.870762605783796</v>
      </c>
      <c r="AA474" s="11" t="s">
        <v>189</v>
      </c>
      <c r="AB474" s="98">
        <f t="shared" si="183"/>
        <v>15000000</v>
      </c>
      <c r="AC474" s="97">
        <f t="shared" si="183"/>
        <v>2.579E-2</v>
      </c>
      <c r="AD474" s="13">
        <f t="shared" si="173"/>
        <v>1074.5833333333333</v>
      </c>
      <c r="AE474" s="13">
        <f t="shared" si="174"/>
        <v>109607.49999999985</v>
      </c>
      <c r="AF474" s="13">
        <f t="shared" si="175"/>
        <v>345.41666666666663</v>
      </c>
      <c r="AH474" s="235">
        <f>'CT- € Ellipsis BNP'!X474</f>
        <v>0</v>
      </c>
      <c r="AI474" s="236">
        <f>'CT- € Ellipsis BNP'!AA474</f>
        <v>0</v>
      </c>
      <c r="AJ474" s="90">
        <f>'CT- € Ellipsis BNP'!W474</f>
        <v>0</v>
      </c>
      <c r="AK474" s="91">
        <f>'CT- € Ellipsis BNP'!AC474</f>
        <v>0</v>
      </c>
      <c r="AM474" s="235">
        <f>'codeis €'!Z474</f>
        <v>0</v>
      </c>
      <c r="AN474" s="236">
        <f>'codeis €'!AF474</f>
        <v>0</v>
      </c>
      <c r="AO474" s="90">
        <f>'codeis €'!AC474</f>
        <v>0</v>
      </c>
      <c r="AP474" s="91">
        <f>'codeis €'!AI474</f>
        <v>0</v>
      </c>
      <c r="AR474" s="12">
        <f t="shared" si="176"/>
        <v>67260956.159999996</v>
      </c>
      <c r="AS474" s="118">
        <f t="shared" si="177"/>
        <v>0.02</v>
      </c>
      <c r="AT474" s="118">
        <f t="shared" si="178"/>
        <v>2.0428995474183843E-2</v>
      </c>
      <c r="AU474" s="12">
        <f t="shared" si="179"/>
        <v>3816.871580505328</v>
      </c>
      <c r="AV474" s="12">
        <f t="shared" si="180"/>
        <v>547.24176717199384</v>
      </c>
      <c r="AW474" s="19"/>
    </row>
    <row r="475" spans="2:49" x14ac:dyDescent="0.25">
      <c r="B475" s="9" t="str">
        <f t="shared" si="163"/>
        <v>4 2026</v>
      </c>
      <c r="C475" s="88">
        <f t="shared" si="164"/>
        <v>46124</v>
      </c>
      <c r="D475" s="88">
        <f t="shared" si="157"/>
        <v>46125</v>
      </c>
      <c r="E475" s="89">
        <f t="shared" si="165"/>
        <v>1</v>
      </c>
      <c r="G475" s="11" t="s">
        <v>7</v>
      </c>
      <c r="H475" s="12">
        <f t="shared" si="181"/>
        <v>34250000</v>
      </c>
      <c r="I475" s="14">
        <f t="shared" si="181"/>
        <v>1.7500000000000002E-2</v>
      </c>
      <c r="J475" s="13">
        <f t="shared" si="166"/>
        <v>1664.9305555555557</v>
      </c>
      <c r="K475" s="13">
        <f t="shared" si="167"/>
        <v>80369.236111111139</v>
      </c>
      <c r="M475" s="11" t="s">
        <v>7</v>
      </c>
      <c r="N475" s="12">
        <f t="shared" si="184"/>
        <v>12000000</v>
      </c>
      <c r="O475" s="97">
        <f t="shared" si="184"/>
        <v>2.1698630136986304E-2</v>
      </c>
      <c r="P475" s="112">
        <f t="shared" si="168"/>
        <v>723.28767123287685</v>
      </c>
      <c r="Q475" s="13">
        <f t="shared" si="169"/>
        <v>74498.63013698638</v>
      </c>
      <c r="R475" s="13">
        <f t="shared" si="170"/>
        <v>139.95433789954348</v>
      </c>
      <c r="T475" s="11" t="str">
        <f t="shared" si="182"/>
        <v>SG</v>
      </c>
      <c r="U475" s="12">
        <f t="shared" si="182"/>
        <v>6010956.1600000001</v>
      </c>
      <c r="V475" s="97">
        <f t="shared" si="182"/>
        <v>2.1205479452054792E-2</v>
      </c>
      <c r="W475" s="13">
        <f t="shared" si="171"/>
        <v>354.0700203835616</v>
      </c>
      <c r="X475" s="13">
        <f t="shared" si="155"/>
        <v>36462.113108164383</v>
      </c>
      <c r="Y475" s="13">
        <f t="shared" si="172"/>
        <v>61.870762605783796</v>
      </c>
      <c r="AA475" s="11" t="s">
        <v>189</v>
      </c>
      <c r="AB475" s="98">
        <f t="shared" si="183"/>
        <v>15000000</v>
      </c>
      <c r="AC475" s="97">
        <f t="shared" si="183"/>
        <v>2.579E-2</v>
      </c>
      <c r="AD475" s="13">
        <f t="shared" si="173"/>
        <v>1074.5833333333333</v>
      </c>
      <c r="AE475" s="13">
        <f t="shared" si="174"/>
        <v>110682.08333333318</v>
      </c>
      <c r="AF475" s="13">
        <f t="shared" si="175"/>
        <v>345.41666666666663</v>
      </c>
      <c r="AH475" s="235">
        <f>'CT- € Ellipsis BNP'!X475</f>
        <v>0</v>
      </c>
      <c r="AI475" s="236">
        <f>'CT- € Ellipsis BNP'!AA475</f>
        <v>0</v>
      </c>
      <c r="AJ475" s="90">
        <f>'CT- € Ellipsis BNP'!W475</f>
        <v>0</v>
      </c>
      <c r="AK475" s="91">
        <f>'CT- € Ellipsis BNP'!AC475</f>
        <v>0</v>
      </c>
      <c r="AM475" s="235">
        <f>'codeis €'!Z475</f>
        <v>0</v>
      </c>
      <c r="AN475" s="236">
        <f>'codeis €'!AF475</f>
        <v>0</v>
      </c>
      <c r="AO475" s="90">
        <f>'codeis €'!AC475</f>
        <v>0</v>
      </c>
      <c r="AP475" s="91">
        <f>'codeis €'!AI475</f>
        <v>0</v>
      </c>
      <c r="AR475" s="12">
        <f t="shared" si="176"/>
        <v>67260956.159999996</v>
      </c>
      <c r="AS475" s="118">
        <f t="shared" si="177"/>
        <v>0.02</v>
      </c>
      <c r="AT475" s="118">
        <f t="shared" si="178"/>
        <v>2.0428995474183843E-2</v>
      </c>
      <c r="AU475" s="12">
        <f t="shared" si="179"/>
        <v>3816.871580505328</v>
      </c>
      <c r="AV475" s="12">
        <f t="shared" si="180"/>
        <v>547.24176717199384</v>
      </c>
      <c r="AW475" s="19"/>
    </row>
    <row r="476" spans="2:49" x14ac:dyDescent="0.25">
      <c r="B476" s="9" t="str">
        <f t="shared" si="163"/>
        <v>4 2026</v>
      </c>
      <c r="C476" s="88">
        <f t="shared" si="164"/>
        <v>46125</v>
      </c>
      <c r="D476" s="88">
        <f t="shared" si="157"/>
        <v>46126</v>
      </c>
      <c r="E476" s="89">
        <f t="shared" si="165"/>
        <v>1</v>
      </c>
      <c r="G476" s="11" t="s">
        <v>7</v>
      </c>
      <c r="H476" s="12">
        <f t="shared" si="181"/>
        <v>34250000</v>
      </c>
      <c r="I476" s="14">
        <f t="shared" si="181"/>
        <v>1.7500000000000002E-2</v>
      </c>
      <c r="J476" s="13">
        <f t="shared" si="166"/>
        <v>1664.9305555555557</v>
      </c>
      <c r="K476" s="13">
        <f t="shared" si="167"/>
        <v>82034.166666666701</v>
      </c>
      <c r="M476" s="11" t="s">
        <v>7</v>
      </c>
      <c r="N476" s="12">
        <f t="shared" si="184"/>
        <v>12000000</v>
      </c>
      <c r="O476" s="97">
        <f t="shared" si="184"/>
        <v>2.1698630136986304E-2</v>
      </c>
      <c r="P476" s="112">
        <f t="shared" si="168"/>
        <v>723.28767123287685</v>
      </c>
      <c r="Q476" s="13">
        <f t="shared" si="169"/>
        <v>75221.917808219252</v>
      </c>
      <c r="R476" s="13">
        <f t="shared" si="170"/>
        <v>139.95433789954348</v>
      </c>
      <c r="T476" s="11" t="str">
        <f t="shared" si="182"/>
        <v>SG</v>
      </c>
      <c r="U476" s="12">
        <f t="shared" si="182"/>
        <v>6010956.1600000001</v>
      </c>
      <c r="V476" s="97">
        <f t="shared" si="182"/>
        <v>2.1205479452054792E-2</v>
      </c>
      <c r="W476" s="13">
        <f t="shared" si="171"/>
        <v>354.0700203835616</v>
      </c>
      <c r="X476" s="13">
        <f t="shared" si="155"/>
        <v>36816.183128547942</v>
      </c>
      <c r="Y476" s="13">
        <f t="shared" si="172"/>
        <v>61.870762605783796</v>
      </c>
      <c r="AA476" s="11" t="s">
        <v>189</v>
      </c>
      <c r="AB476" s="98">
        <f t="shared" si="183"/>
        <v>15000000</v>
      </c>
      <c r="AC476" s="97">
        <f t="shared" si="183"/>
        <v>2.579E-2</v>
      </c>
      <c r="AD476" s="13">
        <f t="shared" si="173"/>
        <v>1074.5833333333333</v>
      </c>
      <c r="AE476" s="13">
        <f t="shared" si="174"/>
        <v>111756.66666666651</v>
      </c>
      <c r="AF476" s="13">
        <f t="shared" si="175"/>
        <v>345.41666666666663</v>
      </c>
      <c r="AH476" s="235">
        <f>'CT- € Ellipsis BNP'!X476</f>
        <v>0</v>
      </c>
      <c r="AI476" s="236">
        <f>'CT- € Ellipsis BNP'!AA476</f>
        <v>0</v>
      </c>
      <c r="AJ476" s="90">
        <f>'CT- € Ellipsis BNP'!W476</f>
        <v>0</v>
      </c>
      <c r="AK476" s="91">
        <f>'CT- € Ellipsis BNP'!AC476</f>
        <v>0</v>
      </c>
      <c r="AM476" s="235">
        <f>'codeis €'!Z476</f>
        <v>0</v>
      </c>
      <c r="AN476" s="236">
        <f>'codeis €'!AF476</f>
        <v>0</v>
      </c>
      <c r="AO476" s="90">
        <f>'codeis €'!AC476</f>
        <v>0</v>
      </c>
      <c r="AP476" s="91">
        <f>'codeis €'!AI476</f>
        <v>0</v>
      </c>
      <c r="AR476" s="12">
        <f t="shared" si="176"/>
        <v>67260956.159999996</v>
      </c>
      <c r="AS476" s="118">
        <f t="shared" si="177"/>
        <v>0.02</v>
      </c>
      <c r="AT476" s="118">
        <f t="shared" si="178"/>
        <v>2.0428995474183843E-2</v>
      </c>
      <c r="AU476" s="12">
        <f t="shared" si="179"/>
        <v>3816.871580505328</v>
      </c>
      <c r="AV476" s="12">
        <f t="shared" si="180"/>
        <v>547.24176717199384</v>
      </c>
      <c r="AW476" s="19"/>
    </row>
    <row r="477" spans="2:49" x14ac:dyDescent="0.25">
      <c r="B477" s="9" t="str">
        <f t="shared" si="163"/>
        <v>4 2026</v>
      </c>
      <c r="C477" s="88">
        <f t="shared" si="164"/>
        <v>46126</v>
      </c>
      <c r="D477" s="88">
        <f t="shared" si="157"/>
        <v>46127</v>
      </c>
      <c r="E477" s="89">
        <f t="shared" si="165"/>
        <v>1</v>
      </c>
      <c r="G477" s="11" t="s">
        <v>7</v>
      </c>
      <c r="H477" s="12">
        <f t="shared" si="181"/>
        <v>34250000</v>
      </c>
      <c r="I477" s="14">
        <f t="shared" si="181"/>
        <v>1.7500000000000002E-2</v>
      </c>
      <c r="J477" s="13">
        <f t="shared" si="166"/>
        <v>1664.9305555555557</v>
      </c>
      <c r="K477" s="13">
        <f t="shared" si="167"/>
        <v>83699.097222222263</v>
      </c>
      <c r="M477" s="11" t="s">
        <v>7</v>
      </c>
      <c r="N477" s="12">
        <f t="shared" si="184"/>
        <v>12000000</v>
      </c>
      <c r="O477" s="97">
        <f t="shared" si="184"/>
        <v>2.1698630136986304E-2</v>
      </c>
      <c r="P477" s="112">
        <f t="shared" si="168"/>
        <v>723.28767123287685</v>
      </c>
      <c r="Q477" s="13">
        <f t="shared" si="169"/>
        <v>75945.205479452125</v>
      </c>
      <c r="R477" s="13">
        <f t="shared" si="170"/>
        <v>139.95433789954348</v>
      </c>
      <c r="T477" s="11" t="str">
        <f t="shared" si="182"/>
        <v>SG</v>
      </c>
      <c r="U477" s="12">
        <f t="shared" si="182"/>
        <v>6010956.1600000001</v>
      </c>
      <c r="V477" s="97">
        <f t="shared" si="182"/>
        <v>2.1205479452054792E-2</v>
      </c>
      <c r="W477" s="13">
        <f t="shared" si="171"/>
        <v>354.0700203835616</v>
      </c>
      <c r="X477" s="13">
        <f t="shared" si="155"/>
        <v>37170.253148931501</v>
      </c>
      <c r="Y477" s="13">
        <f t="shared" si="172"/>
        <v>61.870762605783796</v>
      </c>
      <c r="AA477" s="11" t="s">
        <v>189</v>
      </c>
      <c r="AB477" s="98">
        <f t="shared" si="183"/>
        <v>15000000</v>
      </c>
      <c r="AC477" s="97">
        <f t="shared" si="183"/>
        <v>2.579E-2</v>
      </c>
      <c r="AD477" s="13">
        <f t="shared" si="173"/>
        <v>1074.5833333333333</v>
      </c>
      <c r="AE477" s="13">
        <f t="shared" si="174"/>
        <v>112831.24999999984</v>
      </c>
      <c r="AF477" s="13">
        <f t="shared" si="175"/>
        <v>345.41666666666663</v>
      </c>
      <c r="AH477" s="235">
        <f>'CT- € Ellipsis BNP'!X477</f>
        <v>0</v>
      </c>
      <c r="AI477" s="236">
        <f>'CT- € Ellipsis BNP'!AA477</f>
        <v>0</v>
      </c>
      <c r="AJ477" s="90">
        <f>'CT- € Ellipsis BNP'!W477</f>
        <v>0</v>
      </c>
      <c r="AK477" s="91">
        <f>'CT- € Ellipsis BNP'!AC477</f>
        <v>0</v>
      </c>
      <c r="AM477" s="235">
        <f>'codeis €'!Z477</f>
        <v>0</v>
      </c>
      <c r="AN477" s="236">
        <f>'codeis €'!AF477</f>
        <v>0</v>
      </c>
      <c r="AO477" s="90">
        <f>'codeis €'!AC477</f>
        <v>0</v>
      </c>
      <c r="AP477" s="91">
        <f>'codeis €'!AI477</f>
        <v>0</v>
      </c>
      <c r="AR477" s="12">
        <f t="shared" si="176"/>
        <v>67260956.159999996</v>
      </c>
      <c r="AS477" s="118">
        <f t="shared" si="177"/>
        <v>0.02</v>
      </c>
      <c r="AT477" s="118">
        <f t="shared" si="178"/>
        <v>2.0428995474183843E-2</v>
      </c>
      <c r="AU477" s="12">
        <f t="shared" si="179"/>
        <v>3816.871580505328</v>
      </c>
      <c r="AV477" s="12">
        <f t="shared" si="180"/>
        <v>547.24176717199384</v>
      </c>
      <c r="AW477" s="19"/>
    </row>
    <row r="478" spans="2:49" x14ac:dyDescent="0.25">
      <c r="B478" s="9" t="str">
        <f t="shared" si="163"/>
        <v>4 2026</v>
      </c>
      <c r="C478" s="88">
        <f t="shared" si="164"/>
        <v>46127</v>
      </c>
      <c r="D478" s="88">
        <f t="shared" si="157"/>
        <v>46128</v>
      </c>
      <c r="E478" s="89">
        <f t="shared" si="165"/>
        <v>1</v>
      </c>
      <c r="G478" s="11" t="s">
        <v>7</v>
      </c>
      <c r="H478" s="12">
        <f t="shared" si="181"/>
        <v>34250000</v>
      </c>
      <c r="I478" s="14">
        <f t="shared" si="181"/>
        <v>1.7500000000000002E-2</v>
      </c>
      <c r="J478" s="13">
        <f t="shared" si="166"/>
        <v>1664.9305555555557</v>
      </c>
      <c r="K478" s="13">
        <f t="shared" si="167"/>
        <v>85364.027777777825</v>
      </c>
      <c r="M478" s="11" t="s">
        <v>7</v>
      </c>
      <c r="N478" s="12">
        <f t="shared" si="184"/>
        <v>12000000</v>
      </c>
      <c r="O478" s="97">
        <f t="shared" si="184"/>
        <v>2.1698630136986304E-2</v>
      </c>
      <c r="P478" s="112">
        <f t="shared" si="168"/>
        <v>723.28767123287685</v>
      </c>
      <c r="Q478" s="13">
        <f t="shared" si="169"/>
        <v>76668.493150684997</v>
      </c>
      <c r="R478" s="13">
        <f t="shared" si="170"/>
        <v>139.95433789954348</v>
      </c>
      <c r="T478" s="11" t="str">
        <f t="shared" si="182"/>
        <v>SG</v>
      </c>
      <c r="U478" s="12">
        <f t="shared" si="182"/>
        <v>6010956.1600000001</v>
      </c>
      <c r="V478" s="97">
        <f t="shared" si="182"/>
        <v>2.1205479452054792E-2</v>
      </c>
      <c r="W478" s="13">
        <f t="shared" si="171"/>
        <v>354.0700203835616</v>
      </c>
      <c r="X478" s="13">
        <f t="shared" si="155"/>
        <v>37524.323169315059</v>
      </c>
      <c r="Y478" s="13">
        <f t="shared" si="172"/>
        <v>61.870762605783796</v>
      </c>
      <c r="AA478" s="11" t="s">
        <v>189</v>
      </c>
      <c r="AB478" s="98">
        <f t="shared" si="183"/>
        <v>15000000</v>
      </c>
      <c r="AC478" s="97">
        <f t="shared" si="183"/>
        <v>2.579E-2</v>
      </c>
      <c r="AD478" s="13">
        <f t="shared" si="173"/>
        <v>1074.5833333333333</v>
      </c>
      <c r="AE478" s="13">
        <f t="shared" si="174"/>
        <v>113905.83333333317</v>
      </c>
      <c r="AF478" s="13">
        <f t="shared" si="175"/>
        <v>345.41666666666663</v>
      </c>
      <c r="AH478" s="235">
        <f>'CT- € Ellipsis BNP'!X478</f>
        <v>0</v>
      </c>
      <c r="AI478" s="236">
        <f>'CT- € Ellipsis BNP'!AA478</f>
        <v>0</v>
      </c>
      <c r="AJ478" s="90">
        <f>'CT- € Ellipsis BNP'!W478</f>
        <v>0</v>
      </c>
      <c r="AK478" s="91">
        <f>'CT- € Ellipsis BNP'!AC478</f>
        <v>0</v>
      </c>
      <c r="AM478" s="235">
        <f>'codeis €'!Z478</f>
        <v>0</v>
      </c>
      <c r="AN478" s="236">
        <f>'codeis €'!AF478</f>
        <v>0</v>
      </c>
      <c r="AO478" s="90">
        <f>'codeis €'!AC478</f>
        <v>0</v>
      </c>
      <c r="AP478" s="91">
        <f>'codeis €'!AI478</f>
        <v>0</v>
      </c>
      <c r="AR478" s="12">
        <f t="shared" si="176"/>
        <v>67260956.159999996</v>
      </c>
      <c r="AS478" s="118">
        <f t="shared" si="177"/>
        <v>0.02</v>
      </c>
      <c r="AT478" s="118">
        <f t="shared" si="178"/>
        <v>2.0428995474183843E-2</v>
      </c>
      <c r="AU478" s="12">
        <f t="shared" si="179"/>
        <v>3816.871580505328</v>
      </c>
      <c r="AV478" s="12">
        <f t="shared" si="180"/>
        <v>547.24176717199384</v>
      </c>
      <c r="AW478" s="19"/>
    </row>
    <row r="479" spans="2:49" x14ac:dyDescent="0.25">
      <c r="B479" s="9" t="str">
        <f t="shared" si="163"/>
        <v>4 2026</v>
      </c>
      <c r="C479" s="88">
        <f t="shared" si="164"/>
        <v>46128</v>
      </c>
      <c r="D479" s="88">
        <f t="shared" si="157"/>
        <v>46129</v>
      </c>
      <c r="E479" s="89">
        <f t="shared" si="165"/>
        <v>1</v>
      </c>
      <c r="G479" s="11" t="s">
        <v>7</v>
      </c>
      <c r="H479" s="12">
        <f t="shared" si="181"/>
        <v>34250000</v>
      </c>
      <c r="I479" s="14">
        <f t="shared" si="181"/>
        <v>1.7500000000000002E-2</v>
      </c>
      <c r="J479" s="13">
        <f t="shared" si="166"/>
        <v>1664.9305555555557</v>
      </c>
      <c r="K479" s="13">
        <f t="shared" si="167"/>
        <v>87028.958333333387</v>
      </c>
      <c r="M479" s="11" t="s">
        <v>7</v>
      </c>
      <c r="N479" s="12">
        <f t="shared" si="184"/>
        <v>12000000</v>
      </c>
      <c r="O479" s="97">
        <f t="shared" si="184"/>
        <v>2.1698630136986304E-2</v>
      </c>
      <c r="P479" s="112">
        <f t="shared" si="168"/>
        <v>723.28767123287685</v>
      </c>
      <c r="Q479" s="13">
        <f t="shared" si="169"/>
        <v>77391.78082191787</v>
      </c>
      <c r="R479" s="13">
        <f t="shared" si="170"/>
        <v>139.95433789954348</v>
      </c>
      <c r="T479" s="11" t="str">
        <f t="shared" si="182"/>
        <v>SG</v>
      </c>
      <c r="U479" s="12">
        <f t="shared" si="182"/>
        <v>6010956.1600000001</v>
      </c>
      <c r="V479" s="97">
        <f t="shared" si="182"/>
        <v>2.1205479452054792E-2</v>
      </c>
      <c r="W479" s="13">
        <f t="shared" si="171"/>
        <v>354.0700203835616</v>
      </c>
      <c r="X479" s="13">
        <f t="shared" si="155"/>
        <v>37878.393189698618</v>
      </c>
      <c r="Y479" s="13">
        <f t="shared" si="172"/>
        <v>61.870762605783796</v>
      </c>
      <c r="AA479" s="11" t="s">
        <v>189</v>
      </c>
      <c r="AB479" s="98">
        <f t="shared" si="183"/>
        <v>15000000</v>
      </c>
      <c r="AC479" s="97">
        <f t="shared" si="183"/>
        <v>2.579E-2</v>
      </c>
      <c r="AD479" s="13">
        <f t="shared" si="173"/>
        <v>1074.5833333333333</v>
      </c>
      <c r="AE479" s="13">
        <f t="shared" si="174"/>
        <v>114980.4166666665</v>
      </c>
      <c r="AF479" s="13">
        <f t="shared" si="175"/>
        <v>345.41666666666663</v>
      </c>
      <c r="AH479" s="235">
        <f>'CT- € Ellipsis BNP'!X479</f>
        <v>0</v>
      </c>
      <c r="AI479" s="236">
        <f>'CT- € Ellipsis BNP'!AA479</f>
        <v>0</v>
      </c>
      <c r="AJ479" s="90">
        <f>'CT- € Ellipsis BNP'!W479</f>
        <v>0</v>
      </c>
      <c r="AK479" s="91">
        <f>'CT- € Ellipsis BNP'!AC479</f>
        <v>0</v>
      </c>
      <c r="AM479" s="235">
        <f>'codeis €'!Z479</f>
        <v>0</v>
      </c>
      <c r="AN479" s="236">
        <f>'codeis €'!AF479</f>
        <v>0</v>
      </c>
      <c r="AO479" s="90">
        <f>'codeis €'!AC479</f>
        <v>0</v>
      </c>
      <c r="AP479" s="91">
        <f>'codeis €'!AI479</f>
        <v>0</v>
      </c>
      <c r="AR479" s="12">
        <f t="shared" si="176"/>
        <v>67260956.159999996</v>
      </c>
      <c r="AS479" s="118">
        <f t="shared" si="177"/>
        <v>0.02</v>
      </c>
      <c r="AT479" s="118">
        <f t="shared" si="178"/>
        <v>2.0428995474183843E-2</v>
      </c>
      <c r="AU479" s="12">
        <f t="shared" si="179"/>
        <v>3816.871580505328</v>
      </c>
      <c r="AV479" s="12">
        <f t="shared" si="180"/>
        <v>547.24176717199384</v>
      </c>
      <c r="AW479" s="19"/>
    </row>
    <row r="480" spans="2:49" x14ac:dyDescent="0.25">
      <c r="B480" s="9" t="str">
        <f t="shared" si="163"/>
        <v>4 2026</v>
      </c>
      <c r="C480" s="88">
        <f t="shared" si="164"/>
        <v>46129</v>
      </c>
      <c r="D480" s="88">
        <f t="shared" si="157"/>
        <v>46130</v>
      </c>
      <c r="E480" s="89">
        <f t="shared" si="165"/>
        <v>1</v>
      </c>
      <c r="G480" s="11" t="s">
        <v>7</v>
      </c>
      <c r="H480" s="12">
        <f t="shared" si="181"/>
        <v>34250000</v>
      </c>
      <c r="I480" s="14">
        <f t="shared" si="181"/>
        <v>1.7500000000000002E-2</v>
      </c>
      <c r="J480" s="13">
        <f t="shared" si="166"/>
        <v>1664.9305555555557</v>
      </c>
      <c r="K480" s="13">
        <f t="shared" si="167"/>
        <v>88693.888888888949</v>
      </c>
      <c r="M480" s="11" t="s">
        <v>7</v>
      </c>
      <c r="N480" s="12">
        <f t="shared" si="184"/>
        <v>12000000</v>
      </c>
      <c r="O480" s="97">
        <f t="shared" si="184"/>
        <v>2.1698630136986304E-2</v>
      </c>
      <c r="P480" s="112">
        <f t="shared" si="168"/>
        <v>723.28767123287685</v>
      </c>
      <c r="Q480" s="13">
        <f t="shared" si="169"/>
        <v>78115.068493150742</v>
      </c>
      <c r="R480" s="13">
        <f t="shared" si="170"/>
        <v>139.95433789954348</v>
      </c>
      <c r="T480" s="11" t="str">
        <f t="shared" si="182"/>
        <v>SG</v>
      </c>
      <c r="U480" s="12">
        <f t="shared" si="182"/>
        <v>6010956.1600000001</v>
      </c>
      <c r="V480" s="97">
        <f t="shared" si="182"/>
        <v>2.1205479452054792E-2</v>
      </c>
      <c r="W480" s="13">
        <f t="shared" si="171"/>
        <v>354.0700203835616</v>
      </c>
      <c r="X480" s="13">
        <f t="shared" si="155"/>
        <v>38232.463210082176</v>
      </c>
      <c r="Y480" s="13">
        <f t="shared" si="172"/>
        <v>61.870762605783796</v>
      </c>
      <c r="AA480" s="11" t="s">
        <v>189</v>
      </c>
      <c r="AB480" s="98">
        <f t="shared" si="183"/>
        <v>15000000</v>
      </c>
      <c r="AC480" s="97">
        <f t="shared" si="183"/>
        <v>2.579E-2</v>
      </c>
      <c r="AD480" s="13">
        <f t="shared" si="173"/>
        <v>1074.5833333333333</v>
      </c>
      <c r="AE480" s="13">
        <f t="shared" si="174"/>
        <v>116054.99999999983</v>
      </c>
      <c r="AF480" s="13">
        <f t="shared" si="175"/>
        <v>345.41666666666663</v>
      </c>
      <c r="AH480" s="235">
        <f>'CT- € Ellipsis BNP'!X480</f>
        <v>0</v>
      </c>
      <c r="AI480" s="236">
        <f>'CT- € Ellipsis BNP'!AA480</f>
        <v>0</v>
      </c>
      <c r="AJ480" s="90">
        <f>'CT- € Ellipsis BNP'!W480</f>
        <v>0</v>
      </c>
      <c r="AK480" s="91">
        <f>'CT- € Ellipsis BNP'!AC480</f>
        <v>0</v>
      </c>
      <c r="AM480" s="235">
        <f>'codeis €'!Z480</f>
        <v>0</v>
      </c>
      <c r="AN480" s="236">
        <f>'codeis €'!AF480</f>
        <v>0</v>
      </c>
      <c r="AO480" s="90">
        <f>'codeis €'!AC480</f>
        <v>0</v>
      </c>
      <c r="AP480" s="91">
        <f>'codeis €'!AI480</f>
        <v>0</v>
      </c>
      <c r="AR480" s="12">
        <f t="shared" si="176"/>
        <v>67260956.159999996</v>
      </c>
      <c r="AS480" s="118">
        <f t="shared" si="177"/>
        <v>0.02</v>
      </c>
      <c r="AT480" s="118">
        <f t="shared" si="178"/>
        <v>2.0428995474183843E-2</v>
      </c>
      <c r="AU480" s="12">
        <f t="shared" si="179"/>
        <v>3816.871580505328</v>
      </c>
      <c r="AV480" s="12">
        <f t="shared" si="180"/>
        <v>547.24176717199384</v>
      </c>
      <c r="AW480" s="19"/>
    </row>
    <row r="481" spans="2:49" x14ac:dyDescent="0.25">
      <c r="B481" s="9" t="str">
        <f t="shared" si="163"/>
        <v>4 2026</v>
      </c>
      <c r="C481" s="88">
        <f t="shared" si="164"/>
        <v>46130</v>
      </c>
      <c r="D481" s="88">
        <f t="shared" si="157"/>
        <v>46131</v>
      </c>
      <c r="E481" s="89">
        <f t="shared" si="165"/>
        <v>1</v>
      </c>
      <c r="G481" s="11" t="s">
        <v>7</v>
      </c>
      <c r="H481" s="12">
        <f t="shared" si="181"/>
        <v>34250000</v>
      </c>
      <c r="I481" s="14">
        <f t="shared" si="181"/>
        <v>1.7500000000000002E-2</v>
      </c>
      <c r="J481" s="13">
        <f t="shared" si="166"/>
        <v>1664.9305555555557</v>
      </c>
      <c r="K481" s="13">
        <f t="shared" si="167"/>
        <v>90358.819444444511</v>
      </c>
      <c r="M481" s="11" t="s">
        <v>7</v>
      </c>
      <c r="N481" s="12">
        <f t="shared" si="184"/>
        <v>12000000</v>
      </c>
      <c r="O481" s="97">
        <f t="shared" si="184"/>
        <v>2.1698630136986304E-2</v>
      </c>
      <c r="P481" s="112">
        <f t="shared" si="168"/>
        <v>723.28767123287685</v>
      </c>
      <c r="Q481" s="13">
        <f t="shared" si="169"/>
        <v>78838.356164383615</v>
      </c>
      <c r="R481" s="13">
        <f t="shared" si="170"/>
        <v>139.95433789954348</v>
      </c>
      <c r="T481" s="11" t="str">
        <f t="shared" si="182"/>
        <v>SG</v>
      </c>
      <c r="U481" s="12">
        <f t="shared" si="182"/>
        <v>6010956.1600000001</v>
      </c>
      <c r="V481" s="97">
        <f t="shared" si="182"/>
        <v>2.1205479452054792E-2</v>
      </c>
      <c r="W481" s="13">
        <f t="shared" si="171"/>
        <v>354.0700203835616</v>
      </c>
      <c r="X481" s="13">
        <f t="shared" si="155"/>
        <v>38586.533230465735</v>
      </c>
      <c r="Y481" s="13">
        <f t="shared" si="172"/>
        <v>61.870762605783796</v>
      </c>
      <c r="AA481" s="11" t="s">
        <v>189</v>
      </c>
      <c r="AB481" s="98">
        <f t="shared" si="183"/>
        <v>15000000</v>
      </c>
      <c r="AC481" s="97">
        <f t="shared" si="183"/>
        <v>2.579E-2</v>
      </c>
      <c r="AD481" s="13">
        <f t="shared" si="173"/>
        <v>1074.5833333333333</v>
      </c>
      <c r="AE481" s="13">
        <f t="shared" si="174"/>
        <v>117129.58333333315</v>
      </c>
      <c r="AF481" s="13">
        <f t="shared" si="175"/>
        <v>345.41666666666663</v>
      </c>
      <c r="AH481" s="235">
        <f>'CT- € Ellipsis BNP'!X481</f>
        <v>0</v>
      </c>
      <c r="AI481" s="236">
        <f>'CT- € Ellipsis BNP'!AA481</f>
        <v>0</v>
      </c>
      <c r="AJ481" s="90">
        <f>'CT- € Ellipsis BNP'!W481</f>
        <v>0</v>
      </c>
      <c r="AK481" s="91">
        <f>'CT- € Ellipsis BNP'!AC481</f>
        <v>0</v>
      </c>
      <c r="AM481" s="235">
        <f>'codeis €'!Z481</f>
        <v>0</v>
      </c>
      <c r="AN481" s="236">
        <f>'codeis €'!AF481</f>
        <v>0</v>
      </c>
      <c r="AO481" s="90">
        <f>'codeis €'!AC481</f>
        <v>0</v>
      </c>
      <c r="AP481" s="91">
        <f>'codeis €'!AI481</f>
        <v>0</v>
      </c>
      <c r="AR481" s="12">
        <f t="shared" si="176"/>
        <v>67260956.159999996</v>
      </c>
      <c r="AS481" s="118">
        <f t="shared" si="177"/>
        <v>0.02</v>
      </c>
      <c r="AT481" s="118">
        <f t="shared" si="178"/>
        <v>2.0428995474183843E-2</v>
      </c>
      <c r="AU481" s="12">
        <f t="shared" si="179"/>
        <v>3816.871580505328</v>
      </c>
      <c r="AV481" s="12">
        <f t="shared" si="180"/>
        <v>547.24176717199384</v>
      </c>
      <c r="AW481" s="19"/>
    </row>
    <row r="482" spans="2:49" x14ac:dyDescent="0.25">
      <c r="B482" s="9" t="str">
        <f t="shared" si="163"/>
        <v>4 2026</v>
      </c>
      <c r="C482" s="88">
        <f t="shared" si="164"/>
        <v>46131</v>
      </c>
      <c r="D482" s="88">
        <f t="shared" si="157"/>
        <v>46132</v>
      </c>
      <c r="E482" s="89">
        <f t="shared" si="165"/>
        <v>1</v>
      </c>
      <c r="G482" s="11" t="s">
        <v>7</v>
      </c>
      <c r="H482" s="12">
        <f t="shared" si="181"/>
        <v>34250000</v>
      </c>
      <c r="I482" s="14">
        <f t="shared" si="181"/>
        <v>1.7500000000000002E-2</v>
      </c>
      <c r="J482" s="13">
        <f t="shared" si="166"/>
        <v>1664.9305555555557</v>
      </c>
      <c r="K482" s="13">
        <f t="shared" si="167"/>
        <v>92023.750000000073</v>
      </c>
      <c r="M482" s="11" t="s">
        <v>7</v>
      </c>
      <c r="N482" s="12">
        <f t="shared" si="184"/>
        <v>12000000</v>
      </c>
      <c r="O482" s="97">
        <f t="shared" si="184"/>
        <v>2.1698630136986304E-2</v>
      </c>
      <c r="P482" s="112">
        <f t="shared" si="168"/>
        <v>723.28767123287685</v>
      </c>
      <c r="Q482" s="13">
        <f t="shared" si="169"/>
        <v>79561.643835616487</v>
      </c>
      <c r="R482" s="13">
        <f t="shared" si="170"/>
        <v>139.95433789954348</v>
      </c>
      <c r="T482" s="11" t="str">
        <f t="shared" si="182"/>
        <v>SG</v>
      </c>
      <c r="U482" s="12">
        <f t="shared" si="182"/>
        <v>6010956.1600000001</v>
      </c>
      <c r="V482" s="97">
        <f t="shared" si="182"/>
        <v>2.1205479452054792E-2</v>
      </c>
      <c r="W482" s="13">
        <f t="shared" si="171"/>
        <v>354.0700203835616</v>
      </c>
      <c r="X482" s="13">
        <f t="shared" si="155"/>
        <v>38940.603250849294</v>
      </c>
      <c r="Y482" s="13">
        <f t="shared" si="172"/>
        <v>61.870762605783796</v>
      </c>
      <c r="AA482" s="11" t="s">
        <v>189</v>
      </c>
      <c r="AB482" s="98">
        <f t="shared" si="183"/>
        <v>15000000</v>
      </c>
      <c r="AC482" s="97">
        <f t="shared" si="183"/>
        <v>2.579E-2</v>
      </c>
      <c r="AD482" s="13">
        <f t="shared" si="173"/>
        <v>1074.5833333333333</v>
      </c>
      <c r="AE482" s="13">
        <f t="shared" si="174"/>
        <v>118204.16666666648</v>
      </c>
      <c r="AF482" s="13">
        <f t="shared" si="175"/>
        <v>345.41666666666663</v>
      </c>
      <c r="AH482" s="235">
        <f>'CT- € Ellipsis BNP'!X482</f>
        <v>0</v>
      </c>
      <c r="AI482" s="236">
        <f>'CT- € Ellipsis BNP'!AA482</f>
        <v>0</v>
      </c>
      <c r="AJ482" s="90">
        <f>'CT- € Ellipsis BNP'!W482</f>
        <v>0</v>
      </c>
      <c r="AK482" s="91">
        <f>'CT- € Ellipsis BNP'!AC482</f>
        <v>0</v>
      </c>
      <c r="AM482" s="235">
        <f>'codeis €'!Z482</f>
        <v>0</v>
      </c>
      <c r="AN482" s="236">
        <f>'codeis €'!AF482</f>
        <v>0</v>
      </c>
      <c r="AO482" s="90">
        <f>'codeis €'!AC482</f>
        <v>0</v>
      </c>
      <c r="AP482" s="91">
        <f>'codeis €'!AI482</f>
        <v>0</v>
      </c>
      <c r="AR482" s="12">
        <f t="shared" si="176"/>
        <v>67260956.159999996</v>
      </c>
      <c r="AS482" s="118">
        <f t="shared" si="177"/>
        <v>0.02</v>
      </c>
      <c r="AT482" s="118">
        <f t="shared" si="178"/>
        <v>2.0428995474183843E-2</v>
      </c>
      <c r="AU482" s="12">
        <f t="shared" si="179"/>
        <v>3816.871580505328</v>
      </c>
      <c r="AV482" s="12">
        <f t="shared" si="180"/>
        <v>547.24176717199384</v>
      </c>
      <c r="AW482" s="19"/>
    </row>
    <row r="483" spans="2:49" x14ac:dyDescent="0.25">
      <c r="B483" s="9" t="str">
        <f t="shared" si="163"/>
        <v>4 2026</v>
      </c>
      <c r="C483" s="88">
        <f t="shared" si="164"/>
        <v>46132</v>
      </c>
      <c r="D483" s="88">
        <f t="shared" si="157"/>
        <v>46133</v>
      </c>
      <c r="E483" s="89">
        <f t="shared" si="165"/>
        <v>1</v>
      </c>
      <c r="G483" s="11" t="s">
        <v>7</v>
      </c>
      <c r="H483" s="12">
        <f t="shared" si="181"/>
        <v>34250000</v>
      </c>
      <c r="I483" s="14">
        <f t="shared" si="181"/>
        <v>1.7500000000000002E-2</v>
      </c>
      <c r="J483" s="13">
        <f t="shared" si="166"/>
        <v>1664.9305555555557</v>
      </c>
      <c r="K483" s="13">
        <f t="shared" si="167"/>
        <v>93688.680555555635</v>
      </c>
      <c r="M483" s="11" t="s">
        <v>7</v>
      </c>
      <c r="N483" s="12">
        <f t="shared" si="184"/>
        <v>12000000</v>
      </c>
      <c r="O483" s="97">
        <f t="shared" si="184"/>
        <v>2.1698630136986304E-2</v>
      </c>
      <c r="P483" s="112">
        <f t="shared" si="168"/>
        <v>723.28767123287685</v>
      </c>
      <c r="Q483" s="13">
        <f t="shared" si="169"/>
        <v>80284.93150684936</v>
      </c>
      <c r="R483" s="13">
        <f t="shared" si="170"/>
        <v>139.95433789954348</v>
      </c>
      <c r="T483" s="11" t="str">
        <f t="shared" si="182"/>
        <v>SG</v>
      </c>
      <c r="U483" s="12">
        <f t="shared" si="182"/>
        <v>6010956.1600000001</v>
      </c>
      <c r="V483" s="97">
        <f t="shared" si="182"/>
        <v>2.1205479452054792E-2</v>
      </c>
      <c r="W483" s="13">
        <f t="shared" si="171"/>
        <v>354.0700203835616</v>
      </c>
      <c r="X483" s="13">
        <f t="shared" si="155"/>
        <v>39294.673271232852</v>
      </c>
      <c r="Y483" s="13">
        <f t="shared" si="172"/>
        <v>61.870762605783796</v>
      </c>
      <c r="AA483" s="11" t="s">
        <v>189</v>
      </c>
      <c r="AB483" s="98">
        <f t="shared" si="183"/>
        <v>15000000</v>
      </c>
      <c r="AC483" s="97">
        <f t="shared" si="183"/>
        <v>2.579E-2</v>
      </c>
      <c r="AD483" s="13">
        <f t="shared" si="173"/>
        <v>1074.5833333333333</v>
      </c>
      <c r="AE483" s="13">
        <f t="shared" si="174"/>
        <v>119278.74999999981</v>
      </c>
      <c r="AF483" s="13">
        <f t="shared" si="175"/>
        <v>345.41666666666663</v>
      </c>
      <c r="AH483" s="235">
        <f>'CT- € Ellipsis BNP'!X483</f>
        <v>0</v>
      </c>
      <c r="AI483" s="236">
        <f>'CT- € Ellipsis BNP'!AA483</f>
        <v>0</v>
      </c>
      <c r="AJ483" s="90">
        <f>'CT- € Ellipsis BNP'!W483</f>
        <v>0</v>
      </c>
      <c r="AK483" s="91">
        <f>'CT- € Ellipsis BNP'!AC483</f>
        <v>0</v>
      </c>
      <c r="AM483" s="235">
        <f>'codeis €'!Z483</f>
        <v>0</v>
      </c>
      <c r="AN483" s="236">
        <f>'codeis €'!AF483</f>
        <v>0</v>
      </c>
      <c r="AO483" s="90">
        <f>'codeis €'!AC483</f>
        <v>0</v>
      </c>
      <c r="AP483" s="91">
        <f>'codeis €'!AI483</f>
        <v>0</v>
      </c>
      <c r="AR483" s="12">
        <f t="shared" si="176"/>
        <v>67260956.159999996</v>
      </c>
      <c r="AS483" s="118">
        <f t="shared" si="177"/>
        <v>0.02</v>
      </c>
      <c r="AT483" s="118">
        <f t="shared" si="178"/>
        <v>2.0428995474183843E-2</v>
      </c>
      <c r="AU483" s="12">
        <f t="shared" si="179"/>
        <v>3816.871580505328</v>
      </c>
      <c r="AV483" s="12">
        <f t="shared" si="180"/>
        <v>547.24176717199384</v>
      </c>
      <c r="AW483" s="19"/>
    </row>
    <row r="484" spans="2:49" x14ac:dyDescent="0.25">
      <c r="B484" s="9" t="str">
        <f t="shared" si="163"/>
        <v>4 2026</v>
      </c>
      <c r="C484" s="88">
        <f t="shared" si="164"/>
        <v>46133</v>
      </c>
      <c r="D484" s="88">
        <f t="shared" si="157"/>
        <v>46134</v>
      </c>
      <c r="E484" s="89">
        <f t="shared" si="165"/>
        <v>1</v>
      </c>
      <c r="G484" s="11" t="s">
        <v>7</v>
      </c>
      <c r="H484" s="12">
        <f t="shared" si="181"/>
        <v>34250000</v>
      </c>
      <c r="I484" s="14">
        <f t="shared" si="181"/>
        <v>1.7500000000000002E-2</v>
      </c>
      <c r="J484" s="13">
        <f t="shared" si="166"/>
        <v>1664.9305555555557</v>
      </c>
      <c r="K484" s="13">
        <f t="shared" si="167"/>
        <v>95353.611111111197</v>
      </c>
      <c r="M484" s="11" t="s">
        <v>7</v>
      </c>
      <c r="N484" s="12">
        <f t="shared" si="184"/>
        <v>12000000</v>
      </c>
      <c r="O484" s="97">
        <f t="shared" si="184"/>
        <v>2.1698630136986304E-2</v>
      </c>
      <c r="P484" s="112">
        <f t="shared" si="168"/>
        <v>723.28767123287685</v>
      </c>
      <c r="Q484" s="13">
        <f t="shared" si="169"/>
        <v>81008.219178082232</v>
      </c>
      <c r="R484" s="13">
        <f t="shared" si="170"/>
        <v>139.95433789954348</v>
      </c>
      <c r="T484" s="11" t="str">
        <f t="shared" si="182"/>
        <v>SG</v>
      </c>
      <c r="U484" s="12">
        <f t="shared" si="182"/>
        <v>6010956.1600000001</v>
      </c>
      <c r="V484" s="97">
        <f t="shared" si="182"/>
        <v>2.1205479452054792E-2</v>
      </c>
      <c r="W484" s="13">
        <f t="shared" si="171"/>
        <v>354.0700203835616</v>
      </c>
      <c r="X484" s="13">
        <f t="shared" si="155"/>
        <v>39648.743291616411</v>
      </c>
      <c r="Y484" s="13">
        <f t="shared" si="172"/>
        <v>61.870762605783796</v>
      </c>
      <c r="AA484" s="11" t="s">
        <v>189</v>
      </c>
      <c r="AB484" s="98">
        <f t="shared" si="183"/>
        <v>15000000</v>
      </c>
      <c r="AC484" s="97">
        <f t="shared" si="183"/>
        <v>2.579E-2</v>
      </c>
      <c r="AD484" s="13">
        <f t="shared" si="173"/>
        <v>1074.5833333333333</v>
      </c>
      <c r="AE484" s="13">
        <f t="shared" si="174"/>
        <v>120353.33333333314</v>
      </c>
      <c r="AF484" s="13">
        <f t="shared" si="175"/>
        <v>345.41666666666663</v>
      </c>
      <c r="AH484" s="235">
        <f>'CT- € Ellipsis BNP'!X484</f>
        <v>0</v>
      </c>
      <c r="AI484" s="236">
        <f>'CT- € Ellipsis BNP'!AA484</f>
        <v>0</v>
      </c>
      <c r="AJ484" s="90">
        <f>'CT- € Ellipsis BNP'!W484</f>
        <v>0</v>
      </c>
      <c r="AK484" s="91">
        <f>'CT- € Ellipsis BNP'!AC484</f>
        <v>0</v>
      </c>
      <c r="AM484" s="235">
        <f>'codeis €'!Z484</f>
        <v>0</v>
      </c>
      <c r="AN484" s="236">
        <f>'codeis €'!AF484</f>
        <v>0</v>
      </c>
      <c r="AO484" s="90">
        <f>'codeis €'!AC484</f>
        <v>0</v>
      </c>
      <c r="AP484" s="91">
        <f>'codeis €'!AI484</f>
        <v>0</v>
      </c>
      <c r="AR484" s="12">
        <f t="shared" si="176"/>
        <v>67260956.159999996</v>
      </c>
      <c r="AS484" s="118">
        <f t="shared" si="177"/>
        <v>0.02</v>
      </c>
      <c r="AT484" s="118">
        <f t="shared" si="178"/>
        <v>2.0428995474183843E-2</v>
      </c>
      <c r="AU484" s="12">
        <f t="shared" si="179"/>
        <v>3816.871580505328</v>
      </c>
      <c r="AV484" s="12">
        <f t="shared" si="180"/>
        <v>547.24176717199384</v>
      </c>
      <c r="AW484" s="19"/>
    </row>
    <row r="485" spans="2:49" x14ac:dyDescent="0.25">
      <c r="B485" s="9" t="str">
        <f t="shared" si="163"/>
        <v>4 2026</v>
      </c>
      <c r="C485" s="88">
        <f t="shared" si="164"/>
        <v>46134</v>
      </c>
      <c r="D485" s="88">
        <f t="shared" si="157"/>
        <v>46135</v>
      </c>
      <c r="E485" s="89">
        <f t="shared" si="165"/>
        <v>1</v>
      </c>
      <c r="G485" s="11" t="s">
        <v>7</v>
      </c>
      <c r="H485" s="12">
        <f t="shared" si="181"/>
        <v>34250000</v>
      </c>
      <c r="I485" s="14">
        <f t="shared" si="181"/>
        <v>1.7500000000000002E-2</v>
      </c>
      <c r="J485" s="13">
        <f t="shared" si="166"/>
        <v>1664.9305555555557</v>
      </c>
      <c r="K485" s="13">
        <f t="shared" si="167"/>
        <v>97018.541666666759</v>
      </c>
      <c r="M485" s="11" t="s">
        <v>7</v>
      </c>
      <c r="N485" s="12">
        <f t="shared" si="184"/>
        <v>12000000</v>
      </c>
      <c r="O485" s="97">
        <f t="shared" si="184"/>
        <v>2.1698630136986304E-2</v>
      </c>
      <c r="P485" s="112">
        <f t="shared" si="168"/>
        <v>723.28767123287685</v>
      </c>
      <c r="Q485" s="13">
        <f t="shared" si="169"/>
        <v>81731.506849315105</v>
      </c>
      <c r="R485" s="13">
        <f t="shared" si="170"/>
        <v>139.95433789954348</v>
      </c>
      <c r="T485" s="11" t="str">
        <f t="shared" si="182"/>
        <v>SG</v>
      </c>
      <c r="U485" s="12">
        <f t="shared" si="182"/>
        <v>6010956.1600000001</v>
      </c>
      <c r="V485" s="97">
        <f t="shared" si="182"/>
        <v>2.1205479452054792E-2</v>
      </c>
      <c r="W485" s="13">
        <f t="shared" si="171"/>
        <v>354.0700203835616</v>
      </c>
      <c r="X485" s="13">
        <f t="shared" si="155"/>
        <v>40002.813311999969</v>
      </c>
      <c r="Y485" s="13">
        <f t="shared" si="172"/>
        <v>61.870762605783796</v>
      </c>
      <c r="AA485" s="11" t="s">
        <v>189</v>
      </c>
      <c r="AB485" s="98">
        <f t="shared" si="183"/>
        <v>15000000</v>
      </c>
      <c r="AC485" s="97">
        <f t="shared" si="183"/>
        <v>2.579E-2</v>
      </c>
      <c r="AD485" s="13">
        <f t="shared" si="173"/>
        <v>1074.5833333333333</v>
      </c>
      <c r="AE485" s="13">
        <f t="shared" si="174"/>
        <v>121427.91666666647</v>
      </c>
      <c r="AF485" s="13">
        <f t="shared" si="175"/>
        <v>345.41666666666663</v>
      </c>
      <c r="AH485" s="235">
        <f>'CT- € Ellipsis BNP'!X485</f>
        <v>0</v>
      </c>
      <c r="AI485" s="236">
        <f>'CT- € Ellipsis BNP'!AA485</f>
        <v>0</v>
      </c>
      <c r="AJ485" s="90">
        <f>'CT- € Ellipsis BNP'!W485</f>
        <v>0</v>
      </c>
      <c r="AK485" s="91">
        <f>'CT- € Ellipsis BNP'!AC485</f>
        <v>0</v>
      </c>
      <c r="AM485" s="235">
        <f>'codeis €'!Z485</f>
        <v>0</v>
      </c>
      <c r="AN485" s="236">
        <f>'codeis €'!AF485</f>
        <v>0</v>
      </c>
      <c r="AO485" s="90">
        <f>'codeis €'!AC485</f>
        <v>0</v>
      </c>
      <c r="AP485" s="91">
        <f>'codeis €'!AI485</f>
        <v>0</v>
      </c>
      <c r="AR485" s="12">
        <f t="shared" si="176"/>
        <v>67260956.159999996</v>
      </c>
      <c r="AS485" s="118">
        <f t="shared" si="177"/>
        <v>0.02</v>
      </c>
      <c r="AT485" s="118">
        <f t="shared" si="178"/>
        <v>2.0428995474183843E-2</v>
      </c>
      <c r="AU485" s="12">
        <f t="shared" si="179"/>
        <v>3816.871580505328</v>
      </c>
      <c r="AV485" s="12">
        <f t="shared" si="180"/>
        <v>547.24176717199384</v>
      </c>
      <c r="AW485" s="19"/>
    </row>
    <row r="486" spans="2:49" x14ac:dyDescent="0.25">
      <c r="B486" s="9" t="str">
        <f t="shared" si="163"/>
        <v>4 2026</v>
      </c>
      <c r="C486" s="88">
        <f t="shared" si="164"/>
        <v>46135</v>
      </c>
      <c r="D486" s="88">
        <f t="shared" si="157"/>
        <v>46136</v>
      </c>
      <c r="E486" s="89">
        <f t="shared" si="165"/>
        <v>1</v>
      </c>
      <c r="G486" s="11" t="s">
        <v>7</v>
      </c>
      <c r="H486" s="12">
        <f t="shared" si="181"/>
        <v>34250000</v>
      </c>
      <c r="I486" s="14">
        <f t="shared" si="181"/>
        <v>1.7500000000000002E-2</v>
      </c>
      <c r="J486" s="13">
        <f t="shared" si="166"/>
        <v>1664.9305555555557</v>
      </c>
      <c r="K486" s="13">
        <f t="shared" si="167"/>
        <v>98683.472222222321</v>
      </c>
      <c r="M486" s="11" t="s">
        <v>7</v>
      </c>
      <c r="N486" s="12">
        <f t="shared" si="184"/>
        <v>12000000</v>
      </c>
      <c r="O486" s="97">
        <f t="shared" si="184"/>
        <v>2.1698630136986304E-2</v>
      </c>
      <c r="P486" s="112">
        <f t="shared" si="168"/>
        <v>723.28767123287685</v>
      </c>
      <c r="Q486" s="13">
        <f t="shared" si="169"/>
        <v>82454.794520547977</v>
      </c>
      <c r="R486" s="13">
        <f t="shared" si="170"/>
        <v>139.95433789954348</v>
      </c>
      <c r="T486" s="11" t="str">
        <f t="shared" si="182"/>
        <v>SG</v>
      </c>
      <c r="U486" s="12">
        <f t="shared" si="182"/>
        <v>6010956.1600000001</v>
      </c>
      <c r="V486" s="97">
        <f t="shared" si="182"/>
        <v>2.1205479452054792E-2</v>
      </c>
      <c r="W486" s="13">
        <f t="shared" si="171"/>
        <v>354.0700203835616</v>
      </c>
      <c r="X486" s="13">
        <f t="shared" si="155"/>
        <v>40356.883332383528</v>
      </c>
      <c r="Y486" s="13">
        <f t="shared" si="172"/>
        <v>61.870762605783796</v>
      </c>
      <c r="AA486" s="11" t="s">
        <v>189</v>
      </c>
      <c r="AB486" s="98">
        <f t="shared" si="183"/>
        <v>15000000</v>
      </c>
      <c r="AC486" s="97">
        <f t="shared" si="183"/>
        <v>2.579E-2</v>
      </c>
      <c r="AD486" s="13">
        <f t="shared" si="173"/>
        <v>1074.5833333333333</v>
      </c>
      <c r="AE486" s="13">
        <f t="shared" si="174"/>
        <v>122502.4999999998</v>
      </c>
      <c r="AF486" s="13">
        <f t="shared" si="175"/>
        <v>345.41666666666663</v>
      </c>
      <c r="AH486" s="235">
        <f>'CT- € Ellipsis BNP'!X486</f>
        <v>0</v>
      </c>
      <c r="AI486" s="236">
        <f>'CT- € Ellipsis BNP'!AA486</f>
        <v>0</v>
      </c>
      <c r="AJ486" s="90">
        <f>'CT- € Ellipsis BNP'!W486</f>
        <v>0</v>
      </c>
      <c r="AK486" s="91">
        <f>'CT- € Ellipsis BNP'!AC486</f>
        <v>0</v>
      </c>
      <c r="AM486" s="235">
        <f>'codeis €'!Z486</f>
        <v>0</v>
      </c>
      <c r="AN486" s="236">
        <f>'codeis €'!AF486</f>
        <v>0</v>
      </c>
      <c r="AO486" s="90">
        <f>'codeis €'!AC486</f>
        <v>0</v>
      </c>
      <c r="AP486" s="91">
        <f>'codeis €'!AI486</f>
        <v>0</v>
      </c>
      <c r="AR486" s="12">
        <f t="shared" si="176"/>
        <v>67260956.159999996</v>
      </c>
      <c r="AS486" s="118">
        <f t="shared" si="177"/>
        <v>0.02</v>
      </c>
      <c r="AT486" s="118">
        <f t="shared" si="178"/>
        <v>2.0428995474183843E-2</v>
      </c>
      <c r="AU486" s="12">
        <f t="shared" si="179"/>
        <v>3816.871580505328</v>
      </c>
      <c r="AV486" s="12">
        <f t="shared" si="180"/>
        <v>547.24176717199384</v>
      </c>
      <c r="AW486" s="19"/>
    </row>
    <row r="487" spans="2:49" x14ac:dyDescent="0.25">
      <c r="B487" s="9" t="str">
        <f t="shared" si="163"/>
        <v>4 2026</v>
      </c>
      <c r="C487" s="88">
        <f t="shared" si="164"/>
        <v>46136</v>
      </c>
      <c r="D487" s="88">
        <f t="shared" si="157"/>
        <v>46137</v>
      </c>
      <c r="E487" s="89">
        <f t="shared" si="165"/>
        <v>1</v>
      </c>
      <c r="G487" s="11" t="s">
        <v>7</v>
      </c>
      <c r="H487" s="12">
        <f t="shared" ref="H487:I502" si="185">H486</f>
        <v>34250000</v>
      </c>
      <c r="I487" s="14">
        <f t="shared" si="185"/>
        <v>1.7500000000000002E-2</v>
      </c>
      <c r="J487" s="13">
        <f t="shared" si="166"/>
        <v>1664.9305555555557</v>
      </c>
      <c r="K487" s="13">
        <f t="shared" si="167"/>
        <v>100348.40277777788</v>
      </c>
      <c r="M487" s="11" t="s">
        <v>7</v>
      </c>
      <c r="N487" s="12">
        <f t="shared" si="184"/>
        <v>12000000</v>
      </c>
      <c r="O487" s="97">
        <f t="shared" si="184"/>
        <v>2.1698630136986304E-2</v>
      </c>
      <c r="P487" s="112">
        <f t="shared" si="168"/>
        <v>723.28767123287685</v>
      </c>
      <c r="Q487" s="13">
        <f t="shared" si="169"/>
        <v>83178.08219178085</v>
      </c>
      <c r="R487" s="13">
        <f t="shared" si="170"/>
        <v>139.95433789954348</v>
      </c>
      <c r="T487" s="11" t="str">
        <f t="shared" ref="T487:V502" si="186">T486</f>
        <v>SG</v>
      </c>
      <c r="U487" s="12">
        <f t="shared" si="186"/>
        <v>6010956.1600000001</v>
      </c>
      <c r="V487" s="97">
        <f t="shared" si="186"/>
        <v>2.1205479452054792E-2</v>
      </c>
      <c r="W487" s="13">
        <f t="shared" si="171"/>
        <v>354.0700203835616</v>
      </c>
      <c r="X487" s="13">
        <f t="shared" si="155"/>
        <v>40710.953352767086</v>
      </c>
      <c r="Y487" s="13">
        <f t="shared" si="172"/>
        <v>61.870762605783796</v>
      </c>
      <c r="AA487" s="11" t="s">
        <v>189</v>
      </c>
      <c r="AB487" s="98">
        <f t="shared" ref="AB487:AC502" si="187">AB486</f>
        <v>15000000</v>
      </c>
      <c r="AC487" s="97">
        <f t="shared" si="187"/>
        <v>2.579E-2</v>
      </c>
      <c r="AD487" s="13">
        <f t="shared" si="173"/>
        <v>1074.5833333333333</v>
      </c>
      <c r="AE487" s="13">
        <f t="shared" si="174"/>
        <v>123577.08333333312</v>
      </c>
      <c r="AF487" s="13">
        <f t="shared" si="175"/>
        <v>345.41666666666663</v>
      </c>
      <c r="AH487" s="235">
        <f>'CT- € Ellipsis BNP'!X487</f>
        <v>0</v>
      </c>
      <c r="AI487" s="236">
        <f>'CT- € Ellipsis BNP'!AA487</f>
        <v>0</v>
      </c>
      <c r="AJ487" s="90">
        <f>'CT- € Ellipsis BNP'!W487</f>
        <v>0</v>
      </c>
      <c r="AK487" s="91">
        <f>'CT- € Ellipsis BNP'!AC487</f>
        <v>0</v>
      </c>
      <c r="AM487" s="235">
        <f>'codeis €'!Z487</f>
        <v>0</v>
      </c>
      <c r="AN487" s="236">
        <f>'codeis €'!AF487</f>
        <v>0</v>
      </c>
      <c r="AO487" s="90">
        <f>'codeis €'!AC487</f>
        <v>0</v>
      </c>
      <c r="AP487" s="91">
        <f>'codeis €'!AI487</f>
        <v>0</v>
      </c>
      <c r="AR487" s="12">
        <f t="shared" si="176"/>
        <v>67260956.159999996</v>
      </c>
      <c r="AS487" s="118">
        <f t="shared" si="177"/>
        <v>0.02</v>
      </c>
      <c r="AT487" s="118">
        <f t="shared" si="178"/>
        <v>2.0428995474183843E-2</v>
      </c>
      <c r="AU487" s="12">
        <f t="shared" si="179"/>
        <v>3816.871580505328</v>
      </c>
      <c r="AV487" s="12">
        <f t="shared" si="180"/>
        <v>547.24176717199384</v>
      </c>
      <c r="AW487" s="19"/>
    </row>
    <row r="488" spans="2:49" x14ac:dyDescent="0.25">
      <c r="B488" s="9" t="str">
        <f t="shared" si="163"/>
        <v>4 2026</v>
      </c>
      <c r="C488" s="88">
        <f t="shared" si="164"/>
        <v>46137</v>
      </c>
      <c r="D488" s="88">
        <f t="shared" si="157"/>
        <v>46138</v>
      </c>
      <c r="E488" s="89">
        <f t="shared" si="165"/>
        <v>1</v>
      </c>
      <c r="G488" s="11" t="s">
        <v>7</v>
      </c>
      <c r="H488" s="12">
        <f t="shared" si="185"/>
        <v>34250000</v>
      </c>
      <c r="I488" s="14">
        <f t="shared" si="185"/>
        <v>1.7500000000000002E-2</v>
      </c>
      <c r="J488" s="13">
        <f t="shared" si="166"/>
        <v>1664.9305555555557</v>
      </c>
      <c r="K488" s="13">
        <f t="shared" si="167"/>
        <v>102013.33333333344</v>
      </c>
      <c r="M488" s="11" t="s">
        <v>7</v>
      </c>
      <c r="N488" s="12">
        <f t="shared" ref="N488:O503" si="188">N487</f>
        <v>12000000</v>
      </c>
      <c r="O488" s="97">
        <f t="shared" si="188"/>
        <v>2.1698630136986304E-2</v>
      </c>
      <c r="P488" s="112">
        <f t="shared" si="168"/>
        <v>723.28767123287685</v>
      </c>
      <c r="Q488" s="13">
        <f t="shared" si="169"/>
        <v>83901.369863013722</v>
      </c>
      <c r="R488" s="13">
        <f t="shared" si="170"/>
        <v>139.95433789954348</v>
      </c>
      <c r="T488" s="11" t="str">
        <f t="shared" si="186"/>
        <v>SG</v>
      </c>
      <c r="U488" s="12">
        <f t="shared" si="186"/>
        <v>6010956.1600000001</v>
      </c>
      <c r="V488" s="97">
        <f t="shared" si="186"/>
        <v>2.1205479452054792E-2</v>
      </c>
      <c r="W488" s="13">
        <f t="shared" si="171"/>
        <v>354.0700203835616</v>
      </c>
      <c r="X488" s="13">
        <f t="shared" si="155"/>
        <v>41065.023373150645</v>
      </c>
      <c r="Y488" s="13">
        <f t="shared" si="172"/>
        <v>61.870762605783796</v>
      </c>
      <c r="AA488" s="11" t="s">
        <v>189</v>
      </c>
      <c r="AB488" s="98">
        <f t="shared" si="187"/>
        <v>15000000</v>
      </c>
      <c r="AC488" s="97">
        <f t="shared" si="187"/>
        <v>2.579E-2</v>
      </c>
      <c r="AD488" s="13">
        <f t="shared" si="173"/>
        <v>1074.5833333333333</v>
      </c>
      <c r="AE488" s="13">
        <f t="shared" si="174"/>
        <v>124651.66666666645</v>
      </c>
      <c r="AF488" s="13">
        <f t="shared" si="175"/>
        <v>345.41666666666663</v>
      </c>
      <c r="AH488" s="235">
        <f>'CT- € Ellipsis BNP'!X488</f>
        <v>0</v>
      </c>
      <c r="AI488" s="236">
        <f>'CT- € Ellipsis BNP'!AA488</f>
        <v>0</v>
      </c>
      <c r="AJ488" s="90">
        <f>'CT- € Ellipsis BNP'!W488</f>
        <v>0</v>
      </c>
      <c r="AK488" s="91">
        <f>'CT- € Ellipsis BNP'!AC488</f>
        <v>0</v>
      </c>
      <c r="AM488" s="235">
        <f>'codeis €'!Z488</f>
        <v>0</v>
      </c>
      <c r="AN488" s="236">
        <f>'codeis €'!AF488</f>
        <v>0</v>
      </c>
      <c r="AO488" s="90">
        <f>'codeis €'!AC488</f>
        <v>0</v>
      </c>
      <c r="AP488" s="91">
        <f>'codeis €'!AI488</f>
        <v>0</v>
      </c>
      <c r="AR488" s="12">
        <f t="shared" si="176"/>
        <v>67260956.159999996</v>
      </c>
      <c r="AS488" s="118">
        <f t="shared" si="177"/>
        <v>0.02</v>
      </c>
      <c r="AT488" s="118">
        <f t="shared" si="178"/>
        <v>2.0428995474183843E-2</v>
      </c>
      <c r="AU488" s="12">
        <f t="shared" si="179"/>
        <v>3816.871580505328</v>
      </c>
      <c r="AV488" s="12">
        <f t="shared" si="180"/>
        <v>547.24176717199384</v>
      </c>
      <c r="AW488" s="19"/>
    </row>
    <row r="489" spans="2:49" x14ac:dyDescent="0.25">
      <c r="B489" s="9" t="str">
        <f t="shared" si="163"/>
        <v>4 2026</v>
      </c>
      <c r="C489" s="88">
        <f t="shared" si="164"/>
        <v>46138</v>
      </c>
      <c r="D489" s="88">
        <f t="shared" si="157"/>
        <v>46139</v>
      </c>
      <c r="E489" s="89">
        <f t="shared" si="165"/>
        <v>1</v>
      </c>
      <c r="G489" s="11" t="s">
        <v>7</v>
      </c>
      <c r="H489" s="12">
        <f t="shared" si="185"/>
        <v>34250000</v>
      </c>
      <c r="I489" s="14">
        <f t="shared" si="185"/>
        <v>1.7500000000000002E-2</v>
      </c>
      <c r="J489" s="13">
        <f t="shared" si="166"/>
        <v>1664.9305555555557</v>
      </c>
      <c r="K489" s="13">
        <f t="shared" si="167"/>
        <v>103678.26388888901</v>
      </c>
      <c r="M489" s="11" t="s">
        <v>7</v>
      </c>
      <c r="N489" s="12">
        <f t="shared" si="188"/>
        <v>12000000</v>
      </c>
      <c r="O489" s="97">
        <f t="shared" si="188"/>
        <v>2.1698630136986304E-2</v>
      </c>
      <c r="P489" s="112">
        <f t="shared" si="168"/>
        <v>723.28767123287685</v>
      </c>
      <c r="Q489" s="13">
        <f t="shared" si="169"/>
        <v>84624.657534246595</v>
      </c>
      <c r="R489" s="13">
        <f t="shared" si="170"/>
        <v>139.95433789954348</v>
      </c>
      <c r="T489" s="11" t="str">
        <f t="shared" si="186"/>
        <v>SG</v>
      </c>
      <c r="U489" s="12">
        <f t="shared" si="186"/>
        <v>6010956.1600000001</v>
      </c>
      <c r="V489" s="97">
        <f t="shared" si="186"/>
        <v>2.1205479452054792E-2</v>
      </c>
      <c r="W489" s="13">
        <f t="shared" si="171"/>
        <v>354.0700203835616</v>
      </c>
      <c r="X489" s="13">
        <f t="shared" si="155"/>
        <v>41419.093393534204</v>
      </c>
      <c r="Y489" s="13">
        <f t="shared" si="172"/>
        <v>61.870762605783796</v>
      </c>
      <c r="AA489" s="11" t="s">
        <v>189</v>
      </c>
      <c r="AB489" s="98">
        <f t="shared" si="187"/>
        <v>15000000</v>
      </c>
      <c r="AC489" s="97">
        <f t="shared" si="187"/>
        <v>2.579E-2</v>
      </c>
      <c r="AD489" s="13">
        <f t="shared" si="173"/>
        <v>1074.5833333333333</v>
      </c>
      <c r="AE489" s="13">
        <f t="shared" si="174"/>
        <v>125726.24999999978</v>
      </c>
      <c r="AF489" s="13">
        <f t="shared" si="175"/>
        <v>345.41666666666663</v>
      </c>
      <c r="AH489" s="235">
        <f>'CT- € Ellipsis BNP'!X489</f>
        <v>0</v>
      </c>
      <c r="AI489" s="236">
        <f>'CT- € Ellipsis BNP'!AA489</f>
        <v>0</v>
      </c>
      <c r="AJ489" s="90">
        <f>'CT- € Ellipsis BNP'!W489</f>
        <v>0</v>
      </c>
      <c r="AK489" s="91">
        <f>'CT- € Ellipsis BNP'!AC489</f>
        <v>0</v>
      </c>
      <c r="AM489" s="235">
        <f>'codeis €'!Z489</f>
        <v>0</v>
      </c>
      <c r="AN489" s="236">
        <f>'codeis €'!AF489</f>
        <v>0</v>
      </c>
      <c r="AO489" s="90">
        <f>'codeis €'!AC489</f>
        <v>0</v>
      </c>
      <c r="AP489" s="91">
        <f>'codeis €'!AI489</f>
        <v>0</v>
      </c>
      <c r="AR489" s="12">
        <f t="shared" si="176"/>
        <v>67260956.159999996</v>
      </c>
      <c r="AS489" s="118">
        <f t="shared" si="177"/>
        <v>0.02</v>
      </c>
      <c r="AT489" s="118">
        <f t="shared" si="178"/>
        <v>2.0428995474183843E-2</v>
      </c>
      <c r="AU489" s="12">
        <f t="shared" si="179"/>
        <v>3816.871580505328</v>
      </c>
      <c r="AV489" s="12">
        <f t="shared" si="180"/>
        <v>547.24176717199384</v>
      </c>
      <c r="AW489" s="19"/>
    </row>
    <row r="490" spans="2:49" x14ac:dyDescent="0.25">
      <c r="B490" s="9" t="str">
        <f t="shared" si="163"/>
        <v>4 2026</v>
      </c>
      <c r="C490" s="88">
        <f t="shared" si="164"/>
        <v>46139</v>
      </c>
      <c r="D490" s="88">
        <f t="shared" si="157"/>
        <v>46140</v>
      </c>
      <c r="E490" s="89">
        <f t="shared" si="165"/>
        <v>1</v>
      </c>
      <c r="G490" s="11" t="s">
        <v>7</v>
      </c>
      <c r="H490" s="12">
        <f t="shared" si="185"/>
        <v>34250000</v>
      </c>
      <c r="I490" s="14">
        <f t="shared" si="185"/>
        <v>1.7500000000000002E-2</v>
      </c>
      <c r="J490" s="13">
        <f t="shared" si="166"/>
        <v>1664.9305555555557</v>
      </c>
      <c r="K490" s="13">
        <f t="shared" si="167"/>
        <v>105343.19444444457</v>
      </c>
      <c r="M490" s="11" t="s">
        <v>7</v>
      </c>
      <c r="N490" s="12">
        <f t="shared" si="188"/>
        <v>12000000</v>
      </c>
      <c r="O490" s="97">
        <f t="shared" si="188"/>
        <v>2.1698630136986304E-2</v>
      </c>
      <c r="P490" s="112">
        <f t="shared" si="168"/>
        <v>723.28767123287685</v>
      </c>
      <c r="Q490" s="13">
        <f t="shared" si="169"/>
        <v>85347.945205479467</v>
      </c>
      <c r="R490" s="13">
        <f t="shared" si="170"/>
        <v>139.95433789954348</v>
      </c>
      <c r="T490" s="11" t="str">
        <f t="shared" si="186"/>
        <v>SG</v>
      </c>
      <c r="U490" s="12">
        <f t="shared" si="186"/>
        <v>6010956.1600000001</v>
      </c>
      <c r="V490" s="97">
        <f t="shared" si="186"/>
        <v>2.1205479452054792E-2</v>
      </c>
      <c r="W490" s="13">
        <f t="shared" si="171"/>
        <v>354.0700203835616</v>
      </c>
      <c r="X490" s="13">
        <f t="shared" si="155"/>
        <v>41773.163413917762</v>
      </c>
      <c r="Y490" s="13">
        <f t="shared" si="172"/>
        <v>61.870762605783796</v>
      </c>
      <c r="AA490" s="11" t="s">
        <v>189</v>
      </c>
      <c r="AB490" s="98">
        <f t="shared" si="187"/>
        <v>15000000</v>
      </c>
      <c r="AC490" s="97">
        <f t="shared" si="187"/>
        <v>2.579E-2</v>
      </c>
      <c r="AD490" s="13">
        <f t="shared" si="173"/>
        <v>1074.5833333333333</v>
      </c>
      <c r="AE490" s="13">
        <f t="shared" si="174"/>
        <v>126800.83333333311</v>
      </c>
      <c r="AF490" s="13">
        <f t="shared" si="175"/>
        <v>345.41666666666663</v>
      </c>
      <c r="AH490" s="235">
        <f>'CT- € Ellipsis BNP'!X490</f>
        <v>0</v>
      </c>
      <c r="AI490" s="236">
        <f>'CT- € Ellipsis BNP'!AA490</f>
        <v>0</v>
      </c>
      <c r="AJ490" s="90">
        <f>'CT- € Ellipsis BNP'!W490</f>
        <v>0</v>
      </c>
      <c r="AK490" s="91">
        <f>'CT- € Ellipsis BNP'!AC490</f>
        <v>0</v>
      </c>
      <c r="AM490" s="235">
        <f>'codeis €'!Z490</f>
        <v>0</v>
      </c>
      <c r="AN490" s="236">
        <f>'codeis €'!AF490</f>
        <v>0</v>
      </c>
      <c r="AO490" s="90">
        <f>'codeis €'!AC490</f>
        <v>0</v>
      </c>
      <c r="AP490" s="91">
        <f>'codeis €'!AI490</f>
        <v>0</v>
      </c>
      <c r="AR490" s="12">
        <f t="shared" si="176"/>
        <v>67260956.159999996</v>
      </c>
      <c r="AS490" s="118">
        <f t="shared" si="177"/>
        <v>0.02</v>
      </c>
      <c r="AT490" s="118">
        <f t="shared" si="178"/>
        <v>2.0428995474183843E-2</v>
      </c>
      <c r="AU490" s="12">
        <f t="shared" si="179"/>
        <v>3816.871580505328</v>
      </c>
      <c r="AV490" s="12">
        <f t="shared" si="180"/>
        <v>547.24176717199384</v>
      </c>
      <c r="AW490" s="19"/>
    </row>
    <row r="491" spans="2:49" x14ac:dyDescent="0.25">
      <c r="B491" s="9" t="str">
        <f t="shared" si="163"/>
        <v>4 2026</v>
      </c>
      <c r="C491" s="88">
        <f t="shared" si="164"/>
        <v>46140</v>
      </c>
      <c r="D491" s="88">
        <f t="shared" si="157"/>
        <v>46141</v>
      </c>
      <c r="E491" s="89">
        <f t="shared" si="165"/>
        <v>1</v>
      </c>
      <c r="G491" s="11" t="s">
        <v>7</v>
      </c>
      <c r="H491" s="12">
        <f t="shared" si="185"/>
        <v>34250000</v>
      </c>
      <c r="I491" s="14">
        <f t="shared" si="185"/>
        <v>1.7500000000000002E-2</v>
      </c>
      <c r="J491" s="13">
        <f t="shared" si="166"/>
        <v>1664.9305555555557</v>
      </c>
      <c r="K491" s="13">
        <f t="shared" si="167"/>
        <v>107008.12500000013</v>
      </c>
      <c r="M491" s="11" t="s">
        <v>7</v>
      </c>
      <c r="N491" s="12">
        <f t="shared" si="188"/>
        <v>12000000</v>
      </c>
      <c r="O491" s="97">
        <f t="shared" si="188"/>
        <v>2.1698630136986304E-2</v>
      </c>
      <c r="P491" s="112">
        <f t="shared" si="168"/>
        <v>723.28767123287685</v>
      </c>
      <c r="Q491" s="13">
        <f t="shared" si="169"/>
        <v>86071.23287671234</v>
      </c>
      <c r="R491" s="13">
        <f t="shared" si="170"/>
        <v>139.95433789954348</v>
      </c>
      <c r="T491" s="11" t="str">
        <f t="shared" si="186"/>
        <v>SG</v>
      </c>
      <c r="U491" s="12">
        <f t="shared" si="186"/>
        <v>6010956.1600000001</v>
      </c>
      <c r="V491" s="97">
        <f t="shared" si="186"/>
        <v>2.1205479452054792E-2</v>
      </c>
      <c r="W491" s="13">
        <f t="shared" si="171"/>
        <v>354.0700203835616</v>
      </c>
      <c r="X491" s="13">
        <f t="shared" si="155"/>
        <v>42127.233434301321</v>
      </c>
      <c r="Y491" s="13">
        <f t="shared" si="172"/>
        <v>61.870762605783796</v>
      </c>
      <c r="AA491" s="11" t="s">
        <v>189</v>
      </c>
      <c r="AB491" s="98">
        <f t="shared" si="187"/>
        <v>15000000</v>
      </c>
      <c r="AC491" s="97">
        <f t="shared" si="187"/>
        <v>2.579E-2</v>
      </c>
      <c r="AD491" s="13">
        <f t="shared" si="173"/>
        <v>1074.5833333333333</v>
      </c>
      <c r="AE491" s="13">
        <f t="shared" si="174"/>
        <v>127875.41666666644</v>
      </c>
      <c r="AF491" s="13">
        <f t="shared" si="175"/>
        <v>345.41666666666663</v>
      </c>
      <c r="AH491" s="235">
        <f>'CT- € Ellipsis BNP'!X491</f>
        <v>0</v>
      </c>
      <c r="AI491" s="236">
        <f>'CT- € Ellipsis BNP'!AA491</f>
        <v>0</v>
      </c>
      <c r="AJ491" s="90">
        <f>'CT- € Ellipsis BNP'!W491</f>
        <v>0</v>
      </c>
      <c r="AK491" s="91">
        <f>'CT- € Ellipsis BNP'!AC491</f>
        <v>0</v>
      </c>
      <c r="AM491" s="235">
        <f>'codeis €'!Z491</f>
        <v>0</v>
      </c>
      <c r="AN491" s="236">
        <f>'codeis €'!AF491</f>
        <v>0</v>
      </c>
      <c r="AO491" s="90">
        <f>'codeis €'!AC491</f>
        <v>0</v>
      </c>
      <c r="AP491" s="91">
        <f>'codeis €'!AI491</f>
        <v>0</v>
      </c>
      <c r="AR491" s="12">
        <f t="shared" si="176"/>
        <v>67260956.159999996</v>
      </c>
      <c r="AS491" s="118">
        <f t="shared" si="177"/>
        <v>0.02</v>
      </c>
      <c r="AT491" s="118">
        <f t="shared" si="178"/>
        <v>2.0428995474183843E-2</v>
      </c>
      <c r="AU491" s="12">
        <f t="shared" si="179"/>
        <v>3816.871580505328</v>
      </c>
      <c r="AV491" s="12">
        <f t="shared" si="180"/>
        <v>547.24176717199384</v>
      </c>
      <c r="AW491" s="19"/>
    </row>
    <row r="492" spans="2:49" x14ac:dyDescent="0.25">
      <c r="B492" s="9" t="str">
        <f t="shared" si="163"/>
        <v>4 2026</v>
      </c>
      <c r="C492" s="88">
        <f t="shared" si="164"/>
        <v>46141</v>
      </c>
      <c r="D492" s="88">
        <f t="shared" si="157"/>
        <v>46142</v>
      </c>
      <c r="E492" s="89">
        <f t="shared" si="165"/>
        <v>1</v>
      </c>
      <c r="G492" s="11" t="s">
        <v>7</v>
      </c>
      <c r="H492" s="12">
        <f t="shared" si="185"/>
        <v>34250000</v>
      </c>
      <c r="I492" s="14">
        <f t="shared" si="185"/>
        <v>1.7500000000000002E-2</v>
      </c>
      <c r="J492" s="13">
        <f t="shared" si="166"/>
        <v>1664.9305555555557</v>
      </c>
      <c r="K492" s="13">
        <f t="shared" si="167"/>
        <v>108673.05555555569</v>
      </c>
      <c r="M492" s="11" t="s">
        <v>7</v>
      </c>
      <c r="N492" s="12">
        <f t="shared" si="188"/>
        <v>12000000</v>
      </c>
      <c r="O492" s="97">
        <f t="shared" si="188"/>
        <v>2.1698630136986304E-2</v>
      </c>
      <c r="P492" s="112">
        <f t="shared" si="168"/>
        <v>723.28767123287685</v>
      </c>
      <c r="Q492" s="13">
        <f t="shared" si="169"/>
        <v>86794.520547945212</v>
      </c>
      <c r="R492" s="13">
        <f t="shared" si="170"/>
        <v>139.95433789954348</v>
      </c>
      <c r="T492" s="11" t="str">
        <f t="shared" si="186"/>
        <v>SG</v>
      </c>
      <c r="U492" s="12">
        <f t="shared" si="186"/>
        <v>6010956.1600000001</v>
      </c>
      <c r="V492" s="97">
        <f t="shared" si="186"/>
        <v>2.1205479452054792E-2</v>
      </c>
      <c r="W492" s="13">
        <f t="shared" si="171"/>
        <v>354.0700203835616</v>
      </c>
      <c r="X492" s="13">
        <f t="shared" si="155"/>
        <v>42481.303454684879</v>
      </c>
      <c r="Y492" s="13">
        <f t="shared" si="172"/>
        <v>61.870762605783796</v>
      </c>
      <c r="AA492" s="11" t="s">
        <v>189</v>
      </c>
      <c r="AB492" s="98">
        <f t="shared" si="187"/>
        <v>15000000</v>
      </c>
      <c r="AC492" s="97">
        <f t="shared" si="187"/>
        <v>2.579E-2</v>
      </c>
      <c r="AD492" s="13">
        <f t="shared" si="173"/>
        <v>1074.5833333333333</v>
      </c>
      <c r="AE492" s="13">
        <f t="shared" si="174"/>
        <v>128949.99999999977</v>
      </c>
      <c r="AF492" s="13">
        <f t="shared" si="175"/>
        <v>345.41666666666663</v>
      </c>
      <c r="AH492" s="235">
        <f>'CT- € Ellipsis BNP'!X492</f>
        <v>0</v>
      </c>
      <c r="AI492" s="236">
        <f>'CT- € Ellipsis BNP'!AA492</f>
        <v>0</v>
      </c>
      <c r="AJ492" s="90">
        <f>'CT- € Ellipsis BNP'!W492</f>
        <v>0</v>
      </c>
      <c r="AK492" s="91">
        <f>'CT- € Ellipsis BNP'!AC492</f>
        <v>0</v>
      </c>
      <c r="AM492" s="235">
        <f>'codeis €'!Z492</f>
        <v>0</v>
      </c>
      <c r="AN492" s="236">
        <f>'codeis €'!AF492</f>
        <v>0</v>
      </c>
      <c r="AO492" s="90">
        <f>'codeis €'!AC492</f>
        <v>0</v>
      </c>
      <c r="AP492" s="91">
        <f>'codeis €'!AI492</f>
        <v>0</v>
      </c>
      <c r="AR492" s="12">
        <f t="shared" si="176"/>
        <v>67260956.159999996</v>
      </c>
      <c r="AS492" s="118">
        <f t="shared" si="177"/>
        <v>0.02</v>
      </c>
      <c r="AT492" s="118">
        <f t="shared" si="178"/>
        <v>2.0428995474183843E-2</v>
      </c>
      <c r="AU492" s="12">
        <f t="shared" si="179"/>
        <v>3816.871580505328</v>
      </c>
      <c r="AV492" s="12">
        <f t="shared" si="180"/>
        <v>547.24176717199384</v>
      </c>
      <c r="AW492" s="19"/>
    </row>
    <row r="493" spans="2:49" x14ac:dyDescent="0.25">
      <c r="B493" s="9" t="str">
        <f t="shared" si="163"/>
        <v>5 2026</v>
      </c>
      <c r="C493" s="88">
        <f t="shared" si="164"/>
        <v>46142</v>
      </c>
      <c r="D493" s="88">
        <f t="shared" si="157"/>
        <v>46143</v>
      </c>
      <c r="E493" s="89">
        <f t="shared" si="165"/>
        <v>1</v>
      </c>
      <c r="G493" s="11" t="s">
        <v>7</v>
      </c>
      <c r="H493" s="12">
        <f t="shared" si="185"/>
        <v>34250000</v>
      </c>
      <c r="I493" s="14">
        <f t="shared" si="185"/>
        <v>1.7500000000000002E-2</v>
      </c>
      <c r="J493" s="13">
        <f t="shared" si="166"/>
        <v>1664.9305555555557</v>
      </c>
      <c r="K493" s="13">
        <f t="shared" si="167"/>
        <v>110337.98611111126</v>
      </c>
      <c r="M493" s="11" t="s">
        <v>7</v>
      </c>
      <c r="N493" s="12">
        <f t="shared" si="188"/>
        <v>12000000</v>
      </c>
      <c r="O493" s="97">
        <f t="shared" si="188"/>
        <v>2.1698630136986304E-2</v>
      </c>
      <c r="P493" s="112">
        <f t="shared" si="168"/>
        <v>723.28767123287685</v>
      </c>
      <c r="Q493" s="13">
        <f t="shared" si="169"/>
        <v>87517.808219178085</v>
      </c>
      <c r="R493" s="13">
        <f t="shared" si="170"/>
        <v>139.95433789954348</v>
      </c>
      <c r="T493" s="11" t="str">
        <f t="shared" si="186"/>
        <v>SG</v>
      </c>
      <c r="U493" s="12">
        <f t="shared" si="186"/>
        <v>6010956.1600000001</v>
      </c>
      <c r="V493" s="97">
        <f t="shared" si="186"/>
        <v>2.1205479452054792E-2</v>
      </c>
      <c r="W493" s="13">
        <f t="shared" si="171"/>
        <v>354.0700203835616</v>
      </c>
      <c r="X493" s="13">
        <f t="shared" si="155"/>
        <v>42835.373475068438</v>
      </c>
      <c r="Y493" s="13">
        <f t="shared" si="172"/>
        <v>61.870762605783796</v>
      </c>
      <c r="AA493" s="11" t="s">
        <v>189</v>
      </c>
      <c r="AB493" s="98">
        <f t="shared" si="187"/>
        <v>15000000</v>
      </c>
      <c r="AC493" s="97">
        <f t="shared" si="187"/>
        <v>2.579E-2</v>
      </c>
      <c r="AD493" s="13">
        <f t="shared" si="173"/>
        <v>1074.5833333333333</v>
      </c>
      <c r="AE493" s="13">
        <f t="shared" si="174"/>
        <v>130024.5833333331</v>
      </c>
      <c r="AF493" s="13">
        <f t="shared" si="175"/>
        <v>345.41666666666663</v>
      </c>
      <c r="AH493" s="235">
        <f>'CT- € Ellipsis BNP'!X493</f>
        <v>0</v>
      </c>
      <c r="AI493" s="236">
        <f>'CT- € Ellipsis BNP'!AA493</f>
        <v>0</v>
      </c>
      <c r="AJ493" s="90">
        <f>'CT- € Ellipsis BNP'!W493</f>
        <v>0</v>
      </c>
      <c r="AK493" s="91">
        <f>'CT- € Ellipsis BNP'!AC493</f>
        <v>0</v>
      </c>
      <c r="AM493" s="235">
        <f>'codeis €'!Z493</f>
        <v>0</v>
      </c>
      <c r="AN493" s="236">
        <f>'codeis €'!AF493</f>
        <v>0</v>
      </c>
      <c r="AO493" s="90">
        <f>'codeis €'!AC493</f>
        <v>0</v>
      </c>
      <c r="AP493" s="91">
        <f>'codeis €'!AI493</f>
        <v>0</v>
      </c>
      <c r="AR493" s="12">
        <f t="shared" si="176"/>
        <v>67260956.159999996</v>
      </c>
      <c r="AS493" s="118">
        <f t="shared" si="177"/>
        <v>0.02</v>
      </c>
      <c r="AT493" s="118">
        <f t="shared" si="178"/>
        <v>2.0428995474183843E-2</v>
      </c>
      <c r="AU493" s="12">
        <f t="shared" si="179"/>
        <v>3816.871580505328</v>
      </c>
      <c r="AV493" s="12">
        <f t="shared" si="180"/>
        <v>547.24176717199384</v>
      </c>
      <c r="AW493" s="19"/>
    </row>
    <row r="494" spans="2:49" x14ac:dyDescent="0.25">
      <c r="B494" s="9" t="str">
        <f t="shared" si="163"/>
        <v>5 2026</v>
      </c>
      <c r="C494" s="88">
        <f t="shared" si="164"/>
        <v>46143</v>
      </c>
      <c r="D494" s="88">
        <f t="shared" si="157"/>
        <v>46144</v>
      </c>
      <c r="E494" s="89">
        <f t="shared" si="165"/>
        <v>1</v>
      </c>
      <c r="G494" s="11" t="s">
        <v>7</v>
      </c>
      <c r="H494" s="12">
        <f t="shared" si="185"/>
        <v>34250000</v>
      </c>
      <c r="I494" s="14">
        <f t="shared" si="185"/>
        <v>1.7500000000000002E-2</v>
      </c>
      <c r="J494" s="13">
        <f t="shared" si="166"/>
        <v>1664.9305555555557</v>
      </c>
      <c r="K494" s="13">
        <f t="shared" si="167"/>
        <v>112002.91666666682</v>
      </c>
      <c r="M494" s="11" t="s">
        <v>7</v>
      </c>
      <c r="N494" s="12">
        <f t="shared" si="188"/>
        <v>12000000</v>
      </c>
      <c r="O494" s="97">
        <f t="shared" si="188"/>
        <v>2.1698630136986304E-2</v>
      </c>
      <c r="P494" s="112">
        <f t="shared" si="168"/>
        <v>723.28767123287685</v>
      </c>
      <c r="Q494" s="13">
        <f t="shared" si="169"/>
        <v>88241.095890410958</v>
      </c>
      <c r="R494" s="13">
        <f t="shared" si="170"/>
        <v>139.95433789954348</v>
      </c>
      <c r="T494" s="11" t="str">
        <f t="shared" si="186"/>
        <v>SG</v>
      </c>
      <c r="U494" s="12">
        <f t="shared" si="186"/>
        <v>6010956.1600000001</v>
      </c>
      <c r="V494" s="97">
        <f t="shared" si="186"/>
        <v>2.1205479452054792E-2</v>
      </c>
      <c r="W494" s="13">
        <f t="shared" si="171"/>
        <v>354.0700203835616</v>
      </c>
      <c r="X494" s="13">
        <f t="shared" si="155"/>
        <v>43189.443495451997</v>
      </c>
      <c r="Y494" s="13">
        <f t="shared" si="172"/>
        <v>61.870762605783796</v>
      </c>
      <c r="AA494" s="11" t="s">
        <v>189</v>
      </c>
      <c r="AB494" s="98">
        <f t="shared" si="187"/>
        <v>15000000</v>
      </c>
      <c r="AC494" s="97">
        <f t="shared" si="187"/>
        <v>2.579E-2</v>
      </c>
      <c r="AD494" s="13">
        <f t="shared" si="173"/>
        <v>1074.5833333333333</v>
      </c>
      <c r="AE494" s="13">
        <f t="shared" si="174"/>
        <v>131099.16666666642</v>
      </c>
      <c r="AF494" s="13">
        <f t="shared" si="175"/>
        <v>345.41666666666663</v>
      </c>
      <c r="AH494" s="235">
        <f>'CT- € Ellipsis BNP'!X494</f>
        <v>0</v>
      </c>
      <c r="AI494" s="236">
        <f>'CT- € Ellipsis BNP'!AA494</f>
        <v>0</v>
      </c>
      <c r="AJ494" s="90">
        <f>'CT- € Ellipsis BNP'!W494</f>
        <v>0</v>
      </c>
      <c r="AK494" s="91">
        <f>'CT- € Ellipsis BNP'!AC494</f>
        <v>0</v>
      </c>
      <c r="AM494" s="235">
        <f>'codeis €'!Z494</f>
        <v>0</v>
      </c>
      <c r="AN494" s="236">
        <f>'codeis €'!AF494</f>
        <v>0</v>
      </c>
      <c r="AO494" s="90">
        <f>'codeis €'!AC494</f>
        <v>0</v>
      </c>
      <c r="AP494" s="91">
        <f>'codeis €'!AI494</f>
        <v>0</v>
      </c>
      <c r="AR494" s="12">
        <f t="shared" si="176"/>
        <v>67260956.159999996</v>
      </c>
      <c r="AS494" s="118">
        <f t="shared" si="177"/>
        <v>0.02</v>
      </c>
      <c r="AT494" s="118">
        <f t="shared" si="178"/>
        <v>2.0428995474183843E-2</v>
      </c>
      <c r="AU494" s="12">
        <f t="shared" si="179"/>
        <v>3816.871580505328</v>
      </c>
      <c r="AV494" s="12">
        <f t="shared" si="180"/>
        <v>547.24176717199384</v>
      </c>
      <c r="AW494" s="19"/>
    </row>
    <row r="495" spans="2:49" x14ac:dyDescent="0.25">
      <c r="B495" s="9" t="str">
        <f t="shared" si="163"/>
        <v>5 2026</v>
      </c>
      <c r="C495" s="88">
        <f t="shared" si="164"/>
        <v>46144</v>
      </c>
      <c r="D495" s="88">
        <f t="shared" si="157"/>
        <v>46145</v>
      </c>
      <c r="E495" s="89">
        <f t="shared" si="165"/>
        <v>1</v>
      </c>
      <c r="G495" s="11" t="s">
        <v>7</v>
      </c>
      <c r="H495" s="12">
        <f t="shared" si="185"/>
        <v>34250000</v>
      </c>
      <c r="I495" s="14">
        <f t="shared" si="185"/>
        <v>1.7500000000000002E-2</v>
      </c>
      <c r="J495" s="13">
        <f t="shared" si="166"/>
        <v>1664.9305555555557</v>
      </c>
      <c r="K495" s="13">
        <f t="shared" si="167"/>
        <v>113667.84722222238</v>
      </c>
      <c r="M495" s="11" t="s">
        <v>7</v>
      </c>
      <c r="N495" s="12">
        <f t="shared" si="188"/>
        <v>12000000</v>
      </c>
      <c r="O495" s="97">
        <f t="shared" si="188"/>
        <v>2.1698630136986304E-2</v>
      </c>
      <c r="P495" s="112">
        <f t="shared" si="168"/>
        <v>723.28767123287685</v>
      </c>
      <c r="Q495" s="13">
        <f t="shared" si="169"/>
        <v>88964.38356164383</v>
      </c>
      <c r="R495" s="13">
        <f t="shared" si="170"/>
        <v>139.95433789954348</v>
      </c>
      <c r="T495" s="11" t="str">
        <f t="shared" si="186"/>
        <v>SG</v>
      </c>
      <c r="U495" s="12">
        <f t="shared" si="186"/>
        <v>6010956.1600000001</v>
      </c>
      <c r="V495" s="97">
        <f t="shared" si="186"/>
        <v>2.1205479452054792E-2</v>
      </c>
      <c r="W495" s="13">
        <f t="shared" si="171"/>
        <v>354.0700203835616</v>
      </c>
      <c r="X495" s="13">
        <f t="shared" si="155"/>
        <v>43543.513515835555</v>
      </c>
      <c r="Y495" s="13">
        <f t="shared" si="172"/>
        <v>61.870762605783796</v>
      </c>
      <c r="AA495" s="11" t="s">
        <v>189</v>
      </c>
      <c r="AB495" s="98">
        <f t="shared" si="187"/>
        <v>15000000</v>
      </c>
      <c r="AC495" s="97">
        <f t="shared" si="187"/>
        <v>2.579E-2</v>
      </c>
      <c r="AD495" s="13">
        <f t="shared" si="173"/>
        <v>1074.5833333333333</v>
      </c>
      <c r="AE495" s="13">
        <f t="shared" si="174"/>
        <v>132173.74999999977</v>
      </c>
      <c r="AF495" s="13">
        <f t="shared" si="175"/>
        <v>345.41666666666663</v>
      </c>
      <c r="AH495" s="235">
        <f>'CT- € Ellipsis BNP'!X495</f>
        <v>0</v>
      </c>
      <c r="AI495" s="236">
        <f>'CT- € Ellipsis BNP'!AA495</f>
        <v>0</v>
      </c>
      <c r="AJ495" s="90">
        <f>'CT- € Ellipsis BNP'!W495</f>
        <v>0</v>
      </c>
      <c r="AK495" s="91">
        <f>'CT- € Ellipsis BNP'!AC495</f>
        <v>0</v>
      </c>
      <c r="AM495" s="235">
        <f>'codeis €'!Z495</f>
        <v>0</v>
      </c>
      <c r="AN495" s="236">
        <f>'codeis €'!AF495</f>
        <v>0</v>
      </c>
      <c r="AO495" s="90">
        <f>'codeis €'!AC495</f>
        <v>0</v>
      </c>
      <c r="AP495" s="91">
        <f>'codeis €'!AI495</f>
        <v>0</v>
      </c>
      <c r="AR495" s="12">
        <f t="shared" si="176"/>
        <v>67260956.159999996</v>
      </c>
      <c r="AS495" s="118">
        <f t="shared" si="177"/>
        <v>0.02</v>
      </c>
      <c r="AT495" s="118">
        <f t="shared" si="178"/>
        <v>2.0428995474183843E-2</v>
      </c>
      <c r="AU495" s="12">
        <f t="shared" si="179"/>
        <v>3816.871580505328</v>
      </c>
      <c r="AV495" s="12">
        <f t="shared" si="180"/>
        <v>547.24176717199384</v>
      </c>
      <c r="AW495" s="19"/>
    </row>
    <row r="496" spans="2:49" x14ac:dyDescent="0.25">
      <c r="B496" s="9" t="str">
        <f t="shared" si="163"/>
        <v>5 2026</v>
      </c>
      <c r="C496" s="88">
        <f t="shared" si="164"/>
        <v>46145</v>
      </c>
      <c r="D496" s="88">
        <f t="shared" si="157"/>
        <v>46146</v>
      </c>
      <c r="E496" s="89">
        <f t="shared" si="165"/>
        <v>1</v>
      </c>
      <c r="G496" s="11" t="s">
        <v>7</v>
      </c>
      <c r="H496" s="12">
        <f t="shared" si="185"/>
        <v>34250000</v>
      </c>
      <c r="I496" s="14">
        <f t="shared" si="185"/>
        <v>1.7500000000000002E-2</v>
      </c>
      <c r="J496" s="13">
        <f t="shared" si="166"/>
        <v>1664.9305555555557</v>
      </c>
      <c r="K496" s="13">
        <f t="shared" si="167"/>
        <v>115332.77777777794</v>
      </c>
      <c r="M496" s="11" t="s">
        <v>7</v>
      </c>
      <c r="N496" s="12">
        <f t="shared" si="188"/>
        <v>12000000</v>
      </c>
      <c r="O496" s="97">
        <f t="shared" si="188"/>
        <v>2.1698630136986304E-2</v>
      </c>
      <c r="P496" s="112">
        <f t="shared" si="168"/>
        <v>723.28767123287685</v>
      </c>
      <c r="Q496" s="13">
        <f t="shared" si="169"/>
        <v>89687.671232876703</v>
      </c>
      <c r="R496" s="13">
        <f t="shared" si="170"/>
        <v>139.95433789954348</v>
      </c>
      <c r="T496" s="11" t="str">
        <f t="shared" si="186"/>
        <v>SG</v>
      </c>
      <c r="U496" s="12">
        <f t="shared" si="186"/>
        <v>6010956.1600000001</v>
      </c>
      <c r="V496" s="97">
        <f t="shared" si="186"/>
        <v>2.1205479452054792E-2</v>
      </c>
      <c r="W496" s="13">
        <f t="shared" si="171"/>
        <v>354.0700203835616</v>
      </c>
      <c r="X496" s="13">
        <f t="shared" si="155"/>
        <v>43897.583536219114</v>
      </c>
      <c r="Y496" s="13">
        <f t="shared" si="172"/>
        <v>61.870762605783796</v>
      </c>
      <c r="AA496" s="11" t="s">
        <v>189</v>
      </c>
      <c r="AB496" s="98">
        <f t="shared" si="187"/>
        <v>15000000</v>
      </c>
      <c r="AC496" s="97">
        <f t="shared" si="187"/>
        <v>2.579E-2</v>
      </c>
      <c r="AD496" s="13">
        <f t="shared" si="173"/>
        <v>1074.5833333333333</v>
      </c>
      <c r="AE496" s="13">
        <f t="shared" si="174"/>
        <v>133248.33333333311</v>
      </c>
      <c r="AF496" s="13">
        <f t="shared" si="175"/>
        <v>345.41666666666663</v>
      </c>
      <c r="AH496" s="235">
        <f>'CT- € Ellipsis BNP'!X496</f>
        <v>0</v>
      </c>
      <c r="AI496" s="236">
        <f>'CT- € Ellipsis BNP'!AA496</f>
        <v>0</v>
      </c>
      <c r="AJ496" s="90">
        <f>'CT- € Ellipsis BNP'!W496</f>
        <v>0</v>
      </c>
      <c r="AK496" s="91">
        <f>'CT- € Ellipsis BNP'!AC496</f>
        <v>0</v>
      </c>
      <c r="AM496" s="235">
        <f>'codeis €'!Z496</f>
        <v>0</v>
      </c>
      <c r="AN496" s="236">
        <f>'codeis €'!AF496</f>
        <v>0</v>
      </c>
      <c r="AO496" s="90">
        <f>'codeis €'!AC496</f>
        <v>0</v>
      </c>
      <c r="AP496" s="91">
        <f>'codeis €'!AI496</f>
        <v>0</v>
      </c>
      <c r="AR496" s="12">
        <f t="shared" si="176"/>
        <v>67260956.159999996</v>
      </c>
      <c r="AS496" s="118">
        <f t="shared" si="177"/>
        <v>0.02</v>
      </c>
      <c r="AT496" s="118">
        <f t="shared" si="178"/>
        <v>2.0428995474183843E-2</v>
      </c>
      <c r="AU496" s="12">
        <f t="shared" si="179"/>
        <v>3816.871580505328</v>
      </c>
      <c r="AV496" s="12">
        <f t="shared" si="180"/>
        <v>547.24176717199384</v>
      </c>
      <c r="AW496" s="19"/>
    </row>
    <row r="497" spans="2:49" x14ac:dyDescent="0.25">
      <c r="B497" s="9" t="str">
        <f t="shared" si="163"/>
        <v>5 2026</v>
      </c>
      <c r="C497" s="88">
        <f t="shared" si="164"/>
        <v>46146</v>
      </c>
      <c r="D497" s="88">
        <f t="shared" si="157"/>
        <v>46147</v>
      </c>
      <c r="E497" s="89">
        <f t="shared" si="165"/>
        <v>1</v>
      </c>
      <c r="G497" s="11" t="s">
        <v>7</v>
      </c>
      <c r="H497" s="12">
        <f t="shared" si="185"/>
        <v>34250000</v>
      </c>
      <c r="I497" s="14">
        <f t="shared" si="185"/>
        <v>1.7500000000000002E-2</v>
      </c>
      <c r="J497" s="13">
        <f t="shared" si="166"/>
        <v>1664.9305555555557</v>
      </c>
      <c r="K497" s="13">
        <f t="shared" si="167"/>
        <v>116997.7083333335</v>
      </c>
      <c r="M497" s="11" t="s">
        <v>7</v>
      </c>
      <c r="N497" s="12">
        <f t="shared" si="188"/>
        <v>12000000</v>
      </c>
      <c r="O497" s="97">
        <f t="shared" si="188"/>
        <v>2.1698630136986304E-2</v>
      </c>
      <c r="P497" s="112">
        <f t="shared" si="168"/>
        <v>723.28767123287685</v>
      </c>
      <c r="Q497" s="13">
        <f t="shared" si="169"/>
        <v>90410.958904109575</v>
      </c>
      <c r="R497" s="13">
        <f t="shared" si="170"/>
        <v>139.95433789954348</v>
      </c>
      <c r="T497" s="11" t="str">
        <f t="shared" si="186"/>
        <v>SG</v>
      </c>
      <c r="U497" s="12">
        <f t="shared" si="186"/>
        <v>6010956.1600000001</v>
      </c>
      <c r="V497" s="97">
        <f t="shared" si="186"/>
        <v>2.1205479452054792E-2</v>
      </c>
      <c r="W497" s="13">
        <f t="shared" si="171"/>
        <v>354.0700203835616</v>
      </c>
      <c r="X497" s="13">
        <f t="shared" si="155"/>
        <v>44251.653556602672</v>
      </c>
      <c r="Y497" s="13">
        <f t="shared" si="172"/>
        <v>61.870762605783796</v>
      </c>
      <c r="AA497" s="11" t="s">
        <v>189</v>
      </c>
      <c r="AB497" s="98">
        <f t="shared" si="187"/>
        <v>15000000</v>
      </c>
      <c r="AC497" s="97">
        <f t="shared" si="187"/>
        <v>2.579E-2</v>
      </c>
      <c r="AD497" s="13">
        <f t="shared" si="173"/>
        <v>1074.5833333333333</v>
      </c>
      <c r="AE497" s="13">
        <f t="shared" si="174"/>
        <v>134322.91666666645</v>
      </c>
      <c r="AF497" s="13">
        <f t="shared" si="175"/>
        <v>345.41666666666663</v>
      </c>
      <c r="AH497" s="235">
        <f>'CT- € Ellipsis BNP'!X497</f>
        <v>0</v>
      </c>
      <c r="AI497" s="236">
        <f>'CT- € Ellipsis BNP'!AA497</f>
        <v>0</v>
      </c>
      <c r="AJ497" s="90">
        <f>'CT- € Ellipsis BNP'!W497</f>
        <v>0</v>
      </c>
      <c r="AK497" s="91">
        <f>'CT- € Ellipsis BNP'!AC497</f>
        <v>0</v>
      </c>
      <c r="AM497" s="235">
        <f>'codeis €'!Z497</f>
        <v>0</v>
      </c>
      <c r="AN497" s="236">
        <f>'codeis €'!AF497</f>
        <v>0</v>
      </c>
      <c r="AO497" s="90">
        <f>'codeis €'!AC497</f>
        <v>0</v>
      </c>
      <c r="AP497" s="91">
        <f>'codeis €'!AI497</f>
        <v>0</v>
      </c>
      <c r="AR497" s="12">
        <f t="shared" si="176"/>
        <v>67260956.159999996</v>
      </c>
      <c r="AS497" s="118">
        <f t="shared" si="177"/>
        <v>0.02</v>
      </c>
      <c r="AT497" s="118">
        <f t="shared" si="178"/>
        <v>2.0428995474183843E-2</v>
      </c>
      <c r="AU497" s="12">
        <f t="shared" si="179"/>
        <v>3816.871580505328</v>
      </c>
      <c r="AV497" s="12">
        <f t="shared" si="180"/>
        <v>547.24176717199384</v>
      </c>
      <c r="AW497" s="19"/>
    </row>
    <row r="498" spans="2:49" x14ac:dyDescent="0.25">
      <c r="B498" s="9" t="str">
        <f t="shared" si="163"/>
        <v>5 2026</v>
      </c>
      <c r="C498" s="88">
        <f t="shared" si="164"/>
        <v>46147</v>
      </c>
      <c r="D498" s="88">
        <f t="shared" si="157"/>
        <v>46148</v>
      </c>
      <c r="E498" s="89">
        <f t="shared" si="165"/>
        <v>1</v>
      </c>
      <c r="G498" s="11" t="s">
        <v>7</v>
      </c>
      <c r="H498" s="12">
        <f t="shared" si="185"/>
        <v>34250000</v>
      </c>
      <c r="I498" s="14">
        <f t="shared" si="185"/>
        <v>1.7500000000000002E-2</v>
      </c>
      <c r="J498" s="13">
        <f t="shared" si="166"/>
        <v>1664.9305555555557</v>
      </c>
      <c r="K498" s="13">
        <f t="shared" si="167"/>
        <v>118662.63888888907</v>
      </c>
      <c r="M498" s="11" t="s">
        <v>7</v>
      </c>
      <c r="N498" s="12">
        <f t="shared" si="188"/>
        <v>12000000</v>
      </c>
      <c r="O498" s="97">
        <f t="shared" si="188"/>
        <v>2.1698630136986304E-2</v>
      </c>
      <c r="P498" s="112">
        <f t="shared" si="168"/>
        <v>723.28767123287685</v>
      </c>
      <c r="Q498" s="13">
        <f t="shared" si="169"/>
        <v>91134.246575342448</v>
      </c>
      <c r="R498" s="13">
        <f t="shared" si="170"/>
        <v>139.95433789954348</v>
      </c>
      <c r="T498" s="11" t="str">
        <f t="shared" si="186"/>
        <v>SG</v>
      </c>
      <c r="U498" s="12">
        <f t="shared" si="186"/>
        <v>6010956.1600000001</v>
      </c>
      <c r="V498" s="97">
        <f t="shared" si="186"/>
        <v>2.1205479452054792E-2</v>
      </c>
      <c r="W498" s="13">
        <f t="shared" si="171"/>
        <v>354.0700203835616</v>
      </c>
      <c r="X498" s="13">
        <f t="shared" si="155"/>
        <v>44605.723576986231</v>
      </c>
      <c r="Y498" s="13">
        <f t="shared" si="172"/>
        <v>61.870762605783796</v>
      </c>
      <c r="AA498" s="11" t="s">
        <v>189</v>
      </c>
      <c r="AB498" s="98">
        <f t="shared" si="187"/>
        <v>15000000</v>
      </c>
      <c r="AC498" s="97">
        <f t="shared" si="187"/>
        <v>2.579E-2</v>
      </c>
      <c r="AD498" s="13">
        <f t="shared" si="173"/>
        <v>1074.5833333333333</v>
      </c>
      <c r="AE498" s="13">
        <f t="shared" si="174"/>
        <v>135397.4999999998</v>
      </c>
      <c r="AF498" s="13">
        <f t="shared" si="175"/>
        <v>345.41666666666663</v>
      </c>
      <c r="AH498" s="235">
        <f>'CT- € Ellipsis BNP'!X498</f>
        <v>0</v>
      </c>
      <c r="AI498" s="236">
        <f>'CT- € Ellipsis BNP'!AA498</f>
        <v>0</v>
      </c>
      <c r="AJ498" s="90">
        <f>'CT- € Ellipsis BNP'!W498</f>
        <v>0</v>
      </c>
      <c r="AK498" s="91">
        <f>'CT- € Ellipsis BNP'!AC498</f>
        <v>0</v>
      </c>
      <c r="AM498" s="235">
        <f>'codeis €'!Z498</f>
        <v>0</v>
      </c>
      <c r="AN498" s="236">
        <f>'codeis €'!AF498</f>
        <v>0</v>
      </c>
      <c r="AO498" s="90">
        <f>'codeis €'!AC498</f>
        <v>0</v>
      </c>
      <c r="AP498" s="91">
        <f>'codeis €'!AI498</f>
        <v>0</v>
      </c>
      <c r="AR498" s="12">
        <f t="shared" si="176"/>
        <v>67260956.159999996</v>
      </c>
      <c r="AS498" s="118">
        <f t="shared" si="177"/>
        <v>0.02</v>
      </c>
      <c r="AT498" s="118">
        <f t="shared" si="178"/>
        <v>2.0428995474183843E-2</v>
      </c>
      <c r="AU498" s="12">
        <f t="shared" si="179"/>
        <v>3816.871580505328</v>
      </c>
      <c r="AV498" s="12">
        <f t="shared" si="180"/>
        <v>547.24176717199384</v>
      </c>
      <c r="AW498" s="19"/>
    </row>
    <row r="499" spans="2:49" x14ac:dyDescent="0.25">
      <c r="B499" s="9" t="str">
        <f t="shared" si="163"/>
        <v>5 2026</v>
      </c>
      <c r="C499" s="88">
        <f t="shared" si="164"/>
        <v>46148</v>
      </c>
      <c r="D499" s="88">
        <f t="shared" si="157"/>
        <v>46149</v>
      </c>
      <c r="E499" s="89">
        <f t="shared" si="165"/>
        <v>1</v>
      </c>
      <c r="G499" s="11" t="s">
        <v>7</v>
      </c>
      <c r="H499" s="12">
        <f t="shared" si="185"/>
        <v>34250000</v>
      </c>
      <c r="I499" s="14">
        <f t="shared" si="185"/>
        <v>1.7500000000000002E-2</v>
      </c>
      <c r="J499" s="13">
        <f t="shared" si="166"/>
        <v>1664.9305555555557</v>
      </c>
      <c r="K499" s="13">
        <f t="shared" si="167"/>
        <v>120327.56944444463</v>
      </c>
      <c r="M499" s="11" t="s">
        <v>7</v>
      </c>
      <c r="N499" s="12">
        <f t="shared" si="188"/>
        <v>12000000</v>
      </c>
      <c r="O499" s="97">
        <f t="shared" si="188"/>
        <v>2.1698630136986304E-2</v>
      </c>
      <c r="P499" s="112">
        <f t="shared" si="168"/>
        <v>723.28767123287685</v>
      </c>
      <c r="Q499" s="13">
        <f t="shared" si="169"/>
        <v>91857.53424657532</v>
      </c>
      <c r="R499" s="13">
        <f t="shared" si="170"/>
        <v>139.95433789954348</v>
      </c>
      <c r="T499" s="11" t="str">
        <f t="shared" si="186"/>
        <v>SG</v>
      </c>
      <c r="U499" s="12">
        <f t="shared" si="186"/>
        <v>6010956.1600000001</v>
      </c>
      <c r="V499" s="97">
        <f t="shared" si="186"/>
        <v>2.1205479452054792E-2</v>
      </c>
      <c r="W499" s="13">
        <f t="shared" si="171"/>
        <v>354.0700203835616</v>
      </c>
      <c r="X499" s="13">
        <f t="shared" si="155"/>
        <v>44959.793597369789</v>
      </c>
      <c r="Y499" s="13">
        <f t="shared" si="172"/>
        <v>61.870762605783796</v>
      </c>
      <c r="AA499" s="11" t="s">
        <v>189</v>
      </c>
      <c r="AB499" s="98">
        <f t="shared" si="187"/>
        <v>15000000</v>
      </c>
      <c r="AC499" s="97">
        <f t="shared" si="187"/>
        <v>2.579E-2</v>
      </c>
      <c r="AD499" s="13">
        <f t="shared" si="173"/>
        <v>1074.5833333333333</v>
      </c>
      <c r="AE499" s="13">
        <f t="shared" si="174"/>
        <v>136472.08333333314</v>
      </c>
      <c r="AF499" s="13">
        <f t="shared" si="175"/>
        <v>345.41666666666663</v>
      </c>
      <c r="AH499" s="235">
        <f>'CT- € Ellipsis BNP'!X499</f>
        <v>0</v>
      </c>
      <c r="AI499" s="236">
        <f>'CT- € Ellipsis BNP'!AA499</f>
        <v>0</v>
      </c>
      <c r="AJ499" s="90">
        <f>'CT- € Ellipsis BNP'!W499</f>
        <v>0</v>
      </c>
      <c r="AK499" s="91">
        <f>'CT- € Ellipsis BNP'!AC499</f>
        <v>0</v>
      </c>
      <c r="AM499" s="235">
        <f>'codeis €'!Z499</f>
        <v>0</v>
      </c>
      <c r="AN499" s="236">
        <f>'codeis €'!AF499</f>
        <v>0</v>
      </c>
      <c r="AO499" s="90">
        <f>'codeis €'!AC499</f>
        <v>0</v>
      </c>
      <c r="AP499" s="91">
        <f>'codeis €'!AI499</f>
        <v>0</v>
      </c>
      <c r="AR499" s="12">
        <f t="shared" si="176"/>
        <v>67260956.159999996</v>
      </c>
      <c r="AS499" s="118">
        <f t="shared" si="177"/>
        <v>0.02</v>
      </c>
      <c r="AT499" s="118">
        <f t="shared" si="178"/>
        <v>2.0428995474183843E-2</v>
      </c>
      <c r="AU499" s="12">
        <f t="shared" si="179"/>
        <v>3816.871580505328</v>
      </c>
      <c r="AV499" s="12">
        <f t="shared" si="180"/>
        <v>547.24176717199384</v>
      </c>
      <c r="AW499" s="19"/>
    </row>
    <row r="500" spans="2:49" x14ac:dyDescent="0.25">
      <c r="B500" s="9" t="str">
        <f t="shared" si="163"/>
        <v>5 2026</v>
      </c>
      <c r="C500" s="88">
        <f t="shared" si="164"/>
        <v>46149</v>
      </c>
      <c r="D500" s="88">
        <f t="shared" si="157"/>
        <v>46150</v>
      </c>
      <c r="E500" s="89">
        <f t="shared" si="165"/>
        <v>1</v>
      </c>
      <c r="G500" s="11" t="s">
        <v>7</v>
      </c>
      <c r="H500" s="12">
        <f t="shared" si="185"/>
        <v>34250000</v>
      </c>
      <c r="I500" s="14">
        <f t="shared" si="185"/>
        <v>1.7500000000000002E-2</v>
      </c>
      <c r="J500" s="13">
        <f t="shared" si="166"/>
        <v>1664.9305555555557</v>
      </c>
      <c r="K500" s="13">
        <f t="shared" si="167"/>
        <v>121992.50000000019</v>
      </c>
      <c r="M500" s="11" t="s">
        <v>7</v>
      </c>
      <c r="N500" s="12">
        <f t="shared" si="188"/>
        <v>12000000</v>
      </c>
      <c r="O500" s="97">
        <f t="shared" si="188"/>
        <v>2.1698630136986304E-2</v>
      </c>
      <c r="P500" s="112">
        <f t="shared" si="168"/>
        <v>723.28767123287685</v>
      </c>
      <c r="Q500" s="13">
        <f t="shared" si="169"/>
        <v>92580.821917808193</v>
      </c>
      <c r="R500" s="13">
        <f t="shared" si="170"/>
        <v>139.95433789954348</v>
      </c>
      <c r="T500" s="11" t="str">
        <f t="shared" si="186"/>
        <v>SG</v>
      </c>
      <c r="U500" s="12">
        <f t="shared" si="186"/>
        <v>6010956.1600000001</v>
      </c>
      <c r="V500" s="97">
        <f t="shared" si="186"/>
        <v>2.1205479452054792E-2</v>
      </c>
      <c r="W500" s="13">
        <f t="shared" si="171"/>
        <v>354.0700203835616</v>
      </c>
      <c r="X500" s="13">
        <f t="shared" si="155"/>
        <v>45313.863617753348</v>
      </c>
      <c r="Y500" s="13">
        <f t="shared" si="172"/>
        <v>61.870762605783796</v>
      </c>
      <c r="AA500" s="11" t="s">
        <v>189</v>
      </c>
      <c r="AB500" s="98">
        <f t="shared" si="187"/>
        <v>15000000</v>
      </c>
      <c r="AC500" s="97">
        <f t="shared" si="187"/>
        <v>2.579E-2</v>
      </c>
      <c r="AD500" s="13">
        <f t="shared" si="173"/>
        <v>1074.5833333333333</v>
      </c>
      <c r="AE500" s="13">
        <f t="shared" si="174"/>
        <v>137546.66666666648</v>
      </c>
      <c r="AF500" s="13">
        <f t="shared" si="175"/>
        <v>345.41666666666663</v>
      </c>
      <c r="AH500" s="235">
        <f>'CT- € Ellipsis BNP'!X500</f>
        <v>0</v>
      </c>
      <c r="AI500" s="236">
        <f>'CT- € Ellipsis BNP'!AA500</f>
        <v>0</v>
      </c>
      <c r="AJ500" s="90">
        <f>'CT- € Ellipsis BNP'!W500</f>
        <v>0</v>
      </c>
      <c r="AK500" s="91">
        <f>'CT- € Ellipsis BNP'!AC500</f>
        <v>0</v>
      </c>
      <c r="AM500" s="235">
        <f>'codeis €'!Z500</f>
        <v>0</v>
      </c>
      <c r="AN500" s="236">
        <f>'codeis €'!AF500</f>
        <v>0</v>
      </c>
      <c r="AO500" s="90">
        <f>'codeis €'!AC500</f>
        <v>0</v>
      </c>
      <c r="AP500" s="91">
        <f>'codeis €'!AI500</f>
        <v>0</v>
      </c>
      <c r="AR500" s="12">
        <f t="shared" si="176"/>
        <v>67260956.159999996</v>
      </c>
      <c r="AS500" s="118">
        <f t="shared" si="177"/>
        <v>0.02</v>
      </c>
      <c r="AT500" s="118">
        <f t="shared" si="178"/>
        <v>2.0428995474183843E-2</v>
      </c>
      <c r="AU500" s="12">
        <f t="shared" si="179"/>
        <v>3816.871580505328</v>
      </c>
      <c r="AV500" s="12">
        <f t="shared" si="180"/>
        <v>547.24176717199384</v>
      </c>
      <c r="AW500" s="19"/>
    </row>
    <row r="501" spans="2:49" x14ac:dyDescent="0.25">
      <c r="B501" s="9" t="str">
        <f t="shared" si="163"/>
        <v>5 2026</v>
      </c>
      <c r="C501" s="88">
        <f t="shared" si="164"/>
        <v>46150</v>
      </c>
      <c r="D501" s="88">
        <f t="shared" si="157"/>
        <v>46151</v>
      </c>
      <c r="E501" s="89">
        <f t="shared" si="165"/>
        <v>1</v>
      </c>
      <c r="G501" s="11" t="s">
        <v>7</v>
      </c>
      <c r="H501" s="12">
        <f t="shared" si="185"/>
        <v>34250000</v>
      </c>
      <c r="I501" s="14">
        <f t="shared" si="185"/>
        <v>1.7500000000000002E-2</v>
      </c>
      <c r="J501" s="13">
        <f t="shared" si="166"/>
        <v>1664.9305555555557</v>
      </c>
      <c r="K501" s="13">
        <f t="shared" si="167"/>
        <v>123657.43055555575</v>
      </c>
      <c r="M501" s="11" t="s">
        <v>7</v>
      </c>
      <c r="N501" s="12">
        <f t="shared" si="188"/>
        <v>12000000</v>
      </c>
      <c r="O501" s="97">
        <f t="shared" si="188"/>
        <v>2.1698630136986304E-2</v>
      </c>
      <c r="P501" s="112">
        <f t="shared" si="168"/>
        <v>723.28767123287685</v>
      </c>
      <c r="Q501" s="13">
        <f t="shared" si="169"/>
        <v>93304.109589041065</v>
      </c>
      <c r="R501" s="13">
        <f t="shared" si="170"/>
        <v>139.95433789954348</v>
      </c>
      <c r="T501" s="11" t="str">
        <f t="shared" si="186"/>
        <v>SG</v>
      </c>
      <c r="U501" s="12">
        <f t="shared" si="186"/>
        <v>6010956.1600000001</v>
      </c>
      <c r="V501" s="97">
        <f t="shared" si="186"/>
        <v>2.1205479452054792E-2</v>
      </c>
      <c r="W501" s="13">
        <f t="shared" si="171"/>
        <v>354.0700203835616</v>
      </c>
      <c r="X501" s="13">
        <f t="shared" si="155"/>
        <v>45667.933638136907</v>
      </c>
      <c r="Y501" s="13">
        <f t="shared" si="172"/>
        <v>61.870762605783796</v>
      </c>
      <c r="AA501" s="11" t="s">
        <v>189</v>
      </c>
      <c r="AB501" s="98">
        <f t="shared" si="187"/>
        <v>15000000</v>
      </c>
      <c r="AC501" s="97">
        <f t="shared" si="187"/>
        <v>2.579E-2</v>
      </c>
      <c r="AD501" s="13">
        <f t="shared" si="173"/>
        <v>1074.5833333333333</v>
      </c>
      <c r="AE501" s="13">
        <f t="shared" si="174"/>
        <v>138621.24999999983</v>
      </c>
      <c r="AF501" s="13">
        <f t="shared" si="175"/>
        <v>345.41666666666663</v>
      </c>
      <c r="AH501" s="235">
        <f>'CT- € Ellipsis BNP'!X501</f>
        <v>0</v>
      </c>
      <c r="AI501" s="236">
        <f>'CT- € Ellipsis BNP'!AA501</f>
        <v>0</v>
      </c>
      <c r="AJ501" s="90">
        <f>'CT- € Ellipsis BNP'!W501</f>
        <v>0</v>
      </c>
      <c r="AK501" s="91">
        <f>'CT- € Ellipsis BNP'!AC501</f>
        <v>0</v>
      </c>
      <c r="AM501" s="235">
        <f>'codeis €'!Z501</f>
        <v>0</v>
      </c>
      <c r="AN501" s="236">
        <f>'codeis €'!AF501</f>
        <v>0</v>
      </c>
      <c r="AO501" s="90">
        <f>'codeis €'!AC501</f>
        <v>0</v>
      </c>
      <c r="AP501" s="91">
        <f>'codeis €'!AI501</f>
        <v>0</v>
      </c>
      <c r="AR501" s="12">
        <f t="shared" si="176"/>
        <v>67260956.159999996</v>
      </c>
      <c r="AS501" s="118">
        <f t="shared" si="177"/>
        <v>0.02</v>
      </c>
      <c r="AT501" s="118">
        <f t="shared" si="178"/>
        <v>2.0428995474183843E-2</v>
      </c>
      <c r="AU501" s="12">
        <f t="shared" si="179"/>
        <v>3816.871580505328</v>
      </c>
      <c r="AV501" s="12">
        <f t="shared" si="180"/>
        <v>547.24176717199384</v>
      </c>
      <c r="AW501" s="19"/>
    </row>
    <row r="502" spans="2:49" x14ac:dyDescent="0.25">
      <c r="B502" s="9" t="str">
        <f t="shared" si="163"/>
        <v>5 2026</v>
      </c>
      <c r="C502" s="88">
        <f t="shared" si="164"/>
        <v>46151</v>
      </c>
      <c r="D502" s="88">
        <f t="shared" si="157"/>
        <v>46152</v>
      </c>
      <c r="E502" s="89">
        <f t="shared" si="165"/>
        <v>1</v>
      </c>
      <c r="G502" s="11" t="s">
        <v>7</v>
      </c>
      <c r="H502" s="12">
        <f t="shared" si="185"/>
        <v>34250000</v>
      </c>
      <c r="I502" s="14">
        <f t="shared" si="185"/>
        <v>1.7500000000000002E-2</v>
      </c>
      <c r="J502" s="13">
        <f t="shared" si="166"/>
        <v>1664.9305555555557</v>
      </c>
      <c r="K502" s="13">
        <f t="shared" si="167"/>
        <v>125322.36111111131</v>
      </c>
      <c r="M502" s="11" t="s">
        <v>7</v>
      </c>
      <c r="N502" s="12">
        <f t="shared" si="188"/>
        <v>12000000</v>
      </c>
      <c r="O502" s="97">
        <f t="shared" si="188"/>
        <v>2.1698630136986304E-2</v>
      </c>
      <c r="P502" s="112">
        <f t="shared" si="168"/>
        <v>723.28767123287685</v>
      </c>
      <c r="Q502" s="13">
        <f t="shared" si="169"/>
        <v>94027.397260273938</v>
      </c>
      <c r="R502" s="13">
        <f t="shared" si="170"/>
        <v>139.95433789954348</v>
      </c>
      <c r="T502" s="11" t="str">
        <f t="shared" si="186"/>
        <v>SG</v>
      </c>
      <c r="U502" s="12">
        <f t="shared" si="186"/>
        <v>6010956.1600000001</v>
      </c>
      <c r="V502" s="97">
        <f t="shared" si="186"/>
        <v>2.1205479452054792E-2</v>
      </c>
      <c r="W502" s="13">
        <f t="shared" si="171"/>
        <v>354.0700203835616</v>
      </c>
      <c r="X502" s="13">
        <f t="shared" si="155"/>
        <v>46022.003658520465</v>
      </c>
      <c r="Y502" s="13">
        <f t="shared" si="172"/>
        <v>61.870762605783796</v>
      </c>
      <c r="AA502" s="11" t="s">
        <v>189</v>
      </c>
      <c r="AB502" s="98">
        <f t="shared" si="187"/>
        <v>15000000</v>
      </c>
      <c r="AC502" s="97">
        <f t="shared" si="187"/>
        <v>2.579E-2</v>
      </c>
      <c r="AD502" s="13">
        <f t="shared" si="173"/>
        <v>1074.5833333333333</v>
      </c>
      <c r="AE502" s="13">
        <f t="shared" si="174"/>
        <v>139695.83333333317</v>
      </c>
      <c r="AF502" s="13">
        <f t="shared" si="175"/>
        <v>345.41666666666663</v>
      </c>
      <c r="AH502" s="235">
        <f>'CT- € Ellipsis BNP'!X502</f>
        <v>0</v>
      </c>
      <c r="AI502" s="236">
        <f>'CT- € Ellipsis BNP'!AA502</f>
        <v>0</v>
      </c>
      <c r="AJ502" s="90">
        <f>'CT- € Ellipsis BNP'!W502</f>
        <v>0</v>
      </c>
      <c r="AK502" s="91">
        <f>'CT- € Ellipsis BNP'!AC502</f>
        <v>0</v>
      </c>
      <c r="AM502" s="235">
        <f>'codeis €'!Z502</f>
        <v>0</v>
      </c>
      <c r="AN502" s="236">
        <f>'codeis €'!AF502</f>
        <v>0</v>
      </c>
      <c r="AO502" s="90">
        <f>'codeis €'!AC502</f>
        <v>0</v>
      </c>
      <c r="AP502" s="91">
        <f>'codeis €'!AI502</f>
        <v>0</v>
      </c>
      <c r="AR502" s="12">
        <f t="shared" si="176"/>
        <v>67260956.159999996</v>
      </c>
      <c r="AS502" s="118">
        <f t="shared" si="177"/>
        <v>0.02</v>
      </c>
      <c r="AT502" s="118">
        <f t="shared" si="178"/>
        <v>2.0428995474183843E-2</v>
      </c>
      <c r="AU502" s="12">
        <f t="shared" si="179"/>
        <v>3816.871580505328</v>
      </c>
      <c r="AV502" s="12">
        <f t="shared" si="180"/>
        <v>547.24176717199384</v>
      </c>
      <c r="AW502" s="19"/>
    </row>
    <row r="503" spans="2:49" x14ac:dyDescent="0.25">
      <c r="B503" s="9" t="str">
        <f t="shared" si="163"/>
        <v>5 2026</v>
      </c>
      <c r="C503" s="88">
        <f t="shared" si="164"/>
        <v>46152</v>
      </c>
      <c r="D503" s="88">
        <f t="shared" si="157"/>
        <v>46153</v>
      </c>
      <c r="E503" s="89">
        <f t="shared" si="165"/>
        <v>1</v>
      </c>
      <c r="G503" s="11" t="s">
        <v>7</v>
      </c>
      <c r="H503" s="12">
        <f t="shared" ref="H503:I518" si="189">H502</f>
        <v>34250000</v>
      </c>
      <c r="I503" s="14">
        <f t="shared" si="189"/>
        <v>1.7500000000000002E-2</v>
      </c>
      <c r="J503" s="13">
        <f t="shared" si="166"/>
        <v>1664.9305555555557</v>
      </c>
      <c r="K503" s="13">
        <f t="shared" si="167"/>
        <v>126987.29166666688</v>
      </c>
      <c r="M503" s="11" t="s">
        <v>7</v>
      </c>
      <c r="N503" s="12">
        <f t="shared" si="188"/>
        <v>12000000</v>
      </c>
      <c r="O503" s="97">
        <f t="shared" si="188"/>
        <v>2.1698630136986304E-2</v>
      </c>
      <c r="P503" s="112">
        <f t="shared" si="168"/>
        <v>723.28767123287685</v>
      </c>
      <c r="Q503" s="13">
        <f t="shared" si="169"/>
        <v>94750.68493150681</v>
      </c>
      <c r="R503" s="13">
        <f t="shared" si="170"/>
        <v>139.95433789954348</v>
      </c>
      <c r="T503" s="11" t="str">
        <f t="shared" ref="T503:V518" si="190">T502</f>
        <v>SG</v>
      </c>
      <c r="U503" s="12">
        <f t="shared" si="190"/>
        <v>6010956.1600000001</v>
      </c>
      <c r="V503" s="97">
        <f t="shared" si="190"/>
        <v>2.1205479452054792E-2</v>
      </c>
      <c r="W503" s="13">
        <f t="shared" si="171"/>
        <v>354.0700203835616</v>
      </c>
      <c r="X503" s="13">
        <f t="shared" ref="X503:X566" si="191">X502+W503</f>
        <v>46376.073678904024</v>
      </c>
      <c r="Y503" s="13">
        <f t="shared" si="172"/>
        <v>61.870762605783796</v>
      </c>
      <c r="AA503" s="11" t="s">
        <v>189</v>
      </c>
      <c r="AB503" s="98">
        <f t="shared" ref="AB503:AC518" si="192">AB502</f>
        <v>15000000</v>
      </c>
      <c r="AC503" s="97">
        <f t="shared" si="192"/>
        <v>2.579E-2</v>
      </c>
      <c r="AD503" s="13">
        <f t="shared" si="173"/>
        <v>1074.5833333333333</v>
      </c>
      <c r="AE503" s="13">
        <f t="shared" si="174"/>
        <v>140770.41666666651</v>
      </c>
      <c r="AF503" s="13">
        <f t="shared" si="175"/>
        <v>345.41666666666663</v>
      </c>
      <c r="AH503" s="235">
        <f>'CT- € Ellipsis BNP'!X503</f>
        <v>0</v>
      </c>
      <c r="AI503" s="236">
        <f>'CT- € Ellipsis BNP'!AA503</f>
        <v>0</v>
      </c>
      <c r="AJ503" s="90">
        <f>'CT- € Ellipsis BNP'!W503</f>
        <v>0</v>
      </c>
      <c r="AK503" s="91">
        <f>'CT- € Ellipsis BNP'!AC503</f>
        <v>0</v>
      </c>
      <c r="AM503" s="235">
        <f>'codeis €'!Z503</f>
        <v>0</v>
      </c>
      <c r="AN503" s="236">
        <f>'codeis €'!AF503</f>
        <v>0</v>
      </c>
      <c r="AO503" s="90">
        <f>'codeis €'!AC503</f>
        <v>0</v>
      </c>
      <c r="AP503" s="91">
        <f>'codeis €'!AI503</f>
        <v>0</v>
      </c>
      <c r="AR503" s="12">
        <f t="shared" si="176"/>
        <v>67260956.159999996</v>
      </c>
      <c r="AS503" s="118">
        <f t="shared" si="177"/>
        <v>0.02</v>
      </c>
      <c r="AT503" s="118">
        <f t="shared" si="178"/>
        <v>2.0428995474183843E-2</v>
      </c>
      <c r="AU503" s="12">
        <f t="shared" si="179"/>
        <v>3816.871580505328</v>
      </c>
      <c r="AV503" s="12">
        <f t="shared" si="180"/>
        <v>547.24176717199384</v>
      </c>
      <c r="AW503" s="19"/>
    </row>
    <row r="504" spans="2:49" x14ac:dyDescent="0.25">
      <c r="B504" s="9" t="str">
        <f t="shared" si="163"/>
        <v>5 2026</v>
      </c>
      <c r="C504" s="88">
        <f t="shared" si="164"/>
        <v>46153</v>
      </c>
      <c r="D504" s="88">
        <f t="shared" ref="D504:D567" si="193">D503+1</f>
        <v>46154</v>
      </c>
      <c r="E504" s="89">
        <f t="shared" si="165"/>
        <v>1</v>
      </c>
      <c r="G504" s="11" t="s">
        <v>7</v>
      </c>
      <c r="H504" s="12">
        <f t="shared" si="189"/>
        <v>34250000</v>
      </c>
      <c r="I504" s="14">
        <f t="shared" si="189"/>
        <v>1.7500000000000002E-2</v>
      </c>
      <c r="J504" s="13">
        <f t="shared" si="166"/>
        <v>1664.9305555555557</v>
      </c>
      <c r="K504" s="13">
        <f t="shared" si="167"/>
        <v>128652.22222222244</v>
      </c>
      <c r="M504" s="11" t="s">
        <v>7</v>
      </c>
      <c r="N504" s="12">
        <f t="shared" ref="N504:O519" si="194">N503</f>
        <v>12000000</v>
      </c>
      <c r="O504" s="97">
        <f t="shared" si="194"/>
        <v>2.1698630136986304E-2</v>
      </c>
      <c r="P504" s="112">
        <f t="shared" si="168"/>
        <v>723.28767123287685</v>
      </c>
      <c r="Q504" s="13">
        <f t="shared" si="169"/>
        <v>95473.972602739683</v>
      </c>
      <c r="R504" s="13">
        <f t="shared" si="170"/>
        <v>139.95433789954348</v>
      </c>
      <c r="T504" s="11" t="str">
        <f t="shared" si="190"/>
        <v>SG</v>
      </c>
      <c r="U504" s="12">
        <f t="shared" si="190"/>
        <v>6010956.1600000001</v>
      </c>
      <c r="V504" s="97">
        <f t="shared" si="190"/>
        <v>2.1205479452054792E-2</v>
      </c>
      <c r="W504" s="13">
        <f t="shared" si="171"/>
        <v>354.0700203835616</v>
      </c>
      <c r="X504" s="13">
        <f t="shared" si="191"/>
        <v>46730.143699287582</v>
      </c>
      <c r="Y504" s="13">
        <f t="shared" si="172"/>
        <v>61.870762605783796</v>
      </c>
      <c r="AA504" s="11" t="s">
        <v>189</v>
      </c>
      <c r="AB504" s="98">
        <f t="shared" si="192"/>
        <v>15000000</v>
      </c>
      <c r="AC504" s="97">
        <f t="shared" si="192"/>
        <v>2.579E-2</v>
      </c>
      <c r="AD504" s="13">
        <f t="shared" si="173"/>
        <v>1074.5833333333333</v>
      </c>
      <c r="AE504" s="13">
        <f t="shared" si="174"/>
        <v>141844.99999999985</v>
      </c>
      <c r="AF504" s="13">
        <f t="shared" si="175"/>
        <v>345.41666666666663</v>
      </c>
      <c r="AH504" s="235">
        <f>'CT- € Ellipsis BNP'!X504</f>
        <v>0</v>
      </c>
      <c r="AI504" s="236">
        <f>'CT- € Ellipsis BNP'!AA504</f>
        <v>0</v>
      </c>
      <c r="AJ504" s="90">
        <f>'CT- € Ellipsis BNP'!W504</f>
        <v>0</v>
      </c>
      <c r="AK504" s="91">
        <f>'CT- € Ellipsis BNP'!AC504</f>
        <v>0</v>
      </c>
      <c r="AM504" s="235">
        <f>'codeis €'!Z504</f>
        <v>0</v>
      </c>
      <c r="AN504" s="236">
        <f>'codeis €'!AF504</f>
        <v>0</v>
      </c>
      <c r="AO504" s="90">
        <f>'codeis €'!AC504</f>
        <v>0</v>
      </c>
      <c r="AP504" s="91">
        <f>'codeis €'!AI504</f>
        <v>0</v>
      </c>
      <c r="AR504" s="12">
        <f t="shared" si="176"/>
        <v>67260956.159999996</v>
      </c>
      <c r="AS504" s="118">
        <f t="shared" si="177"/>
        <v>0.02</v>
      </c>
      <c r="AT504" s="118">
        <f t="shared" si="178"/>
        <v>2.0428995474183843E-2</v>
      </c>
      <c r="AU504" s="12">
        <f t="shared" si="179"/>
        <v>3816.871580505328</v>
      </c>
      <c r="AV504" s="12">
        <f t="shared" si="180"/>
        <v>547.24176717199384</v>
      </c>
      <c r="AW504" s="19"/>
    </row>
    <row r="505" spans="2:49" x14ac:dyDescent="0.25">
      <c r="B505" s="9" t="str">
        <f t="shared" si="163"/>
        <v>5 2026</v>
      </c>
      <c r="C505" s="88">
        <f t="shared" si="164"/>
        <v>46154</v>
      </c>
      <c r="D505" s="88">
        <f t="shared" si="193"/>
        <v>46155</v>
      </c>
      <c r="E505" s="89">
        <f t="shared" si="165"/>
        <v>1</v>
      </c>
      <c r="G505" s="11" t="s">
        <v>7</v>
      </c>
      <c r="H505" s="12">
        <f t="shared" si="189"/>
        <v>34250000</v>
      </c>
      <c r="I505" s="14">
        <f t="shared" si="189"/>
        <v>1.7500000000000002E-2</v>
      </c>
      <c r="J505" s="13">
        <f t="shared" si="166"/>
        <v>1664.9305555555557</v>
      </c>
      <c r="K505" s="13">
        <f t="shared" si="167"/>
        <v>130317.152777778</v>
      </c>
      <c r="M505" s="11" t="s">
        <v>7</v>
      </c>
      <c r="N505" s="12">
        <f t="shared" si="194"/>
        <v>12000000</v>
      </c>
      <c r="O505" s="97">
        <f t="shared" si="194"/>
        <v>2.1698630136986304E-2</v>
      </c>
      <c r="P505" s="112">
        <f t="shared" si="168"/>
        <v>723.28767123287685</v>
      </c>
      <c r="Q505" s="13">
        <f t="shared" si="169"/>
        <v>96197.260273972555</v>
      </c>
      <c r="R505" s="13">
        <f t="shared" si="170"/>
        <v>139.95433789954348</v>
      </c>
      <c r="T505" s="11" t="str">
        <f t="shared" si="190"/>
        <v>SG</v>
      </c>
      <c r="U505" s="12">
        <f t="shared" si="190"/>
        <v>6010956.1600000001</v>
      </c>
      <c r="V505" s="97">
        <f t="shared" si="190"/>
        <v>2.1205479452054792E-2</v>
      </c>
      <c r="W505" s="13">
        <f t="shared" si="171"/>
        <v>354.0700203835616</v>
      </c>
      <c r="X505" s="13">
        <f t="shared" si="191"/>
        <v>47084.213719671141</v>
      </c>
      <c r="Y505" s="13">
        <f t="shared" si="172"/>
        <v>61.870762605783796</v>
      </c>
      <c r="AA505" s="11" t="s">
        <v>189</v>
      </c>
      <c r="AB505" s="98">
        <f t="shared" si="192"/>
        <v>15000000</v>
      </c>
      <c r="AC505" s="97">
        <f t="shared" si="192"/>
        <v>2.579E-2</v>
      </c>
      <c r="AD505" s="13">
        <f t="shared" si="173"/>
        <v>1074.5833333333333</v>
      </c>
      <c r="AE505" s="13">
        <f t="shared" si="174"/>
        <v>142919.5833333332</v>
      </c>
      <c r="AF505" s="13">
        <f t="shared" si="175"/>
        <v>345.41666666666663</v>
      </c>
      <c r="AH505" s="235">
        <f>'CT- € Ellipsis BNP'!X505</f>
        <v>0</v>
      </c>
      <c r="AI505" s="236">
        <f>'CT- € Ellipsis BNP'!AA505</f>
        <v>0</v>
      </c>
      <c r="AJ505" s="90">
        <f>'CT- € Ellipsis BNP'!W505</f>
        <v>0</v>
      </c>
      <c r="AK505" s="91">
        <f>'CT- € Ellipsis BNP'!AC505</f>
        <v>0</v>
      </c>
      <c r="AM505" s="235">
        <f>'codeis €'!Z505</f>
        <v>0</v>
      </c>
      <c r="AN505" s="236">
        <f>'codeis €'!AF505</f>
        <v>0</v>
      </c>
      <c r="AO505" s="90">
        <f>'codeis €'!AC505</f>
        <v>0</v>
      </c>
      <c r="AP505" s="91">
        <f>'codeis €'!AI505</f>
        <v>0</v>
      </c>
      <c r="AR505" s="12">
        <f t="shared" si="176"/>
        <v>67260956.159999996</v>
      </c>
      <c r="AS505" s="118">
        <f t="shared" si="177"/>
        <v>0.02</v>
      </c>
      <c r="AT505" s="118">
        <f t="shared" si="178"/>
        <v>2.0428995474183843E-2</v>
      </c>
      <c r="AU505" s="12">
        <f t="shared" si="179"/>
        <v>3816.871580505328</v>
      </c>
      <c r="AV505" s="12">
        <f t="shared" si="180"/>
        <v>547.24176717199384</v>
      </c>
      <c r="AW505" s="19"/>
    </row>
    <row r="506" spans="2:49" x14ac:dyDescent="0.25">
      <c r="B506" s="9" t="str">
        <f t="shared" si="163"/>
        <v>5 2026</v>
      </c>
      <c r="C506" s="88">
        <f t="shared" si="164"/>
        <v>46155</v>
      </c>
      <c r="D506" s="88">
        <f t="shared" si="193"/>
        <v>46156</v>
      </c>
      <c r="E506" s="89">
        <f t="shared" si="165"/>
        <v>1</v>
      </c>
      <c r="G506" s="11" t="s">
        <v>7</v>
      </c>
      <c r="H506" s="12">
        <f t="shared" si="189"/>
        <v>34250000</v>
      </c>
      <c r="I506" s="14">
        <f t="shared" si="189"/>
        <v>1.7500000000000002E-2</v>
      </c>
      <c r="J506" s="13">
        <f t="shared" si="166"/>
        <v>1664.9305555555557</v>
      </c>
      <c r="K506" s="13">
        <f t="shared" si="167"/>
        <v>131982.08333333355</v>
      </c>
      <c r="M506" s="11" t="s">
        <v>7</v>
      </c>
      <c r="N506" s="12">
        <f t="shared" si="194"/>
        <v>12000000</v>
      </c>
      <c r="O506" s="97">
        <f t="shared" si="194"/>
        <v>2.1698630136986304E-2</v>
      </c>
      <c r="P506" s="112">
        <f t="shared" si="168"/>
        <v>723.28767123287685</v>
      </c>
      <c r="Q506" s="13">
        <f t="shared" si="169"/>
        <v>96920.547945205428</v>
      </c>
      <c r="R506" s="13">
        <f t="shared" si="170"/>
        <v>139.95433789954348</v>
      </c>
      <c r="T506" s="11" t="str">
        <f t="shared" si="190"/>
        <v>SG</v>
      </c>
      <c r="U506" s="12">
        <f t="shared" si="190"/>
        <v>6010956.1600000001</v>
      </c>
      <c r="V506" s="97">
        <f t="shared" si="190"/>
        <v>2.1205479452054792E-2</v>
      </c>
      <c r="W506" s="13">
        <f t="shared" si="171"/>
        <v>354.0700203835616</v>
      </c>
      <c r="X506" s="13">
        <f t="shared" si="191"/>
        <v>47438.2837400547</v>
      </c>
      <c r="Y506" s="13">
        <f t="shared" si="172"/>
        <v>61.870762605783796</v>
      </c>
      <c r="AA506" s="11" t="s">
        <v>189</v>
      </c>
      <c r="AB506" s="98">
        <f t="shared" si="192"/>
        <v>15000000</v>
      </c>
      <c r="AC506" s="97">
        <f t="shared" si="192"/>
        <v>2.579E-2</v>
      </c>
      <c r="AD506" s="13">
        <f t="shared" si="173"/>
        <v>1074.5833333333333</v>
      </c>
      <c r="AE506" s="13">
        <f t="shared" si="174"/>
        <v>143994.16666666654</v>
      </c>
      <c r="AF506" s="13">
        <f t="shared" si="175"/>
        <v>345.41666666666663</v>
      </c>
      <c r="AH506" s="235">
        <f>'CT- € Ellipsis BNP'!X506</f>
        <v>0</v>
      </c>
      <c r="AI506" s="236">
        <f>'CT- € Ellipsis BNP'!AA506</f>
        <v>0</v>
      </c>
      <c r="AJ506" s="90">
        <f>'CT- € Ellipsis BNP'!W506</f>
        <v>0</v>
      </c>
      <c r="AK506" s="91">
        <f>'CT- € Ellipsis BNP'!AC506</f>
        <v>0</v>
      </c>
      <c r="AM506" s="235">
        <f>'codeis €'!Z506</f>
        <v>0</v>
      </c>
      <c r="AN506" s="236">
        <f>'codeis €'!AF506</f>
        <v>0</v>
      </c>
      <c r="AO506" s="90">
        <f>'codeis €'!AC506</f>
        <v>0</v>
      </c>
      <c r="AP506" s="91">
        <f>'codeis €'!AI506</f>
        <v>0</v>
      </c>
      <c r="AR506" s="12">
        <f t="shared" si="176"/>
        <v>67260956.159999996</v>
      </c>
      <c r="AS506" s="118">
        <f t="shared" si="177"/>
        <v>0.02</v>
      </c>
      <c r="AT506" s="118">
        <f t="shared" si="178"/>
        <v>2.0428995474183843E-2</v>
      </c>
      <c r="AU506" s="12">
        <f t="shared" si="179"/>
        <v>3816.871580505328</v>
      </c>
      <c r="AV506" s="12">
        <f t="shared" si="180"/>
        <v>547.24176717199384</v>
      </c>
      <c r="AW506" s="19"/>
    </row>
    <row r="507" spans="2:49" x14ac:dyDescent="0.25">
      <c r="B507" s="9" t="str">
        <f t="shared" si="163"/>
        <v>5 2026</v>
      </c>
      <c r="C507" s="88">
        <f t="shared" si="164"/>
        <v>46156</v>
      </c>
      <c r="D507" s="88">
        <f t="shared" si="193"/>
        <v>46157</v>
      </c>
      <c r="E507" s="89">
        <f t="shared" si="165"/>
        <v>1</v>
      </c>
      <c r="G507" s="11" t="s">
        <v>7</v>
      </c>
      <c r="H507" s="12">
        <f t="shared" si="189"/>
        <v>34250000</v>
      </c>
      <c r="I507" s="14">
        <f t="shared" si="189"/>
        <v>1.7500000000000002E-2</v>
      </c>
      <c r="J507" s="13">
        <f t="shared" si="166"/>
        <v>1664.9305555555557</v>
      </c>
      <c r="K507" s="13">
        <f t="shared" si="167"/>
        <v>133647.01388888911</v>
      </c>
      <c r="M507" s="11" t="s">
        <v>7</v>
      </c>
      <c r="N507" s="12">
        <f t="shared" si="194"/>
        <v>12000000</v>
      </c>
      <c r="O507" s="97">
        <f t="shared" si="194"/>
        <v>2.1698630136986304E-2</v>
      </c>
      <c r="P507" s="112">
        <f t="shared" si="168"/>
        <v>723.28767123287685</v>
      </c>
      <c r="Q507" s="13">
        <f t="shared" si="169"/>
        <v>97643.8356164383</v>
      </c>
      <c r="R507" s="13">
        <f t="shared" si="170"/>
        <v>139.95433789954348</v>
      </c>
      <c r="T507" s="11" t="str">
        <f t="shared" si="190"/>
        <v>SG</v>
      </c>
      <c r="U507" s="12">
        <f t="shared" si="190"/>
        <v>6010956.1600000001</v>
      </c>
      <c r="V507" s="97">
        <f t="shared" si="190"/>
        <v>2.1205479452054792E-2</v>
      </c>
      <c r="W507" s="13">
        <f t="shared" si="171"/>
        <v>354.0700203835616</v>
      </c>
      <c r="X507" s="13">
        <f t="shared" si="191"/>
        <v>47792.353760438258</v>
      </c>
      <c r="Y507" s="13">
        <f t="shared" si="172"/>
        <v>61.870762605783796</v>
      </c>
      <c r="AA507" s="11" t="s">
        <v>189</v>
      </c>
      <c r="AB507" s="98">
        <f t="shared" si="192"/>
        <v>15000000</v>
      </c>
      <c r="AC507" s="97">
        <f t="shared" si="192"/>
        <v>2.579E-2</v>
      </c>
      <c r="AD507" s="13">
        <f t="shared" si="173"/>
        <v>1074.5833333333333</v>
      </c>
      <c r="AE507" s="13">
        <f t="shared" si="174"/>
        <v>145068.74999999988</v>
      </c>
      <c r="AF507" s="13">
        <f t="shared" si="175"/>
        <v>345.41666666666663</v>
      </c>
      <c r="AH507" s="235">
        <f>'CT- € Ellipsis BNP'!X507</f>
        <v>0</v>
      </c>
      <c r="AI507" s="236">
        <f>'CT- € Ellipsis BNP'!AA507</f>
        <v>0</v>
      </c>
      <c r="AJ507" s="90">
        <f>'CT- € Ellipsis BNP'!W507</f>
        <v>0</v>
      </c>
      <c r="AK507" s="91">
        <f>'CT- € Ellipsis BNP'!AC507</f>
        <v>0</v>
      </c>
      <c r="AM507" s="235">
        <f>'codeis €'!Z507</f>
        <v>0</v>
      </c>
      <c r="AN507" s="236">
        <f>'codeis €'!AF507</f>
        <v>0</v>
      </c>
      <c r="AO507" s="90">
        <f>'codeis €'!AC507</f>
        <v>0</v>
      </c>
      <c r="AP507" s="91">
        <f>'codeis €'!AI507</f>
        <v>0</v>
      </c>
      <c r="AR507" s="12">
        <f t="shared" si="176"/>
        <v>67260956.159999996</v>
      </c>
      <c r="AS507" s="118">
        <f t="shared" si="177"/>
        <v>0.02</v>
      </c>
      <c r="AT507" s="118">
        <f t="shared" si="178"/>
        <v>2.0428995474183843E-2</v>
      </c>
      <c r="AU507" s="12">
        <f t="shared" si="179"/>
        <v>3816.871580505328</v>
      </c>
      <c r="AV507" s="12">
        <f t="shared" si="180"/>
        <v>547.24176717199384</v>
      </c>
      <c r="AW507" s="19"/>
    </row>
    <row r="508" spans="2:49" x14ac:dyDescent="0.25">
      <c r="B508" s="9" t="str">
        <f t="shared" si="163"/>
        <v>5 2026</v>
      </c>
      <c r="C508" s="88">
        <f t="shared" si="164"/>
        <v>46157</v>
      </c>
      <c r="D508" s="88">
        <f t="shared" si="193"/>
        <v>46158</v>
      </c>
      <c r="E508" s="89">
        <f t="shared" si="165"/>
        <v>1</v>
      </c>
      <c r="G508" s="11" t="s">
        <v>7</v>
      </c>
      <c r="H508" s="12">
        <f t="shared" si="189"/>
        <v>34250000</v>
      </c>
      <c r="I508" s="14">
        <f t="shared" si="189"/>
        <v>1.7500000000000002E-2</v>
      </c>
      <c r="J508" s="13">
        <f t="shared" si="166"/>
        <v>1664.9305555555557</v>
      </c>
      <c r="K508" s="13">
        <f t="shared" si="167"/>
        <v>135311.94444444467</v>
      </c>
      <c r="M508" s="11" t="s">
        <v>7</v>
      </c>
      <c r="N508" s="12">
        <f t="shared" si="194"/>
        <v>12000000</v>
      </c>
      <c r="O508" s="97">
        <f t="shared" si="194"/>
        <v>2.1698630136986304E-2</v>
      </c>
      <c r="P508" s="112">
        <f t="shared" si="168"/>
        <v>723.28767123287685</v>
      </c>
      <c r="Q508" s="13">
        <f t="shared" si="169"/>
        <v>98367.123287671173</v>
      </c>
      <c r="R508" s="13">
        <f t="shared" si="170"/>
        <v>139.95433789954348</v>
      </c>
      <c r="T508" s="11" t="str">
        <f t="shared" si="190"/>
        <v>SG</v>
      </c>
      <c r="U508" s="12">
        <f t="shared" si="190"/>
        <v>6010956.1600000001</v>
      </c>
      <c r="V508" s="97">
        <f t="shared" si="190"/>
        <v>2.1205479452054792E-2</v>
      </c>
      <c r="W508" s="13">
        <f t="shared" si="171"/>
        <v>354.0700203835616</v>
      </c>
      <c r="X508" s="13">
        <f t="shared" si="191"/>
        <v>48146.423780821817</v>
      </c>
      <c r="Y508" s="13">
        <f t="shared" si="172"/>
        <v>61.870762605783796</v>
      </c>
      <c r="AA508" s="11" t="s">
        <v>189</v>
      </c>
      <c r="AB508" s="98">
        <f t="shared" si="192"/>
        <v>15000000</v>
      </c>
      <c r="AC508" s="97">
        <f t="shared" si="192"/>
        <v>2.579E-2</v>
      </c>
      <c r="AD508" s="13">
        <f t="shared" si="173"/>
        <v>1074.5833333333333</v>
      </c>
      <c r="AE508" s="13">
        <f t="shared" si="174"/>
        <v>146143.33333333323</v>
      </c>
      <c r="AF508" s="13">
        <f t="shared" si="175"/>
        <v>345.41666666666663</v>
      </c>
      <c r="AH508" s="235">
        <f>'CT- € Ellipsis BNP'!X508</f>
        <v>0</v>
      </c>
      <c r="AI508" s="236">
        <f>'CT- € Ellipsis BNP'!AA508</f>
        <v>0</v>
      </c>
      <c r="AJ508" s="90">
        <f>'CT- € Ellipsis BNP'!W508</f>
        <v>0</v>
      </c>
      <c r="AK508" s="91">
        <f>'CT- € Ellipsis BNP'!AC508</f>
        <v>0</v>
      </c>
      <c r="AM508" s="235">
        <f>'codeis €'!Z508</f>
        <v>0</v>
      </c>
      <c r="AN508" s="236">
        <f>'codeis €'!AF508</f>
        <v>0</v>
      </c>
      <c r="AO508" s="90">
        <f>'codeis €'!AC508</f>
        <v>0</v>
      </c>
      <c r="AP508" s="91">
        <f>'codeis €'!AI508</f>
        <v>0</v>
      </c>
      <c r="AR508" s="12">
        <f t="shared" si="176"/>
        <v>67260956.159999996</v>
      </c>
      <c r="AS508" s="118">
        <f t="shared" si="177"/>
        <v>0.02</v>
      </c>
      <c r="AT508" s="118">
        <f t="shared" si="178"/>
        <v>2.0428995474183843E-2</v>
      </c>
      <c r="AU508" s="12">
        <f t="shared" si="179"/>
        <v>3816.871580505328</v>
      </c>
      <c r="AV508" s="12">
        <f t="shared" si="180"/>
        <v>547.24176717199384</v>
      </c>
      <c r="AW508" s="19"/>
    </row>
    <row r="509" spans="2:49" x14ac:dyDescent="0.25">
      <c r="B509" s="9" t="str">
        <f t="shared" si="163"/>
        <v>5 2026</v>
      </c>
      <c r="C509" s="88">
        <f t="shared" si="164"/>
        <v>46158</v>
      </c>
      <c r="D509" s="88">
        <f t="shared" si="193"/>
        <v>46159</v>
      </c>
      <c r="E509" s="89">
        <f t="shared" si="165"/>
        <v>1</v>
      </c>
      <c r="G509" s="11" t="s">
        <v>7</v>
      </c>
      <c r="H509" s="12">
        <f t="shared" si="189"/>
        <v>34250000</v>
      </c>
      <c r="I509" s="14">
        <f t="shared" si="189"/>
        <v>1.7500000000000002E-2</v>
      </c>
      <c r="J509" s="13">
        <f t="shared" si="166"/>
        <v>1664.9305555555557</v>
      </c>
      <c r="K509" s="13">
        <f t="shared" si="167"/>
        <v>136976.87500000023</v>
      </c>
      <c r="M509" s="11" t="s">
        <v>7</v>
      </c>
      <c r="N509" s="12">
        <f t="shared" si="194"/>
        <v>12000000</v>
      </c>
      <c r="O509" s="97">
        <f t="shared" si="194"/>
        <v>2.1698630136986304E-2</v>
      </c>
      <c r="P509" s="112">
        <f t="shared" si="168"/>
        <v>723.28767123287685</v>
      </c>
      <c r="Q509" s="13">
        <f t="shared" si="169"/>
        <v>99090.410958904045</v>
      </c>
      <c r="R509" s="13">
        <f t="shared" si="170"/>
        <v>139.95433789954348</v>
      </c>
      <c r="T509" s="11" t="str">
        <f t="shared" si="190"/>
        <v>SG</v>
      </c>
      <c r="U509" s="12">
        <f t="shared" si="190"/>
        <v>6010956.1600000001</v>
      </c>
      <c r="V509" s="97">
        <f t="shared" si="190"/>
        <v>2.1205479452054792E-2</v>
      </c>
      <c r="W509" s="13">
        <f t="shared" si="171"/>
        <v>354.0700203835616</v>
      </c>
      <c r="X509" s="13">
        <f t="shared" si="191"/>
        <v>48500.493801205375</v>
      </c>
      <c r="Y509" s="13">
        <f t="shared" si="172"/>
        <v>61.870762605783796</v>
      </c>
      <c r="AA509" s="11" t="s">
        <v>189</v>
      </c>
      <c r="AB509" s="98">
        <f t="shared" si="192"/>
        <v>15000000</v>
      </c>
      <c r="AC509" s="97">
        <f t="shared" si="192"/>
        <v>2.579E-2</v>
      </c>
      <c r="AD509" s="13">
        <f t="shared" si="173"/>
        <v>1074.5833333333333</v>
      </c>
      <c r="AE509" s="13">
        <f t="shared" si="174"/>
        <v>147217.91666666657</v>
      </c>
      <c r="AF509" s="13">
        <f t="shared" si="175"/>
        <v>345.41666666666663</v>
      </c>
      <c r="AH509" s="235">
        <f>'CT- € Ellipsis BNP'!X509</f>
        <v>0</v>
      </c>
      <c r="AI509" s="236">
        <f>'CT- € Ellipsis BNP'!AA509</f>
        <v>0</v>
      </c>
      <c r="AJ509" s="90">
        <f>'CT- € Ellipsis BNP'!W509</f>
        <v>0</v>
      </c>
      <c r="AK509" s="91">
        <f>'CT- € Ellipsis BNP'!AC509</f>
        <v>0</v>
      </c>
      <c r="AM509" s="235">
        <f>'codeis €'!Z509</f>
        <v>0</v>
      </c>
      <c r="AN509" s="236">
        <f>'codeis €'!AF509</f>
        <v>0</v>
      </c>
      <c r="AO509" s="90">
        <f>'codeis €'!AC509</f>
        <v>0</v>
      </c>
      <c r="AP509" s="91">
        <f>'codeis €'!AI509</f>
        <v>0</v>
      </c>
      <c r="AR509" s="12">
        <f t="shared" si="176"/>
        <v>67260956.159999996</v>
      </c>
      <c r="AS509" s="118">
        <f t="shared" si="177"/>
        <v>0.02</v>
      </c>
      <c r="AT509" s="118">
        <f t="shared" si="178"/>
        <v>2.0428995474183843E-2</v>
      </c>
      <c r="AU509" s="12">
        <f t="shared" si="179"/>
        <v>3816.871580505328</v>
      </c>
      <c r="AV509" s="12">
        <f t="shared" si="180"/>
        <v>547.24176717199384</v>
      </c>
      <c r="AW509" s="19"/>
    </row>
    <row r="510" spans="2:49" x14ac:dyDescent="0.25">
      <c r="B510" s="9" t="str">
        <f t="shared" si="163"/>
        <v>5 2026</v>
      </c>
      <c r="C510" s="88">
        <f t="shared" si="164"/>
        <v>46159</v>
      </c>
      <c r="D510" s="88">
        <f t="shared" si="193"/>
        <v>46160</v>
      </c>
      <c r="E510" s="89">
        <f t="shared" si="165"/>
        <v>1</v>
      </c>
      <c r="G510" s="11" t="s">
        <v>7</v>
      </c>
      <c r="H510" s="12">
        <f t="shared" si="189"/>
        <v>34250000</v>
      </c>
      <c r="I510" s="14">
        <f t="shared" si="189"/>
        <v>1.7500000000000002E-2</v>
      </c>
      <c r="J510" s="13">
        <f t="shared" si="166"/>
        <v>1664.9305555555557</v>
      </c>
      <c r="K510" s="13">
        <f t="shared" si="167"/>
        <v>138641.80555555579</v>
      </c>
      <c r="M510" s="11" t="s">
        <v>7</v>
      </c>
      <c r="N510" s="12">
        <f t="shared" si="194"/>
        <v>12000000</v>
      </c>
      <c r="O510" s="97">
        <f t="shared" si="194"/>
        <v>2.1698630136986304E-2</v>
      </c>
      <c r="P510" s="112">
        <f t="shared" si="168"/>
        <v>723.28767123287685</v>
      </c>
      <c r="Q510" s="13">
        <f t="shared" si="169"/>
        <v>99813.698630136918</v>
      </c>
      <c r="R510" s="13">
        <f t="shared" si="170"/>
        <v>139.95433789954348</v>
      </c>
      <c r="T510" s="11" t="str">
        <f t="shared" si="190"/>
        <v>SG</v>
      </c>
      <c r="U510" s="12">
        <f t="shared" si="190"/>
        <v>6010956.1600000001</v>
      </c>
      <c r="V510" s="97">
        <f t="shared" si="190"/>
        <v>2.1205479452054792E-2</v>
      </c>
      <c r="W510" s="13">
        <f t="shared" si="171"/>
        <v>354.0700203835616</v>
      </c>
      <c r="X510" s="13">
        <f t="shared" si="191"/>
        <v>48854.563821588934</v>
      </c>
      <c r="Y510" s="13">
        <f t="shared" si="172"/>
        <v>61.870762605783796</v>
      </c>
      <c r="AA510" s="11" t="s">
        <v>189</v>
      </c>
      <c r="AB510" s="98">
        <f t="shared" si="192"/>
        <v>15000000</v>
      </c>
      <c r="AC510" s="97">
        <f t="shared" si="192"/>
        <v>2.579E-2</v>
      </c>
      <c r="AD510" s="13">
        <f t="shared" si="173"/>
        <v>1074.5833333333333</v>
      </c>
      <c r="AE510" s="13">
        <f t="shared" si="174"/>
        <v>148292.49999999991</v>
      </c>
      <c r="AF510" s="13">
        <f t="shared" si="175"/>
        <v>345.41666666666663</v>
      </c>
      <c r="AH510" s="235">
        <f>'CT- € Ellipsis BNP'!X510</f>
        <v>0</v>
      </c>
      <c r="AI510" s="236">
        <f>'CT- € Ellipsis BNP'!AA510</f>
        <v>0</v>
      </c>
      <c r="AJ510" s="90">
        <f>'CT- € Ellipsis BNP'!W510</f>
        <v>0</v>
      </c>
      <c r="AK510" s="91">
        <f>'CT- € Ellipsis BNP'!AC510</f>
        <v>0</v>
      </c>
      <c r="AM510" s="235">
        <f>'codeis €'!Z510</f>
        <v>0</v>
      </c>
      <c r="AN510" s="236">
        <f>'codeis €'!AF510</f>
        <v>0</v>
      </c>
      <c r="AO510" s="90">
        <f>'codeis €'!AC510</f>
        <v>0</v>
      </c>
      <c r="AP510" s="91">
        <f>'codeis €'!AI510</f>
        <v>0</v>
      </c>
      <c r="AR510" s="12">
        <f t="shared" si="176"/>
        <v>67260956.159999996</v>
      </c>
      <c r="AS510" s="118">
        <f t="shared" si="177"/>
        <v>0.02</v>
      </c>
      <c r="AT510" s="118">
        <f t="shared" si="178"/>
        <v>2.0428995474183843E-2</v>
      </c>
      <c r="AU510" s="12">
        <f t="shared" si="179"/>
        <v>3816.871580505328</v>
      </c>
      <c r="AV510" s="12">
        <f t="shared" si="180"/>
        <v>547.24176717199384</v>
      </c>
      <c r="AW510" s="19"/>
    </row>
    <row r="511" spans="2:49" x14ac:dyDescent="0.25">
      <c r="B511" s="9" t="str">
        <f t="shared" si="163"/>
        <v>5 2026</v>
      </c>
      <c r="C511" s="88">
        <f t="shared" si="164"/>
        <v>46160</v>
      </c>
      <c r="D511" s="88">
        <f t="shared" si="193"/>
        <v>46161</v>
      </c>
      <c r="E511" s="89">
        <f t="shared" si="165"/>
        <v>1</v>
      </c>
      <c r="G511" s="11" t="s">
        <v>7</v>
      </c>
      <c r="H511" s="12">
        <f t="shared" si="189"/>
        <v>34250000</v>
      </c>
      <c r="I511" s="14">
        <f t="shared" si="189"/>
        <v>1.7500000000000002E-2</v>
      </c>
      <c r="J511" s="13">
        <f t="shared" si="166"/>
        <v>1664.9305555555557</v>
      </c>
      <c r="K511" s="13">
        <f t="shared" si="167"/>
        <v>140306.73611111136</v>
      </c>
      <c r="M511" s="11" t="s">
        <v>7</v>
      </c>
      <c r="N511" s="12">
        <f t="shared" si="194"/>
        <v>12000000</v>
      </c>
      <c r="O511" s="97">
        <f t="shared" si="194"/>
        <v>2.1698630136986304E-2</v>
      </c>
      <c r="P511" s="112">
        <f t="shared" si="168"/>
        <v>723.28767123287685</v>
      </c>
      <c r="Q511" s="13">
        <f t="shared" si="169"/>
        <v>100536.98630136979</v>
      </c>
      <c r="R511" s="13">
        <f t="shared" si="170"/>
        <v>139.95433789954348</v>
      </c>
      <c r="T511" s="11" t="str">
        <f t="shared" si="190"/>
        <v>SG</v>
      </c>
      <c r="U511" s="12">
        <f t="shared" si="190"/>
        <v>6010956.1600000001</v>
      </c>
      <c r="V511" s="97">
        <f t="shared" si="190"/>
        <v>2.1205479452054792E-2</v>
      </c>
      <c r="W511" s="13">
        <f t="shared" si="171"/>
        <v>354.0700203835616</v>
      </c>
      <c r="X511" s="13">
        <f t="shared" si="191"/>
        <v>49208.633841972493</v>
      </c>
      <c r="Y511" s="13">
        <f t="shared" si="172"/>
        <v>61.870762605783796</v>
      </c>
      <c r="AA511" s="11" t="s">
        <v>189</v>
      </c>
      <c r="AB511" s="98">
        <f t="shared" si="192"/>
        <v>15000000</v>
      </c>
      <c r="AC511" s="97">
        <f t="shared" si="192"/>
        <v>2.579E-2</v>
      </c>
      <c r="AD511" s="13">
        <f t="shared" si="173"/>
        <v>1074.5833333333333</v>
      </c>
      <c r="AE511" s="13">
        <f t="shared" si="174"/>
        <v>149367.08333333326</v>
      </c>
      <c r="AF511" s="13">
        <f t="shared" si="175"/>
        <v>345.41666666666663</v>
      </c>
      <c r="AH511" s="235">
        <f>'CT- € Ellipsis BNP'!X511</f>
        <v>0</v>
      </c>
      <c r="AI511" s="236">
        <f>'CT- € Ellipsis BNP'!AA511</f>
        <v>0</v>
      </c>
      <c r="AJ511" s="90">
        <f>'CT- € Ellipsis BNP'!W511</f>
        <v>0</v>
      </c>
      <c r="AK511" s="91">
        <f>'CT- € Ellipsis BNP'!AC511</f>
        <v>0</v>
      </c>
      <c r="AM511" s="235">
        <f>'codeis €'!Z511</f>
        <v>0</v>
      </c>
      <c r="AN511" s="236">
        <f>'codeis €'!AF511</f>
        <v>0</v>
      </c>
      <c r="AO511" s="90">
        <f>'codeis €'!AC511</f>
        <v>0</v>
      </c>
      <c r="AP511" s="91">
        <f>'codeis €'!AI511</f>
        <v>0</v>
      </c>
      <c r="AR511" s="12">
        <f t="shared" si="176"/>
        <v>67260956.159999996</v>
      </c>
      <c r="AS511" s="118">
        <f t="shared" si="177"/>
        <v>0.02</v>
      </c>
      <c r="AT511" s="118">
        <f t="shared" si="178"/>
        <v>2.0428995474183843E-2</v>
      </c>
      <c r="AU511" s="12">
        <f t="shared" si="179"/>
        <v>3816.871580505328</v>
      </c>
      <c r="AV511" s="12">
        <f t="shared" si="180"/>
        <v>547.24176717199384</v>
      </c>
      <c r="AW511" s="19"/>
    </row>
    <row r="512" spans="2:49" x14ac:dyDescent="0.25">
      <c r="B512" s="9" t="str">
        <f t="shared" si="163"/>
        <v>5 2026</v>
      </c>
      <c r="C512" s="88">
        <f t="shared" si="164"/>
        <v>46161</v>
      </c>
      <c r="D512" s="88">
        <f t="shared" si="193"/>
        <v>46162</v>
      </c>
      <c r="E512" s="89">
        <f t="shared" si="165"/>
        <v>1</v>
      </c>
      <c r="G512" s="11" t="s">
        <v>7</v>
      </c>
      <c r="H512" s="12">
        <f t="shared" si="189"/>
        <v>34250000</v>
      </c>
      <c r="I512" s="14">
        <f t="shared" si="189"/>
        <v>1.7500000000000002E-2</v>
      </c>
      <c r="J512" s="13">
        <f t="shared" si="166"/>
        <v>1664.9305555555557</v>
      </c>
      <c r="K512" s="13">
        <f t="shared" si="167"/>
        <v>141971.66666666692</v>
      </c>
      <c r="M512" s="11" t="s">
        <v>7</v>
      </c>
      <c r="N512" s="12">
        <f t="shared" si="194"/>
        <v>12000000</v>
      </c>
      <c r="O512" s="97">
        <f t="shared" si="194"/>
        <v>2.1698630136986304E-2</v>
      </c>
      <c r="P512" s="112">
        <f t="shared" si="168"/>
        <v>723.28767123287685</v>
      </c>
      <c r="Q512" s="13">
        <f t="shared" si="169"/>
        <v>101260.27397260266</v>
      </c>
      <c r="R512" s="13">
        <f t="shared" si="170"/>
        <v>139.95433789954348</v>
      </c>
      <c r="T512" s="11" t="str">
        <f t="shared" si="190"/>
        <v>SG</v>
      </c>
      <c r="U512" s="12">
        <f t="shared" si="190"/>
        <v>6010956.1600000001</v>
      </c>
      <c r="V512" s="97">
        <f t="shared" si="190"/>
        <v>2.1205479452054792E-2</v>
      </c>
      <c r="W512" s="13">
        <f t="shared" si="171"/>
        <v>354.0700203835616</v>
      </c>
      <c r="X512" s="13">
        <f t="shared" si="191"/>
        <v>49562.703862356051</v>
      </c>
      <c r="Y512" s="13">
        <f t="shared" si="172"/>
        <v>61.870762605783796</v>
      </c>
      <c r="AA512" s="11" t="s">
        <v>189</v>
      </c>
      <c r="AB512" s="98">
        <f t="shared" si="192"/>
        <v>15000000</v>
      </c>
      <c r="AC512" s="97">
        <f t="shared" si="192"/>
        <v>2.579E-2</v>
      </c>
      <c r="AD512" s="13">
        <f t="shared" si="173"/>
        <v>1074.5833333333333</v>
      </c>
      <c r="AE512" s="13">
        <f t="shared" si="174"/>
        <v>150441.6666666666</v>
      </c>
      <c r="AF512" s="13">
        <f t="shared" si="175"/>
        <v>345.41666666666663</v>
      </c>
      <c r="AH512" s="235">
        <f>'CT- € Ellipsis BNP'!X512</f>
        <v>0</v>
      </c>
      <c r="AI512" s="236">
        <f>'CT- € Ellipsis BNP'!AA512</f>
        <v>0</v>
      </c>
      <c r="AJ512" s="90">
        <f>'CT- € Ellipsis BNP'!W512</f>
        <v>0</v>
      </c>
      <c r="AK512" s="91">
        <f>'CT- € Ellipsis BNP'!AC512</f>
        <v>0</v>
      </c>
      <c r="AM512" s="235">
        <f>'codeis €'!Z512</f>
        <v>0</v>
      </c>
      <c r="AN512" s="236">
        <f>'codeis €'!AF512</f>
        <v>0</v>
      </c>
      <c r="AO512" s="90">
        <f>'codeis €'!AC512</f>
        <v>0</v>
      </c>
      <c r="AP512" s="91">
        <f>'codeis €'!AI512</f>
        <v>0</v>
      </c>
      <c r="AR512" s="12">
        <f t="shared" si="176"/>
        <v>67260956.159999996</v>
      </c>
      <c r="AS512" s="118">
        <f t="shared" si="177"/>
        <v>0.02</v>
      </c>
      <c r="AT512" s="118">
        <f t="shared" si="178"/>
        <v>2.0428995474183843E-2</v>
      </c>
      <c r="AU512" s="12">
        <f t="shared" si="179"/>
        <v>3816.871580505328</v>
      </c>
      <c r="AV512" s="12">
        <f t="shared" si="180"/>
        <v>547.24176717199384</v>
      </c>
      <c r="AW512" s="19"/>
    </row>
    <row r="513" spans="2:49" x14ac:dyDescent="0.25">
      <c r="B513" s="9" t="str">
        <f t="shared" si="163"/>
        <v>5 2026</v>
      </c>
      <c r="C513" s="88">
        <f t="shared" si="164"/>
        <v>46162</v>
      </c>
      <c r="D513" s="88">
        <f t="shared" si="193"/>
        <v>46163</v>
      </c>
      <c r="E513" s="89">
        <f t="shared" si="165"/>
        <v>1</v>
      </c>
      <c r="G513" s="11" t="s">
        <v>7</v>
      </c>
      <c r="H513" s="12">
        <f t="shared" si="189"/>
        <v>34250000</v>
      </c>
      <c r="I513" s="14">
        <f t="shared" si="189"/>
        <v>1.7500000000000002E-2</v>
      </c>
      <c r="J513" s="13">
        <f t="shared" si="166"/>
        <v>1664.9305555555557</v>
      </c>
      <c r="K513" s="13">
        <f t="shared" si="167"/>
        <v>143636.59722222248</v>
      </c>
      <c r="M513" s="11" t="s">
        <v>7</v>
      </c>
      <c r="N513" s="12">
        <f t="shared" si="194"/>
        <v>12000000</v>
      </c>
      <c r="O513" s="97">
        <f t="shared" si="194"/>
        <v>2.1698630136986304E-2</v>
      </c>
      <c r="P513" s="112">
        <f t="shared" si="168"/>
        <v>723.28767123287685</v>
      </c>
      <c r="Q513" s="13">
        <f t="shared" si="169"/>
        <v>101983.56164383554</v>
      </c>
      <c r="R513" s="13">
        <f t="shared" si="170"/>
        <v>139.95433789954348</v>
      </c>
      <c r="T513" s="11" t="str">
        <f t="shared" si="190"/>
        <v>SG</v>
      </c>
      <c r="U513" s="12">
        <f t="shared" si="190"/>
        <v>6010956.1600000001</v>
      </c>
      <c r="V513" s="97">
        <f t="shared" si="190"/>
        <v>2.1205479452054792E-2</v>
      </c>
      <c r="W513" s="13">
        <f t="shared" si="171"/>
        <v>354.0700203835616</v>
      </c>
      <c r="X513" s="13">
        <f t="shared" si="191"/>
        <v>49916.77388273961</v>
      </c>
      <c r="Y513" s="13">
        <f t="shared" si="172"/>
        <v>61.870762605783796</v>
      </c>
      <c r="AA513" s="11" t="s">
        <v>189</v>
      </c>
      <c r="AB513" s="98">
        <f t="shared" si="192"/>
        <v>15000000</v>
      </c>
      <c r="AC513" s="97">
        <f t="shared" si="192"/>
        <v>2.579E-2</v>
      </c>
      <c r="AD513" s="13">
        <f t="shared" si="173"/>
        <v>1074.5833333333333</v>
      </c>
      <c r="AE513" s="13">
        <f t="shared" si="174"/>
        <v>151516.24999999994</v>
      </c>
      <c r="AF513" s="13">
        <f t="shared" si="175"/>
        <v>345.41666666666663</v>
      </c>
      <c r="AH513" s="235">
        <f>'CT- € Ellipsis BNP'!X513</f>
        <v>0</v>
      </c>
      <c r="AI513" s="236">
        <f>'CT- € Ellipsis BNP'!AA513</f>
        <v>0</v>
      </c>
      <c r="AJ513" s="90">
        <f>'CT- € Ellipsis BNP'!W513</f>
        <v>0</v>
      </c>
      <c r="AK513" s="91">
        <f>'CT- € Ellipsis BNP'!AC513</f>
        <v>0</v>
      </c>
      <c r="AM513" s="235">
        <f>'codeis €'!Z513</f>
        <v>0</v>
      </c>
      <c r="AN513" s="236">
        <f>'codeis €'!AF513</f>
        <v>0</v>
      </c>
      <c r="AO513" s="90">
        <f>'codeis €'!AC513</f>
        <v>0</v>
      </c>
      <c r="AP513" s="91">
        <f>'codeis €'!AI513</f>
        <v>0</v>
      </c>
      <c r="AR513" s="12">
        <f t="shared" si="176"/>
        <v>67260956.159999996</v>
      </c>
      <c r="AS513" s="118">
        <f t="shared" si="177"/>
        <v>0.02</v>
      </c>
      <c r="AT513" s="118">
        <f t="shared" si="178"/>
        <v>2.0428995474183843E-2</v>
      </c>
      <c r="AU513" s="12">
        <f t="shared" si="179"/>
        <v>3816.871580505328</v>
      </c>
      <c r="AV513" s="12">
        <f t="shared" si="180"/>
        <v>547.24176717199384</v>
      </c>
      <c r="AW513" s="19"/>
    </row>
    <row r="514" spans="2:49" x14ac:dyDescent="0.25">
      <c r="B514" s="9" t="str">
        <f t="shared" si="163"/>
        <v>5 2026</v>
      </c>
      <c r="C514" s="88">
        <f t="shared" si="164"/>
        <v>46163</v>
      </c>
      <c r="D514" s="88">
        <f t="shared" si="193"/>
        <v>46164</v>
      </c>
      <c r="E514" s="89">
        <f t="shared" si="165"/>
        <v>1</v>
      </c>
      <c r="G514" s="11" t="s">
        <v>7</v>
      </c>
      <c r="H514" s="12">
        <f t="shared" si="189"/>
        <v>34250000</v>
      </c>
      <c r="I514" s="14">
        <f t="shared" si="189"/>
        <v>1.7500000000000002E-2</v>
      </c>
      <c r="J514" s="13">
        <f t="shared" si="166"/>
        <v>1664.9305555555557</v>
      </c>
      <c r="K514" s="13">
        <f t="shared" si="167"/>
        <v>145301.52777777804</v>
      </c>
      <c r="M514" s="11" t="s">
        <v>7</v>
      </c>
      <c r="N514" s="12">
        <f t="shared" si="194"/>
        <v>12000000</v>
      </c>
      <c r="O514" s="97">
        <f t="shared" si="194"/>
        <v>2.1698630136986304E-2</v>
      </c>
      <c r="P514" s="112">
        <f t="shared" si="168"/>
        <v>723.28767123287685</v>
      </c>
      <c r="Q514" s="13">
        <f t="shared" si="169"/>
        <v>102706.84931506841</v>
      </c>
      <c r="R514" s="13">
        <f t="shared" si="170"/>
        <v>139.95433789954348</v>
      </c>
      <c r="T514" s="11" t="str">
        <f t="shared" si="190"/>
        <v>SG</v>
      </c>
      <c r="U514" s="12">
        <f t="shared" si="190"/>
        <v>6010956.1600000001</v>
      </c>
      <c r="V514" s="97">
        <f t="shared" si="190"/>
        <v>2.1205479452054792E-2</v>
      </c>
      <c r="W514" s="13">
        <f t="shared" si="171"/>
        <v>354.0700203835616</v>
      </c>
      <c r="X514" s="13">
        <f t="shared" si="191"/>
        <v>50270.843903123168</v>
      </c>
      <c r="Y514" s="13">
        <f t="shared" si="172"/>
        <v>61.870762605783796</v>
      </c>
      <c r="AA514" s="11" t="s">
        <v>189</v>
      </c>
      <c r="AB514" s="98">
        <f t="shared" si="192"/>
        <v>15000000</v>
      </c>
      <c r="AC514" s="97">
        <f t="shared" si="192"/>
        <v>2.579E-2</v>
      </c>
      <c r="AD514" s="13">
        <f t="shared" si="173"/>
        <v>1074.5833333333333</v>
      </c>
      <c r="AE514" s="13">
        <f t="shared" si="174"/>
        <v>152590.83333333328</v>
      </c>
      <c r="AF514" s="13">
        <f t="shared" si="175"/>
        <v>345.41666666666663</v>
      </c>
      <c r="AH514" s="235">
        <f>'CT- € Ellipsis BNP'!X514</f>
        <v>0</v>
      </c>
      <c r="AI514" s="236">
        <f>'CT- € Ellipsis BNP'!AA514</f>
        <v>0</v>
      </c>
      <c r="AJ514" s="90">
        <f>'CT- € Ellipsis BNP'!W514</f>
        <v>0</v>
      </c>
      <c r="AK514" s="91">
        <f>'CT- € Ellipsis BNP'!AC514</f>
        <v>0</v>
      </c>
      <c r="AM514" s="235">
        <f>'codeis €'!Z514</f>
        <v>0</v>
      </c>
      <c r="AN514" s="236">
        <f>'codeis €'!AF514</f>
        <v>0</v>
      </c>
      <c r="AO514" s="90">
        <f>'codeis €'!AC514</f>
        <v>0</v>
      </c>
      <c r="AP514" s="91">
        <f>'codeis €'!AI514</f>
        <v>0</v>
      </c>
      <c r="AR514" s="12">
        <f t="shared" si="176"/>
        <v>67260956.159999996</v>
      </c>
      <c r="AS514" s="118">
        <f t="shared" si="177"/>
        <v>0.02</v>
      </c>
      <c r="AT514" s="118">
        <f t="shared" si="178"/>
        <v>2.0428995474183843E-2</v>
      </c>
      <c r="AU514" s="12">
        <f t="shared" si="179"/>
        <v>3816.871580505328</v>
      </c>
      <c r="AV514" s="12">
        <f t="shared" si="180"/>
        <v>547.24176717199384</v>
      </c>
      <c r="AW514" s="19"/>
    </row>
    <row r="515" spans="2:49" x14ac:dyDescent="0.25">
      <c r="B515" s="9" t="str">
        <f t="shared" si="163"/>
        <v>5 2026</v>
      </c>
      <c r="C515" s="88">
        <f t="shared" si="164"/>
        <v>46164</v>
      </c>
      <c r="D515" s="88">
        <f t="shared" si="193"/>
        <v>46165</v>
      </c>
      <c r="E515" s="89">
        <f t="shared" si="165"/>
        <v>1</v>
      </c>
      <c r="G515" s="11" t="s">
        <v>7</v>
      </c>
      <c r="H515" s="12">
        <f t="shared" si="189"/>
        <v>34250000</v>
      </c>
      <c r="I515" s="14">
        <f t="shared" si="189"/>
        <v>1.7500000000000002E-2</v>
      </c>
      <c r="J515" s="13">
        <f t="shared" si="166"/>
        <v>1664.9305555555557</v>
      </c>
      <c r="K515" s="13">
        <f t="shared" si="167"/>
        <v>146966.4583333336</v>
      </c>
      <c r="M515" s="11" t="s">
        <v>7</v>
      </c>
      <c r="N515" s="12">
        <f t="shared" si="194"/>
        <v>12000000</v>
      </c>
      <c r="O515" s="97">
        <f t="shared" si="194"/>
        <v>2.1698630136986304E-2</v>
      </c>
      <c r="P515" s="112">
        <f t="shared" si="168"/>
        <v>723.28767123287685</v>
      </c>
      <c r="Q515" s="13">
        <f t="shared" si="169"/>
        <v>103430.13698630128</v>
      </c>
      <c r="R515" s="13">
        <f t="shared" si="170"/>
        <v>139.95433789954348</v>
      </c>
      <c r="T515" s="11" t="str">
        <f t="shared" si="190"/>
        <v>SG</v>
      </c>
      <c r="U515" s="12">
        <f t="shared" si="190"/>
        <v>6010956.1600000001</v>
      </c>
      <c r="V515" s="97">
        <f t="shared" si="190"/>
        <v>2.1205479452054792E-2</v>
      </c>
      <c r="W515" s="13">
        <f t="shared" si="171"/>
        <v>354.0700203835616</v>
      </c>
      <c r="X515" s="13">
        <f t="shared" si="191"/>
        <v>50624.913923506727</v>
      </c>
      <c r="Y515" s="13">
        <f t="shared" si="172"/>
        <v>61.870762605783796</v>
      </c>
      <c r="AA515" s="11" t="s">
        <v>189</v>
      </c>
      <c r="AB515" s="98">
        <f t="shared" si="192"/>
        <v>15000000</v>
      </c>
      <c r="AC515" s="97">
        <f t="shared" si="192"/>
        <v>2.579E-2</v>
      </c>
      <c r="AD515" s="13">
        <f t="shared" si="173"/>
        <v>1074.5833333333333</v>
      </c>
      <c r="AE515" s="13">
        <f t="shared" si="174"/>
        <v>153665.41666666663</v>
      </c>
      <c r="AF515" s="13">
        <f t="shared" si="175"/>
        <v>345.41666666666663</v>
      </c>
      <c r="AH515" s="235">
        <f>'CT- € Ellipsis BNP'!X515</f>
        <v>0</v>
      </c>
      <c r="AI515" s="236">
        <f>'CT- € Ellipsis BNP'!AA515</f>
        <v>0</v>
      </c>
      <c r="AJ515" s="90">
        <f>'CT- € Ellipsis BNP'!W515</f>
        <v>0</v>
      </c>
      <c r="AK515" s="91">
        <f>'CT- € Ellipsis BNP'!AC515</f>
        <v>0</v>
      </c>
      <c r="AM515" s="235">
        <f>'codeis €'!Z515</f>
        <v>0</v>
      </c>
      <c r="AN515" s="236">
        <f>'codeis €'!AF515</f>
        <v>0</v>
      </c>
      <c r="AO515" s="90">
        <f>'codeis €'!AC515</f>
        <v>0</v>
      </c>
      <c r="AP515" s="91">
        <f>'codeis €'!AI515</f>
        <v>0</v>
      </c>
      <c r="AR515" s="12">
        <f t="shared" si="176"/>
        <v>67260956.159999996</v>
      </c>
      <c r="AS515" s="118">
        <f t="shared" si="177"/>
        <v>0.02</v>
      </c>
      <c r="AT515" s="118">
        <f t="shared" si="178"/>
        <v>2.0428995474183843E-2</v>
      </c>
      <c r="AU515" s="12">
        <f t="shared" si="179"/>
        <v>3816.871580505328</v>
      </c>
      <c r="AV515" s="12">
        <f t="shared" si="180"/>
        <v>547.24176717199384</v>
      </c>
      <c r="AW515" s="19"/>
    </row>
    <row r="516" spans="2:49" x14ac:dyDescent="0.25">
      <c r="B516" s="9" t="str">
        <f t="shared" si="163"/>
        <v>5 2026</v>
      </c>
      <c r="C516" s="88">
        <f t="shared" si="164"/>
        <v>46165</v>
      </c>
      <c r="D516" s="88">
        <f t="shared" si="193"/>
        <v>46166</v>
      </c>
      <c r="E516" s="89">
        <f t="shared" si="165"/>
        <v>1</v>
      </c>
      <c r="G516" s="11" t="s">
        <v>7</v>
      </c>
      <c r="H516" s="12">
        <f t="shared" si="189"/>
        <v>34250000</v>
      </c>
      <c r="I516" s="14">
        <f t="shared" si="189"/>
        <v>1.7500000000000002E-2</v>
      </c>
      <c r="J516" s="13">
        <f t="shared" si="166"/>
        <v>1664.9305555555557</v>
      </c>
      <c r="K516" s="13">
        <f t="shared" si="167"/>
        <v>148631.38888888917</v>
      </c>
      <c r="M516" s="11" t="s">
        <v>7</v>
      </c>
      <c r="N516" s="12">
        <f t="shared" si="194"/>
        <v>12000000</v>
      </c>
      <c r="O516" s="97">
        <f t="shared" si="194"/>
        <v>2.1698630136986304E-2</v>
      </c>
      <c r="P516" s="112">
        <f t="shared" si="168"/>
        <v>723.28767123287685</v>
      </c>
      <c r="Q516" s="13">
        <f t="shared" si="169"/>
        <v>104153.42465753415</v>
      </c>
      <c r="R516" s="13">
        <f t="shared" si="170"/>
        <v>139.95433789954348</v>
      </c>
      <c r="T516" s="11" t="str">
        <f t="shared" si="190"/>
        <v>SG</v>
      </c>
      <c r="U516" s="12">
        <f t="shared" si="190"/>
        <v>6010956.1600000001</v>
      </c>
      <c r="V516" s="97">
        <f t="shared" si="190"/>
        <v>2.1205479452054792E-2</v>
      </c>
      <c r="W516" s="13">
        <f t="shared" si="171"/>
        <v>354.0700203835616</v>
      </c>
      <c r="X516" s="13">
        <f t="shared" si="191"/>
        <v>50978.983943890285</v>
      </c>
      <c r="Y516" s="13">
        <f t="shared" si="172"/>
        <v>61.870762605783796</v>
      </c>
      <c r="AA516" s="11" t="s">
        <v>189</v>
      </c>
      <c r="AB516" s="98">
        <f t="shared" si="192"/>
        <v>15000000</v>
      </c>
      <c r="AC516" s="97">
        <f t="shared" si="192"/>
        <v>2.579E-2</v>
      </c>
      <c r="AD516" s="13">
        <f t="shared" si="173"/>
        <v>1074.5833333333333</v>
      </c>
      <c r="AE516" s="13">
        <f t="shared" si="174"/>
        <v>154739.99999999997</v>
      </c>
      <c r="AF516" s="13">
        <f t="shared" si="175"/>
        <v>345.41666666666663</v>
      </c>
      <c r="AH516" s="235">
        <f>'CT- € Ellipsis BNP'!X516</f>
        <v>0</v>
      </c>
      <c r="AI516" s="236">
        <f>'CT- € Ellipsis BNP'!AA516</f>
        <v>0</v>
      </c>
      <c r="AJ516" s="90">
        <f>'CT- € Ellipsis BNP'!W516</f>
        <v>0</v>
      </c>
      <c r="AK516" s="91">
        <f>'CT- € Ellipsis BNP'!AC516</f>
        <v>0</v>
      </c>
      <c r="AM516" s="235">
        <f>'codeis €'!Z516</f>
        <v>0</v>
      </c>
      <c r="AN516" s="236">
        <f>'codeis €'!AF516</f>
        <v>0</v>
      </c>
      <c r="AO516" s="90">
        <f>'codeis €'!AC516</f>
        <v>0</v>
      </c>
      <c r="AP516" s="91">
        <f>'codeis €'!AI516</f>
        <v>0</v>
      </c>
      <c r="AR516" s="12">
        <f t="shared" si="176"/>
        <v>67260956.159999996</v>
      </c>
      <c r="AS516" s="118">
        <f t="shared" si="177"/>
        <v>0.02</v>
      </c>
      <c r="AT516" s="118">
        <f t="shared" si="178"/>
        <v>2.0428995474183843E-2</v>
      </c>
      <c r="AU516" s="12">
        <f t="shared" si="179"/>
        <v>3816.871580505328</v>
      </c>
      <c r="AV516" s="12">
        <f t="shared" si="180"/>
        <v>547.24176717199384</v>
      </c>
      <c r="AW516" s="19"/>
    </row>
    <row r="517" spans="2:49" x14ac:dyDescent="0.25">
      <c r="B517" s="9" t="str">
        <f t="shared" si="163"/>
        <v>5 2026</v>
      </c>
      <c r="C517" s="88">
        <f t="shared" si="164"/>
        <v>46166</v>
      </c>
      <c r="D517" s="88">
        <f t="shared" si="193"/>
        <v>46167</v>
      </c>
      <c r="E517" s="89">
        <f t="shared" si="165"/>
        <v>1</v>
      </c>
      <c r="G517" s="11" t="s">
        <v>7</v>
      </c>
      <c r="H517" s="12">
        <f t="shared" si="189"/>
        <v>34250000</v>
      </c>
      <c r="I517" s="14">
        <f t="shared" si="189"/>
        <v>1.7500000000000002E-2</v>
      </c>
      <c r="J517" s="13">
        <f t="shared" si="166"/>
        <v>1664.9305555555557</v>
      </c>
      <c r="K517" s="13">
        <f t="shared" si="167"/>
        <v>150296.31944444473</v>
      </c>
      <c r="M517" s="11" t="s">
        <v>7</v>
      </c>
      <c r="N517" s="12">
        <f t="shared" si="194"/>
        <v>12000000</v>
      </c>
      <c r="O517" s="97">
        <f t="shared" si="194"/>
        <v>2.1698630136986304E-2</v>
      </c>
      <c r="P517" s="112">
        <f t="shared" si="168"/>
        <v>723.28767123287685</v>
      </c>
      <c r="Q517" s="13">
        <f t="shared" si="169"/>
        <v>104876.71232876703</v>
      </c>
      <c r="R517" s="13">
        <f t="shared" si="170"/>
        <v>139.95433789954348</v>
      </c>
      <c r="T517" s="11" t="str">
        <f t="shared" si="190"/>
        <v>SG</v>
      </c>
      <c r="U517" s="12">
        <f t="shared" si="190"/>
        <v>6010956.1600000001</v>
      </c>
      <c r="V517" s="97">
        <f t="shared" si="190"/>
        <v>2.1205479452054792E-2</v>
      </c>
      <c r="W517" s="13">
        <f t="shared" si="171"/>
        <v>354.0700203835616</v>
      </c>
      <c r="X517" s="13">
        <f t="shared" si="191"/>
        <v>51333.053964273844</v>
      </c>
      <c r="Y517" s="13">
        <f t="shared" si="172"/>
        <v>61.870762605783796</v>
      </c>
      <c r="AA517" s="11" t="s">
        <v>189</v>
      </c>
      <c r="AB517" s="98">
        <f t="shared" si="192"/>
        <v>15000000</v>
      </c>
      <c r="AC517" s="97">
        <f t="shared" si="192"/>
        <v>2.579E-2</v>
      </c>
      <c r="AD517" s="13">
        <f t="shared" si="173"/>
        <v>1074.5833333333333</v>
      </c>
      <c r="AE517" s="13">
        <f t="shared" si="174"/>
        <v>155814.58333333331</v>
      </c>
      <c r="AF517" s="13">
        <f t="shared" si="175"/>
        <v>345.41666666666663</v>
      </c>
      <c r="AH517" s="235">
        <f>'CT- € Ellipsis BNP'!X517</f>
        <v>0</v>
      </c>
      <c r="AI517" s="236">
        <f>'CT- € Ellipsis BNP'!AA517</f>
        <v>0</v>
      </c>
      <c r="AJ517" s="90">
        <f>'CT- € Ellipsis BNP'!W517</f>
        <v>0</v>
      </c>
      <c r="AK517" s="91">
        <f>'CT- € Ellipsis BNP'!AC517</f>
        <v>0</v>
      </c>
      <c r="AM517" s="235">
        <f>'codeis €'!Z517</f>
        <v>0</v>
      </c>
      <c r="AN517" s="236">
        <f>'codeis €'!AF517</f>
        <v>0</v>
      </c>
      <c r="AO517" s="90">
        <f>'codeis €'!AC517</f>
        <v>0</v>
      </c>
      <c r="AP517" s="91">
        <f>'codeis €'!AI517</f>
        <v>0</v>
      </c>
      <c r="AR517" s="12">
        <f t="shared" si="176"/>
        <v>67260956.159999996</v>
      </c>
      <c r="AS517" s="118">
        <f t="shared" si="177"/>
        <v>0.02</v>
      </c>
      <c r="AT517" s="118">
        <f t="shared" si="178"/>
        <v>2.0428995474183843E-2</v>
      </c>
      <c r="AU517" s="12">
        <f t="shared" si="179"/>
        <v>3816.871580505328</v>
      </c>
      <c r="AV517" s="12">
        <f t="shared" si="180"/>
        <v>547.24176717199384</v>
      </c>
      <c r="AW517" s="19"/>
    </row>
    <row r="518" spans="2:49" x14ac:dyDescent="0.25">
      <c r="B518" s="9" t="str">
        <f t="shared" si="163"/>
        <v>5 2026</v>
      </c>
      <c r="C518" s="88">
        <f t="shared" si="164"/>
        <v>46167</v>
      </c>
      <c r="D518" s="88">
        <f t="shared" si="193"/>
        <v>46168</v>
      </c>
      <c r="E518" s="89">
        <f t="shared" si="165"/>
        <v>1</v>
      </c>
      <c r="G518" s="11" t="s">
        <v>7</v>
      </c>
      <c r="H518" s="12">
        <f t="shared" si="189"/>
        <v>34250000</v>
      </c>
      <c r="I518" s="14">
        <f t="shared" si="189"/>
        <v>1.7500000000000002E-2</v>
      </c>
      <c r="J518" s="13">
        <f t="shared" si="166"/>
        <v>1664.9305555555557</v>
      </c>
      <c r="K518" s="13">
        <f t="shared" si="167"/>
        <v>151961.25000000029</v>
      </c>
      <c r="M518" s="11" t="s">
        <v>7</v>
      </c>
      <c r="N518" s="12">
        <f t="shared" si="194"/>
        <v>12000000</v>
      </c>
      <c r="O518" s="97">
        <f t="shared" si="194"/>
        <v>2.1698630136986304E-2</v>
      </c>
      <c r="P518" s="112">
        <f t="shared" si="168"/>
        <v>723.28767123287685</v>
      </c>
      <c r="Q518" s="13">
        <f t="shared" si="169"/>
        <v>105599.9999999999</v>
      </c>
      <c r="R518" s="13">
        <f t="shared" si="170"/>
        <v>139.95433789954348</v>
      </c>
      <c r="T518" s="11" t="str">
        <f t="shared" si="190"/>
        <v>SG</v>
      </c>
      <c r="U518" s="12">
        <f t="shared" si="190"/>
        <v>6010956.1600000001</v>
      </c>
      <c r="V518" s="97">
        <f t="shared" si="190"/>
        <v>2.1205479452054792E-2</v>
      </c>
      <c r="W518" s="13">
        <f t="shared" si="171"/>
        <v>354.0700203835616</v>
      </c>
      <c r="X518" s="13">
        <f t="shared" si="191"/>
        <v>51687.123984657403</v>
      </c>
      <c r="Y518" s="13">
        <f t="shared" si="172"/>
        <v>61.870762605783796</v>
      </c>
      <c r="AA518" s="11" t="s">
        <v>189</v>
      </c>
      <c r="AB518" s="98">
        <f t="shared" si="192"/>
        <v>15000000</v>
      </c>
      <c r="AC518" s="97">
        <f t="shared" si="192"/>
        <v>2.579E-2</v>
      </c>
      <c r="AD518" s="13">
        <f t="shared" si="173"/>
        <v>1074.5833333333333</v>
      </c>
      <c r="AE518" s="13">
        <f t="shared" si="174"/>
        <v>156889.16666666666</v>
      </c>
      <c r="AF518" s="13">
        <f t="shared" si="175"/>
        <v>345.41666666666663</v>
      </c>
      <c r="AH518" s="235">
        <f>'CT- € Ellipsis BNP'!X518</f>
        <v>0</v>
      </c>
      <c r="AI518" s="236">
        <f>'CT- € Ellipsis BNP'!AA518</f>
        <v>0</v>
      </c>
      <c r="AJ518" s="90">
        <f>'CT- € Ellipsis BNP'!W518</f>
        <v>0</v>
      </c>
      <c r="AK518" s="91">
        <f>'CT- € Ellipsis BNP'!AC518</f>
        <v>0</v>
      </c>
      <c r="AM518" s="235">
        <f>'codeis €'!Z518</f>
        <v>0</v>
      </c>
      <c r="AN518" s="236">
        <f>'codeis €'!AF518</f>
        <v>0</v>
      </c>
      <c r="AO518" s="90">
        <f>'codeis €'!AC518</f>
        <v>0</v>
      </c>
      <c r="AP518" s="91">
        <f>'codeis €'!AI518</f>
        <v>0</v>
      </c>
      <c r="AR518" s="12">
        <f t="shared" si="176"/>
        <v>67260956.159999996</v>
      </c>
      <c r="AS518" s="118">
        <f t="shared" si="177"/>
        <v>0.02</v>
      </c>
      <c r="AT518" s="118">
        <f t="shared" si="178"/>
        <v>2.0428995474183843E-2</v>
      </c>
      <c r="AU518" s="12">
        <f t="shared" si="179"/>
        <v>3816.871580505328</v>
      </c>
      <c r="AV518" s="12">
        <f t="shared" si="180"/>
        <v>547.24176717199384</v>
      </c>
      <c r="AW518" s="19"/>
    </row>
    <row r="519" spans="2:49" x14ac:dyDescent="0.25">
      <c r="B519" s="9" t="str">
        <f t="shared" si="163"/>
        <v>5 2026</v>
      </c>
      <c r="C519" s="88">
        <f t="shared" si="164"/>
        <v>46168</v>
      </c>
      <c r="D519" s="88">
        <f t="shared" si="193"/>
        <v>46169</v>
      </c>
      <c r="E519" s="89">
        <f t="shared" si="165"/>
        <v>1</v>
      </c>
      <c r="G519" s="11" t="s">
        <v>7</v>
      </c>
      <c r="H519" s="12">
        <f t="shared" ref="H519:I534" si="195">H518</f>
        <v>34250000</v>
      </c>
      <c r="I519" s="14">
        <f t="shared" si="195"/>
        <v>1.7500000000000002E-2</v>
      </c>
      <c r="J519" s="13">
        <f t="shared" si="166"/>
        <v>1664.9305555555557</v>
      </c>
      <c r="K519" s="13">
        <f t="shared" si="167"/>
        <v>153626.18055555585</v>
      </c>
      <c r="M519" s="11" t="s">
        <v>7</v>
      </c>
      <c r="N519" s="12">
        <f t="shared" si="194"/>
        <v>12000000</v>
      </c>
      <c r="O519" s="97">
        <f t="shared" si="194"/>
        <v>2.1698630136986304E-2</v>
      </c>
      <c r="P519" s="112">
        <f t="shared" si="168"/>
        <v>723.28767123287685</v>
      </c>
      <c r="Q519" s="13">
        <f t="shared" si="169"/>
        <v>106323.28767123277</v>
      </c>
      <c r="R519" s="13">
        <f t="shared" si="170"/>
        <v>139.95433789954348</v>
      </c>
      <c r="T519" s="11" t="str">
        <f t="shared" ref="T519:V534" si="196">T518</f>
        <v>SG</v>
      </c>
      <c r="U519" s="12">
        <f t="shared" si="196"/>
        <v>6010956.1600000001</v>
      </c>
      <c r="V519" s="97">
        <f t="shared" si="196"/>
        <v>2.1205479452054792E-2</v>
      </c>
      <c r="W519" s="13">
        <f t="shared" si="171"/>
        <v>354.0700203835616</v>
      </c>
      <c r="X519" s="13">
        <f t="shared" si="191"/>
        <v>52041.194005040961</v>
      </c>
      <c r="Y519" s="13">
        <f t="shared" si="172"/>
        <v>61.870762605783796</v>
      </c>
      <c r="AA519" s="11" t="s">
        <v>189</v>
      </c>
      <c r="AB519" s="98">
        <f t="shared" ref="AB519:AC534" si="197">AB518</f>
        <v>15000000</v>
      </c>
      <c r="AC519" s="97">
        <f t="shared" si="197"/>
        <v>2.579E-2</v>
      </c>
      <c r="AD519" s="13">
        <f t="shared" si="173"/>
        <v>1074.5833333333333</v>
      </c>
      <c r="AE519" s="13">
        <f t="shared" si="174"/>
        <v>157963.75</v>
      </c>
      <c r="AF519" s="13">
        <f t="shared" si="175"/>
        <v>345.41666666666663</v>
      </c>
      <c r="AH519" s="235">
        <f>'CT- € Ellipsis BNP'!X519</f>
        <v>0</v>
      </c>
      <c r="AI519" s="236">
        <f>'CT- € Ellipsis BNP'!AA519</f>
        <v>0</v>
      </c>
      <c r="AJ519" s="90">
        <f>'CT- € Ellipsis BNP'!W519</f>
        <v>0</v>
      </c>
      <c r="AK519" s="91">
        <f>'CT- € Ellipsis BNP'!AC519</f>
        <v>0</v>
      </c>
      <c r="AM519" s="235">
        <f>'codeis €'!Z519</f>
        <v>0</v>
      </c>
      <c r="AN519" s="236">
        <f>'codeis €'!AF519</f>
        <v>0</v>
      </c>
      <c r="AO519" s="90">
        <f>'codeis €'!AC519</f>
        <v>0</v>
      </c>
      <c r="AP519" s="91">
        <f>'codeis €'!AI519</f>
        <v>0</v>
      </c>
      <c r="AR519" s="12">
        <f t="shared" si="176"/>
        <v>67260956.159999996</v>
      </c>
      <c r="AS519" s="118">
        <f t="shared" si="177"/>
        <v>0.02</v>
      </c>
      <c r="AT519" s="118">
        <f t="shared" si="178"/>
        <v>2.0428995474183843E-2</v>
      </c>
      <c r="AU519" s="12">
        <f t="shared" si="179"/>
        <v>3816.871580505328</v>
      </c>
      <c r="AV519" s="12">
        <f t="shared" si="180"/>
        <v>547.24176717199384</v>
      </c>
      <c r="AW519" s="19"/>
    </row>
    <row r="520" spans="2:49" x14ac:dyDescent="0.25">
      <c r="B520" s="9" t="str">
        <f t="shared" si="163"/>
        <v>5 2026</v>
      </c>
      <c r="C520" s="88">
        <f t="shared" si="164"/>
        <v>46169</v>
      </c>
      <c r="D520" s="88">
        <f t="shared" si="193"/>
        <v>46170</v>
      </c>
      <c r="E520" s="89">
        <f t="shared" si="165"/>
        <v>1</v>
      </c>
      <c r="G520" s="11" t="s">
        <v>7</v>
      </c>
      <c r="H520" s="12">
        <f t="shared" si="195"/>
        <v>34250000</v>
      </c>
      <c r="I520" s="14">
        <f t="shared" si="195"/>
        <v>1.7500000000000002E-2</v>
      </c>
      <c r="J520" s="13">
        <f t="shared" si="166"/>
        <v>1664.9305555555557</v>
      </c>
      <c r="K520" s="13">
        <f t="shared" si="167"/>
        <v>155291.11111111142</v>
      </c>
      <c r="M520" s="11" t="s">
        <v>7</v>
      </c>
      <c r="N520" s="12">
        <f t="shared" ref="N520:O535" si="198">N519</f>
        <v>12000000</v>
      </c>
      <c r="O520" s="97">
        <f t="shared" si="198"/>
        <v>2.1698630136986304E-2</v>
      </c>
      <c r="P520" s="112">
        <f t="shared" si="168"/>
        <v>723.28767123287685</v>
      </c>
      <c r="Q520" s="13">
        <f t="shared" si="169"/>
        <v>107046.57534246564</v>
      </c>
      <c r="R520" s="13">
        <f t="shared" si="170"/>
        <v>139.95433789954348</v>
      </c>
      <c r="T520" s="11" t="str">
        <f t="shared" si="196"/>
        <v>SG</v>
      </c>
      <c r="U520" s="12">
        <f t="shared" si="196"/>
        <v>6010956.1600000001</v>
      </c>
      <c r="V520" s="97">
        <f t="shared" si="196"/>
        <v>2.1205479452054792E-2</v>
      </c>
      <c r="W520" s="13">
        <f t="shared" si="171"/>
        <v>354.0700203835616</v>
      </c>
      <c r="X520" s="13">
        <f t="shared" si="191"/>
        <v>52395.26402542452</v>
      </c>
      <c r="Y520" s="13">
        <f t="shared" si="172"/>
        <v>61.870762605783796</v>
      </c>
      <c r="AA520" s="11" t="s">
        <v>189</v>
      </c>
      <c r="AB520" s="98">
        <f t="shared" si="197"/>
        <v>15000000</v>
      </c>
      <c r="AC520" s="97">
        <f t="shared" si="197"/>
        <v>2.579E-2</v>
      </c>
      <c r="AD520" s="13">
        <f t="shared" si="173"/>
        <v>1074.5833333333333</v>
      </c>
      <c r="AE520" s="13">
        <f t="shared" si="174"/>
        <v>159038.33333333334</v>
      </c>
      <c r="AF520" s="13">
        <f t="shared" si="175"/>
        <v>345.41666666666663</v>
      </c>
      <c r="AH520" s="235">
        <f>'CT- € Ellipsis BNP'!X520</f>
        <v>0</v>
      </c>
      <c r="AI520" s="236">
        <f>'CT- € Ellipsis BNP'!AA520</f>
        <v>0</v>
      </c>
      <c r="AJ520" s="90">
        <f>'CT- € Ellipsis BNP'!W520</f>
        <v>0</v>
      </c>
      <c r="AK520" s="91">
        <f>'CT- € Ellipsis BNP'!AC520</f>
        <v>0</v>
      </c>
      <c r="AM520" s="235">
        <f>'codeis €'!Z520</f>
        <v>0</v>
      </c>
      <c r="AN520" s="236">
        <f>'codeis €'!AF520</f>
        <v>0</v>
      </c>
      <c r="AO520" s="90">
        <f>'codeis €'!AC520</f>
        <v>0</v>
      </c>
      <c r="AP520" s="91">
        <f>'codeis €'!AI520</f>
        <v>0</v>
      </c>
      <c r="AR520" s="12">
        <f t="shared" si="176"/>
        <v>67260956.159999996</v>
      </c>
      <c r="AS520" s="118">
        <f t="shared" si="177"/>
        <v>0.02</v>
      </c>
      <c r="AT520" s="118">
        <f t="shared" si="178"/>
        <v>2.0428995474183843E-2</v>
      </c>
      <c r="AU520" s="12">
        <f t="shared" si="179"/>
        <v>3816.871580505328</v>
      </c>
      <c r="AV520" s="12">
        <f t="shared" si="180"/>
        <v>547.24176717199384</v>
      </c>
      <c r="AW520" s="19"/>
    </row>
    <row r="521" spans="2:49" x14ac:dyDescent="0.25">
      <c r="B521" s="9" t="str">
        <f t="shared" si="163"/>
        <v>5 2026</v>
      </c>
      <c r="C521" s="88">
        <f t="shared" si="164"/>
        <v>46170</v>
      </c>
      <c r="D521" s="88">
        <f t="shared" si="193"/>
        <v>46171</v>
      </c>
      <c r="E521" s="89">
        <f t="shared" si="165"/>
        <v>1</v>
      </c>
      <c r="G521" s="11" t="s">
        <v>7</v>
      </c>
      <c r="H521" s="12">
        <f t="shared" si="195"/>
        <v>34250000</v>
      </c>
      <c r="I521" s="14">
        <f t="shared" si="195"/>
        <v>1.7500000000000002E-2</v>
      </c>
      <c r="J521" s="13">
        <f t="shared" si="166"/>
        <v>1664.9305555555557</v>
      </c>
      <c r="K521" s="13">
        <f t="shared" si="167"/>
        <v>156956.04166666698</v>
      </c>
      <c r="M521" s="11" t="s">
        <v>7</v>
      </c>
      <c r="N521" s="12">
        <f t="shared" si="198"/>
        <v>12000000</v>
      </c>
      <c r="O521" s="97">
        <f t="shared" si="198"/>
        <v>2.1698630136986304E-2</v>
      </c>
      <c r="P521" s="112">
        <f t="shared" si="168"/>
        <v>723.28767123287685</v>
      </c>
      <c r="Q521" s="13">
        <f t="shared" si="169"/>
        <v>107769.86301369852</v>
      </c>
      <c r="R521" s="13">
        <f t="shared" si="170"/>
        <v>139.95433789954348</v>
      </c>
      <c r="T521" s="11" t="str">
        <f t="shared" si="196"/>
        <v>SG</v>
      </c>
      <c r="U521" s="12">
        <f t="shared" si="196"/>
        <v>6010956.1600000001</v>
      </c>
      <c r="V521" s="97">
        <f t="shared" si="196"/>
        <v>2.1205479452054792E-2</v>
      </c>
      <c r="W521" s="13">
        <f t="shared" si="171"/>
        <v>354.0700203835616</v>
      </c>
      <c r="X521" s="13">
        <f t="shared" si="191"/>
        <v>52749.334045808078</v>
      </c>
      <c r="Y521" s="13">
        <f t="shared" si="172"/>
        <v>61.870762605783796</v>
      </c>
      <c r="AA521" s="11" t="s">
        <v>189</v>
      </c>
      <c r="AB521" s="98">
        <f t="shared" si="197"/>
        <v>15000000</v>
      </c>
      <c r="AC521" s="97">
        <f t="shared" si="197"/>
        <v>2.579E-2</v>
      </c>
      <c r="AD521" s="13">
        <f t="shared" si="173"/>
        <v>1074.5833333333333</v>
      </c>
      <c r="AE521" s="13">
        <f t="shared" si="174"/>
        <v>160112.91666666669</v>
      </c>
      <c r="AF521" s="13">
        <f t="shared" si="175"/>
        <v>345.41666666666663</v>
      </c>
      <c r="AH521" s="235">
        <f>'CT- € Ellipsis BNP'!X521</f>
        <v>0</v>
      </c>
      <c r="AI521" s="236">
        <f>'CT- € Ellipsis BNP'!AA521</f>
        <v>0</v>
      </c>
      <c r="AJ521" s="90">
        <f>'CT- € Ellipsis BNP'!W521</f>
        <v>0</v>
      </c>
      <c r="AK521" s="91">
        <f>'CT- € Ellipsis BNP'!AC521</f>
        <v>0</v>
      </c>
      <c r="AM521" s="235">
        <f>'codeis €'!Z521</f>
        <v>0</v>
      </c>
      <c r="AN521" s="236">
        <f>'codeis €'!AF521</f>
        <v>0</v>
      </c>
      <c r="AO521" s="90">
        <f>'codeis €'!AC521</f>
        <v>0</v>
      </c>
      <c r="AP521" s="91">
        <f>'codeis €'!AI521</f>
        <v>0</v>
      </c>
      <c r="AR521" s="12">
        <f t="shared" si="176"/>
        <v>67260956.159999996</v>
      </c>
      <c r="AS521" s="118">
        <f t="shared" si="177"/>
        <v>0.02</v>
      </c>
      <c r="AT521" s="118">
        <f t="shared" si="178"/>
        <v>2.0428995474183843E-2</v>
      </c>
      <c r="AU521" s="12">
        <f t="shared" si="179"/>
        <v>3816.871580505328</v>
      </c>
      <c r="AV521" s="12">
        <f t="shared" si="180"/>
        <v>547.24176717199384</v>
      </c>
      <c r="AW521" s="19"/>
    </row>
    <row r="522" spans="2:49" x14ac:dyDescent="0.25">
      <c r="B522" s="9" t="str">
        <f t="shared" si="163"/>
        <v>5 2026</v>
      </c>
      <c r="C522" s="88">
        <f t="shared" si="164"/>
        <v>46171</v>
      </c>
      <c r="D522" s="88">
        <f t="shared" si="193"/>
        <v>46172</v>
      </c>
      <c r="E522" s="89">
        <f t="shared" si="165"/>
        <v>1</v>
      </c>
      <c r="G522" s="11" t="s">
        <v>7</v>
      </c>
      <c r="H522" s="12">
        <f t="shared" si="195"/>
        <v>34250000</v>
      </c>
      <c r="I522" s="14">
        <f t="shared" si="195"/>
        <v>1.7500000000000002E-2</v>
      </c>
      <c r="J522" s="13">
        <f t="shared" si="166"/>
        <v>1664.9305555555557</v>
      </c>
      <c r="K522" s="13">
        <f t="shared" si="167"/>
        <v>158620.97222222254</v>
      </c>
      <c r="M522" s="11" t="s">
        <v>7</v>
      </c>
      <c r="N522" s="12">
        <f t="shared" si="198"/>
        <v>12000000</v>
      </c>
      <c r="O522" s="97">
        <f t="shared" si="198"/>
        <v>2.1698630136986304E-2</v>
      </c>
      <c r="P522" s="112">
        <f t="shared" si="168"/>
        <v>723.28767123287685</v>
      </c>
      <c r="Q522" s="13">
        <f t="shared" si="169"/>
        <v>108493.15068493139</v>
      </c>
      <c r="R522" s="13">
        <f t="shared" si="170"/>
        <v>139.95433789954348</v>
      </c>
      <c r="T522" s="11" t="str">
        <f t="shared" si="196"/>
        <v>SG</v>
      </c>
      <c r="U522" s="12">
        <f t="shared" si="196"/>
        <v>6010956.1600000001</v>
      </c>
      <c r="V522" s="97">
        <f t="shared" si="196"/>
        <v>2.1205479452054792E-2</v>
      </c>
      <c r="W522" s="13">
        <f t="shared" si="171"/>
        <v>354.0700203835616</v>
      </c>
      <c r="X522" s="13">
        <f t="shared" si="191"/>
        <v>53103.404066191637</v>
      </c>
      <c r="Y522" s="13">
        <f t="shared" si="172"/>
        <v>61.870762605783796</v>
      </c>
      <c r="AA522" s="11" t="s">
        <v>189</v>
      </c>
      <c r="AB522" s="98">
        <f t="shared" si="197"/>
        <v>15000000</v>
      </c>
      <c r="AC522" s="97">
        <f t="shared" si="197"/>
        <v>2.579E-2</v>
      </c>
      <c r="AD522" s="13">
        <f t="shared" si="173"/>
        <v>1074.5833333333333</v>
      </c>
      <c r="AE522" s="13">
        <f t="shared" si="174"/>
        <v>161187.50000000003</v>
      </c>
      <c r="AF522" s="13">
        <f t="shared" si="175"/>
        <v>345.41666666666663</v>
      </c>
      <c r="AH522" s="235">
        <f>'CT- € Ellipsis BNP'!X522</f>
        <v>0</v>
      </c>
      <c r="AI522" s="236">
        <f>'CT- € Ellipsis BNP'!AA522</f>
        <v>0</v>
      </c>
      <c r="AJ522" s="90">
        <f>'CT- € Ellipsis BNP'!W522</f>
        <v>0</v>
      </c>
      <c r="AK522" s="91">
        <f>'CT- € Ellipsis BNP'!AC522</f>
        <v>0</v>
      </c>
      <c r="AM522" s="235">
        <f>'codeis €'!Z522</f>
        <v>0</v>
      </c>
      <c r="AN522" s="236">
        <f>'codeis €'!AF522</f>
        <v>0</v>
      </c>
      <c r="AO522" s="90">
        <f>'codeis €'!AC522</f>
        <v>0</v>
      </c>
      <c r="AP522" s="91">
        <f>'codeis €'!AI522</f>
        <v>0</v>
      </c>
      <c r="AR522" s="12">
        <f t="shared" si="176"/>
        <v>67260956.159999996</v>
      </c>
      <c r="AS522" s="118">
        <f t="shared" si="177"/>
        <v>0.02</v>
      </c>
      <c r="AT522" s="118">
        <f t="shared" si="178"/>
        <v>2.0428995474183843E-2</v>
      </c>
      <c r="AU522" s="12">
        <f t="shared" si="179"/>
        <v>3816.871580505328</v>
      </c>
      <c r="AV522" s="12">
        <f t="shared" si="180"/>
        <v>547.24176717199384</v>
      </c>
      <c r="AW522" s="19"/>
    </row>
    <row r="523" spans="2:49" x14ac:dyDescent="0.25">
      <c r="B523" s="9" t="str">
        <f t="shared" si="163"/>
        <v>5 2026</v>
      </c>
      <c r="C523" s="88">
        <f t="shared" si="164"/>
        <v>46172</v>
      </c>
      <c r="D523" s="88">
        <f t="shared" si="193"/>
        <v>46173</v>
      </c>
      <c r="E523" s="89">
        <f t="shared" si="165"/>
        <v>1</v>
      </c>
      <c r="G523" s="11" t="s">
        <v>7</v>
      </c>
      <c r="H523" s="12">
        <f t="shared" si="195"/>
        <v>34250000</v>
      </c>
      <c r="I523" s="14">
        <f t="shared" si="195"/>
        <v>1.7500000000000002E-2</v>
      </c>
      <c r="J523" s="13">
        <f t="shared" si="166"/>
        <v>1664.9305555555557</v>
      </c>
      <c r="K523" s="13">
        <f t="shared" si="167"/>
        <v>160285.9027777781</v>
      </c>
      <c r="M523" s="11" t="s">
        <v>7</v>
      </c>
      <c r="N523" s="12">
        <f t="shared" si="198"/>
        <v>12000000</v>
      </c>
      <c r="O523" s="97">
        <f t="shared" si="198"/>
        <v>2.1698630136986304E-2</v>
      </c>
      <c r="P523" s="112">
        <f t="shared" si="168"/>
        <v>723.28767123287685</v>
      </c>
      <c r="Q523" s="13">
        <f t="shared" si="169"/>
        <v>109216.43835616426</v>
      </c>
      <c r="R523" s="13">
        <f t="shared" si="170"/>
        <v>139.95433789954348</v>
      </c>
      <c r="T523" s="11" t="str">
        <f t="shared" si="196"/>
        <v>SG</v>
      </c>
      <c r="U523" s="12">
        <f t="shared" si="196"/>
        <v>6010956.1600000001</v>
      </c>
      <c r="V523" s="97">
        <f t="shared" si="196"/>
        <v>2.1205479452054792E-2</v>
      </c>
      <c r="W523" s="13">
        <f t="shared" si="171"/>
        <v>354.0700203835616</v>
      </c>
      <c r="X523" s="13">
        <f t="shared" si="191"/>
        <v>53457.474086575196</v>
      </c>
      <c r="Y523" s="13">
        <f t="shared" si="172"/>
        <v>61.870762605783796</v>
      </c>
      <c r="AA523" s="11" t="s">
        <v>189</v>
      </c>
      <c r="AB523" s="98">
        <f t="shared" si="197"/>
        <v>15000000</v>
      </c>
      <c r="AC523" s="97">
        <f t="shared" si="197"/>
        <v>2.579E-2</v>
      </c>
      <c r="AD523" s="13">
        <f t="shared" si="173"/>
        <v>1074.5833333333333</v>
      </c>
      <c r="AE523" s="13">
        <f t="shared" si="174"/>
        <v>162262.08333333337</v>
      </c>
      <c r="AF523" s="13">
        <f t="shared" si="175"/>
        <v>345.41666666666663</v>
      </c>
      <c r="AH523" s="235">
        <f>'CT- € Ellipsis BNP'!X523</f>
        <v>0</v>
      </c>
      <c r="AI523" s="236">
        <f>'CT- € Ellipsis BNP'!AA523</f>
        <v>0</v>
      </c>
      <c r="AJ523" s="90">
        <f>'CT- € Ellipsis BNP'!W523</f>
        <v>0</v>
      </c>
      <c r="AK523" s="91">
        <f>'CT- € Ellipsis BNP'!AC523</f>
        <v>0</v>
      </c>
      <c r="AM523" s="235">
        <f>'codeis €'!Z523</f>
        <v>0</v>
      </c>
      <c r="AN523" s="236">
        <f>'codeis €'!AF523</f>
        <v>0</v>
      </c>
      <c r="AO523" s="90">
        <f>'codeis €'!AC523</f>
        <v>0</v>
      </c>
      <c r="AP523" s="91">
        <f>'codeis €'!AI523</f>
        <v>0</v>
      </c>
      <c r="AR523" s="12">
        <f t="shared" si="176"/>
        <v>67260956.159999996</v>
      </c>
      <c r="AS523" s="118">
        <f t="shared" si="177"/>
        <v>0.02</v>
      </c>
      <c r="AT523" s="118">
        <f t="shared" si="178"/>
        <v>2.0428995474183843E-2</v>
      </c>
      <c r="AU523" s="12">
        <f t="shared" si="179"/>
        <v>3816.871580505328</v>
      </c>
      <c r="AV523" s="12">
        <f t="shared" si="180"/>
        <v>547.24176717199384</v>
      </c>
      <c r="AW523" s="19"/>
    </row>
    <row r="524" spans="2:49" x14ac:dyDescent="0.25">
      <c r="B524" s="9" t="str">
        <f t="shared" si="163"/>
        <v>6 2026</v>
      </c>
      <c r="C524" s="88">
        <f t="shared" si="164"/>
        <v>46173</v>
      </c>
      <c r="D524" s="88">
        <f t="shared" si="193"/>
        <v>46174</v>
      </c>
      <c r="E524" s="89">
        <f t="shared" si="165"/>
        <v>1</v>
      </c>
      <c r="G524" s="11" t="s">
        <v>7</v>
      </c>
      <c r="H524" s="12">
        <f t="shared" si="195"/>
        <v>34250000</v>
      </c>
      <c r="I524" s="14">
        <f t="shared" si="195"/>
        <v>1.7500000000000002E-2</v>
      </c>
      <c r="J524" s="13">
        <f t="shared" si="166"/>
        <v>1664.9305555555557</v>
      </c>
      <c r="K524" s="13">
        <f t="shared" si="167"/>
        <v>161950.83333333366</v>
      </c>
      <c r="M524" s="11" t="s">
        <v>7</v>
      </c>
      <c r="N524" s="12">
        <f t="shared" si="198"/>
        <v>12000000</v>
      </c>
      <c r="O524" s="97">
        <f t="shared" si="198"/>
        <v>2.1698630136986304E-2</v>
      </c>
      <c r="P524" s="112">
        <f t="shared" si="168"/>
        <v>723.28767123287685</v>
      </c>
      <c r="Q524" s="13">
        <f t="shared" si="169"/>
        <v>109939.72602739713</v>
      </c>
      <c r="R524" s="13">
        <f t="shared" si="170"/>
        <v>139.95433789954348</v>
      </c>
      <c r="T524" s="11" t="str">
        <f t="shared" si="196"/>
        <v>SG</v>
      </c>
      <c r="U524" s="12">
        <f t="shared" si="196"/>
        <v>6010956.1600000001</v>
      </c>
      <c r="V524" s="97">
        <f t="shared" si="196"/>
        <v>2.1205479452054792E-2</v>
      </c>
      <c r="W524" s="13">
        <f t="shared" si="171"/>
        <v>354.0700203835616</v>
      </c>
      <c r="X524" s="13">
        <f t="shared" si="191"/>
        <v>53811.544106958754</v>
      </c>
      <c r="Y524" s="13">
        <f t="shared" si="172"/>
        <v>61.870762605783796</v>
      </c>
      <c r="AA524" s="11" t="s">
        <v>189</v>
      </c>
      <c r="AB524" s="98">
        <f t="shared" si="197"/>
        <v>15000000</v>
      </c>
      <c r="AC524" s="97">
        <f t="shared" si="197"/>
        <v>2.579E-2</v>
      </c>
      <c r="AD524" s="13">
        <f t="shared" si="173"/>
        <v>1074.5833333333333</v>
      </c>
      <c r="AE524" s="13">
        <f t="shared" si="174"/>
        <v>163336.66666666672</v>
      </c>
      <c r="AF524" s="13">
        <f t="shared" si="175"/>
        <v>345.41666666666663</v>
      </c>
      <c r="AH524" s="235">
        <f>'CT- € Ellipsis BNP'!X524</f>
        <v>0</v>
      </c>
      <c r="AI524" s="236">
        <f>'CT- € Ellipsis BNP'!AA524</f>
        <v>0</v>
      </c>
      <c r="AJ524" s="90">
        <f>'CT- € Ellipsis BNP'!W524</f>
        <v>0</v>
      </c>
      <c r="AK524" s="91">
        <f>'CT- € Ellipsis BNP'!AC524</f>
        <v>0</v>
      </c>
      <c r="AM524" s="235">
        <f>'codeis €'!Z524</f>
        <v>0</v>
      </c>
      <c r="AN524" s="236">
        <f>'codeis €'!AF524</f>
        <v>0</v>
      </c>
      <c r="AO524" s="90">
        <f>'codeis €'!AC524</f>
        <v>0</v>
      </c>
      <c r="AP524" s="91">
        <f>'codeis €'!AI524</f>
        <v>0</v>
      </c>
      <c r="AR524" s="12">
        <f t="shared" si="176"/>
        <v>67260956.159999996</v>
      </c>
      <c r="AS524" s="118">
        <f t="shared" si="177"/>
        <v>0.02</v>
      </c>
      <c r="AT524" s="118">
        <f t="shared" si="178"/>
        <v>2.0428995474183843E-2</v>
      </c>
      <c r="AU524" s="12">
        <f t="shared" si="179"/>
        <v>3816.871580505328</v>
      </c>
      <c r="AV524" s="12">
        <f t="shared" si="180"/>
        <v>547.24176717199384</v>
      </c>
      <c r="AW524" s="19"/>
    </row>
    <row r="525" spans="2:49" x14ac:dyDescent="0.25">
      <c r="B525" s="9" t="str">
        <f t="shared" si="163"/>
        <v>6 2026</v>
      </c>
      <c r="C525" s="88">
        <f t="shared" si="164"/>
        <v>46174</v>
      </c>
      <c r="D525" s="88">
        <f t="shared" si="193"/>
        <v>46175</v>
      </c>
      <c r="E525" s="89">
        <f t="shared" si="165"/>
        <v>1</v>
      </c>
      <c r="G525" s="11" t="s">
        <v>7</v>
      </c>
      <c r="H525" s="12">
        <f t="shared" si="195"/>
        <v>34250000</v>
      </c>
      <c r="I525" s="14">
        <f t="shared" si="195"/>
        <v>1.7500000000000002E-2</v>
      </c>
      <c r="J525" s="13">
        <f t="shared" si="166"/>
        <v>1664.9305555555557</v>
      </c>
      <c r="K525" s="13">
        <f t="shared" si="167"/>
        <v>163615.76388888923</v>
      </c>
      <c r="M525" s="11" t="s">
        <v>7</v>
      </c>
      <c r="N525" s="12">
        <f t="shared" si="198"/>
        <v>12000000</v>
      </c>
      <c r="O525" s="97">
        <f t="shared" si="198"/>
        <v>2.1698630136986304E-2</v>
      </c>
      <c r="P525" s="112">
        <f t="shared" si="168"/>
        <v>723.28767123287685</v>
      </c>
      <c r="Q525" s="13">
        <f t="shared" si="169"/>
        <v>110663.01369863001</v>
      </c>
      <c r="R525" s="13">
        <f t="shared" si="170"/>
        <v>139.95433789954348</v>
      </c>
      <c r="T525" s="11" t="str">
        <f t="shared" si="196"/>
        <v>SG</v>
      </c>
      <c r="U525" s="12">
        <f t="shared" si="196"/>
        <v>6010956.1600000001</v>
      </c>
      <c r="V525" s="97">
        <f t="shared" si="196"/>
        <v>2.1205479452054792E-2</v>
      </c>
      <c r="W525" s="13">
        <f t="shared" si="171"/>
        <v>354.0700203835616</v>
      </c>
      <c r="X525" s="13">
        <f t="shared" si="191"/>
        <v>54165.614127342313</v>
      </c>
      <c r="Y525" s="13">
        <f t="shared" si="172"/>
        <v>61.870762605783796</v>
      </c>
      <c r="AA525" s="11" t="s">
        <v>189</v>
      </c>
      <c r="AB525" s="98">
        <f t="shared" si="197"/>
        <v>15000000</v>
      </c>
      <c r="AC525" s="97">
        <f t="shared" si="197"/>
        <v>2.579E-2</v>
      </c>
      <c r="AD525" s="13">
        <f t="shared" si="173"/>
        <v>1074.5833333333333</v>
      </c>
      <c r="AE525" s="13">
        <f t="shared" si="174"/>
        <v>164411.25000000006</v>
      </c>
      <c r="AF525" s="13">
        <f t="shared" si="175"/>
        <v>345.41666666666663</v>
      </c>
      <c r="AH525" s="235">
        <f>'CT- € Ellipsis BNP'!X525</f>
        <v>0</v>
      </c>
      <c r="AI525" s="236">
        <f>'CT- € Ellipsis BNP'!AA525</f>
        <v>0</v>
      </c>
      <c r="AJ525" s="90">
        <f>'CT- € Ellipsis BNP'!W525</f>
        <v>0</v>
      </c>
      <c r="AK525" s="91">
        <f>'CT- € Ellipsis BNP'!AC525</f>
        <v>0</v>
      </c>
      <c r="AM525" s="235">
        <f>'codeis €'!Z525</f>
        <v>0</v>
      </c>
      <c r="AN525" s="236">
        <f>'codeis €'!AF525</f>
        <v>0</v>
      </c>
      <c r="AO525" s="90">
        <f>'codeis €'!AC525</f>
        <v>0</v>
      </c>
      <c r="AP525" s="91">
        <f>'codeis €'!AI525</f>
        <v>0</v>
      </c>
      <c r="AR525" s="12">
        <f t="shared" si="176"/>
        <v>67260956.159999996</v>
      </c>
      <c r="AS525" s="118">
        <f t="shared" si="177"/>
        <v>0.02</v>
      </c>
      <c r="AT525" s="118">
        <f t="shared" si="178"/>
        <v>2.0428995474183843E-2</v>
      </c>
      <c r="AU525" s="12">
        <f t="shared" si="179"/>
        <v>3816.871580505328</v>
      </c>
      <c r="AV525" s="12">
        <f t="shared" si="180"/>
        <v>547.24176717199384</v>
      </c>
      <c r="AW525" s="19"/>
    </row>
    <row r="526" spans="2:49" x14ac:dyDescent="0.25">
      <c r="B526" s="9" t="str">
        <f t="shared" si="163"/>
        <v>6 2026</v>
      </c>
      <c r="C526" s="88">
        <f t="shared" si="164"/>
        <v>46175</v>
      </c>
      <c r="D526" s="88">
        <f t="shared" si="193"/>
        <v>46176</v>
      </c>
      <c r="E526" s="89">
        <f t="shared" si="165"/>
        <v>1</v>
      </c>
      <c r="G526" s="11" t="s">
        <v>7</v>
      </c>
      <c r="H526" s="12">
        <f t="shared" si="195"/>
        <v>34250000</v>
      </c>
      <c r="I526" s="14">
        <f t="shared" si="195"/>
        <v>1.7500000000000002E-2</v>
      </c>
      <c r="J526" s="13">
        <f t="shared" si="166"/>
        <v>1664.9305555555557</v>
      </c>
      <c r="K526" s="13">
        <f t="shared" si="167"/>
        <v>165280.69444444479</v>
      </c>
      <c r="M526" s="11" t="s">
        <v>7</v>
      </c>
      <c r="N526" s="12">
        <f t="shared" si="198"/>
        <v>12000000</v>
      </c>
      <c r="O526" s="97">
        <f t="shared" si="198"/>
        <v>2.1698630136986304E-2</v>
      </c>
      <c r="P526" s="112">
        <f t="shared" si="168"/>
        <v>723.28767123287685</v>
      </c>
      <c r="Q526" s="13">
        <f t="shared" si="169"/>
        <v>111386.30136986288</v>
      </c>
      <c r="R526" s="13">
        <f t="shared" si="170"/>
        <v>139.95433789954348</v>
      </c>
      <c r="T526" s="11" t="str">
        <f t="shared" si="196"/>
        <v>SG</v>
      </c>
      <c r="U526" s="12">
        <f t="shared" si="196"/>
        <v>6010956.1600000001</v>
      </c>
      <c r="V526" s="97">
        <f t="shared" si="196"/>
        <v>2.1205479452054792E-2</v>
      </c>
      <c r="W526" s="13">
        <f t="shared" si="171"/>
        <v>354.0700203835616</v>
      </c>
      <c r="X526" s="13">
        <f t="shared" si="191"/>
        <v>54519.684147725871</v>
      </c>
      <c r="Y526" s="13">
        <f t="shared" si="172"/>
        <v>61.870762605783796</v>
      </c>
      <c r="AA526" s="11" t="s">
        <v>189</v>
      </c>
      <c r="AB526" s="98">
        <f t="shared" si="197"/>
        <v>15000000</v>
      </c>
      <c r="AC526" s="97">
        <f t="shared" si="197"/>
        <v>2.579E-2</v>
      </c>
      <c r="AD526" s="13">
        <f t="shared" si="173"/>
        <v>1074.5833333333333</v>
      </c>
      <c r="AE526" s="13">
        <f t="shared" si="174"/>
        <v>165485.8333333334</v>
      </c>
      <c r="AF526" s="13">
        <f t="shared" si="175"/>
        <v>345.41666666666663</v>
      </c>
      <c r="AH526" s="235">
        <f>'CT- € Ellipsis BNP'!X526</f>
        <v>0</v>
      </c>
      <c r="AI526" s="236">
        <f>'CT- € Ellipsis BNP'!AA526</f>
        <v>0</v>
      </c>
      <c r="AJ526" s="90">
        <f>'CT- € Ellipsis BNP'!W526</f>
        <v>0</v>
      </c>
      <c r="AK526" s="91">
        <f>'CT- € Ellipsis BNP'!AC526</f>
        <v>0</v>
      </c>
      <c r="AM526" s="235">
        <f>'codeis €'!Z526</f>
        <v>0</v>
      </c>
      <c r="AN526" s="236">
        <f>'codeis €'!AF526</f>
        <v>0</v>
      </c>
      <c r="AO526" s="90">
        <f>'codeis €'!AC526</f>
        <v>0</v>
      </c>
      <c r="AP526" s="91">
        <f>'codeis €'!AI526</f>
        <v>0</v>
      </c>
      <c r="AR526" s="12">
        <f t="shared" si="176"/>
        <v>67260956.159999996</v>
      </c>
      <c r="AS526" s="118">
        <f t="shared" si="177"/>
        <v>0.02</v>
      </c>
      <c r="AT526" s="118">
        <f t="shared" si="178"/>
        <v>2.0428995474183843E-2</v>
      </c>
      <c r="AU526" s="12">
        <f t="shared" si="179"/>
        <v>3816.871580505328</v>
      </c>
      <c r="AV526" s="12">
        <f t="shared" si="180"/>
        <v>547.24176717199384</v>
      </c>
      <c r="AW526" s="19"/>
    </row>
    <row r="527" spans="2:49" x14ac:dyDescent="0.25">
      <c r="B527" s="9" t="str">
        <f t="shared" si="163"/>
        <v>6 2026</v>
      </c>
      <c r="C527" s="88">
        <f t="shared" si="164"/>
        <v>46176</v>
      </c>
      <c r="D527" s="88">
        <f t="shared" si="193"/>
        <v>46177</v>
      </c>
      <c r="E527" s="89">
        <f t="shared" si="165"/>
        <v>1</v>
      </c>
      <c r="G527" s="11" t="s">
        <v>7</v>
      </c>
      <c r="H527" s="12">
        <f t="shared" si="195"/>
        <v>34250000</v>
      </c>
      <c r="I527" s="14">
        <f t="shared" si="195"/>
        <v>1.7500000000000002E-2</v>
      </c>
      <c r="J527" s="13">
        <f t="shared" si="166"/>
        <v>1664.9305555555557</v>
      </c>
      <c r="K527" s="13">
        <f t="shared" si="167"/>
        <v>166945.62500000035</v>
      </c>
      <c r="M527" s="11" t="s">
        <v>7</v>
      </c>
      <c r="N527" s="12">
        <f t="shared" si="198"/>
        <v>12000000</v>
      </c>
      <c r="O527" s="97">
        <f t="shared" si="198"/>
        <v>2.1698630136986304E-2</v>
      </c>
      <c r="P527" s="112">
        <f t="shared" si="168"/>
        <v>723.28767123287685</v>
      </c>
      <c r="Q527" s="13">
        <f t="shared" si="169"/>
        <v>112109.58904109575</v>
      </c>
      <c r="R527" s="13">
        <f t="shared" si="170"/>
        <v>139.95433789954348</v>
      </c>
      <c r="T527" s="11" t="str">
        <f t="shared" si="196"/>
        <v>SG</v>
      </c>
      <c r="U527" s="12">
        <f t="shared" si="196"/>
        <v>6010956.1600000001</v>
      </c>
      <c r="V527" s="97">
        <f t="shared" si="196"/>
        <v>2.1205479452054792E-2</v>
      </c>
      <c r="W527" s="13">
        <f t="shared" si="171"/>
        <v>354.0700203835616</v>
      </c>
      <c r="X527" s="13">
        <f t="shared" si="191"/>
        <v>54873.75416810943</v>
      </c>
      <c r="Y527" s="13">
        <f t="shared" si="172"/>
        <v>61.870762605783796</v>
      </c>
      <c r="AA527" s="11" t="s">
        <v>189</v>
      </c>
      <c r="AB527" s="98">
        <f t="shared" si="197"/>
        <v>15000000</v>
      </c>
      <c r="AC527" s="97">
        <f t="shared" si="197"/>
        <v>2.579E-2</v>
      </c>
      <c r="AD527" s="13">
        <f t="shared" si="173"/>
        <v>1074.5833333333333</v>
      </c>
      <c r="AE527" s="13">
        <f t="shared" si="174"/>
        <v>166560.41666666674</v>
      </c>
      <c r="AF527" s="13">
        <f t="shared" si="175"/>
        <v>345.41666666666663</v>
      </c>
      <c r="AH527" s="235">
        <f>'CT- € Ellipsis BNP'!X527</f>
        <v>0</v>
      </c>
      <c r="AI527" s="236">
        <f>'CT- € Ellipsis BNP'!AA527</f>
        <v>0</v>
      </c>
      <c r="AJ527" s="90">
        <f>'CT- € Ellipsis BNP'!W527</f>
        <v>0</v>
      </c>
      <c r="AK527" s="91">
        <f>'CT- € Ellipsis BNP'!AC527</f>
        <v>0</v>
      </c>
      <c r="AM527" s="235">
        <f>'codeis €'!Z527</f>
        <v>0</v>
      </c>
      <c r="AN527" s="236">
        <f>'codeis €'!AF527</f>
        <v>0</v>
      </c>
      <c r="AO527" s="90">
        <f>'codeis €'!AC527</f>
        <v>0</v>
      </c>
      <c r="AP527" s="91">
        <f>'codeis €'!AI527</f>
        <v>0</v>
      </c>
      <c r="AR527" s="12">
        <f t="shared" si="176"/>
        <v>67260956.159999996</v>
      </c>
      <c r="AS527" s="118">
        <f t="shared" si="177"/>
        <v>0.02</v>
      </c>
      <c r="AT527" s="118">
        <f t="shared" si="178"/>
        <v>2.0428995474183843E-2</v>
      </c>
      <c r="AU527" s="12">
        <f t="shared" si="179"/>
        <v>3816.871580505328</v>
      </c>
      <c r="AV527" s="12">
        <f t="shared" si="180"/>
        <v>547.24176717199384</v>
      </c>
      <c r="AW527" s="19"/>
    </row>
    <row r="528" spans="2:49" x14ac:dyDescent="0.25">
      <c r="B528" s="9" t="str">
        <f t="shared" si="163"/>
        <v>6 2026</v>
      </c>
      <c r="C528" s="88">
        <f t="shared" si="164"/>
        <v>46177</v>
      </c>
      <c r="D528" s="88">
        <f t="shared" si="193"/>
        <v>46178</v>
      </c>
      <c r="E528" s="89">
        <f t="shared" si="165"/>
        <v>1</v>
      </c>
      <c r="G528" s="11" t="s">
        <v>7</v>
      </c>
      <c r="H528" s="12">
        <f t="shared" si="195"/>
        <v>34250000</v>
      </c>
      <c r="I528" s="14">
        <f t="shared" si="195"/>
        <v>1.7500000000000002E-2</v>
      </c>
      <c r="J528" s="13">
        <f t="shared" si="166"/>
        <v>1664.9305555555557</v>
      </c>
      <c r="K528" s="13">
        <f t="shared" si="167"/>
        <v>168610.55555555591</v>
      </c>
      <c r="M528" s="11" t="s">
        <v>7</v>
      </c>
      <c r="N528" s="12">
        <f t="shared" si="198"/>
        <v>12000000</v>
      </c>
      <c r="O528" s="97">
        <f t="shared" si="198"/>
        <v>2.1698630136986304E-2</v>
      </c>
      <c r="P528" s="112">
        <f t="shared" si="168"/>
        <v>723.28767123287685</v>
      </c>
      <c r="Q528" s="13">
        <f t="shared" si="169"/>
        <v>112832.87671232862</v>
      </c>
      <c r="R528" s="13">
        <f t="shared" si="170"/>
        <v>139.95433789954348</v>
      </c>
      <c r="T528" s="11" t="str">
        <f t="shared" si="196"/>
        <v>SG</v>
      </c>
      <c r="U528" s="12">
        <f t="shared" si="196"/>
        <v>6010956.1600000001</v>
      </c>
      <c r="V528" s="97">
        <f t="shared" si="196"/>
        <v>2.1205479452054792E-2</v>
      </c>
      <c r="W528" s="13">
        <f t="shared" si="171"/>
        <v>354.0700203835616</v>
      </c>
      <c r="X528" s="13">
        <f t="shared" si="191"/>
        <v>55227.824188492988</v>
      </c>
      <c r="Y528" s="13">
        <f t="shared" si="172"/>
        <v>61.870762605783796</v>
      </c>
      <c r="AA528" s="11" t="s">
        <v>189</v>
      </c>
      <c r="AB528" s="98">
        <f t="shared" si="197"/>
        <v>15000000</v>
      </c>
      <c r="AC528" s="97">
        <f t="shared" si="197"/>
        <v>2.579E-2</v>
      </c>
      <c r="AD528" s="13">
        <f t="shared" si="173"/>
        <v>1074.5833333333333</v>
      </c>
      <c r="AE528" s="13">
        <f t="shared" si="174"/>
        <v>167635.00000000009</v>
      </c>
      <c r="AF528" s="13">
        <f t="shared" si="175"/>
        <v>345.41666666666663</v>
      </c>
      <c r="AH528" s="235">
        <f>'CT- € Ellipsis BNP'!X528</f>
        <v>0</v>
      </c>
      <c r="AI528" s="236">
        <f>'CT- € Ellipsis BNP'!AA528</f>
        <v>0</v>
      </c>
      <c r="AJ528" s="90">
        <f>'CT- € Ellipsis BNP'!W528</f>
        <v>0</v>
      </c>
      <c r="AK528" s="91">
        <f>'CT- € Ellipsis BNP'!AC528</f>
        <v>0</v>
      </c>
      <c r="AM528" s="235">
        <f>'codeis €'!Z528</f>
        <v>0</v>
      </c>
      <c r="AN528" s="236">
        <f>'codeis €'!AF528</f>
        <v>0</v>
      </c>
      <c r="AO528" s="90">
        <f>'codeis €'!AC528</f>
        <v>0</v>
      </c>
      <c r="AP528" s="91">
        <f>'codeis €'!AI528</f>
        <v>0</v>
      </c>
      <c r="AR528" s="12">
        <f t="shared" si="176"/>
        <v>67260956.159999996</v>
      </c>
      <c r="AS528" s="118">
        <f t="shared" si="177"/>
        <v>0.02</v>
      </c>
      <c r="AT528" s="118">
        <f t="shared" si="178"/>
        <v>2.0428995474183843E-2</v>
      </c>
      <c r="AU528" s="12">
        <f t="shared" si="179"/>
        <v>3816.871580505328</v>
      </c>
      <c r="AV528" s="12">
        <f t="shared" si="180"/>
        <v>547.24176717199384</v>
      </c>
      <c r="AW528" s="19"/>
    </row>
    <row r="529" spans="2:49" x14ac:dyDescent="0.25">
      <c r="B529" s="9" t="str">
        <f t="shared" si="163"/>
        <v>6 2026</v>
      </c>
      <c r="C529" s="88">
        <f t="shared" si="164"/>
        <v>46178</v>
      </c>
      <c r="D529" s="88">
        <f t="shared" si="193"/>
        <v>46179</v>
      </c>
      <c r="E529" s="89">
        <f t="shared" si="165"/>
        <v>1</v>
      </c>
      <c r="G529" s="11" t="s">
        <v>7</v>
      </c>
      <c r="H529" s="12">
        <f t="shared" si="195"/>
        <v>34250000</v>
      </c>
      <c r="I529" s="14">
        <f t="shared" si="195"/>
        <v>1.7500000000000002E-2</v>
      </c>
      <c r="J529" s="13">
        <f t="shared" si="166"/>
        <v>1664.9305555555557</v>
      </c>
      <c r="K529" s="13">
        <f t="shared" si="167"/>
        <v>170275.48611111147</v>
      </c>
      <c r="M529" s="11" t="s">
        <v>7</v>
      </c>
      <c r="N529" s="12">
        <f t="shared" si="198"/>
        <v>12000000</v>
      </c>
      <c r="O529" s="97">
        <f t="shared" si="198"/>
        <v>2.1698630136986304E-2</v>
      </c>
      <c r="P529" s="112">
        <f t="shared" si="168"/>
        <v>723.28767123287685</v>
      </c>
      <c r="Q529" s="13">
        <f t="shared" si="169"/>
        <v>113556.1643835615</v>
      </c>
      <c r="R529" s="13">
        <f t="shared" si="170"/>
        <v>139.95433789954348</v>
      </c>
      <c r="T529" s="11" t="str">
        <f t="shared" si="196"/>
        <v>SG</v>
      </c>
      <c r="U529" s="12">
        <f t="shared" si="196"/>
        <v>6010956.1600000001</v>
      </c>
      <c r="V529" s="97">
        <f t="shared" si="196"/>
        <v>2.1205479452054792E-2</v>
      </c>
      <c r="W529" s="13">
        <f t="shared" si="171"/>
        <v>354.0700203835616</v>
      </c>
      <c r="X529" s="13">
        <f t="shared" si="191"/>
        <v>55581.894208876547</v>
      </c>
      <c r="Y529" s="13">
        <f t="shared" si="172"/>
        <v>61.870762605783796</v>
      </c>
      <c r="AA529" s="11" t="s">
        <v>189</v>
      </c>
      <c r="AB529" s="98">
        <f t="shared" si="197"/>
        <v>15000000</v>
      </c>
      <c r="AC529" s="97">
        <f t="shared" si="197"/>
        <v>2.579E-2</v>
      </c>
      <c r="AD529" s="13">
        <f t="shared" si="173"/>
        <v>1074.5833333333333</v>
      </c>
      <c r="AE529" s="13">
        <f t="shared" si="174"/>
        <v>168709.58333333343</v>
      </c>
      <c r="AF529" s="13">
        <f t="shared" si="175"/>
        <v>345.41666666666663</v>
      </c>
      <c r="AH529" s="235">
        <f>'CT- € Ellipsis BNP'!X529</f>
        <v>0</v>
      </c>
      <c r="AI529" s="236">
        <f>'CT- € Ellipsis BNP'!AA529</f>
        <v>0</v>
      </c>
      <c r="AJ529" s="90">
        <f>'CT- € Ellipsis BNP'!W529</f>
        <v>0</v>
      </c>
      <c r="AK529" s="91">
        <f>'CT- € Ellipsis BNP'!AC529</f>
        <v>0</v>
      </c>
      <c r="AM529" s="235">
        <f>'codeis €'!Z529</f>
        <v>0</v>
      </c>
      <c r="AN529" s="236">
        <f>'codeis €'!AF529</f>
        <v>0</v>
      </c>
      <c r="AO529" s="90">
        <f>'codeis €'!AC529</f>
        <v>0</v>
      </c>
      <c r="AP529" s="91">
        <f>'codeis €'!AI529</f>
        <v>0</v>
      </c>
      <c r="AR529" s="12">
        <f t="shared" si="176"/>
        <v>67260956.159999996</v>
      </c>
      <c r="AS529" s="118">
        <f t="shared" si="177"/>
        <v>0.02</v>
      </c>
      <c r="AT529" s="118">
        <f t="shared" si="178"/>
        <v>2.0428995474183843E-2</v>
      </c>
      <c r="AU529" s="12">
        <f t="shared" si="179"/>
        <v>3816.871580505328</v>
      </c>
      <c r="AV529" s="12">
        <f t="shared" si="180"/>
        <v>547.24176717199384</v>
      </c>
      <c r="AW529" s="19"/>
    </row>
    <row r="530" spans="2:49" x14ac:dyDescent="0.25">
      <c r="B530" s="9" t="str">
        <f t="shared" si="163"/>
        <v>6 2026</v>
      </c>
      <c r="C530" s="88">
        <f t="shared" si="164"/>
        <v>46179</v>
      </c>
      <c r="D530" s="88">
        <f t="shared" si="193"/>
        <v>46180</v>
      </c>
      <c r="E530" s="89">
        <f t="shared" si="165"/>
        <v>1</v>
      </c>
      <c r="G530" s="11" t="s">
        <v>7</v>
      </c>
      <c r="H530" s="12">
        <f t="shared" si="195"/>
        <v>34250000</v>
      </c>
      <c r="I530" s="14">
        <f t="shared" si="195"/>
        <v>1.7500000000000002E-2</v>
      </c>
      <c r="J530" s="13">
        <f t="shared" si="166"/>
        <v>1664.9305555555557</v>
      </c>
      <c r="K530" s="13">
        <f t="shared" si="167"/>
        <v>171940.41666666704</v>
      </c>
      <c r="M530" s="11" t="s">
        <v>7</v>
      </c>
      <c r="N530" s="12">
        <f t="shared" si="198"/>
        <v>12000000</v>
      </c>
      <c r="O530" s="97">
        <f t="shared" si="198"/>
        <v>2.1698630136986304E-2</v>
      </c>
      <c r="P530" s="112">
        <f t="shared" si="168"/>
        <v>723.28767123287685</v>
      </c>
      <c r="Q530" s="13">
        <f t="shared" si="169"/>
        <v>114279.45205479437</v>
      </c>
      <c r="R530" s="13">
        <f t="shared" si="170"/>
        <v>139.95433789954348</v>
      </c>
      <c r="T530" s="11" t="str">
        <f t="shared" si="196"/>
        <v>SG</v>
      </c>
      <c r="U530" s="12">
        <f t="shared" si="196"/>
        <v>6010956.1600000001</v>
      </c>
      <c r="V530" s="97">
        <f t="shared" si="196"/>
        <v>2.1205479452054792E-2</v>
      </c>
      <c r="W530" s="13">
        <f t="shared" si="171"/>
        <v>354.0700203835616</v>
      </c>
      <c r="X530" s="13">
        <f t="shared" si="191"/>
        <v>55935.964229260106</v>
      </c>
      <c r="Y530" s="13">
        <f t="shared" si="172"/>
        <v>61.870762605783796</v>
      </c>
      <c r="AA530" s="11" t="s">
        <v>189</v>
      </c>
      <c r="AB530" s="98">
        <f t="shared" si="197"/>
        <v>15000000</v>
      </c>
      <c r="AC530" s="97">
        <f t="shared" si="197"/>
        <v>2.579E-2</v>
      </c>
      <c r="AD530" s="13">
        <f t="shared" si="173"/>
        <v>1074.5833333333333</v>
      </c>
      <c r="AE530" s="13">
        <f t="shared" si="174"/>
        <v>169784.16666666677</v>
      </c>
      <c r="AF530" s="13">
        <f t="shared" si="175"/>
        <v>345.41666666666663</v>
      </c>
      <c r="AH530" s="235">
        <f>'CT- € Ellipsis BNP'!X530</f>
        <v>0</v>
      </c>
      <c r="AI530" s="236">
        <f>'CT- € Ellipsis BNP'!AA530</f>
        <v>0</v>
      </c>
      <c r="AJ530" s="90">
        <f>'CT- € Ellipsis BNP'!W530</f>
        <v>0</v>
      </c>
      <c r="AK530" s="91">
        <f>'CT- € Ellipsis BNP'!AC530</f>
        <v>0</v>
      </c>
      <c r="AM530" s="235">
        <f>'codeis €'!Z530</f>
        <v>0</v>
      </c>
      <c r="AN530" s="236">
        <f>'codeis €'!AF530</f>
        <v>0</v>
      </c>
      <c r="AO530" s="90">
        <f>'codeis €'!AC530</f>
        <v>0</v>
      </c>
      <c r="AP530" s="91">
        <f>'codeis €'!AI530</f>
        <v>0</v>
      </c>
      <c r="AR530" s="12">
        <f t="shared" si="176"/>
        <v>67260956.159999996</v>
      </c>
      <c r="AS530" s="118">
        <f t="shared" si="177"/>
        <v>0.02</v>
      </c>
      <c r="AT530" s="118">
        <f t="shared" si="178"/>
        <v>2.0428995474183843E-2</v>
      </c>
      <c r="AU530" s="12">
        <f t="shared" si="179"/>
        <v>3816.871580505328</v>
      </c>
      <c r="AV530" s="12">
        <f t="shared" si="180"/>
        <v>547.24176717199384</v>
      </c>
      <c r="AW530" s="19"/>
    </row>
    <row r="531" spans="2:49" x14ac:dyDescent="0.25">
      <c r="B531" s="9" t="str">
        <f t="shared" si="163"/>
        <v>6 2026</v>
      </c>
      <c r="C531" s="88">
        <f t="shared" si="164"/>
        <v>46180</v>
      </c>
      <c r="D531" s="88">
        <f t="shared" si="193"/>
        <v>46181</v>
      </c>
      <c r="E531" s="89">
        <f t="shared" si="165"/>
        <v>1</v>
      </c>
      <c r="G531" s="11" t="s">
        <v>7</v>
      </c>
      <c r="H531" s="12">
        <f t="shared" si="195"/>
        <v>34250000</v>
      </c>
      <c r="I531" s="14">
        <f t="shared" si="195"/>
        <v>1.7500000000000002E-2</v>
      </c>
      <c r="J531" s="13">
        <f t="shared" si="166"/>
        <v>1664.9305555555557</v>
      </c>
      <c r="K531" s="13">
        <f t="shared" si="167"/>
        <v>173605.3472222226</v>
      </c>
      <c r="M531" s="11" t="s">
        <v>7</v>
      </c>
      <c r="N531" s="12">
        <f t="shared" si="198"/>
        <v>12000000</v>
      </c>
      <c r="O531" s="97">
        <f t="shared" si="198"/>
        <v>2.1698630136986304E-2</v>
      </c>
      <c r="P531" s="112">
        <f t="shared" si="168"/>
        <v>723.28767123287685</v>
      </c>
      <c r="Q531" s="13">
        <f t="shared" si="169"/>
        <v>115002.73972602724</v>
      </c>
      <c r="R531" s="13">
        <f t="shared" si="170"/>
        <v>139.95433789954348</v>
      </c>
      <c r="T531" s="11" t="str">
        <f t="shared" si="196"/>
        <v>SG</v>
      </c>
      <c r="U531" s="12">
        <f t="shared" si="196"/>
        <v>6010956.1600000001</v>
      </c>
      <c r="V531" s="97">
        <f t="shared" si="196"/>
        <v>2.1205479452054792E-2</v>
      </c>
      <c r="W531" s="13">
        <f t="shared" si="171"/>
        <v>354.0700203835616</v>
      </c>
      <c r="X531" s="13">
        <f t="shared" si="191"/>
        <v>56290.034249643664</v>
      </c>
      <c r="Y531" s="13">
        <f t="shared" si="172"/>
        <v>61.870762605783796</v>
      </c>
      <c r="AA531" s="11" t="s">
        <v>189</v>
      </c>
      <c r="AB531" s="98">
        <f t="shared" si="197"/>
        <v>15000000</v>
      </c>
      <c r="AC531" s="97">
        <f t="shared" si="197"/>
        <v>2.579E-2</v>
      </c>
      <c r="AD531" s="13">
        <f t="shared" si="173"/>
        <v>1074.5833333333333</v>
      </c>
      <c r="AE531" s="13">
        <f t="shared" si="174"/>
        <v>170858.75000000012</v>
      </c>
      <c r="AF531" s="13">
        <f t="shared" si="175"/>
        <v>345.41666666666663</v>
      </c>
      <c r="AH531" s="235">
        <f>'CT- € Ellipsis BNP'!X531</f>
        <v>0</v>
      </c>
      <c r="AI531" s="236">
        <f>'CT- € Ellipsis BNP'!AA531</f>
        <v>0</v>
      </c>
      <c r="AJ531" s="90">
        <f>'CT- € Ellipsis BNP'!W531</f>
        <v>0</v>
      </c>
      <c r="AK531" s="91">
        <f>'CT- € Ellipsis BNP'!AC531</f>
        <v>0</v>
      </c>
      <c r="AM531" s="235">
        <f>'codeis €'!Z531</f>
        <v>0</v>
      </c>
      <c r="AN531" s="236">
        <f>'codeis €'!AF531</f>
        <v>0</v>
      </c>
      <c r="AO531" s="90">
        <f>'codeis €'!AC531</f>
        <v>0</v>
      </c>
      <c r="AP531" s="91">
        <f>'codeis €'!AI531</f>
        <v>0</v>
      </c>
      <c r="AR531" s="12">
        <f t="shared" si="176"/>
        <v>67260956.159999996</v>
      </c>
      <c r="AS531" s="118">
        <f t="shared" si="177"/>
        <v>0.02</v>
      </c>
      <c r="AT531" s="118">
        <f t="shared" si="178"/>
        <v>2.0428995474183843E-2</v>
      </c>
      <c r="AU531" s="12">
        <f t="shared" si="179"/>
        <v>3816.871580505328</v>
      </c>
      <c r="AV531" s="12">
        <f t="shared" si="180"/>
        <v>547.24176717199384</v>
      </c>
      <c r="AW531" s="19"/>
    </row>
    <row r="532" spans="2:49" x14ac:dyDescent="0.25">
      <c r="B532" s="9" t="str">
        <f t="shared" si="163"/>
        <v>6 2026</v>
      </c>
      <c r="C532" s="88">
        <f t="shared" si="164"/>
        <v>46181</v>
      </c>
      <c r="D532" s="88">
        <f t="shared" si="193"/>
        <v>46182</v>
      </c>
      <c r="E532" s="89">
        <f t="shared" si="165"/>
        <v>1</v>
      </c>
      <c r="G532" s="11" t="s">
        <v>7</v>
      </c>
      <c r="H532" s="12">
        <f t="shared" si="195"/>
        <v>34250000</v>
      </c>
      <c r="I532" s="14">
        <f t="shared" si="195"/>
        <v>1.7500000000000002E-2</v>
      </c>
      <c r="J532" s="13">
        <f t="shared" si="166"/>
        <v>1664.9305555555557</v>
      </c>
      <c r="K532" s="13">
        <f t="shared" si="167"/>
        <v>175270.27777777816</v>
      </c>
      <c r="M532" s="11" t="s">
        <v>7</v>
      </c>
      <c r="N532" s="12">
        <f t="shared" si="198"/>
        <v>12000000</v>
      </c>
      <c r="O532" s="97">
        <f t="shared" si="198"/>
        <v>2.1698630136986304E-2</v>
      </c>
      <c r="P532" s="112">
        <f t="shared" si="168"/>
        <v>723.28767123287685</v>
      </c>
      <c r="Q532" s="13">
        <f t="shared" si="169"/>
        <v>115726.02739726011</v>
      </c>
      <c r="R532" s="13">
        <f t="shared" si="170"/>
        <v>139.95433789954348</v>
      </c>
      <c r="T532" s="11" t="str">
        <f t="shared" si="196"/>
        <v>SG</v>
      </c>
      <c r="U532" s="12">
        <f t="shared" si="196"/>
        <v>6010956.1600000001</v>
      </c>
      <c r="V532" s="97">
        <f t="shared" si="196"/>
        <v>2.1205479452054792E-2</v>
      </c>
      <c r="W532" s="13">
        <f t="shared" si="171"/>
        <v>354.0700203835616</v>
      </c>
      <c r="X532" s="13">
        <f t="shared" si="191"/>
        <v>56644.104270027223</v>
      </c>
      <c r="Y532" s="13">
        <f t="shared" si="172"/>
        <v>61.870762605783796</v>
      </c>
      <c r="AA532" s="11" t="s">
        <v>189</v>
      </c>
      <c r="AB532" s="98">
        <f t="shared" si="197"/>
        <v>15000000</v>
      </c>
      <c r="AC532" s="97">
        <f t="shared" si="197"/>
        <v>2.579E-2</v>
      </c>
      <c r="AD532" s="13">
        <f t="shared" si="173"/>
        <v>1074.5833333333333</v>
      </c>
      <c r="AE532" s="13">
        <f t="shared" si="174"/>
        <v>171933.33333333346</v>
      </c>
      <c r="AF532" s="13">
        <f t="shared" si="175"/>
        <v>345.41666666666663</v>
      </c>
      <c r="AH532" s="235">
        <f>'CT- € Ellipsis BNP'!X532</f>
        <v>0</v>
      </c>
      <c r="AI532" s="236">
        <f>'CT- € Ellipsis BNP'!AA532</f>
        <v>0</v>
      </c>
      <c r="AJ532" s="90">
        <f>'CT- € Ellipsis BNP'!W532</f>
        <v>0</v>
      </c>
      <c r="AK532" s="91">
        <f>'CT- € Ellipsis BNP'!AC532</f>
        <v>0</v>
      </c>
      <c r="AM532" s="235">
        <f>'codeis €'!Z532</f>
        <v>0</v>
      </c>
      <c r="AN532" s="236">
        <f>'codeis €'!AF532</f>
        <v>0</v>
      </c>
      <c r="AO532" s="90">
        <f>'codeis €'!AC532</f>
        <v>0</v>
      </c>
      <c r="AP532" s="91">
        <f>'codeis €'!AI532</f>
        <v>0</v>
      </c>
      <c r="AR532" s="12">
        <f t="shared" si="176"/>
        <v>67260956.159999996</v>
      </c>
      <c r="AS532" s="118">
        <f t="shared" si="177"/>
        <v>0.02</v>
      </c>
      <c r="AT532" s="118">
        <f t="shared" si="178"/>
        <v>2.0428995474183843E-2</v>
      </c>
      <c r="AU532" s="12">
        <f t="shared" si="179"/>
        <v>3816.871580505328</v>
      </c>
      <c r="AV532" s="12">
        <f t="shared" si="180"/>
        <v>547.24176717199384</v>
      </c>
      <c r="AW532" s="19"/>
    </row>
    <row r="533" spans="2:49" x14ac:dyDescent="0.25">
      <c r="B533" s="9" t="str">
        <f t="shared" ref="B533:B596" si="199">CONCATENATE(MONTH(D533)," ",YEAR(D533))</f>
        <v>6 2026</v>
      </c>
      <c r="C533" s="88">
        <f t="shared" ref="C533:C596" si="200">D532</f>
        <v>46182</v>
      </c>
      <c r="D533" s="88">
        <f t="shared" si="193"/>
        <v>46183</v>
      </c>
      <c r="E533" s="89">
        <f t="shared" ref="E533:E596" si="201">D533-C533</f>
        <v>1</v>
      </c>
      <c r="G533" s="11" t="s">
        <v>7</v>
      </c>
      <c r="H533" s="12">
        <f t="shared" si="195"/>
        <v>34250000</v>
      </c>
      <c r="I533" s="14">
        <f t="shared" si="195"/>
        <v>1.7500000000000002E-2</v>
      </c>
      <c r="J533" s="13">
        <f t="shared" ref="J533:J596" si="202">+H533*I533*E533/360</f>
        <v>1664.9305555555557</v>
      </c>
      <c r="K533" s="13">
        <f t="shared" ref="K533:K596" si="203">K532+J533</f>
        <v>176935.20833333372</v>
      </c>
      <c r="M533" s="11" t="s">
        <v>7</v>
      </c>
      <c r="N533" s="12">
        <f t="shared" si="198"/>
        <v>12000000</v>
      </c>
      <c r="O533" s="97">
        <f t="shared" si="198"/>
        <v>2.1698630136986304E-2</v>
      </c>
      <c r="P533" s="112">
        <f t="shared" ref="P533:P596" si="204">+N533*O533*$E533/360</f>
        <v>723.28767123287685</v>
      </c>
      <c r="Q533" s="13">
        <f t="shared" ref="Q533:Q596" si="205">Q532+P533</f>
        <v>116449.31506849299</v>
      </c>
      <c r="R533" s="13">
        <f t="shared" ref="R533:R596" si="206">P533-(+N533*I533*$E533/360)</f>
        <v>139.95433789954348</v>
      </c>
      <c r="T533" s="11" t="str">
        <f t="shared" si="196"/>
        <v>SG</v>
      </c>
      <c r="U533" s="12">
        <f t="shared" si="196"/>
        <v>6010956.1600000001</v>
      </c>
      <c r="V533" s="97">
        <f t="shared" si="196"/>
        <v>2.1205479452054792E-2</v>
      </c>
      <c r="W533" s="13">
        <f t="shared" ref="W533:W596" si="207">V533*U533*E533/360</f>
        <v>354.0700203835616</v>
      </c>
      <c r="X533" s="13">
        <f t="shared" si="191"/>
        <v>56998.174290410781</v>
      </c>
      <c r="Y533" s="13">
        <f t="shared" ref="Y533:Y596" si="208">W533-(+U533*$I533*$E533/360)</f>
        <v>61.870762605783796</v>
      </c>
      <c r="AA533" s="11" t="s">
        <v>189</v>
      </c>
      <c r="AB533" s="98">
        <f t="shared" si="197"/>
        <v>15000000</v>
      </c>
      <c r="AC533" s="97">
        <f t="shared" si="197"/>
        <v>2.579E-2</v>
      </c>
      <c r="AD533" s="13">
        <f t="shared" ref="AD533:AD596" si="209">+AB533*AC533*$E533/360</f>
        <v>1074.5833333333333</v>
      </c>
      <c r="AE533" s="13">
        <f t="shared" ref="AE533:AE596" si="210">AE532+AD533</f>
        <v>173007.9166666668</v>
      </c>
      <c r="AF533" s="13">
        <f t="shared" ref="AF533:AF596" si="211">AD533-((+AB533*$I533*$E533/360))</f>
        <v>345.41666666666663</v>
      </c>
      <c r="AH533" s="235">
        <f>'CT- € Ellipsis BNP'!X533</f>
        <v>0</v>
      </c>
      <c r="AI533" s="236">
        <f>'CT- € Ellipsis BNP'!AA533</f>
        <v>0</v>
      </c>
      <c r="AJ533" s="90">
        <f>'CT- € Ellipsis BNP'!W533</f>
        <v>0</v>
      </c>
      <c r="AK533" s="91">
        <f>'CT- € Ellipsis BNP'!AC533</f>
        <v>0</v>
      </c>
      <c r="AM533" s="235">
        <f>'codeis €'!Z533</f>
        <v>0</v>
      </c>
      <c r="AN533" s="236">
        <f>'codeis €'!AF533</f>
        <v>0</v>
      </c>
      <c r="AO533" s="90">
        <f>'codeis €'!AC533</f>
        <v>0</v>
      </c>
      <c r="AP533" s="91">
        <f>'codeis €'!AI533</f>
        <v>0</v>
      </c>
      <c r="AR533" s="12">
        <f t="shared" ref="AR533:AR596" si="212">+N533+H533++AH533+AM533+AB533+U533</f>
        <v>67260956.159999996</v>
      </c>
      <c r="AS533" s="118">
        <f t="shared" ref="AS533:AS596" si="213">AS532</f>
        <v>0.02</v>
      </c>
      <c r="AT533" s="118">
        <f t="shared" ref="AT533:AT596" si="214">SUM((I533*H533),(O533*N533),(U533*V533),(AB533*AC533),(AH533*AI533),(AM533*AN533))/AR533</f>
        <v>2.0428995474183843E-2</v>
      </c>
      <c r="AU533" s="12">
        <f t="shared" ref="AU533:AU596" si="215">+P533++J533+W533+AD533+AJ533+AO533</f>
        <v>3816.871580505328</v>
      </c>
      <c r="AV533" s="12">
        <f t="shared" ref="AV533:AV596" si="216">+R533+Y533+AF533+AK533+AP533</f>
        <v>547.24176717199384</v>
      </c>
      <c r="AW533" s="19"/>
    </row>
    <row r="534" spans="2:49" x14ac:dyDescent="0.25">
      <c r="B534" s="9" t="str">
        <f t="shared" si="199"/>
        <v>6 2026</v>
      </c>
      <c r="C534" s="88">
        <f t="shared" si="200"/>
        <v>46183</v>
      </c>
      <c r="D534" s="88">
        <f t="shared" si="193"/>
        <v>46184</v>
      </c>
      <c r="E534" s="89">
        <f t="shared" si="201"/>
        <v>1</v>
      </c>
      <c r="G534" s="11" t="s">
        <v>7</v>
      </c>
      <c r="H534" s="12">
        <f t="shared" si="195"/>
        <v>34250000</v>
      </c>
      <c r="I534" s="14">
        <f t="shared" si="195"/>
        <v>1.7500000000000002E-2</v>
      </c>
      <c r="J534" s="13">
        <f t="shared" si="202"/>
        <v>1664.9305555555557</v>
      </c>
      <c r="K534" s="13">
        <f t="shared" si="203"/>
        <v>178600.13888888928</v>
      </c>
      <c r="M534" s="11" t="s">
        <v>7</v>
      </c>
      <c r="N534" s="12">
        <f t="shared" si="198"/>
        <v>12000000</v>
      </c>
      <c r="O534" s="97">
        <f t="shared" si="198"/>
        <v>2.1698630136986304E-2</v>
      </c>
      <c r="P534" s="112">
        <f t="shared" si="204"/>
        <v>723.28767123287685</v>
      </c>
      <c r="Q534" s="13">
        <f t="shared" si="205"/>
        <v>117172.60273972586</v>
      </c>
      <c r="R534" s="13">
        <f t="shared" si="206"/>
        <v>139.95433789954348</v>
      </c>
      <c r="T534" s="11" t="str">
        <f t="shared" si="196"/>
        <v>SG</v>
      </c>
      <c r="U534" s="12">
        <f t="shared" si="196"/>
        <v>6010956.1600000001</v>
      </c>
      <c r="V534" s="97">
        <f t="shared" si="196"/>
        <v>2.1205479452054792E-2</v>
      </c>
      <c r="W534" s="13">
        <f t="shared" si="207"/>
        <v>354.0700203835616</v>
      </c>
      <c r="X534" s="13">
        <f t="shared" si="191"/>
        <v>57352.24431079434</v>
      </c>
      <c r="Y534" s="13">
        <f t="shared" si="208"/>
        <v>61.870762605783796</v>
      </c>
      <c r="AA534" s="11" t="s">
        <v>189</v>
      </c>
      <c r="AB534" s="98">
        <f t="shared" si="197"/>
        <v>15000000</v>
      </c>
      <c r="AC534" s="97">
        <f t="shared" si="197"/>
        <v>2.579E-2</v>
      </c>
      <c r="AD534" s="13">
        <f t="shared" si="209"/>
        <v>1074.5833333333333</v>
      </c>
      <c r="AE534" s="13">
        <f t="shared" si="210"/>
        <v>174082.50000000015</v>
      </c>
      <c r="AF534" s="13">
        <f t="shared" si="211"/>
        <v>345.41666666666663</v>
      </c>
      <c r="AH534" s="235">
        <f>'CT- € Ellipsis BNP'!X534</f>
        <v>0</v>
      </c>
      <c r="AI534" s="236">
        <f>'CT- € Ellipsis BNP'!AA534</f>
        <v>0</v>
      </c>
      <c r="AJ534" s="90">
        <f>'CT- € Ellipsis BNP'!W534</f>
        <v>0</v>
      </c>
      <c r="AK534" s="91">
        <f>'CT- € Ellipsis BNP'!AC534</f>
        <v>0</v>
      </c>
      <c r="AM534" s="235">
        <f>'codeis €'!Z534</f>
        <v>0</v>
      </c>
      <c r="AN534" s="236">
        <f>'codeis €'!AF534</f>
        <v>0</v>
      </c>
      <c r="AO534" s="90">
        <f>'codeis €'!AC534</f>
        <v>0</v>
      </c>
      <c r="AP534" s="91">
        <f>'codeis €'!AI534</f>
        <v>0</v>
      </c>
      <c r="AR534" s="12">
        <f t="shared" si="212"/>
        <v>67260956.159999996</v>
      </c>
      <c r="AS534" s="118">
        <f t="shared" si="213"/>
        <v>0.02</v>
      </c>
      <c r="AT534" s="118">
        <f t="shared" si="214"/>
        <v>2.0428995474183843E-2</v>
      </c>
      <c r="AU534" s="12">
        <f t="shared" si="215"/>
        <v>3816.871580505328</v>
      </c>
      <c r="AV534" s="12">
        <f t="shared" si="216"/>
        <v>547.24176717199384</v>
      </c>
      <c r="AW534" s="19"/>
    </row>
    <row r="535" spans="2:49" x14ac:dyDescent="0.25">
      <c r="B535" s="9" t="str">
        <f t="shared" si="199"/>
        <v>6 2026</v>
      </c>
      <c r="C535" s="88">
        <f t="shared" si="200"/>
        <v>46184</v>
      </c>
      <c r="D535" s="88">
        <f t="shared" si="193"/>
        <v>46185</v>
      </c>
      <c r="E535" s="89">
        <f t="shared" si="201"/>
        <v>1</v>
      </c>
      <c r="G535" s="11" t="s">
        <v>7</v>
      </c>
      <c r="H535" s="12">
        <f t="shared" ref="H535:I550" si="217">H534</f>
        <v>34250000</v>
      </c>
      <c r="I535" s="14">
        <f t="shared" si="217"/>
        <v>1.7500000000000002E-2</v>
      </c>
      <c r="J535" s="13">
        <f t="shared" si="202"/>
        <v>1664.9305555555557</v>
      </c>
      <c r="K535" s="13">
        <f t="shared" si="203"/>
        <v>180265.06944444485</v>
      </c>
      <c r="M535" s="11" t="s">
        <v>7</v>
      </c>
      <c r="N535" s="12">
        <f t="shared" si="198"/>
        <v>12000000</v>
      </c>
      <c r="O535" s="97">
        <f t="shared" si="198"/>
        <v>2.1698630136986304E-2</v>
      </c>
      <c r="P535" s="112">
        <f t="shared" si="204"/>
        <v>723.28767123287685</v>
      </c>
      <c r="Q535" s="13">
        <f t="shared" si="205"/>
        <v>117895.89041095873</v>
      </c>
      <c r="R535" s="13">
        <f t="shared" si="206"/>
        <v>139.95433789954348</v>
      </c>
      <c r="T535" s="11" t="str">
        <f t="shared" ref="T535:V550" si="218">T534</f>
        <v>SG</v>
      </c>
      <c r="U535" s="12">
        <f t="shared" si="218"/>
        <v>6010956.1600000001</v>
      </c>
      <c r="V535" s="97">
        <f t="shared" si="218"/>
        <v>2.1205479452054792E-2</v>
      </c>
      <c r="W535" s="13">
        <f t="shared" si="207"/>
        <v>354.0700203835616</v>
      </c>
      <c r="X535" s="13">
        <f t="shared" si="191"/>
        <v>57706.314331177899</v>
      </c>
      <c r="Y535" s="13">
        <f t="shared" si="208"/>
        <v>61.870762605783796</v>
      </c>
      <c r="AA535" s="11" t="s">
        <v>189</v>
      </c>
      <c r="AB535" s="98">
        <f t="shared" ref="AB535:AC550" si="219">AB534</f>
        <v>15000000</v>
      </c>
      <c r="AC535" s="97">
        <f t="shared" si="219"/>
        <v>2.579E-2</v>
      </c>
      <c r="AD535" s="13">
        <f t="shared" si="209"/>
        <v>1074.5833333333333</v>
      </c>
      <c r="AE535" s="13">
        <f t="shared" si="210"/>
        <v>175157.08333333349</v>
      </c>
      <c r="AF535" s="13">
        <f t="shared" si="211"/>
        <v>345.41666666666663</v>
      </c>
      <c r="AH535" s="235">
        <f>'CT- € Ellipsis BNP'!X535</f>
        <v>0</v>
      </c>
      <c r="AI535" s="236">
        <f>'CT- € Ellipsis BNP'!AA535</f>
        <v>0</v>
      </c>
      <c r="AJ535" s="90">
        <f>'CT- € Ellipsis BNP'!W535</f>
        <v>0</v>
      </c>
      <c r="AK535" s="91">
        <f>'CT- € Ellipsis BNP'!AC535</f>
        <v>0</v>
      </c>
      <c r="AM535" s="235">
        <f>'codeis €'!Z535</f>
        <v>0</v>
      </c>
      <c r="AN535" s="236">
        <f>'codeis €'!AF535</f>
        <v>0</v>
      </c>
      <c r="AO535" s="90">
        <f>'codeis €'!AC535</f>
        <v>0</v>
      </c>
      <c r="AP535" s="91">
        <f>'codeis €'!AI535</f>
        <v>0</v>
      </c>
      <c r="AR535" s="12">
        <f t="shared" si="212"/>
        <v>67260956.159999996</v>
      </c>
      <c r="AS535" s="118">
        <f t="shared" si="213"/>
        <v>0.02</v>
      </c>
      <c r="AT535" s="118">
        <f t="shared" si="214"/>
        <v>2.0428995474183843E-2</v>
      </c>
      <c r="AU535" s="12">
        <f t="shared" si="215"/>
        <v>3816.871580505328</v>
      </c>
      <c r="AV535" s="12">
        <f t="shared" si="216"/>
        <v>547.24176717199384</v>
      </c>
      <c r="AW535" s="19"/>
    </row>
    <row r="536" spans="2:49" x14ac:dyDescent="0.25">
      <c r="B536" s="9" t="str">
        <f t="shared" si="199"/>
        <v>6 2026</v>
      </c>
      <c r="C536" s="88">
        <f t="shared" si="200"/>
        <v>46185</v>
      </c>
      <c r="D536" s="88">
        <f t="shared" si="193"/>
        <v>46186</v>
      </c>
      <c r="E536" s="89">
        <f t="shared" si="201"/>
        <v>1</v>
      </c>
      <c r="G536" s="11" t="s">
        <v>7</v>
      </c>
      <c r="H536" s="12">
        <f t="shared" si="217"/>
        <v>34250000</v>
      </c>
      <c r="I536" s="14">
        <f t="shared" si="217"/>
        <v>1.7500000000000002E-2</v>
      </c>
      <c r="J536" s="13">
        <f t="shared" si="202"/>
        <v>1664.9305555555557</v>
      </c>
      <c r="K536" s="13">
        <f t="shared" si="203"/>
        <v>181930.00000000041</v>
      </c>
      <c r="M536" s="11" t="s">
        <v>7</v>
      </c>
      <c r="N536" s="12">
        <f t="shared" ref="N536:O551" si="220">N535</f>
        <v>12000000</v>
      </c>
      <c r="O536" s="97">
        <f t="shared" si="220"/>
        <v>2.1698630136986304E-2</v>
      </c>
      <c r="P536" s="112">
        <f t="shared" si="204"/>
        <v>723.28767123287685</v>
      </c>
      <c r="Q536" s="13">
        <f t="shared" si="205"/>
        <v>118619.1780821916</v>
      </c>
      <c r="R536" s="13">
        <f t="shared" si="206"/>
        <v>139.95433789954348</v>
      </c>
      <c r="T536" s="11" t="str">
        <f t="shared" si="218"/>
        <v>SG</v>
      </c>
      <c r="U536" s="12">
        <f t="shared" si="218"/>
        <v>6010956.1600000001</v>
      </c>
      <c r="V536" s="97">
        <f t="shared" si="218"/>
        <v>2.1205479452054792E-2</v>
      </c>
      <c r="W536" s="13">
        <f t="shared" si="207"/>
        <v>354.0700203835616</v>
      </c>
      <c r="X536" s="13">
        <f t="shared" si="191"/>
        <v>58060.384351561457</v>
      </c>
      <c r="Y536" s="13">
        <f t="shared" si="208"/>
        <v>61.870762605783796</v>
      </c>
      <c r="AA536" s="11" t="s">
        <v>189</v>
      </c>
      <c r="AB536" s="98">
        <f t="shared" si="219"/>
        <v>15000000</v>
      </c>
      <c r="AC536" s="97">
        <f t="shared" si="219"/>
        <v>2.579E-2</v>
      </c>
      <c r="AD536" s="13">
        <f t="shared" si="209"/>
        <v>1074.5833333333333</v>
      </c>
      <c r="AE536" s="13">
        <f t="shared" si="210"/>
        <v>176231.66666666683</v>
      </c>
      <c r="AF536" s="13">
        <f t="shared" si="211"/>
        <v>345.41666666666663</v>
      </c>
      <c r="AH536" s="235">
        <f>'CT- € Ellipsis BNP'!X536</f>
        <v>0</v>
      </c>
      <c r="AI536" s="236">
        <f>'CT- € Ellipsis BNP'!AA536</f>
        <v>0</v>
      </c>
      <c r="AJ536" s="90">
        <f>'CT- € Ellipsis BNP'!W536</f>
        <v>0</v>
      </c>
      <c r="AK536" s="91">
        <f>'CT- € Ellipsis BNP'!AC536</f>
        <v>0</v>
      </c>
      <c r="AM536" s="235">
        <f>'codeis €'!Z536</f>
        <v>0</v>
      </c>
      <c r="AN536" s="236">
        <f>'codeis €'!AF536</f>
        <v>0</v>
      </c>
      <c r="AO536" s="90">
        <f>'codeis €'!AC536</f>
        <v>0</v>
      </c>
      <c r="AP536" s="91">
        <f>'codeis €'!AI536</f>
        <v>0</v>
      </c>
      <c r="AR536" s="12">
        <f t="shared" si="212"/>
        <v>67260956.159999996</v>
      </c>
      <c r="AS536" s="118">
        <f t="shared" si="213"/>
        <v>0.02</v>
      </c>
      <c r="AT536" s="118">
        <f t="shared" si="214"/>
        <v>2.0428995474183843E-2</v>
      </c>
      <c r="AU536" s="12">
        <f t="shared" si="215"/>
        <v>3816.871580505328</v>
      </c>
      <c r="AV536" s="12">
        <f t="shared" si="216"/>
        <v>547.24176717199384</v>
      </c>
      <c r="AW536" s="19"/>
    </row>
    <row r="537" spans="2:49" x14ac:dyDescent="0.25">
      <c r="B537" s="9" t="str">
        <f t="shared" si="199"/>
        <v>6 2026</v>
      </c>
      <c r="C537" s="88">
        <f t="shared" si="200"/>
        <v>46186</v>
      </c>
      <c r="D537" s="88">
        <f t="shared" si="193"/>
        <v>46187</v>
      </c>
      <c r="E537" s="89">
        <f t="shared" si="201"/>
        <v>1</v>
      </c>
      <c r="G537" s="11" t="s">
        <v>7</v>
      </c>
      <c r="H537" s="12">
        <f t="shared" si="217"/>
        <v>34250000</v>
      </c>
      <c r="I537" s="14">
        <f t="shared" si="217"/>
        <v>1.7500000000000002E-2</v>
      </c>
      <c r="J537" s="13">
        <f t="shared" si="202"/>
        <v>1664.9305555555557</v>
      </c>
      <c r="K537" s="13">
        <f t="shared" si="203"/>
        <v>183594.93055555597</v>
      </c>
      <c r="M537" s="11" t="s">
        <v>7</v>
      </c>
      <c r="N537" s="12">
        <f t="shared" si="220"/>
        <v>12000000</v>
      </c>
      <c r="O537" s="97">
        <f t="shared" si="220"/>
        <v>2.1698630136986304E-2</v>
      </c>
      <c r="P537" s="112">
        <f t="shared" si="204"/>
        <v>723.28767123287685</v>
      </c>
      <c r="Q537" s="13">
        <f t="shared" si="205"/>
        <v>119342.46575342448</v>
      </c>
      <c r="R537" s="13">
        <f t="shared" si="206"/>
        <v>139.95433789954348</v>
      </c>
      <c r="T537" s="11" t="str">
        <f t="shared" si="218"/>
        <v>SG</v>
      </c>
      <c r="U537" s="12">
        <f t="shared" si="218"/>
        <v>6010956.1600000001</v>
      </c>
      <c r="V537" s="97">
        <f t="shared" si="218"/>
        <v>2.1205479452054792E-2</v>
      </c>
      <c r="W537" s="13">
        <f t="shared" si="207"/>
        <v>354.0700203835616</v>
      </c>
      <c r="X537" s="13">
        <f t="shared" si="191"/>
        <v>58414.454371945016</v>
      </c>
      <c r="Y537" s="13">
        <f t="shared" si="208"/>
        <v>61.870762605783796</v>
      </c>
      <c r="AA537" s="11" t="s">
        <v>189</v>
      </c>
      <c r="AB537" s="98">
        <f t="shared" si="219"/>
        <v>15000000</v>
      </c>
      <c r="AC537" s="97">
        <f t="shared" si="219"/>
        <v>2.579E-2</v>
      </c>
      <c r="AD537" s="13">
        <f t="shared" si="209"/>
        <v>1074.5833333333333</v>
      </c>
      <c r="AE537" s="13">
        <f t="shared" si="210"/>
        <v>177306.25000000017</v>
      </c>
      <c r="AF537" s="13">
        <f t="shared" si="211"/>
        <v>345.41666666666663</v>
      </c>
      <c r="AH537" s="235">
        <f>'CT- € Ellipsis BNP'!X537</f>
        <v>0</v>
      </c>
      <c r="AI537" s="236">
        <f>'CT- € Ellipsis BNP'!AA537</f>
        <v>0</v>
      </c>
      <c r="AJ537" s="90">
        <f>'CT- € Ellipsis BNP'!W537</f>
        <v>0</v>
      </c>
      <c r="AK537" s="91">
        <f>'CT- € Ellipsis BNP'!AC537</f>
        <v>0</v>
      </c>
      <c r="AM537" s="235">
        <f>'codeis €'!Z537</f>
        <v>0</v>
      </c>
      <c r="AN537" s="236">
        <f>'codeis €'!AF537</f>
        <v>0</v>
      </c>
      <c r="AO537" s="90">
        <f>'codeis €'!AC537</f>
        <v>0</v>
      </c>
      <c r="AP537" s="91">
        <f>'codeis €'!AI537</f>
        <v>0</v>
      </c>
      <c r="AR537" s="12">
        <f t="shared" si="212"/>
        <v>67260956.159999996</v>
      </c>
      <c r="AS537" s="118">
        <f t="shared" si="213"/>
        <v>0.02</v>
      </c>
      <c r="AT537" s="118">
        <f t="shared" si="214"/>
        <v>2.0428995474183843E-2</v>
      </c>
      <c r="AU537" s="12">
        <f t="shared" si="215"/>
        <v>3816.871580505328</v>
      </c>
      <c r="AV537" s="12">
        <f t="shared" si="216"/>
        <v>547.24176717199384</v>
      </c>
      <c r="AW537" s="19"/>
    </row>
    <row r="538" spans="2:49" x14ac:dyDescent="0.25">
      <c r="B538" s="9" t="str">
        <f t="shared" si="199"/>
        <v>6 2026</v>
      </c>
      <c r="C538" s="88">
        <f t="shared" si="200"/>
        <v>46187</v>
      </c>
      <c r="D538" s="88">
        <f t="shared" si="193"/>
        <v>46188</v>
      </c>
      <c r="E538" s="89">
        <f t="shared" si="201"/>
        <v>1</v>
      </c>
      <c r="G538" s="11" t="s">
        <v>7</v>
      </c>
      <c r="H538" s="12">
        <f t="shared" si="217"/>
        <v>34250000</v>
      </c>
      <c r="I538" s="14">
        <f t="shared" si="217"/>
        <v>1.7500000000000002E-2</v>
      </c>
      <c r="J538" s="13">
        <f t="shared" si="202"/>
        <v>1664.9305555555557</v>
      </c>
      <c r="K538" s="13">
        <f t="shared" si="203"/>
        <v>185259.86111111153</v>
      </c>
      <c r="M538" s="11" t="s">
        <v>7</v>
      </c>
      <c r="N538" s="12">
        <f t="shared" si="220"/>
        <v>12000000</v>
      </c>
      <c r="O538" s="97">
        <f t="shared" si="220"/>
        <v>2.1698630136986304E-2</v>
      </c>
      <c r="P538" s="112">
        <f t="shared" si="204"/>
        <v>723.28767123287685</v>
      </c>
      <c r="Q538" s="13">
        <f t="shared" si="205"/>
        <v>120065.75342465735</v>
      </c>
      <c r="R538" s="13">
        <f t="shared" si="206"/>
        <v>139.95433789954348</v>
      </c>
      <c r="T538" s="11" t="str">
        <f t="shared" si="218"/>
        <v>SG</v>
      </c>
      <c r="U538" s="12">
        <f t="shared" si="218"/>
        <v>6010956.1600000001</v>
      </c>
      <c r="V538" s="97">
        <f t="shared" si="218"/>
        <v>2.1205479452054792E-2</v>
      </c>
      <c r="W538" s="13">
        <f t="shared" si="207"/>
        <v>354.0700203835616</v>
      </c>
      <c r="X538" s="13">
        <f t="shared" si="191"/>
        <v>58768.524392328574</v>
      </c>
      <c r="Y538" s="13">
        <f t="shared" si="208"/>
        <v>61.870762605783796</v>
      </c>
      <c r="AA538" s="11" t="s">
        <v>189</v>
      </c>
      <c r="AB538" s="98">
        <f t="shared" si="219"/>
        <v>15000000</v>
      </c>
      <c r="AC538" s="97">
        <f t="shared" si="219"/>
        <v>2.579E-2</v>
      </c>
      <c r="AD538" s="13">
        <f t="shared" si="209"/>
        <v>1074.5833333333333</v>
      </c>
      <c r="AE538" s="13">
        <f t="shared" si="210"/>
        <v>178380.83333333352</v>
      </c>
      <c r="AF538" s="13">
        <f t="shared" si="211"/>
        <v>345.41666666666663</v>
      </c>
      <c r="AH538" s="235">
        <f>'CT- € Ellipsis BNP'!X538</f>
        <v>0</v>
      </c>
      <c r="AI538" s="236">
        <f>'CT- € Ellipsis BNP'!AA538</f>
        <v>0</v>
      </c>
      <c r="AJ538" s="90">
        <f>'CT- € Ellipsis BNP'!W538</f>
        <v>0</v>
      </c>
      <c r="AK538" s="91">
        <f>'CT- € Ellipsis BNP'!AC538</f>
        <v>0</v>
      </c>
      <c r="AM538" s="235">
        <f>'codeis €'!Z538</f>
        <v>0</v>
      </c>
      <c r="AN538" s="236">
        <f>'codeis €'!AF538</f>
        <v>0</v>
      </c>
      <c r="AO538" s="90">
        <f>'codeis €'!AC538</f>
        <v>0</v>
      </c>
      <c r="AP538" s="91">
        <f>'codeis €'!AI538</f>
        <v>0</v>
      </c>
      <c r="AR538" s="12">
        <f t="shared" si="212"/>
        <v>67260956.159999996</v>
      </c>
      <c r="AS538" s="118">
        <f t="shared" si="213"/>
        <v>0.02</v>
      </c>
      <c r="AT538" s="118">
        <f t="shared" si="214"/>
        <v>2.0428995474183843E-2</v>
      </c>
      <c r="AU538" s="12">
        <f t="shared" si="215"/>
        <v>3816.871580505328</v>
      </c>
      <c r="AV538" s="12">
        <f t="shared" si="216"/>
        <v>547.24176717199384</v>
      </c>
      <c r="AW538" s="19"/>
    </row>
    <row r="539" spans="2:49" x14ac:dyDescent="0.25">
      <c r="B539" s="9" t="str">
        <f t="shared" si="199"/>
        <v>6 2026</v>
      </c>
      <c r="C539" s="88">
        <f t="shared" si="200"/>
        <v>46188</v>
      </c>
      <c r="D539" s="88">
        <f t="shared" si="193"/>
        <v>46189</v>
      </c>
      <c r="E539" s="89">
        <f t="shared" si="201"/>
        <v>1</v>
      </c>
      <c r="G539" s="11" t="s">
        <v>7</v>
      </c>
      <c r="H539" s="12">
        <f t="shared" si="217"/>
        <v>34250000</v>
      </c>
      <c r="I539" s="14">
        <f t="shared" si="217"/>
        <v>1.7500000000000002E-2</v>
      </c>
      <c r="J539" s="13">
        <f t="shared" si="202"/>
        <v>1664.9305555555557</v>
      </c>
      <c r="K539" s="13">
        <f t="shared" si="203"/>
        <v>186924.79166666709</v>
      </c>
      <c r="M539" s="11" t="s">
        <v>7</v>
      </c>
      <c r="N539" s="12">
        <f t="shared" si="220"/>
        <v>12000000</v>
      </c>
      <c r="O539" s="97">
        <f t="shared" si="220"/>
        <v>2.1698630136986304E-2</v>
      </c>
      <c r="P539" s="112">
        <f t="shared" si="204"/>
        <v>723.28767123287685</v>
      </c>
      <c r="Q539" s="13">
        <f t="shared" si="205"/>
        <v>120789.04109589022</v>
      </c>
      <c r="R539" s="13">
        <f t="shared" si="206"/>
        <v>139.95433789954348</v>
      </c>
      <c r="T539" s="11" t="str">
        <f t="shared" si="218"/>
        <v>SG</v>
      </c>
      <c r="U539" s="12">
        <f t="shared" si="218"/>
        <v>6010956.1600000001</v>
      </c>
      <c r="V539" s="97">
        <f t="shared" si="218"/>
        <v>2.1205479452054792E-2</v>
      </c>
      <c r="W539" s="13">
        <f t="shared" si="207"/>
        <v>354.0700203835616</v>
      </c>
      <c r="X539" s="13">
        <f t="shared" si="191"/>
        <v>59122.594412712133</v>
      </c>
      <c r="Y539" s="13">
        <f t="shared" si="208"/>
        <v>61.870762605783796</v>
      </c>
      <c r="AA539" s="11" t="s">
        <v>189</v>
      </c>
      <c r="AB539" s="98">
        <f t="shared" si="219"/>
        <v>15000000</v>
      </c>
      <c r="AC539" s="97">
        <f t="shared" si="219"/>
        <v>2.579E-2</v>
      </c>
      <c r="AD539" s="13">
        <f t="shared" si="209"/>
        <v>1074.5833333333333</v>
      </c>
      <c r="AE539" s="13">
        <f t="shared" si="210"/>
        <v>179455.41666666686</v>
      </c>
      <c r="AF539" s="13">
        <f t="shared" si="211"/>
        <v>345.41666666666663</v>
      </c>
      <c r="AH539" s="235">
        <f>'CT- € Ellipsis BNP'!X539</f>
        <v>0</v>
      </c>
      <c r="AI539" s="236">
        <f>'CT- € Ellipsis BNP'!AA539</f>
        <v>0</v>
      </c>
      <c r="AJ539" s="90">
        <f>'CT- € Ellipsis BNP'!W539</f>
        <v>0</v>
      </c>
      <c r="AK539" s="91">
        <f>'CT- € Ellipsis BNP'!AC539</f>
        <v>0</v>
      </c>
      <c r="AM539" s="235">
        <f>'codeis €'!Z539</f>
        <v>0</v>
      </c>
      <c r="AN539" s="236">
        <f>'codeis €'!AF539</f>
        <v>0</v>
      </c>
      <c r="AO539" s="90">
        <f>'codeis €'!AC539</f>
        <v>0</v>
      </c>
      <c r="AP539" s="91">
        <f>'codeis €'!AI539</f>
        <v>0</v>
      </c>
      <c r="AR539" s="12">
        <f t="shared" si="212"/>
        <v>67260956.159999996</v>
      </c>
      <c r="AS539" s="118">
        <f t="shared" si="213"/>
        <v>0.02</v>
      </c>
      <c r="AT539" s="118">
        <f t="shared" si="214"/>
        <v>2.0428995474183843E-2</v>
      </c>
      <c r="AU539" s="12">
        <f t="shared" si="215"/>
        <v>3816.871580505328</v>
      </c>
      <c r="AV539" s="12">
        <f t="shared" si="216"/>
        <v>547.24176717199384</v>
      </c>
      <c r="AW539" s="19"/>
    </row>
    <row r="540" spans="2:49" x14ac:dyDescent="0.25">
      <c r="B540" s="9" t="str">
        <f t="shared" si="199"/>
        <v>6 2026</v>
      </c>
      <c r="C540" s="88">
        <f t="shared" si="200"/>
        <v>46189</v>
      </c>
      <c r="D540" s="88">
        <f t="shared" si="193"/>
        <v>46190</v>
      </c>
      <c r="E540" s="89">
        <f t="shared" si="201"/>
        <v>1</v>
      </c>
      <c r="G540" s="11" t="s">
        <v>7</v>
      </c>
      <c r="H540" s="12">
        <f t="shared" si="217"/>
        <v>34250000</v>
      </c>
      <c r="I540" s="14">
        <f t="shared" si="217"/>
        <v>1.7500000000000002E-2</v>
      </c>
      <c r="J540" s="13">
        <f t="shared" si="202"/>
        <v>1664.9305555555557</v>
      </c>
      <c r="K540" s="13">
        <f t="shared" si="203"/>
        <v>188589.72222222266</v>
      </c>
      <c r="M540" s="11" t="s">
        <v>7</v>
      </c>
      <c r="N540" s="12">
        <f t="shared" si="220"/>
        <v>12000000</v>
      </c>
      <c r="O540" s="97">
        <f t="shared" si="220"/>
        <v>2.1698630136986304E-2</v>
      </c>
      <c r="P540" s="112">
        <f t="shared" si="204"/>
        <v>723.28767123287685</v>
      </c>
      <c r="Q540" s="13">
        <f t="shared" si="205"/>
        <v>121512.32876712309</v>
      </c>
      <c r="R540" s="13">
        <f t="shared" si="206"/>
        <v>139.95433789954348</v>
      </c>
      <c r="T540" s="11" t="str">
        <f t="shared" si="218"/>
        <v>SG</v>
      </c>
      <c r="U540" s="12">
        <f t="shared" si="218"/>
        <v>6010956.1600000001</v>
      </c>
      <c r="V540" s="97">
        <f t="shared" si="218"/>
        <v>2.1205479452054792E-2</v>
      </c>
      <c r="W540" s="13">
        <f t="shared" si="207"/>
        <v>354.0700203835616</v>
      </c>
      <c r="X540" s="13">
        <f t="shared" si="191"/>
        <v>59476.664433095691</v>
      </c>
      <c r="Y540" s="13">
        <f t="shared" si="208"/>
        <v>61.870762605783796</v>
      </c>
      <c r="AA540" s="11" t="s">
        <v>189</v>
      </c>
      <c r="AB540" s="98">
        <f t="shared" si="219"/>
        <v>15000000</v>
      </c>
      <c r="AC540" s="97">
        <f t="shared" si="219"/>
        <v>2.579E-2</v>
      </c>
      <c r="AD540" s="13">
        <f t="shared" si="209"/>
        <v>1074.5833333333333</v>
      </c>
      <c r="AE540" s="13">
        <f t="shared" si="210"/>
        <v>180530.0000000002</v>
      </c>
      <c r="AF540" s="13">
        <f t="shared" si="211"/>
        <v>345.41666666666663</v>
      </c>
      <c r="AH540" s="235">
        <f>'CT- € Ellipsis BNP'!X540</f>
        <v>0</v>
      </c>
      <c r="AI540" s="236">
        <f>'CT- € Ellipsis BNP'!AA540</f>
        <v>0</v>
      </c>
      <c r="AJ540" s="90">
        <f>'CT- € Ellipsis BNP'!W540</f>
        <v>0</v>
      </c>
      <c r="AK540" s="91">
        <f>'CT- € Ellipsis BNP'!AC540</f>
        <v>0</v>
      </c>
      <c r="AM540" s="235">
        <f>'codeis €'!Z540</f>
        <v>0</v>
      </c>
      <c r="AN540" s="236">
        <f>'codeis €'!AF540</f>
        <v>0</v>
      </c>
      <c r="AO540" s="90">
        <f>'codeis €'!AC540</f>
        <v>0</v>
      </c>
      <c r="AP540" s="91">
        <f>'codeis €'!AI540</f>
        <v>0</v>
      </c>
      <c r="AR540" s="12">
        <f t="shared" si="212"/>
        <v>67260956.159999996</v>
      </c>
      <c r="AS540" s="118">
        <f t="shared" si="213"/>
        <v>0.02</v>
      </c>
      <c r="AT540" s="118">
        <f t="shared" si="214"/>
        <v>2.0428995474183843E-2</v>
      </c>
      <c r="AU540" s="12">
        <f t="shared" si="215"/>
        <v>3816.871580505328</v>
      </c>
      <c r="AV540" s="12">
        <f t="shared" si="216"/>
        <v>547.24176717199384</v>
      </c>
      <c r="AW540" s="19"/>
    </row>
    <row r="541" spans="2:49" x14ac:dyDescent="0.25">
      <c r="B541" s="9" t="str">
        <f t="shared" si="199"/>
        <v>6 2026</v>
      </c>
      <c r="C541" s="88">
        <f t="shared" si="200"/>
        <v>46190</v>
      </c>
      <c r="D541" s="88">
        <f t="shared" si="193"/>
        <v>46191</v>
      </c>
      <c r="E541" s="89">
        <f t="shared" si="201"/>
        <v>1</v>
      </c>
      <c r="G541" s="11" t="s">
        <v>7</v>
      </c>
      <c r="H541" s="12">
        <f t="shared" si="217"/>
        <v>34250000</v>
      </c>
      <c r="I541" s="14">
        <f t="shared" si="217"/>
        <v>1.7500000000000002E-2</v>
      </c>
      <c r="J541" s="13">
        <f t="shared" si="202"/>
        <v>1664.9305555555557</v>
      </c>
      <c r="K541" s="13">
        <f t="shared" si="203"/>
        <v>190254.65277777822</v>
      </c>
      <c r="M541" s="11" t="s">
        <v>7</v>
      </c>
      <c r="N541" s="12">
        <f t="shared" si="220"/>
        <v>12000000</v>
      </c>
      <c r="O541" s="97">
        <f t="shared" si="220"/>
        <v>2.1698630136986304E-2</v>
      </c>
      <c r="P541" s="112">
        <f t="shared" si="204"/>
        <v>723.28767123287685</v>
      </c>
      <c r="Q541" s="13">
        <f t="shared" si="205"/>
        <v>122235.61643835597</v>
      </c>
      <c r="R541" s="13">
        <f t="shared" si="206"/>
        <v>139.95433789954348</v>
      </c>
      <c r="T541" s="11" t="str">
        <f t="shared" si="218"/>
        <v>SG</v>
      </c>
      <c r="U541" s="12">
        <f t="shared" si="218"/>
        <v>6010956.1600000001</v>
      </c>
      <c r="V541" s="97">
        <f t="shared" si="218"/>
        <v>2.1205479452054792E-2</v>
      </c>
      <c r="W541" s="13">
        <f t="shared" si="207"/>
        <v>354.0700203835616</v>
      </c>
      <c r="X541" s="13">
        <f t="shared" si="191"/>
        <v>59830.73445347925</v>
      </c>
      <c r="Y541" s="13">
        <f t="shared" si="208"/>
        <v>61.870762605783796</v>
      </c>
      <c r="AA541" s="11" t="s">
        <v>189</v>
      </c>
      <c r="AB541" s="98">
        <f t="shared" si="219"/>
        <v>15000000</v>
      </c>
      <c r="AC541" s="97">
        <f t="shared" si="219"/>
        <v>2.579E-2</v>
      </c>
      <c r="AD541" s="13">
        <f t="shared" si="209"/>
        <v>1074.5833333333333</v>
      </c>
      <c r="AE541" s="13">
        <f t="shared" si="210"/>
        <v>181604.58333333355</v>
      </c>
      <c r="AF541" s="13">
        <f t="shared" si="211"/>
        <v>345.41666666666663</v>
      </c>
      <c r="AH541" s="235">
        <f>'CT- € Ellipsis BNP'!X541</f>
        <v>0</v>
      </c>
      <c r="AI541" s="236">
        <f>'CT- € Ellipsis BNP'!AA541</f>
        <v>0</v>
      </c>
      <c r="AJ541" s="90">
        <f>'CT- € Ellipsis BNP'!W541</f>
        <v>0</v>
      </c>
      <c r="AK541" s="91">
        <f>'CT- € Ellipsis BNP'!AC541</f>
        <v>0</v>
      </c>
      <c r="AM541" s="235">
        <f>'codeis €'!Z541</f>
        <v>0</v>
      </c>
      <c r="AN541" s="236">
        <f>'codeis €'!AF541</f>
        <v>0</v>
      </c>
      <c r="AO541" s="90">
        <f>'codeis €'!AC541</f>
        <v>0</v>
      </c>
      <c r="AP541" s="91">
        <f>'codeis €'!AI541</f>
        <v>0</v>
      </c>
      <c r="AR541" s="12">
        <f t="shared" si="212"/>
        <v>67260956.159999996</v>
      </c>
      <c r="AS541" s="118">
        <f t="shared" si="213"/>
        <v>0.02</v>
      </c>
      <c r="AT541" s="118">
        <f t="shared" si="214"/>
        <v>2.0428995474183843E-2</v>
      </c>
      <c r="AU541" s="12">
        <f t="shared" si="215"/>
        <v>3816.871580505328</v>
      </c>
      <c r="AV541" s="12">
        <f t="shared" si="216"/>
        <v>547.24176717199384</v>
      </c>
      <c r="AW541" s="19"/>
    </row>
    <row r="542" spans="2:49" x14ac:dyDescent="0.25">
      <c r="B542" s="9" t="str">
        <f t="shared" si="199"/>
        <v>6 2026</v>
      </c>
      <c r="C542" s="88">
        <f t="shared" si="200"/>
        <v>46191</v>
      </c>
      <c r="D542" s="88">
        <f t="shared" si="193"/>
        <v>46192</v>
      </c>
      <c r="E542" s="89">
        <f t="shared" si="201"/>
        <v>1</v>
      </c>
      <c r="G542" s="11" t="s">
        <v>7</v>
      </c>
      <c r="H542" s="12">
        <f t="shared" si="217"/>
        <v>34250000</v>
      </c>
      <c r="I542" s="14">
        <f t="shared" si="217"/>
        <v>1.7500000000000002E-2</v>
      </c>
      <c r="J542" s="13">
        <f t="shared" si="202"/>
        <v>1664.9305555555557</v>
      </c>
      <c r="K542" s="13">
        <f t="shared" si="203"/>
        <v>191919.58333333378</v>
      </c>
      <c r="M542" s="11" t="s">
        <v>7</v>
      </c>
      <c r="N542" s="12">
        <f t="shared" si="220"/>
        <v>12000000</v>
      </c>
      <c r="O542" s="97">
        <f t="shared" si="220"/>
        <v>2.1698630136986304E-2</v>
      </c>
      <c r="P542" s="112">
        <f t="shared" si="204"/>
        <v>723.28767123287685</v>
      </c>
      <c r="Q542" s="13">
        <f t="shared" si="205"/>
        <v>122958.90410958884</v>
      </c>
      <c r="R542" s="13">
        <f t="shared" si="206"/>
        <v>139.95433789954348</v>
      </c>
      <c r="T542" s="11" t="str">
        <f t="shared" si="218"/>
        <v>SG</v>
      </c>
      <c r="U542" s="12">
        <f t="shared" si="218"/>
        <v>6010956.1600000001</v>
      </c>
      <c r="V542" s="97">
        <f t="shared" si="218"/>
        <v>2.1205479452054792E-2</v>
      </c>
      <c r="W542" s="13">
        <f t="shared" si="207"/>
        <v>354.0700203835616</v>
      </c>
      <c r="X542" s="13">
        <f t="shared" si="191"/>
        <v>60184.804473862809</v>
      </c>
      <c r="Y542" s="13">
        <f t="shared" si="208"/>
        <v>61.870762605783796</v>
      </c>
      <c r="AA542" s="11" t="s">
        <v>189</v>
      </c>
      <c r="AB542" s="98">
        <f t="shared" si="219"/>
        <v>15000000</v>
      </c>
      <c r="AC542" s="97">
        <f t="shared" si="219"/>
        <v>2.579E-2</v>
      </c>
      <c r="AD542" s="13">
        <f t="shared" si="209"/>
        <v>1074.5833333333333</v>
      </c>
      <c r="AE542" s="13">
        <f t="shared" si="210"/>
        <v>182679.16666666689</v>
      </c>
      <c r="AF542" s="13">
        <f t="shared" si="211"/>
        <v>345.41666666666663</v>
      </c>
      <c r="AH542" s="235">
        <f>'CT- € Ellipsis BNP'!X542</f>
        <v>0</v>
      </c>
      <c r="AI542" s="236">
        <f>'CT- € Ellipsis BNP'!AA542</f>
        <v>0</v>
      </c>
      <c r="AJ542" s="90">
        <f>'CT- € Ellipsis BNP'!W542</f>
        <v>0</v>
      </c>
      <c r="AK542" s="91">
        <f>'CT- € Ellipsis BNP'!AC542</f>
        <v>0</v>
      </c>
      <c r="AM542" s="235">
        <f>'codeis €'!Z542</f>
        <v>0</v>
      </c>
      <c r="AN542" s="236">
        <f>'codeis €'!AF542</f>
        <v>0</v>
      </c>
      <c r="AO542" s="90">
        <f>'codeis €'!AC542</f>
        <v>0</v>
      </c>
      <c r="AP542" s="91">
        <f>'codeis €'!AI542</f>
        <v>0</v>
      </c>
      <c r="AR542" s="12">
        <f t="shared" si="212"/>
        <v>67260956.159999996</v>
      </c>
      <c r="AS542" s="118">
        <f t="shared" si="213"/>
        <v>0.02</v>
      </c>
      <c r="AT542" s="118">
        <f t="shared" si="214"/>
        <v>2.0428995474183843E-2</v>
      </c>
      <c r="AU542" s="12">
        <f t="shared" si="215"/>
        <v>3816.871580505328</v>
      </c>
      <c r="AV542" s="12">
        <f t="shared" si="216"/>
        <v>547.24176717199384</v>
      </c>
      <c r="AW542" s="19"/>
    </row>
    <row r="543" spans="2:49" x14ac:dyDescent="0.25">
      <c r="B543" s="9" t="str">
        <f t="shared" si="199"/>
        <v>6 2026</v>
      </c>
      <c r="C543" s="88">
        <f t="shared" si="200"/>
        <v>46192</v>
      </c>
      <c r="D543" s="88">
        <f t="shared" si="193"/>
        <v>46193</v>
      </c>
      <c r="E543" s="89">
        <f t="shared" si="201"/>
        <v>1</v>
      </c>
      <c r="G543" s="11" t="s">
        <v>7</v>
      </c>
      <c r="H543" s="12">
        <f t="shared" si="217"/>
        <v>34250000</v>
      </c>
      <c r="I543" s="14">
        <f t="shared" si="217"/>
        <v>1.7500000000000002E-2</v>
      </c>
      <c r="J543" s="13">
        <f t="shared" si="202"/>
        <v>1664.9305555555557</v>
      </c>
      <c r="K543" s="13">
        <f t="shared" si="203"/>
        <v>193584.51388888934</v>
      </c>
      <c r="M543" s="11" t="s">
        <v>7</v>
      </c>
      <c r="N543" s="12">
        <f t="shared" si="220"/>
        <v>12000000</v>
      </c>
      <c r="O543" s="97">
        <f t="shared" si="220"/>
        <v>2.1698630136986304E-2</v>
      </c>
      <c r="P543" s="112">
        <f t="shared" si="204"/>
        <v>723.28767123287685</v>
      </c>
      <c r="Q543" s="13">
        <f t="shared" si="205"/>
        <v>123682.19178082171</v>
      </c>
      <c r="R543" s="13">
        <f t="shared" si="206"/>
        <v>139.95433789954348</v>
      </c>
      <c r="T543" s="11" t="str">
        <f t="shared" si="218"/>
        <v>SG</v>
      </c>
      <c r="U543" s="12">
        <f t="shared" si="218"/>
        <v>6010956.1600000001</v>
      </c>
      <c r="V543" s="97">
        <f t="shared" si="218"/>
        <v>2.1205479452054792E-2</v>
      </c>
      <c r="W543" s="13">
        <f t="shared" si="207"/>
        <v>354.0700203835616</v>
      </c>
      <c r="X543" s="13">
        <f t="shared" si="191"/>
        <v>60538.874494246367</v>
      </c>
      <c r="Y543" s="13">
        <f t="shared" si="208"/>
        <v>61.870762605783796</v>
      </c>
      <c r="AA543" s="11" t="s">
        <v>189</v>
      </c>
      <c r="AB543" s="98">
        <f t="shared" si="219"/>
        <v>15000000</v>
      </c>
      <c r="AC543" s="97">
        <f t="shared" si="219"/>
        <v>2.579E-2</v>
      </c>
      <c r="AD543" s="13">
        <f t="shared" si="209"/>
        <v>1074.5833333333333</v>
      </c>
      <c r="AE543" s="13">
        <f t="shared" si="210"/>
        <v>183753.75000000023</v>
      </c>
      <c r="AF543" s="13">
        <f t="shared" si="211"/>
        <v>345.41666666666663</v>
      </c>
      <c r="AH543" s="235">
        <f>'CT- € Ellipsis BNP'!X543</f>
        <v>0</v>
      </c>
      <c r="AI543" s="236">
        <f>'CT- € Ellipsis BNP'!AA543</f>
        <v>0</v>
      </c>
      <c r="AJ543" s="90">
        <f>'CT- € Ellipsis BNP'!W543</f>
        <v>0</v>
      </c>
      <c r="AK543" s="91">
        <f>'CT- € Ellipsis BNP'!AC543</f>
        <v>0</v>
      </c>
      <c r="AM543" s="235">
        <f>'codeis €'!Z543</f>
        <v>0</v>
      </c>
      <c r="AN543" s="236">
        <f>'codeis €'!AF543</f>
        <v>0</v>
      </c>
      <c r="AO543" s="90">
        <f>'codeis €'!AC543</f>
        <v>0</v>
      </c>
      <c r="AP543" s="91">
        <f>'codeis €'!AI543</f>
        <v>0</v>
      </c>
      <c r="AR543" s="12">
        <f t="shared" si="212"/>
        <v>67260956.159999996</v>
      </c>
      <c r="AS543" s="118">
        <f t="shared" si="213"/>
        <v>0.02</v>
      </c>
      <c r="AT543" s="118">
        <f t="shared" si="214"/>
        <v>2.0428995474183843E-2</v>
      </c>
      <c r="AU543" s="12">
        <f t="shared" si="215"/>
        <v>3816.871580505328</v>
      </c>
      <c r="AV543" s="12">
        <f t="shared" si="216"/>
        <v>547.24176717199384</v>
      </c>
      <c r="AW543" s="19"/>
    </row>
    <row r="544" spans="2:49" x14ac:dyDescent="0.25">
      <c r="B544" s="9" t="str">
        <f t="shared" si="199"/>
        <v>6 2026</v>
      </c>
      <c r="C544" s="88">
        <f t="shared" si="200"/>
        <v>46193</v>
      </c>
      <c r="D544" s="88">
        <f t="shared" si="193"/>
        <v>46194</v>
      </c>
      <c r="E544" s="89">
        <f t="shared" si="201"/>
        <v>1</v>
      </c>
      <c r="G544" s="11" t="s">
        <v>7</v>
      </c>
      <c r="H544" s="12">
        <f t="shared" si="217"/>
        <v>34250000</v>
      </c>
      <c r="I544" s="14">
        <f t="shared" si="217"/>
        <v>1.7500000000000002E-2</v>
      </c>
      <c r="J544" s="13">
        <f t="shared" si="202"/>
        <v>1664.9305555555557</v>
      </c>
      <c r="K544" s="13">
        <f t="shared" si="203"/>
        <v>195249.4444444449</v>
      </c>
      <c r="M544" s="11" t="s">
        <v>7</v>
      </c>
      <c r="N544" s="12">
        <f t="shared" si="220"/>
        <v>12000000</v>
      </c>
      <c r="O544" s="97">
        <f t="shared" si="220"/>
        <v>2.1698630136986304E-2</v>
      </c>
      <c r="P544" s="112">
        <f t="shared" si="204"/>
        <v>723.28767123287685</v>
      </c>
      <c r="Q544" s="13">
        <f t="shared" si="205"/>
        <v>124405.47945205458</v>
      </c>
      <c r="R544" s="13">
        <f t="shared" si="206"/>
        <v>139.95433789954348</v>
      </c>
      <c r="T544" s="11" t="str">
        <f t="shared" si="218"/>
        <v>SG</v>
      </c>
      <c r="U544" s="12">
        <f t="shared" si="218"/>
        <v>6010956.1600000001</v>
      </c>
      <c r="V544" s="97">
        <f t="shared" si="218"/>
        <v>2.1205479452054792E-2</v>
      </c>
      <c r="W544" s="13">
        <f t="shared" si="207"/>
        <v>354.0700203835616</v>
      </c>
      <c r="X544" s="13">
        <f t="shared" si="191"/>
        <v>60892.944514629926</v>
      </c>
      <c r="Y544" s="13">
        <f t="shared" si="208"/>
        <v>61.870762605783796</v>
      </c>
      <c r="AA544" s="11" t="s">
        <v>189</v>
      </c>
      <c r="AB544" s="98">
        <f t="shared" si="219"/>
        <v>15000000</v>
      </c>
      <c r="AC544" s="97">
        <f t="shared" si="219"/>
        <v>2.579E-2</v>
      </c>
      <c r="AD544" s="13">
        <f t="shared" si="209"/>
        <v>1074.5833333333333</v>
      </c>
      <c r="AE544" s="13">
        <f t="shared" si="210"/>
        <v>184828.33333333358</v>
      </c>
      <c r="AF544" s="13">
        <f t="shared" si="211"/>
        <v>345.41666666666663</v>
      </c>
      <c r="AH544" s="235">
        <f>'CT- € Ellipsis BNP'!X544</f>
        <v>0</v>
      </c>
      <c r="AI544" s="236">
        <f>'CT- € Ellipsis BNP'!AA544</f>
        <v>0</v>
      </c>
      <c r="AJ544" s="90">
        <f>'CT- € Ellipsis BNP'!W544</f>
        <v>0</v>
      </c>
      <c r="AK544" s="91">
        <f>'CT- € Ellipsis BNP'!AC544</f>
        <v>0</v>
      </c>
      <c r="AM544" s="235">
        <f>'codeis €'!Z544</f>
        <v>0</v>
      </c>
      <c r="AN544" s="236">
        <f>'codeis €'!AF544</f>
        <v>0</v>
      </c>
      <c r="AO544" s="90">
        <f>'codeis €'!AC544</f>
        <v>0</v>
      </c>
      <c r="AP544" s="91">
        <f>'codeis €'!AI544</f>
        <v>0</v>
      </c>
      <c r="AR544" s="12">
        <f t="shared" si="212"/>
        <v>67260956.159999996</v>
      </c>
      <c r="AS544" s="118">
        <f t="shared" si="213"/>
        <v>0.02</v>
      </c>
      <c r="AT544" s="118">
        <f t="shared" si="214"/>
        <v>2.0428995474183843E-2</v>
      </c>
      <c r="AU544" s="12">
        <f t="shared" si="215"/>
        <v>3816.871580505328</v>
      </c>
      <c r="AV544" s="12">
        <f t="shared" si="216"/>
        <v>547.24176717199384</v>
      </c>
      <c r="AW544" s="19"/>
    </row>
    <row r="545" spans="2:49" x14ac:dyDescent="0.25">
      <c r="B545" s="9" t="str">
        <f t="shared" si="199"/>
        <v>6 2026</v>
      </c>
      <c r="C545" s="88">
        <f t="shared" si="200"/>
        <v>46194</v>
      </c>
      <c r="D545" s="88">
        <f t="shared" si="193"/>
        <v>46195</v>
      </c>
      <c r="E545" s="89">
        <f t="shared" si="201"/>
        <v>1</v>
      </c>
      <c r="G545" s="11" t="s">
        <v>7</v>
      </c>
      <c r="H545" s="12">
        <f t="shared" si="217"/>
        <v>34250000</v>
      </c>
      <c r="I545" s="14">
        <f t="shared" si="217"/>
        <v>1.7500000000000002E-2</v>
      </c>
      <c r="J545" s="13">
        <f t="shared" si="202"/>
        <v>1664.9305555555557</v>
      </c>
      <c r="K545" s="13">
        <f t="shared" si="203"/>
        <v>196914.37500000047</v>
      </c>
      <c r="M545" s="11" t="s">
        <v>7</v>
      </c>
      <c r="N545" s="12">
        <f t="shared" si="220"/>
        <v>12000000</v>
      </c>
      <c r="O545" s="97">
        <f t="shared" si="220"/>
        <v>2.1698630136986304E-2</v>
      </c>
      <c r="P545" s="112">
        <f t="shared" si="204"/>
        <v>723.28767123287685</v>
      </c>
      <c r="Q545" s="13">
        <f t="shared" si="205"/>
        <v>125128.76712328746</v>
      </c>
      <c r="R545" s="13">
        <f t="shared" si="206"/>
        <v>139.95433789954348</v>
      </c>
      <c r="T545" s="11" t="str">
        <f t="shared" si="218"/>
        <v>SG</v>
      </c>
      <c r="U545" s="12">
        <f t="shared" si="218"/>
        <v>6010956.1600000001</v>
      </c>
      <c r="V545" s="97">
        <f t="shared" si="218"/>
        <v>2.1205479452054792E-2</v>
      </c>
      <c r="W545" s="13">
        <f t="shared" si="207"/>
        <v>354.0700203835616</v>
      </c>
      <c r="X545" s="13">
        <f t="shared" si="191"/>
        <v>61247.014535013484</v>
      </c>
      <c r="Y545" s="13">
        <f t="shared" si="208"/>
        <v>61.870762605783796</v>
      </c>
      <c r="AA545" s="11" t="s">
        <v>189</v>
      </c>
      <c r="AB545" s="98">
        <f t="shared" si="219"/>
        <v>15000000</v>
      </c>
      <c r="AC545" s="97">
        <f t="shared" si="219"/>
        <v>2.579E-2</v>
      </c>
      <c r="AD545" s="13">
        <f t="shared" si="209"/>
        <v>1074.5833333333333</v>
      </c>
      <c r="AE545" s="13">
        <f t="shared" si="210"/>
        <v>185902.91666666692</v>
      </c>
      <c r="AF545" s="13">
        <f t="shared" si="211"/>
        <v>345.41666666666663</v>
      </c>
      <c r="AH545" s="235">
        <f>'CT- € Ellipsis BNP'!X545</f>
        <v>0</v>
      </c>
      <c r="AI545" s="236">
        <f>'CT- € Ellipsis BNP'!AA545</f>
        <v>0</v>
      </c>
      <c r="AJ545" s="90">
        <f>'CT- € Ellipsis BNP'!W545</f>
        <v>0</v>
      </c>
      <c r="AK545" s="91">
        <f>'CT- € Ellipsis BNP'!AC545</f>
        <v>0</v>
      </c>
      <c r="AM545" s="235">
        <f>'codeis €'!Z545</f>
        <v>0</v>
      </c>
      <c r="AN545" s="236">
        <f>'codeis €'!AF545</f>
        <v>0</v>
      </c>
      <c r="AO545" s="90">
        <f>'codeis €'!AC545</f>
        <v>0</v>
      </c>
      <c r="AP545" s="91">
        <f>'codeis €'!AI545</f>
        <v>0</v>
      </c>
      <c r="AR545" s="12">
        <f t="shared" si="212"/>
        <v>67260956.159999996</v>
      </c>
      <c r="AS545" s="118">
        <f t="shared" si="213"/>
        <v>0.02</v>
      </c>
      <c r="AT545" s="118">
        <f t="shared" si="214"/>
        <v>2.0428995474183843E-2</v>
      </c>
      <c r="AU545" s="12">
        <f t="shared" si="215"/>
        <v>3816.871580505328</v>
      </c>
      <c r="AV545" s="12">
        <f t="shared" si="216"/>
        <v>547.24176717199384</v>
      </c>
      <c r="AW545" s="19"/>
    </row>
    <row r="546" spans="2:49" x14ac:dyDescent="0.25">
      <c r="B546" s="9" t="str">
        <f t="shared" si="199"/>
        <v>6 2026</v>
      </c>
      <c r="C546" s="88">
        <f t="shared" si="200"/>
        <v>46195</v>
      </c>
      <c r="D546" s="88">
        <f t="shared" si="193"/>
        <v>46196</v>
      </c>
      <c r="E546" s="89">
        <f t="shared" si="201"/>
        <v>1</v>
      </c>
      <c r="G546" s="11" t="s">
        <v>7</v>
      </c>
      <c r="H546" s="12">
        <f t="shared" si="217"/>
        <v>34250000</v>
      </c>
      <c r="I546" s="14">
        <f t="shared" si="217"/>
        <v>1.7500000000000002E-2</v>
      </c>
      <c r="J546" s="13">
        <f t="shared" si="202"/>
        <v>1664.9305555555557</v>
      </c>
      <c r="K546" s="13">
        <f t="shared" si="203"/>
        <v>198579.30555555603</v>
      </c>
      <c r="M546" s="11" t="s">
        <v>7</v>
      </c>
      <c r="N546" s="12">
        <f t="shared" si="220"/>
        <v>12000000</v>
      </c>
      <c r="O546" s="97">
        <f t="shared" si="220"/>
        <v>2.1698630136986304E-2</v>
      </c>
      <c r="P546" s="112">
        <f t="shared" si="204"/>
        <v>723.28767123287685</v>
      </c>
      <c r="Q546" s="13">
        <f t="shared" si="205"/>
        <v>125852.05479452033</v>
      </c>
      <c r="R546" s="13">
        <f t="shared" si="206"/>
        <v>139.95433789954348</v>
      </c>
      <c r="T546" s="11" t="str">
        <f t="shared" si="218"/>
        <v>SG</v>
      </c>
      <c r="U546" s="12">
        <f t="shared" si="218"/>
        <v>6010956.1600000001</v>
      </c>
      <c r="V546" s="97">
        <f t="shared" si="218"/>
        <v>2.1205479452054792E-2</v>
      </c>
      <c r="W546" s="13">
        <f t="shared" si="207"/>
        <v>354.0700203835616</v>
      </c>
      <c r="X546" s="13">
        <f t="shared" si="191"/>
        <v>61601.084555397043</v>
      </c>
      <c r="Y546" s="13">
        <f t="shared" si="208"/>
        <v>61.870762605783796</v>
      </c>
      <c r="AA546" s="11" t="s">
        <v>189</v>
      </c>
      <c r="AB546" s="98">
        <f t="shared" si="219"/>
        <v>15000000</v>
      </c>
      <c r="AC546" s="97">
        <f t="shared" si="219"/>
        <v>2.579E-2</v>
      </c>
      <c r="AD546" s="13">
        <f t="shared" si="209"/>
        <v>1074.5833333333333</v>
      </c>
      <c r="AE546" s="13">
        <f t="shared" si="210"/>
        <v>186977.50000000026</v>
      </c>
      <c r="AF546" s="13">
        <f t="shared" si="211"/>
        <v>345.41666666666663</v>
      </c>
      <c r="AH546" s="235">
        <f>'CT- € Ellipsis BNP'!X546</f>
        <v>0</v>
      </c>
      <c r="AI546" s="236">
        <f>'CT- € Ellipsis BNP'!AA546</f>
        <v>0</v>
      </c>
      <c r="AJ546" s="90">
        <f>'CT- € Ellipsis BNP'!W546</f>
        <v>0</v>
      </c>
      <c r="AK546" s="91">
        <f>'CT- € Ellipsis BNP'!AC546</f>
        <v>0</v>
      </c>
      <c r="AM546" s="235">
        <f>'codeis €'!Z546</f>
        <v>0</v>
      </c>
      <c r="AN546" s="236">
        <f>'codeis €'!AF546</f>
        <v>0</v>
      </c>
      <c r="AO546" s="90">
        <f>'codeis €'!AC546</f>
        <v>0</v>
      </c>
      <c r="AP546" s="91">
        <f>'codeis €'!AI546</f>
        <v>0</v>
      </c>
      <c r="AR546" s="12">
        <f t="shared" si="212"/>
        <v>67260956.159999996</v>
      </c>
      <c r="AS546" s="118">
        <f t="shared" si="213"/>
        <v>0.02</v>
      </c>
      <c r="AT546" s="118">
        <f t="shared" si="214"/>
        <v>2.0428995474183843E-2</v>
      </c>
      <c r="AU546" s="12">
        <f t="shared" si="215"/>
        <v>3816.871580505328</v>
      </c>
      <c r="AV546" s="12">
        <f t="shared" si="216"/>
        <v>547.24176717199384</v>
      </c>
      <c r="AW546" s="19"/>
    </row>
    <row r="547" spans="2:49" x14ac:dyDescent="0.25">
      <c r="B547" s="9" t="str">
        <f t="shared" si="199"/>
        <v>6 2026</v>
      </c>
      <c r="C547" s="88">
        <f t="shared" si="200"/>
        <v>46196</v>
      </c>
      <c r="D547" s="88">
        <f t="shared" si="193"/>
        <v>46197</v>
      </c>
      <c r="E547" s="89">
        <f t="shared" si="201"/>
        <v>1</v>
      </c>
      <c r="G547" s="11" t="s">
        <v>7</v>
      </c>
      <c r="H547" s="12">
        <f t="shared" si="217"/>
        <v>34250000</v>
      </c>
      <c r="I547" s="14">
        <f t="shared" si="217"/>
        <v>1.7500000000000002E-2</v>
      </c>
      <c r="J547" s="13">
        <f t="shared" si="202"/>
        <v>1664.9305555555557</v>
      </c>
      <c r="K547" s="13">
        <f t="shared" si="203"/>
        <v>200244.23611111159</v>
      </c>
      <c r="M547" s="11" t="s">
        <v>7</v>
      </c>
      <c r="N547" s="12">
        <f t="shared" si="220"/>
        <v>12000000</v>
      </c>
      <c r="O547" s="97">
        <f t="shared" si="220"/>
        <v>2.1698630136986304E-2</v>
      </c>
      <c r="P547" s="112">
        <f t="shared" si="204"/>
        <v>723.28767123287685</v>
      </c>
      <c r="Q547" s="13">
        <f t="shared" si="205"/>
        <v>126575.3424657532</v>
      </c>
      <c r="R547" s="13">
        <f t="shared" si="206"/>
        <v>139.95433789954348</v>
      </c>
      <c r="T547" s="11" t="str">
        <f t="shared" si="218"/>
        <v>SG</v>
      </c>
      <c r="U547" s="12">
        <f t="shared" si="218"/>
        <v>6010956.1600000001</v>
      </c>
      <c r="V547" s="97">
        <f t="shared" si="218"/>
        <v>2.1205479452054792E-2</v>
      </c>
      <c r="W547" s="13">
        <f t="shared" si="207"/>
        <v>354.0700203835616</v>
      </c>
      <c r="X547" s="13">
        <f t="shared" si="191"/>
        <v>61955.154575780602</v>
      </c>
      <c r="Y547" s="13">
        <f t="shared" si="208"/>
        <v>61.870762605783796</v>
      </c>
      <c r="AA547" s="11" t="s">
        <v>189</v>
      </c>
      <c r="AB547" s="98">
        <f t="shared" si="219"/>
        <v>15000000</v>
      </c>
      <c r="AC547" s="97">
        <f t="shared" si="219"/>
        <v>2.579E-2</v>
      </c>
      <c r="AD547" s="13">
        <f t="shared" si="209"/>
        <v>1074.5833333333333</v>
      </c>
      <c r="AE547" s="13">
        <f t="shared" si="210"/>
        <v>188052.0833333336</v>
      </c>
      <c r="AF547" s="13">
        <f t="shared" si="211"/>
        <v>345.41666666666663</v>
      </c>
      <c r="AH547" s="235">
        <f>'CT- € Ellipsis BNP'!X547</f>
        <v>0</v>
      </c>
      <c r="AI547" s="236">
        <f>'CT- € Ellipsis BNP'!AA547</f>
        <v>0</v>
      </c>
      <c r="AJ547" s="90">
        <f>'CT- € Ellipsis BNP'!W547</f>
        <v>0</v>
      </c>
      <c r="AK547" s="91">
        <f>'CT- € Ellipsis BNP'!AC547</f>
        <v>0</v>
      </c>
      <c r="AM547" s="235">
        <f>'codeis €'!Z547</f>
        <v>0</v>
      </c>
      <c r="AN547" s="236">
        <f>'codeis €'!AF547</f>
        <v>0</v>
      </c>
      <c r="AO547" s="90">
        <f>'codeis €'!AC547</f>
        <v>0</v>
      </c>
      <c r="AP547" s="91">
        <f>'codeis €'!AI547</f>
        <v>0</v>
      </c>
      <c r="AR547" s="12">
        <f t="shared" si="212"/>
        <v>67260956.159999996</v>
      </c>
      <c r="AS547" s="118">
        <f t="shared" si="213"/>
        <v>0.02</v>
      </c>
      <c r="AT547" s="118">
        <f t="shared" si="214"/>
        <v>2.0428995474183843E-2</v>
      </c>
      <c r="AU547" s="12">
        <f t="shared" si="215"/>
        <v>3816.871580505328</v>
      </c>
      <c r="AV547" s="12">
        <f t="shared" si="216"/>
        <v>547.24176717199384</v>
      </c>
      <c r="AW547" s="19"/>
    </row>
    <row r="548" spans="2:49" x14ac:dyDescent="0.25">
      <c r="B548" s="9" t="str">
        <f t="shared" si="199"/>
        <v>6 2026</v>
      </c>
      <c r="C548" s="88">
        <f t="shared" si="200"/>
        <v>46197</v>
      </c>
      <c r="D548" s="88">
        <f t="shared" si="193"/>
        <v>46198</v>
      </c>
      <c r="E548" s="89">
        <f t="shared" si="201"/>
        <v>1</v>
      </c>
      <c r="G548" s="11" t="s">
        <v>7</v>
      </c>
      <c r="H548" s="12">
        <f t="shared" si="217"/>
        <v>34250000</v>
      </c>
      <c r="I548" s="14">
        <f t="shared" si="217"/>
        <v>1.7500000000000002E-2</v>
      </c>
      <c r="J548" s="13">
        <f t="shared" si="202"/>
        <v>1664.9305555555557</v>
      </c>
      <c r="K548" s="13">
        <f t="shared" si="203"/>
        <v>201909.16666666715</v>
      </c>
      <c r="M548" s="11" t="s">
        <v>7</v>
      </c>
      <c r="N548" s="12">
        <f t="shared" si="220"/>
        <v>12000000</v>
      </c>
      <c r="O548" s="97">
        <f t="shared" si="220"/>
        <v>2.1698630136986304E-2</v>
      </c>
      <c r="P548" s="112">
        <f t="shared" si="204"/>
        <v>723.28767123287685</v>
      </c>
      <c r="Q548" s="13">
        <f t="shared" si="205"/>
        <v>127298.63013698607</v>
      </c>
      <c r="R548" s="13">
        <f t="shared" si="206"/>
        <v>139.95433789954348</v>
      </c>
      <c r="T548" s="11" t="str">
        <f t="shared" si="218"/>
        <v>SG</v>
      </c>
      <c r="U548" s="12">
        <f t="shared" si="218"/>
        <v>6010956.1600000001</v>
      </c>
      <c r="V548" s="97">
        <f t="shared" si="218"/>
        <v>2.1205479452054792E-2</v>
      </c>
      <c r="W548" s="13">
        <f t="shared" si="207"/>
        <v>354.0700203835616</v>
      </c>
      <c r="X548" s="13">
        <f t="shared" si="191"/>
        <v>62309.22459616416</v>
      </c>
      <c r="Y548" s="13">
        <f t="shared" si="208"/>
        <v>61.870762605783796</v>
      </c>
      <c r="AA548" s="11" t="s">
        <v>189</v>
      </c>
      <c r="AB548" s="98">
        <f t="shared" si="219"/>
        <v>15000000</v>
      </c>
      <c r="AC548" s="97">
        <f t="shared" si="219"/>
        <v>2.579E-2</v>
      </c>
      <c r="AD548" s="13">
        <f t="shared" si="209"/>
        <v>1074.5833333333333</v>
      </c>
      <c r="AE548" s="13">
        <f t="shared" si="210"/>
        <v>189126.66666666695</v>
      </c>
      <c r="AF548" s="13">
        <f t="shared" si="211"/>
        <v>345.41666666666663</v>
      </c>
      <c r="AH548" s="235">
        <f>'CT- € Ellipsis BNP'!X548</f>
        <v>0</v>
      </c>
      <c r="AI548" s="236">
        <f>'CT- € Ellipsis BNP'!AA548</f>
        <v>0</v>
      </c>
      <c r="AJ548" s="90">
        <f>'CT- € Ellipsis BNP'!W548</f>
        <v>0</v>
      </c>
      <c r="AK548" s="91">
        <f>'CT- € Ellipsis BNP'!AC548</f>
        <v>0</v>
      </c>
      <c r="AM548" s="235">
        <f>'codeis €'!Z548</f>
        <v>0</v>
      </c>
      <c r="AN548" s="236">
        <f>'codeis €'!AF548</f>
        <v>0</v>
      </c>
      <c r="AO548" s="90">
        <f>'codeis €'!AC548</f>
        <v>0</v>
      </c>
      <c r="AP548" s="91">
        <f>'codeis €'!AI548</f>
        <v>0</v>
      </c>
      <c r="AR548" s="12">
        <f t="shared" si="212"/>
        <v>67260956.159999996</v>
      </c>
      <c r="AS548" s="118">
        <f t="shared" si="213"/>
        <v>0.02</v>
      </c>
      <c r="AT548" s="118">
        <f t="shared" si="214"/>
        <v>2.0428995474183843E-2</v>
      </c>
      <c r="AU548" s="12">
        <f t="shared" si="215"/>
        <v>3816.871580505328</v>
      </c>
      <c r="AV548" s="12">
        <f t="shared" si="216"/>
        <v>547.24176717199384</v>
      </c>
      <c r="AW548" s="19"/>
    </row>
    <row r="549" spans="2:49" x14ac:dyDescent="0.25">
      <c r="B549" s="9" t="str">
        <f t="shared" si="199"/>
        <v>6 2026</v>
      </c>
      <c r="C549" s="88">
        <f t="shared" si="200"/>
        <v>46198</v>
      </c>
      <c r="D549" s="88">
        <f t="shared" si="193"/>
        <v>46199</v>
      </c>
      <c r="E549" s="89">
        <f t="shared" si="201"/>
        <v>1</v>
      </c>
      <c r="G549" s="11" t="s">
        <v>7</v>
      </c>
      <c r="H549" s="12">
        <f t="shared" si="217"/>
        <v>34250000</v>
      </c>
      <c r="I549" s="14">
        <f t="shared" si="217"/>
        <v>1.7500000000000002E-2</v>
      </c>
      <c r="J549" s="13">
        <f t="shared" si="202"/>
        <v>1664.9305555555557</v>
      </c>
      <c r="K549" s="13">
        <f t="shared" si="203"/>
        <v>203574.09722222271</v>
      </c>
      <c r="M549" s="11" t="s">
        <v>7</v>
      </c>
      <c r="N549" s="12">
        <f t="shared" si="220"/>
        <v>12000000</v>
      </c>
      <c r="O549" s="97">
        <f t="shared" si="220"/>
        <v>2.1698630136986304E-2</v>
      </c>
      <c r="P549" s="112">
        <f t="shared" si="204"/>
        <v>723.28767123287685</v>
      </c>
      <c r="Q549" s="13">
        <f t="shared" si="205"/>
        <v>128021.91780821895</v>
      </c>
      <c r="R549" s="13">
        <f t="shared" si="206"/>
        <v>139.95433789954348</v>
      </c>
      <c r="T549" s="11" t="str">
        <f t="shared" si="218"/>
        <v>SG</v>
      </c>
      <c r="U549" s="12">
        <f t="shared" si="218"/>
        <v>6010956.1600000001</v>
      </c>
      <c r="V549" s="97">
        <f t="shared" si="218"/>
        <v>2.1205479452054792E-2</v>
      </c>
      <c r="W549" s="13">
        <f t="shared" si="207"/>
        <v>354.0700203835616</v>
      </c>
      <c r="X549" s="13">
        <f t="shared" si="191"/>
        <v>62663.294616547719</v>
      </c>
      <c r="Y549" s="13">
        <f t="shared" si="208"/>
        <v>61.870762605783796</v>
      </c>
      <c r="AA549" s="11" t="s">
        <v>189</v>
      </c>
      <c r="AB549" s="98">
        <f t="shared" si="219"/>
        <v>15000000</v>
      </c>
      <c r="AC549" s="97">
        <f t="shared" si="219"/>
        <v>2.579E-2</v>
      </c>
      <c r="AD549" s="13">
        <f t="shared" si="209"/>
        <v>1074.5833333333333</v>
      </c>
      <c r="AE549" s="13">
        <f t="shared" si="210"/>
        <v>190201.25000000029</v>
      </c>
      <c r="AF549" s="13">
        <f t="shared" si="211"/>
        <v>345.41666666666663</v>
      </c>
      <c r="AH549" s="235">
        <f>'CT- € Ellipsis BNP'!X549</f>
        <v>0</v>
      </c>
      <c r="AI549" s="236">
        <f>'CT- € Ellipsis BNP'!AA549</f>
        <v>0</v>
      </c>
      <c r="AJ549" s="90">
        <f>'CT- € Ellipsis BNP'!W549</f>
        <v>0</v>
      </c>
      <c r="AK549" s="91">
        <f>'CT- € Ellipsis BNP'!AC549</f>
        <v>0</v>
      </c>
      <c r="AM549" s="235">
        <f>'codeis €'!Z549</f>
        <v>0</v>
      </c>
      <c r="AN549" s="236">
        <f>'codeis €'!AF549</f>
        <v>0</v>
      </c>
      <c r="AO549" s="90">
        <f>'codeis €'!AC549</f>
        <v>0</v>
      </c>
      <c r="AP549" s="91">
        <f>'codeis €'!AI549</f>
        <v>0</v>
      </c>
      <c r="AR549" s="12">
        <f t="shared" si="212"/>
        <v>67260956.159999996</v>
      </c>
      <c r="AS549" s="118">
        <f t="shared" si="213"/>
        <v>0.02</v>
      </c>
      <c r="AT549" s="118">
        <f t="shared" si="214"/>
        <v>2.0428995474183843E-2</v>
      </c>
      <c r="AU549" s="12">
        <f t="shared" si="215"/>
        <v>3816.871580505328</v>
      </c>
      <c r="AV549" s="12">
        <f t="shared" si="216"/>
        <v>547.24176717199384</v>
      </c>
      <c r="AW549" s="19"/>
    </row>
    <row r="550" spans="2:49" x14ac:dyDescent="0.25">
      <c r="B550" s="9" t="str">
        <f t="shared" si="199"/>
        <v>6 2026</v>
      </c>
      <c r="C550" s="88">
        <f t="shared" si="200"/>
        <v>46199</v>
      </c>
      <c r="D550" s="88">
        <f t="shared" si="193"/>
        <v>46200</v>
      </c>
      <c r="E550" s="89">
        <f t="shared" si="201"/>
        <v>1</v>
      </c>
      <c r="G550" s="11" t="s">
        <v>7</v>
      </c>
      <c r="H550" s="12">
        <f t="shared" si="217"/>
        <v>34250000</v>
      </c>
      <c r="I550" s="14">
        <f t="shared" si="217"/>
        <v>1.7500000000000002E-2</v>
      </c>
      <c r="J550" s="13">
        <f t="shared" si="202"/>
        <v>1664.9305555555557</v>
      </c>
      <c r="K550" s="13">
        <f t="shared" si="203"/>
        <v>205239.02777777828</v>
      </c>
      <c r="M550" s="11" t="s">
        <v>7</v>
      </c>
      <c r="N550" s="12">
        <f t="shared" si="220"/>
        <v>12000000</v>
      </c>
      <c r="O550" s="97">
        <f t="shared" si="220"/>
        <v>2.1698630136986304E-2</v>
      </c>
      <c r="P550" s="112">
        <f t="shared" si="204"/>
        <v>723.28767123287685</v>
      </c>
      <c r="Q550" s="13">
        <f t="shared" si="205"/>
        <v>128745.20547945182</v>
      </c>
      <c r="R550" s="13">
        <f t="shared" si="206"/>
        <v>139.95433789954348</v>
      </c>
      <c r="T550" s="11" t="str">
        <f t="shared" si="218"/>
        <v>SG</v>
      </c>
      <c r="U550" s="12">
        <f t="shared" si="218"/>
        <v>6010956.1600000001</v>
      </c>
      <c r="V550" s="97">
        <f t="shared" si="218"/>
        <v>2.1205479452054792E-2</v>
      </c>
      <c r="W550" s="13">
        <f t="shared" si="207"/>
        <v>354.0700203835616</v>
      </c>
      <c r="X550" s="13">
        <f t="shared" si="191"/>
        <v>63017.364636931277</v>
      </c>
      <c r="Y550" s="13">
        <f t="shared" si="208"/>
        <v>61.870762605783796</v>
      </c>
      <c r="AA550" s="11" t="s">
        <v>189</v>
      </c>
      <c r="AB550" s="98">
        <f t="shared" si="219"/>
        <v>15000000</v>
      </c>
      <c r="AC550" s="97">
        <f t="shared" si="219"/>
        <v>2.579E-2</v>
      </c>
      <c r="AD550" s="13">
        <f t="shared" si="209"/>
        <v>1074.5833333333333</v>
      </c>
      <c r="AE550" s="13">
        <f t="shared" si="210"/>
        <v>191275.83333333363</v>
      </c>
      <c r="AF550" s="13">
        <f t="shared" si="211"/>
        <v>345.41666666666663</v>
      </c>
      <c r="AH550" s="235">
        <f>'CT- € Ellipsis BNP'!X550</f>
        <v>0</v>
      </c>
      <c r="AI550" s="236">
        <f>'CT- € Ellipsis BNP'!AA550</f>
        <v>0</v>
      </c>
      <c r="AJ550" s="90">
        <f>'CT- € Ellipsis BNP'!W550</f>
        <v>0</v>
      </c>
      <c r="AK550" s="91">
        <f>'CT- € Ellipsis BNP'!AC550</f>
        <v>0</v>
      </c>
      <c r="AM550" s="235">
        <f>'codeis €'!Z550</f>
        <v>0</v>
      </c>
      <c r="AN550" s="236">
        <f>'codeis €'!AF550</f>
        <v>0</v>
      </c>
      <c r="AO550" s="90">
        <f>'codeis €'!AC550</f>
        <v>0</v>
      </c>
      <c r="AP550" s="91">
        <f>'codeis €'!AI550</f>
        <v>0</v>
      </c>
      <c r="AR550" s="12">
        <f t="shared" si="212"/>
        <v>67260956.159999996</v>
      </c>
      <c r="AS550" s="118">
        <f t="shared" si="213"/>
        <v>0.02</v>
      </c>
      <c r="AT550" s="118">
        <f t="shared" si="214"/>
        <v>2.0428995474183843E-2</v>
      </c>
      <c r="AU550" s="12">
        <f t="shared" si="215"/>
        <v>3816.871580505328</v>
      </c>
      <c r="AV550" s="12">
        <f t="shared" si="216"/>
        <v>547.24176717199384</v>
      </c>
      <c r="AW550" s="19"/>
    </row>
    <row r="551" spans="2:49" x14ac:dyDescent="0.25">
      <c r="B551" s="9" t="str">
        <f t="shared" si="199"/>
        <v>6 2026</v>
      </c>
      <c r="C551" s="88">
        <f t="shared" si="200"/>
        <v>46200</v>
      </c>
      <c r="D551" s="88">
        <f t="shared" si="193"/>
        <v>46201</v>
      </c>
      <c r="E551" s="89">
        <f t="shared" si="201"/>
        <v>1</v>
      </c>
      <c r="G551" s="11" t="s">
        <v>7</v>
      </c>
      <c r="H551" s="12">
        <f t="shared" ref="H551:I566" si="221">H550</f>
        <v>34250000</v>
      </c>
      <c r="I551" s="14">
        <f t="shared" si="221"/>
        <v>1.7500000000000002E-2</v>
      </c>
      <c r="J551" s="13">
        <f t="shared" si="202"/>
        <v>1664.9305555555557</v>
      </c>
      <c r="K551" s="13">
        <f t="shared" si="203"/>
        <v>206903.95833333384</v>
      </c>
      <c r="M551" s="11" t="s">
        <v>7</v>
      </c>
      <c r="N551" s="12">
        <f t="shared" si="220"/>
        <v>12000000</v>
      </c>
      <c r="O551" s="97">
        <f t="shared" si="220"/>
        <v>2.1698630136986304E-2</v>
      </c>
      <c r="P551" s="112">
        <f t="shared" si="204"/>
        <v>723.28767123287685</v>
      </c>
      <c r="Q551" s="13">
        <f t="shared" si="205"/>
        <v>129468.49315068469</v>
      </c>
      <c r="R551" s="13">
        <f t="shared" si="206"/>
        <v>139.95433789954348</v>
      </c>
      <c r="T551" s="11" t="str">
        <f t="shared" ref="T551:V566" si="222">T550</f>
        <v>SG</v>
      </c>
      <c r="U551" s="12">
        <f t="shared" si="222"/>
        <v>6010956.1600000001</v>
      </c>
      <c r="V551" s="97">
        <f t="shared" si="222"/>
        <v>2.1205479452054792E-2</v>
      </c>
      <c r="W551" s="13">
        <f t="shared" si="207"/>
        <v>354.0700203835616</v>
      </c>
      <c r="X551" s="13">
        <f t="shared" si="191"/>
        <v>63371.434657314836</v>
      </c>
      <c r="Y551" s="13">
        <f t="shared" si="208"/>
        <v>61.870762605783796</v>
      </c>
      <c r="AA551" s="11" t="s">
        <v>189</v>
      </c>
      <c r="AB551" s="98">
        <f t="shared" ref="AB551:AC566" si="223">AB550</f>
        <v>15000000</v>
      </c>
      <c r="AC551" s="97">
        <f t="shared" si="223"/>
        <v>2.579E-2</v>
      </c>
      <c r="AD551" s="13">
        <f t="shared" si="209"/>
        <v>1074.5833333333333</v>
      </c>
      <c r="AE551" s="13">
        <f t="shared" si="210"/>
        <v>192350.41666666698</v>
      </c>
      <c r="AF551" s="13">
        <f t="shared" si="211"/>
        <v>345.41666666666663</v>
      </c>
      <c r="AH551" s="235">
        <f>'CT- € Ellipsis BNP'!X551</f>
        <v>0</v>
      </c>
      <c r="AI551" s="236">
        <f>'CT- € Ellipsis BNP'!AA551</f>
        <v>0</v>
      </c>
      <c r="AJ551" s="90">
        <f>'CT- € Ellipsis BNP'!W551</f>
        <v>0</v>
      </c>
      <c r="AK551" s="91">
        <f>'CT- € Ellipsis BNP'!AC551</f>
        <v>0</v>
      </c>
      <c r="AM551" s="235">
        <f>'codeis €'!Z551</f>
        <v>0</v>
      </c>
      <c r="AN551" s="236">
        <f>'codeis €'!AF551</f>
        <v>0</v>
      </c>
      <c r="AO551" s="90">
        <f>'codeis €'!AC551</f>
        <v>0</v>
      </c>
      <c r="AP551" s="91">
        <f>'codeis €'!AI551</f>
        <v>0</v>
      </c>
      <c r="AR551" s="12">
        <f t="shared" si="212"/>
        <v>67260956.159999996</v>
      </c>
      <c r="AS551" s="118">
        <f t="shared" si="213"/>
        <v>0.02</v>
      </c>
      <c r="AT551" s="118">
        <f t="shared" si="214"/>
        <v>2.0428995474183843E-2</v>
      </c>
      <c r="AU551" s="12">
        <f t="shared" si="215"/>
        <v>3816.871580505328</v>
      </c>
      <c r="AV551" s="12">
        <f t="shared" si="216"/>
        <v>547.24176717199384</v>
      </c>
      <c r="AW551" s="19"/>
    </row>
    <row r="552" spans="2:49" x14ac:dyDescent="0.25">
      <c r="B552" s="9" t="str">
        <f t="shared" si="199"/>
        <v>6 2026</v>
      </c>
      <c r="C552" s="88">
        <f t="shared" si="200"/>
        <v>46201</v>
      </c>
      <c r="D552" s="88">
        <f t="shared" si="193"/>
        <v>46202</v>
      </c>
      <c r="E552" s="89">
        <f t="shared" si="201"/>
        <v>1</v>
      </c>
      <c r="G552" s="11" t="s">
        <v>7</v>
      </c>
      <c r="H552" s="12">
        <f t="shared" si="221"/>
        <v>34250000</v>
      </c>
      <c r="I552" s="14">
        <f t="shared" si="221"/>
        <v>1.7500000000000002E-2</v>
      </c>
      <c r="J552" s="13">
        <f t="shared" si="202"/>
        <v>1664.9305555555557</v>
      </c>
      <c r="K552" s="13">
        <f t="shared" si="203"/>
        <v>208568.8888888894</v>
      </c>
      <c r="M552" s="11" t="s">
        <v>7</v>
      </c>
      <c r="N552" s="12">
        <f t="shared" ref="N552:O567" si="224">N551</f>
        <v>12000000</v>
      </c>
      <c r="O552" s="97">
        <f t="shared" si="224"/>
        <v>2.1698630136986304E-2</v>
      </c>
      <c r="P552" s="112">
        <f t="shared" si="204"/>
        <v>723.28767123287685</v>
      </c>
      <c r="Q552" s="13">
        <f t="shared" si="205"/>
        <v>130191.78082191756</v>
      </c>
      <c r="R552" s="13">
        <f t="shared" si="206"/>
        <v>139.95433789954348</v>
      </c>
      <c r="T552" s="11" t="str">
        <f t="shared" si="222"/>
        <v>SG</v>
      </c>
      <c r="U552" s="12">
        <f t="shared" si="222"/>
        <v>6010956.1600000001</v>
      </c>
      <c r="V552" s="97">
        <f t="shared" si="222"/>
        <v>2.1205479452054792E-2</v>
      </c>
      <c r="W552" s="13">
        <f t="shared" si="207"/>
        <v>354.0700203835616</v>
      </c>
      <c r="X552" s="13">
        <f t="shared" si="191"/>
        <v>63725.504677698395</v>
      </c>
      <c r="Y552" s="13">
        <f t="shared" si="208"/>
        <v>61.870762605783796</v>
      </c>
      <c r="AA552" s="11" t="s">
        <v>189</v>
      </c>
      <c r="AB552" s="98">
        <f t="shared" si="223"/>
        <v>15000000</v>
      </c>
      <c r="AC552" s="97">
        <f t="shared" si="223"/>
        <v>2.579E-2</v>
      </c>
      <c r="AD552" s="13">
        <f t="shared" si="209"/>
        <v>1074.5833333333333</v>
      </c>
      <c r="AE552" s="13">
        <f t="shared" si="210"/>
        <v>193425.00000000032</v>
      </c>
      <c r="AF552" s="13">
        <f t="shared" si="211"/>
        <v>345.41666666666663</v>
      </c>
      <c r="AH552" s="235">
        <f>'CT- € Ellipsis BNP'!X552</f>
        <v>0</v>
      </c>
      <c r="AI552" s="236">
        <f>'CT- € Ellipsis BNP'!AA552</f>
        <v>0</v>
      </c>
      <c r="AJ552" s="90">
        <f>'CT- € Ellipsis BNP'!W552</f>
        <v>0</v>
      </c>
      <c r="AK552" s="91">
        <f>'CT- € Ellipsis BNP'!AC552</f>
        <v>0</v>
      </c>
      <c r="AM552" s="235">
        <f>'codeis €'!Z552</f>
        <v>0</v>
      </c>
      <c r="AN552" s="236">
        <f>'codeis €'!AF552</f>
        <v>0</v>
      </c>
      <c r="AO552" s="90">
        <f>'codeis €'!AC552</f>
        <v>0</v>
      </c>
      <c r="AP552" s="91">
        <f>'codeis €'!AI552</f>
        <v>0</v>
      </c>
      <c r="AR552" s="12">
        <f t="shared" si="212"/>
        <v>67260956.159999996</v>
      </c>
      <c r="AS552" s="118">
        <f t="shared" si="213"/>
        <v>0.02</v>
      </c>
      <c r="AT552" s="118">
        <f t="shared" si="214"/>
        <v>2.0428995474183843E-2</v>
      </c>
      <c r="AU552" s="12">
        <f t="shared" si="215"/>
        <v>3816.871580505328</v>
      </c>
      <c r="AV552" s="12">
        <f t="shared" si="216"/>
        <v>547.24176717199384</v>
      </c>
      <c r="AW552" s="19"/>
    </row>
    <row r="553" spans="2:49" x14ac:dyDescent="0.25">
      <c r="B553" s="9" t="str">
        <f t="shared" si="199"/>
        <v>6 2026</v>
      </c>
      <c r="C553" s="88">
        <f t="shared" si="200"/>
        <v>46202</v>
      </c>
      <c r="D553" s="88">
        <f t="shared" si="193"/>
        <v>46203</v>
      </c>
      <c r="E553" s="89">
        <f t="shared" si="201"/>
        <v>1</v>
      </c>
      <c r="G553" s="11" t="s">
        <v>7</v>
      </c>
      <c r="H553" s="12">
        <f t="shared" si="221"/>
        <v>34250000</v>
      </c>
      <c r="I553" s="14">
        <f t="shared" si="221"/>
        <v>1.7500000000000002E-2</v>
      </c>
      <c r="J553" s="13">
        <f t="shared" si="202"/>
        <v>1664.9305555555557</v>
      </c>
      <c r="K553" s="13">
        <f t="shared" si="203"/>
        <v>210233.81944444496</v>
      </c>
      <c r="M553" s="11" t="s">
        <v>7</v>
      </c>
      <c r="N553" s="12">
        <f t="shared" si="224"/>
        <v>12000000</v>
      </c>
      <c r="O553" s="97">
        <f t="shared" si="224"/>
        <v>2.1698630136986304E-2</v>
      </c>
      <c r="P553" s="112">
        <f t="shared" si="204"/>
        <v>723.28767123287685</v>
      </c>
      <c r="Q553" s="13">
        <f t="shared" si="205"/>
        <v>130915.06849315044</v>
      </c>
      <c r="R553" s="13">
        <f t="shared" si="206"/>
        <v>139.95433789954348</v>
      </c>
      <c r="T553" s="11" t="str">
        <f t="shared" si="222"/>
        <v>SG</v>
      </c>
      <c r="U553" s="12">
        <f t="shared" si="222"/>
        <v>6010956.1600000001</v>
      </c>
      <c r="V553" s="97">
        <f t="shared" si="222"/>
        <v>2.1205479452054792E-2</v>
      </c>
      <c r="W553" s="13">
        <f t="shared" si="207"/>
        <v>354.0700203835616</v>
      </c>
      <c r="X553" s="13">
        <f t="shared" si="191"/>
        <v>64079.574698081953</v>
      </c>
      <c r="Y553" s="13">
        <f t="shared" si="208"/>
        <v>61.870762605783796</v>
      </c>
      <c r="AA553" s="11" t="s">
        <v>189</v>
      </c>
      <c r="AB553" s="98">
        <f t="shared" si="223"/>
        <v>15000000</v>
      </c>
      <c r="AC553" s="97">
        <f t="shared" si="223"/>
        <v>2.579E-2</v>
      </c>
      <c r="AD553" s="13">
        <f t="shared" si="209"/>
        <v>1074.5833333333333</v>
      </c>
      <c r="AE553" s="13">
        <f t="shared" si="210"/>
        <v>194499.58333333366</v>
      </c>
      <c r="AF553" s="13">
        <f t="shared" si="211"/>
        <v>345.41666666666663</v>
      </c>
      <c r="AH553" s="235">
        <f>'CT- € Ellipsis BNP'!X553</f>
        <v>0</v>
      </c>
      <c r="AI553" s="236">
        <f>'CT- € Ellipsis BNP'!AA553</f>
        <v>0</v>
      </c>
      <c r="AJ553" s="90">
        <f>'CT- € Ellipsis BNP'!W553</f>
        <v>0</v>
      </c>
      <c r="AK553" s="91">
        <f>'CT- € Ellipsis BNP'!AC553</f>
        <v>0</v>
      </c>
      <c r="AM553" s="235">
        <f>'codeis €'!Z553</f>
        <v>0</v>
      </c>
      <c r="AN553" s="236">
        <f>'codeis €'!AF553</f>
        <v>0</v>
      </c>
      <c r="AO553" s="90">
        <f>'codeis €'!AC553</f>
        <v>0</v>
      </c>
      <c r="AP553" s="91">
        <f>'codeis €'!AI553</f>
        <v>0</v>
      </c>
      <c r="AR553" s="12">
        <f t="shared" si="212"/>
        <v>67260956.159999996</v>
      </c>
      <c r="AS553" s="118">
        <f t="shared" si="213"/>
        <v>0.02</v>
      </c>
      <c r="AT553" s="118">
        <f t="shared" si="214"/>
        <v>2.0428995474183843E-2</v>
      </c>
      <c r="AU553" s="12">
        <f t="shared" si="215"/>
        <v>3816.871580505328</v>
      </c>
      <c r="AV553" s="12">
        <f t="shared" si="216"/>
        <v>547.24176717199384</v>
      </c>
      <c r="AW553" s="19"/>
    </row>
    <row r="554" spans="2:49" x14ac:dyDescent="0.25">
      <c r="B554" s="9" t="str">
        <f t="shared" si="199"/>
        <v>7 2026</v>
      </c>
      <c r="C554" s="88">
        <f t="shared" si="200"/>
        <v>46203</v>
      </c>
      <c r="D554" s="88">
        <f t="shared" si="193"/>
        <v>46204</v>
      </c>
      <c r="E554" s="89">
        <f t="shared" si="201"/>
        <v>1</v>
      </c>
      <c r="G554" s="11" t="s">
        <v>7</v>
      </c>
      <c r="H554" s="12">
        <f t="shared" si="221"/>
        <v>34250000</v>
      </c>
      <c r="I554" s="14">
        <f t="shared" si="221"/>
        <v>1.7500000000000002E-2</v>
      </c>
      <c r="J554" s="13">
        <f t="shared" si="202"/>
        <v>1664.9305555555557</v>
      </c>
      <c r="K554" s="13">
        <f t="shared" si="203"/>
        <v>211898.75000000052</v>
      </c>
      <c r="M554" s="11" t="s">
        <v>7</v>
      </c>
      <c r="N554" s="12">
        <f t="shared" si="224"/>
        <v>12000000</v>
      </c>
      <c r="O554" s="97">
        <f t="shared" si="224"/>
        <v>2.1698630136986304E-2</v>
      </c>
      <c r="P554" s="112">
        <f t="shared" si="204"/>
        <v>723.28767123287685</v>
      </c>
      <c r="Q554" s="13">
        <f t="shared" si="205"/>
        <v>131638.35616438332</v>
      </c>
      <c r="R554" s="13">
        <f t="shared" si="206"/>
        <v>139.95433789954348</v>
      </c>
      <c r="T554" s="11" t="str">
        <f t="shared" si="222"/>
        <v>SG</v>
      </c>
      <c r="U554" s="12">
        <f t="shared" si="222"/>
        <v>6010956.1600000001</v>
      </c>
      <c r="V554" s="97">
        <f t="shared" si="222"/>
        <v>2.1205479452054792E-2</v>
      </c>
      <c r="W554" s="13">
        <f t="shared" si="207"/>
        <v>354.0700203835616</v>
      </c>
      <c r="X554" s="13">
        <f t="shared" si="191"/>
        <v>64433.644718465512</v>
      </c>
      <c r="Y554" s="13">
        <f t="shared" si="208"/>
        <v>61.870762605783796</v>
      </c>
      <c r="AA554" s="11" t="s">
        <v>189</v>
      </c>
      <c r="AB554" s="98">
        <f t="shared" si="223"/>
        <v>15000000</v>
      </c>
      <c r="AC554" s="97">
        <f t="shared" si="223"/>
        <v>2.579E-2</v>
      </c>
      <c r="AD554" s="13">
        <f t="shared" si="209"/>
        <v>1074.5833333333333</v>
      </c>
      <c r="AE554" s="13">
        <f t="shared" si="210"/>
        <v>195574.16666666701</v>
      </c>
      <c r="AF554" s="13">
        <f t="shared" si="211"/>
        <v>345.41666666666663</v>
      </c>
      <c r="AH554" s="235">
        <f>'CT- € Ellipsis BNP'!X554</f>
        <v>0</v>
      </c>
      <c r="AI554" s="236">
        <f>'CT- € Ellipsis BNP'!AA554</f>
        <v>0</v>
      </c>
      <c r="AJ554" s="90">
        <f>'CT- € Ellipsis BNP'!W554</f>
        <v>0</v>
      </c>
      <c r="AK554" s="91">
        <f>'CT- € Ellipsis BNP'!AC554</f>
        <v>0</v>
      </c>
      <c r="AM554" s="235">
        <f>'codeis €'!Z554</f>
        <v>0</v>
      </c>
      <c r="AN554" s="236">
        <f>'codeis €'!AF554</f>
        <v>0</v>
      </c>
      <c r="AO554" s="90">
        <f>'codeis €'!AC554</f>
        <v>0</v>
      </c>
      <c r="AP554" s="91">
        <f>'codeis €'!AI554</f>
        <v>0</v>
      </c>
      <c r="AR554" s="12">
        <f t="shared" si="212"/>
        <v>67260956.159999996</v>
      </c>
      <c r="AS554" s="118">
        <f t="shared" si="213"/>
        <v>0.02</v>
      </c>
      <c r="AT554" s="118">
        <f t="shared" si="214"/>
        <v>2.0428995474183843E-2</v>
      </c>
      <c r="AU554" s="12">
        <f t="shared" si="215"/>
        <v>3816.871580505328</v>
      </c>
      <c r="AV554" s="12">
        <f t="shared" si="216"/>
        <v>547.24176717199384</v>
      </c>
      <c r="AW554" s="19"/>
    </row>
    <row r="555" spans="2:49" x14ac:dyDescent="0.25">
      <c r="B555" s="9" t="str">
        <f t="shared" si="199"/>
        <v>7 2026</v>
      </c>
      <c r="C555" s="88">
        <f t="shared" si="200"/>
        <v>46204</v>
      </c>
      <c r="D555" s="88">
        <f t="shared" si="193"/>
        <v>46205</v>
      </c>
      <c r="E555" s="89">
        <f t="shared" si="201"/>
        <v>1</v>
      </c>
      <c r="G555" s="11" t="s">
        <v>7</v>
      </c>
      <c r="H555" s="12">
        <f t="shared" si="221"/>
        <v>34250000</v>
      </c>
      <c r="I555" s="14">
        <f t="shared" si="221"/>
        <v>1.7500000000000002E-2</v>
      </c>
      <c r="J555" s="13">
        <f t="shared" si="202"/>
        <v>1664.9305555555557</v>
      </c>
      <c r="K555" s="13">
        <f t="shared" si="203"/>
        <v>213563.68055555609</v>
      </c>
      <c r="M555" s="11" t="s">
        <v>7</v>
      </c>
      <c r="N555" s="12">
        <f t="shared" si="224"/>
        <v>12000000</v>
      </c>
      <c r="O555" s="97">
        <f t="shared" si="224"/>
        <v>2.1698630136986304E-2</v>
      </c>
      <c r="P555" s="112">
        <f t="shared" si="204"/>
        <v>723.28767123287685</v>
      </c>
      <c r="Q555" s="13">
        <f t="shared" si="205"/>
        <v>132361.64383561621</v>
      </c>
      <c r="R555" s="13">
        <f t="shared" si="206"/>
        <v>139.95433789954348</v>
      </c>
      <c r="T555" s="11" t="str">
        <f t="shared" si="222"/>
        <v>SG</v>
      </c>
      <c r="U555" s="12">
        <f t="shared" si="222"/>
        <v>6010956.1600000001</v>
      </c>
      <c r="V555" s="97">
        <f t="shared" si="222"/>
        <v>2.1205479452054792E-2</v>
      </c>
      <c r="W555" s="13">
        <f t="shared" si="207"/>
        <v>354.0700203835616</v>
      </c>
      <c r="X555" s="13">
        <f t="shared" si="191"/>
        <v>64787.71473884907</v>
      </c>
      <c r="Y555" s="13">
        <f t="shared" si="208"/>
        <v>61.870762605783796</v>
      </c>
      <c r="AA555" s="11" t="s">
        <v>189</v>
      </c>
      <c r="AB555" s="98">
        <f t="shared" si="223"/>
        <v>15000000</v>
      </c>
      <c r="AC555" s="97">
        <f t="shared" si="223"/>
        <v>2.579E-2</v>
      </c>
      <c r="AD555" s="13">
        <f t="shared" si="209"/>
        <v>1074.5833333333333</v>
      </c>
      <c r="AE555" s="13">
        <f t="shared" si="210"/>
        <v>196648.75000000035</v>
      </c>
      <c r="AF555" s="13">
        <f t="shared" si="211"/>
        <v>345.41666666666663</v>
      </c>
      <c r="AH555" s="235">
        <f>'CT- € Ellipsis BNP'!X555</f>
        <v>0</v>
      </c>
      <c r="AI555" s="236">
        <f>'CT- € Ellipsis BNP'!AA555</f>
        <v>0</v>
      </c>
      <c r="AJ555" s="90">
        <f>'CT- € Ellipsis BNP'!W555</f>
        <v>0</v>
      </c>
      <c r="AK555" s="91">
        <f>'CT- € Ellipsis BNP'!AC555</f>
        <v>0</v>
      </c>
      <c r="AM555" s="235">
        <f>'codeis €'!Z555</f>
        <v>0</v>
      </c>
      <c r="AN555" s="236">
        <f>'codeis €'!AF555</f>
        <v>0</v>
      </c>
      <c r="AO555" s="90">
        <f>'codeis €'!AC555</f>
        <v>0</v>
      </c>
      <c r="AP555" s="91">
        <f>'codeis €'!AI555</f>
        <v>0</v>
      </c>
      <c r="AR555" s="12">
        <f t="shared" si="212"/>
        <v>67260956.159999996</v>
      </c>
      <c r="AS555" s="118">
        <f t="shared" si="213"/>
        <v>0.02</v>
      </c>
      <c r="AT555" s="118">
        <f t="shared" si="214"/>
        <v>2.0428995474183843E-2</v>
      </c>
      <c r="AU555" s="12">
        <f t="shared" si="215"/>
        <v>3816.871580505328</v>
      </c>
      <c r="AV555" s="12">
        <f t="shared" si="216"/>
        <v>547.24176717199384</v>
      </c>
      <c r="AW555" s="19"/>
    </row>
    <row r="556" spans="2:49" x14ac:dyDescent="0.25">
      <c r="B556" s="9" t="str">
        <f t="shared" si="199"/>
        <v>7 2026</v>
      </c>
      <c r="C556" s="88">
        <f t="shared" si="200"/>
        <v>46205</v>
      </c>
      <c r="D556" s="88">
        <f t="shared" si="193"/>
        <v>46206</v>
      </c>
      <c r="E556" s="89">
        <f t="shared" si="201"/>
        <v>1</v>
      </c>
      <c r="G556" s="11" t="s">
        <v>7</v>
      </c>
      <c r="H556" s="12">
        <f t="shared" si="221"/>
        <v>34250000</v>
      </c>
      <c r="I556" s="14">
        <f t="shared" si="221"/>
        <v>1.7500000000000002E-2</v>
      </c>
      <c r="J556" s="13">
        <f t="shared" si="202"/>
        <v>1664.9305555555557</v>
      </c>
      <c r="K556" s="13">
        <f t="shared" si="203"/>
        <v>215228.61111111165</v>
      </c>
      <c r="M556" s="11" t="s">
        <v>7</v>
      </c>
      <c r="N556" s="12">
        <f t="shared" si="224"/>
        <v>12000000</v>
      </c>
      <c r="O556" s="97">
        <f t="shared" si="224"/>
        <v>2.1698630136986304E-2</v>
      </c>
      <c r="P556" s="112">
        <f t="shared" si="204"/>
        <v>723.28767123287685</v>
      </c>
      <c r="Q556" s="13">
        <f t="shared" si="205"/>
        <v>133084.9315068491</v>
      </c>
      <c r="R556" s="13">
        <f t="shared" si="206"/>
        <v>139.95433789954348</v>
      </c>
      <c r="T556" s="11" t="str">
        <f t="shared" si="222"/>
        <v>SG</v>
      </c>
      <c r="U556" s="12">
        <f t="shared" si="222"/>
        <v>6010956.1600000001</v>
      </c>
      <c r="V556" s="97">
        <f t="shared" si="222"/>
        <v>2.1205479452054792E-2</v>
      </c>
      <c r="W556" s="13">
        <f t="shared" si="207"/>
        <v>354.0700203835616</v>
      </c>
      <c r="X556" s="13">
        <f t="shared" si="191"/>
        <v>65141.784759232629</v>
      </c>
      <c r="Y556" s="13">
        <f t="shared" si="208"/>
        <v>61.870762605783796</v>
      </c>
      <c r="AA556" s="11" t="s">
        <v>189</v>
      </c>
      <c r="AB556" s="98">
        <f t="shared" si="223"/>
        <v>15000000</v>
      </c>
      <c r="AC556" s="97">
        <f t="shared" si="223"/>
        <v>2.579E-2</v>
      </c>
      <c r="AD556" s="13">
        <f t="shared" si="209"/>
        <v>1074.5833333333333</v>
      </c>
      <c r="AE556" s="13">
        <f t="shared" si="210"/>
        <v>197723.33333333369</v>
      </c>
      <c r="AF556" s="13">
        <f t="shared" si="211"/>
        <v>345.41666666666663</v>
      </c>
      <c r="AH556" s="235">
        <f>'CT- € Ellipsis BNP'!X556</f>
        <v>0</v>
      </c>
      <c r="AI556" s="236">
        <f>'CT- € Ellipsis BNP'!AA556</f>
        <v>0</v>
      </c>
      <c r="AJ556" s="90">
        <f>'CT- € Ellipsis BNP'!W556</f>
        <v>0</v>
      </c>
      <c r="AK556" s="91">
        <f>'CT- € Ellipsis BNP'!AC556</f>
        <v>0</v>
      </c>
      <c r="AM556" s="235">
        <f>'codeis €'!Z556</f>
        <v>0</v>
      </c>
      <c r="AN556" s="236">
        <f>'codeis €'!AF556</f>
        <v>0</v>
      </c>
      <c r="AO556" s="90">
        <f>'codeis €'!AC556</f>
        <v>0</v>
      </c>
      <c r="AP556" s="91">
        <f>'codeis €'!AI556</f>
        <v>0</v>
      </c>
      <c r="AR556" s="12">
        <f t="shared" si="212"/>
        <v>67260956.159999996</v>
      </c>
      <c r="AS556" s="118">
        <f t="shared" si="213"/>
        <v>0.02</v>
      </c>
      <c r="AT556" s="118">
        <f t="shared" si="214"/>
        <v>2.0428995474183843E-2</v>
      </c>
      <c r="AU556" s="12">
        <f t="shared" si="215"/>
        <v>3816.871580505328</v>
      </c>
      <c r="AV556" s="12">
        <f t="shared" si="216"/>
        <v>547.24176717199384</v>
      </c>
      <c r="AW556" s="19"/>
    </row>
    <row r="557" spans="2:49" x14ac:dyDescent="0.25">
      <c r="B557" s="9" t="str">
        <f t="shared" si="199"/>
        <v>7 2026</v>
      </c>
      <c r="C557" s="88">
        <f t="shared" si="200"/>
        <v>46206</v>
      </c>
      <c r="D557" s="88">
        <f t="shared" si="193"/>
        <v>46207</v>
      </c>
      <c r="E557" s="89">
        <f t="shared" si="201"/>
        <v>1</v>
      </c>
      <c r="G557" s="11" t="s">
        <v>7</v>
      </c>
      <c r="H557" s="12">
        <f t="shared" si="221"/>
        <v>34250000</v>
      </c>
      <c r="I557" s="14">
        <f t="shared" si="221"/>
        <v>1.7500000000000002E-2</v>
      </c>
      <c r="J557" s="13">
        <f t="shared" si="202"/>
        <v>1664.9305555555557</v>
      </c>
      <c r="K557" s="13">
        <f t="shared" si="203"/>
        <v>216893.54166666721</v>
      </c>
      <c r="M557" s="11" t="s">
        <v>7</v>
      </c>
      <c r="N557" s="12">
        <f t="shared" si="224"/>
        <v>12000000</v>
      </c>
      <c r="O557" s="97">
        <f t="shared" si="224"/>
        <v>2.1698630136986304E-2</v>
      </c>
      <c r="P557" s="112">
        <f t="shared" si="204"/>
        <v>723.28767123287685</v>
      </c>
      <c r="Q557" s="13">
        <f t="shared" si="205"/>
        <v>133808.21917808198</v>
      </c>
      <c r="R557" s="13">
        <f t="shared" si="206"/>
        <v>139.95433789954348</v>
      </c>
      <c r="T557" s="11" t="str">
        <f t="shared" si="222"/>
        <v>SG</v>
      </c>
      <c r="U557" s="12">
        <f t="shared" si="222"/>
        <v>6010956.1600000001</v>
      </c>
      <c r="V557" s="97">
        <f t="shared" si="222"/>
        <v>2.1205479452054792E-2</v>
      </c>
      <c r="W557" s="13">
        <f t="shared" si="207"/>
        <v>354.0700203835616</v>
      </c>
      <c r="X557" s="13">
        <f t="shared" si="191"/>
        <v>65495.854779616187</v>
      </c>
      <c r="Y557" s="13">
        <f t="shared" si="208"/>
        <v>61.870762605783796</v>
      </c>
      <c r="AA557" s="11" t="s">
        <v>189</v>
      </c>
      <c r="AB557" s="98">
        <f t="shared" si="223"/>
        <v>15000000</v>
      </c>
      <c r="AC557" s="97">
        <f t="shared" si="223"/>
        <v>2.579E-2</v>
      </c>
      <c r="AD557" s="13">
        <f t="shared" si="209"/>
        <v>1074.5833333333333</v>
      </c>
      <c r="AE557" s="13">
        <f t="shared" si="210"/>
        <v>198797.91666666704</v>
      </c>
      <c r="AF557" s="13">
        <f t="shared" si="211"/>
        <v>345.41666666666663</v>
      </c>
      <c r="AH557" s="235">
        <f>'CT- € Ellipsis BNP'!X557</f>
        <v>0</v>
      </c>
      <c r="AI557" s="236">
        <f>'CT- € Ellipsis BNP'!AA557</f>
        <v>0</v>
      </c>
      <c r="AJ557" s="90">
        <f>'CT- € Ellipsis BNP'!W557</f>
        <v>0</v>
      </c>
      <c r="AK557" s="91">
        <f>'CT- € Ellipsis BNP'!AC557</f>
        <v>0</v>
      </c>
      <c r="AM557" s="235">
        <f>'codeis €'!Z557</f>
        <v>0</v>
      </c>
      <c r="AN557" s="236">
        <f>'codeis €'!AF557</f>
        <v>0</v>
      </c>
      <c r="AO557" s="90">
        <f>'codeis €'!AC557</f>
        <v>0</v>
      </c>
      <c r="AP557" s="91">
        <f>'codeis €'!AI557</f>
        <v>0</v>
      </c>
      <c r="AR557" s="12">
        <f t="shared" si="212"/>
        <v>67260956.159999996</v>
      </c>
      <c r="AS557" s="118">
        <f t="shared" si="213"/>
        <v>0.02</v>
      </c>
      <c r="AT557" s="118">
        <f t="shared" si="214"/>
        <v>2.0428995474183843E-2</v>
      </c>
      <c r="AU557" s="12">
        <f t="shared" si="215"/>
        <v>3816.871580505328</v>
      </c>
      <c r="AV557" s="12">
        <f t="shared" si="216"/>
        <v>547.24176717199384</v>
      </c>
      <c r="AW557" s="19"/>
    </row>
    <row r="558" spans="2:49" x14ac:dyDescent="0.25">
      <c r="B558" s="9" t="str">
        <f t="shared" si="199"/>
        <v>7 2026</v>
      </c>
      <c r="C558" s="88">
        <f t="shared" si="200"/>
        <v>46207</v>
      </c>
      <c r="D558" s="88">
        <f t="shared" si="193"/>
        <v>46208</v>
      </c>
      <c r="E558" s="89">
        <f t="shared" si="201"/>
        <v>1</v>
      </c>
      <c r="G558" s="11" t="s">
        <v>7</v>
      </c>
      <c r="H558" s="12">
        <f t="shared" si="221"/>
        <v>34250000</v>
      </c>
      <c r="I558" s="14">
        <f t="shared" si="221"/>
        <v>1.7500000000000002E-2</v>
      </c>
      <c r="J558" s="13">
        <f t="shared" si="202"/>
        <v>1664.9305555555557</v>
      </c>
      <c r="K558" s="13">
        <f t="shared" si="203"/>
        <v>218558.47222222277</v>
      </c>
      <c r="M558" s="11" t="s">
        <v>7</v>
      </c>
      <c r="N558" s="12">
        <f t="shared" si="224"/>
        <v>12000000</v>
      </c>
      <c r="O558" s="97">
        <f t="shared" si="224"/>
        <v>2.1698630136986304E-2</v>
      </c>
      <c r="P558" s="112">
        <f t="shared" si="204"/>
        <v>723.28767123287685</v>
      </c>
      <c r="Q558" s="13">
        <f t="shared" si="205"/>
        <v>134531.50684931487</v>
      </c>
      <c r="R558" s="13">
        <f t="shared" si="206"/>
        <v>139.95433789954348</v>
      </c>
      <c r="T558" s="11" t="str">
        <f t="shared" si="222"/>
        <v>SG</v>
      </c>
      <c r="U558" s="12">
        <f t="shared" si="222"/>
        <v>6010956.1600000001</v>
      </c>
      <c r="V558" s="97">
        <f t="shared" si="222"/>
        <v>2.1205479452054792E-2</v>
      </c>
      <c r="W558" s="13">
        <f t="shared" si="207"/>
        <v>354.0700203835616</v>
      </c>
      <c r="X558" s="13">
        <f t="shared" si="191"/>
        <v>65849.924799999746</v>
      </c>
      <c r="Y558" s="13">
        <f t="shared" si="208"/>
        <v>61.870762605783796</v>
      </c>
      <c r="AA558" s="11" t="s">
        <v>189</v>
      </c>
      <c r="AB558" s="98">
        <f t="shared" si="223"/>
        <v>15000000</v>
      </c>
      <c r="AC558" s="97">
        <f t="shared" si="223"/>
        <v>2.579E-2</v>
      </c>
      <c r="AD558" s="13">
        <f t="shared" si="209"/>
        <v>1074.5833333333333</v>
      </c>
      <c r="AE558" s="13">
        <f t="shared" si="210"/>
        <v>199872.50000000038</v>
      </c>
      <c r="AF558" s="13">
        <f t="shared" si="211"/>
        <v>345.41666666666663</v>
      </c>
      <c r="AH558" s="235">
        <f>'CT- € Ellipsis BNP'!X558</f>
        <v>0</v>
      </c>
      <c r="AI558" s="236">
        <f>'CT- € Ellipsis BNP'!AA558</f>
        <v>0</v>
      </c>
      <c r="AJ558" s="90">
        <f>'CT- € Ellipsis BNP'!W558</f>
        <v>0</v>
      </c>
      <c r="AK558" s="91">
        <f>'CT- € Ellipsis BNP'!AC558</f>
        <v>0</v>
      </c>
      <c r="AM558" s="235">
        <f>'codeis €'!Z558</f>
        <v>0</v>
      </c>
      <c r="AN558" s="236">
        <f>'codeis €'!AF558</f>
        <v>0</v>
      </c>
      <c r="AO558" s="90">
        <f>'codeis €'!AC558</f>
        <v>0</v>
      </c>
      <c r="AP558" s="91">
        <f>'codeis €'!AI558</f>
        <v>0</v>
      </c>
      <c r="AR558" s="12">
        <f t="shared" si="212"/>
        <v>67260956.159999996</v>
      </c>
      <c r="AS558" s="118">
        <f t="shared" si="213"/>
        <v>0.02</v>
      </c>
      <c r="AT558" s="118">
        <f t="shared" si="214"/>
        <v>2.0428995474183843E-2</v>
      </c>
      <c r="AU558" s="12">
        <f t="shared" si="215"/>
        <v>3816.871580505328</v>
      </c>
      <c r="AV558" s="12">
        <f t="shared" si="216"/>
        <v>547.24176717199384</v>
      </c>
      <c r="AW558" s="19"/>
    </row>
    <row r="559" spans="2:49" x14ac:dyDescent="0.25">
      <c r="B559" s="9" t="str">
        <f t="shared" si="199"/>
        <v>7 2026</v>
      </c>
      <c r="C559" s="88">
        <f t="shared" si="200"/>
        <v>46208</v>
      </c>
      <c r="D559" s="88">
        <f t="shared" si="193"/>
        <v>46209</v>
      </c>
      <c r="E559" s="89">
        <f t="shared" si="201"/>
        <v>1</v>
      </c>
      <c r="G559" s="11" t="s">
        <v>7</v>
      </c>
      <c r="H559" s="12">
        <f t="shared" si="221"/>
        <v>34250000</v>
      </c>
      <c r="I559" s="14">
        <f t="shared" si="221"/>
        <v>1.7500000000000002E-2</v>
      </c>
      <c r="J559" s="13">
        <f t="shared" si="202"/>
        <v>1664.9305555555557</v>
      </c>
      <c r="K559" s="13">
        <f t="shared" si="203"/>
        <v>220223.40277777833</v>
      </c>
      <c r="M559" s="11" t="s">
        <v>7</v>
      </c>
      <c r="N559" s="12">
        <f t="shared" si="224"/>
        <v>12000000</v>
      </c>
      <c r="O559" s="97">
        <f t="shared" si="224"/>
        <v>2.1698630136986304E-2</v>
      </c>
      <c r="P559" s="112">
        <f t="shared" si="204"/>
        <v>723.28767123287685</v>
      </c>
      <c r="Q559" s="13">
        <f t="shared" si="205"/>
        <v>135254.79452054776</v>
      </c>
      <c r="R559" s="13">
        <f t="shared" si="206"/>
        <v>139.95433789954348</v>
      </c>
      <c r="T559" s="11" t="str">
        <f t="shared" si="222"/>
        <v>SG</v>
      </c>
      <c r="U559" s="12">
        <f t="shared" si="222"/>
        <v>6010956.1600000001</v>
      </c>
      <c r="V559" s="97">
        <f t="shared" si="222"/>
        <v>2.1205479452054792E-2</v>
      </c>
      <c r="W559" s="13">
        <f t="shared" si="207"/>
        <v>354.0700203835616</v>
      </c>
      <c r="X559" s="13">
        <f t="shared" si="191"/>
        <v>66203.994820383305</v>
      </c>
      <c r="Y559" s="13">
        <f t="shared" si="208"/>
        <v>61.870762605783796</v>
      </c>
      <c r="AA559" s="11" t="s">
        <v>189</v>
      </c>
      <c r="AB559" s="98">
        <f t="shared" si="223"/>
        <v>15000000</v>
      </c>
      <c r="AC559" s="97">
        <f t="shared" si="223"/>
        <v>2.579E-2</v>
      </c>
      <c r="AD559" s="13">
        <f t="shared" si="209"/>
        <v>1074.5833333333333</v>
      </c>
      <c r="AE559" s="13">
        <f t="shared" si="210"/>
        <v>200947.08333333372</v>
      </c>
      <c r="AF559" s="13">
        <f t="shared" si="211"/>
        <v>345.41666666666663</v>
      </c>
      <c r="AH559" s="235">
        <f>'CT- € Ellipsis BNP'!X559</f>
        <v>0</v>
      </c>
      <c r="AI559" s="236">
        <f>'CT- € Ellipsis BNP'!AA559</f>
        <v>0</v>
      </c>
      <c r="AJ559" s="90">
        <f>'CT- € Ellipsis BNP'!W559</f>
        <v>0</v>
      </c>
      <c r="AK559" s="91">
        <f>'CT- € Ellipsis BNP'!AC559</f>
        <v>0</v>
      </c>
      <c r="AM559" s="235">
        <f>'codeis €'!Z559</f>
        <v>0</v>
      </c>
      <c r="AN559" s="236">
        <f>'codeis €'!AF559</f>
        <v>0</v>
      </c>
      <c r="AO559" s="90">
        <f>'codeis €'!AC559</f>
        <v>0</v>
      </c>
      <c r="AP559" s="91">
        <f>'codeis €'!AI559</f>
        <v>0</v>
      </c>
      <c r="AR559" s="12">
        <f t="shared" si="212"/>
        <v>67260956.159999996</v>
      </c>
      <c r="AS559" s="118">
        <f t="shared" si="213"/>
        <v>0.02</v>
      </c>
      <c r="AT559" s="118">
        <f t="shared" si="214"/>
        <v>2.0428995474183843E-2</v>
      </c>
      <c r="AU559" s="12">
        <f t="shared" si="215"/>
        <v>3816.871580505328</v>
      </c>
      <c r="AV559" s="12">
        <f t="shared" si="216"/>
        <v>547.24176717199384</v>
      </c>
      <c r="AW559" s="19"/>
    </row>
    <row r="560" spans="2:49" x14ac:dyDescent="0.25">
      <c r="B560" s="9" t="str">
        <f t="shared" si="199"/>
        <v>7 2026</v>
      </c>
      <c r="C560" s="88">
        <f t="shared" si="200"/>
        <v>46209</v>
      </c>
      <c r="D560" s="88">
        <f t="shared" si="193"/>
        <v>46210</v>
      </c>
      <c r="E560" s="89">
        <f t="shared" si="201"/>
        <v>1</v>
      </c>
      <c r="G560" s="11" t="s">
        <v>7</v>
      </c>
      <c r="H560" s="12">
        <f t="shared" si="221"/>
        <v>34250000</v>
      </c>
      <c r="I560" s="14">
        <f t="shared" si="221"/>
        <v>1.7500000000000002E-2</v>
      </c>
      <c r="J560" s="13">
        <f t="shared" si="202"/>
        <v>1664.9305555555557</v>
      </c>
      <c r="K560" s="13">
        <f t="shared" si="203"/>
        <v>221888.3333333339</v>
      </c>
      <c r="M560" s="11" t="s">
        <v>7</v>
      </c>
      <c r="N560" s="12">
        <f t="shared" si="224"/>
        <v>12000000</v>
      </c>
      <c r="O560" s="97">
        <f t="shared" si="224"/>
        <v>2.1698630136986304E-2</v>
      </c>
      <c r="P560" s="112">
        <f t="shared" si="204"/>
        <v>723.28767123287685</v>
      </c>
      <c r="Q560" s="13">
        <f t="shared" si="205"/>
        <v>135978.08219178065</v>
      </c>
      <c r="R560" s="13">
        <f t="shared" si="206"/>
        <v>139.95433789954348</v>
      </c>
      <c r="T560" s="11" t="str">
        <f t="shared" si="222"/>
        <v>SG</v>
      </c>
      <c r="U560" s="12">
        <f t="shared" si="222"/>
        <v>6010956.1600000001</v>
      </c>
      <c r="V560" s="97">
        <f t="shared" si="222"/>
        <v>2.1205479452054792E-2</v>
      </c>
      <c r="W560" s="13">
        <f t="shared" si="207"/>
        <v>354.0700203835616</v>
      </c>
      <c r="X560" s="13">
        <f t="shared" si="191"/>
        <v>66558.064840766863</v>
      </c>
      <c r="Y560" s="13">
        <f t="shared" si="208"/>
        <v>61.870762605783796</v>
      </c>
      <c r="AA560" s="11" t="s">
        <v>189</v>
      </c>
      <c r="AB560" s="98">
        <f t="shared" si="223"/>
        <v>15000000</v>
      </c>
      <c r="AC560" s="97">
        <f t="shared" si="223"/>
        <v>2.579E-2</v>
      </c>
      <c r="AD560" s="13">
        <f t="shared" si="209"/>
        <v>1074.5833333333333</v>
      </c>
      <c r="AE560" s="13">
        <f t="shared" si="210"/>
        <v>202021.66666666706</v>
      </c>
      <c r="AF560" s="13">
        <f t="shared" si="211"/>
        <v>345.41666666666663</v>
      </c>
      <c r="AH560" s="235">
        <f>'CT- € Ellipsis BNP'!X560</f>
        <v>0</v>
      </c>
      <c r="AI560" s="236">
        <f>'CT- € Ellipsis BNP'!AA560</f>
        <v>0</v>
      </c>
      <c r="AJ560" s="90">
        <f>'CT- € Ellipsis BNP'!W560</f>
        <v>0</v>
      </c>
      <c r="AK560" s="91">
        <f>'CT- € Ellipsis BNP'!AC560</f>
        <v>0</v>
      </c>
      <c r="AM560" s="235">
        <f>'codeis €'!Z560</f>
        <v>0</v>
      </c>
      <c r="AN560" s="236">
        <f>'codeis €'!AF560</f>
        <v>0</v>
      </c>
      <c r="AO560" s="90">
        <f>'codeis €'!AC560</f>
        <v>0</v>
      </c>
      <c r="AP560" s="91">
        <f>'codeis €'!AI560</f>
        <v>0</v>
      </c>
      <c r="AR560" s="12">
        <f t="shared" si="212"/>
        <v>67260956.159999996</v>
      </c>
      <c r="AS560" s="118">
        <f t="shared" si="213"/>
        <v>0.02</v>
      </c>
      <c r="AT560" s="118">
        <f t="shared" si="214"/>
        <v>2.0428995474183843E-2</v>
      </c>
      <c r="AU560" s="12">
        <f t="shared" si="215"/>
        <v>3816.871580505328</v>
      </c>
      <c r="AV560" s="12">
        <f t="shared" si="216"/>
        <v>547.24176717199384</v>
      </c>
      <c r="AW560" s="19"/>
    </row>
    <row r="561" spans="2:49" x14ac:dyDescent="0.25">
      <c r="B561" s="9" t="str">
        <f t="shared" si="199"/>
        <v>7 2026</v>
      </c>
      <c r="C561" s="88">
        <f t="shared" si="200"/>
        <v>46210</v>
      </c>
      <c r="D561" s="88">
        <f t="shared" si="193"/>
        <v>46211</v>
      </c>
      <c r="E561" s="89">
        <f t="shared" si="201"/>
        <v>1</v>
      </c>
      <c r="G561" s="11" t="s">
        <v>7</v>
      </c>
      <c r="H561" s="12">
        <f t="shared" si="221"/>
        <v>34250000</v>
      </c>
      <c r="I561" s="14">
        <f t="shared" si="221"/>
        <v>1.7500000000000002E-2</v>
      </c>
      <c r="J561" s="13">
        <f t="shared" si="202"/>
        <v>1664.9305555555557</v>
      </c>
      <c r="K561" s="13">
        <f t="shared" si="203"/>
        <v>223553.26388888946</v>
      </c>
      <c r="M561" s="11" t="s">
        <v>7</v>
      </c>
      <c r="N561" s="12">
        <f t="shared" si="224"/>
        <v>12000000</v>
      </c>
      <c r="O561" s="97">
        <f t="shared" si="224"/>
        <v>2.1698630136986304E-2</v>
      </c>
      <c r="P561" s="112">
        <f t="shared" si="204"/>
        <v>723.28767123287685</v>
      </c>
      <c r="Q561" s="13">
        <f t="shared" si="205"/>
        <v>136701.36986301353</v>
      </c>
      <c r="R561" s="13">
        <f t="shared" si="206"/>
        <v>139.95433789954348</v>
      </c>
      <c r="T561" s="11" t="str">
        <f t="shared" si="222"/>
        <v>SG</v>
      </c>
      <c r="U561" s="12">
        <f t="shared" si="222"/>
        <v>6010956.1600000001</v>
      </c>
      <c r="V561" s="97">
        <f t="shared" si="222"/>
        <v>2.1205479452054792E-2</v>
      </c>
      <c r="W561" s="13">
        <f t="shared" si="207"/>
        <v>354.0700203835616</v>
      </c>
      <c r="X561" s="13">
        <f t="shared" si="191"/>
        <v>66912.134861150422</v>
      </c>
      <c r="Y561" s="13">
        <f t="shared" si="208"/>
        <v>61.870762605783796</v>
      </c>
      <c r="AA561" s="11" t="s">
        <v>189</v>
      </c>
      <c r="AB561" s="98">
        <f t="shared" si="223"/>
        <v>15000000</v>
      </c>
      <c r="AC561" s="97">
        <f t="shared" si="223"/>
        <v>2.579E-2</v>
      </c>
      <c r="AD561" s="13">
        <f t="shared" si="209"/>
        <v>1074.5833333333333</v>
      </c>
      <c r="AE561" s="13">
        <f t="shared" si="210"/>
        <v>203096.25000000041</v>
      </c>
      <c r="AF561" s="13">
        <f t="shared" si="211"/>
        <v>345.41666666666663</v>
      </c>
      <c r="AH561" s="235">
        <f>'CT- € Ellipsis BNP'!X561</f>
        <v>0</v>
      </c>
      <c r="AI561" s="236">
        <f>'CT- € Ellipsis BNP'!AA561</f>
        <v>0</v>
      </c>
      <c r="AJ561" s="90">
        <f>'CT- € Ellipsis BNP'!W561</f>
        <v>0</v>
      </c>
      <c r="AK561" s="91">
        <f>'CT- € Ellipsis BNP'!AC561</f>
        <v>0</v>
      </c>
      <c r="AM561" s="235">
        <f>'codeis €'!Z561</f>
        <v>0</v>
      </c>
      <c r="AN561" s="236">
        <f>'codeis €'!AF561</f>
        <v>0</v>
      </c>
      <c r="AO561" s="90">
        <f>'codeis €'!AC561</f>
        <v>0</v>
      </c>
      <c r="AP561" s="91">
        <f>'codeis €'!AI561</f>
        <v>0</v>
      </c>
      <c r="AR561" s="12">
        <f t="shared" si="212"/>
        <v>67260956.159999996</v>
      </c>
      <c r="AS561" s="118">
        <f t="shared" si="213"/>
        <v>0.02</v>
      </c>
      <c r="AT561" s="118">
        <f t="shared" si="214"/>
        <v>2.0428995474183843E-2</v>
      </c>
      <c r="AU561" s="12">
        <f t="shared" si="215"/>
        <v>3816.871580505328</v>
      </c>
      <c r="AV561" s="12">
        <f t="shared" si="216"/>
        <v>547.24176717199384</v>
      </c>
      <c r="AW561" s="19"/>
    </row>
    <row r="562" spans="2:49" x14ac:dyDescent="0.25">
      <c r="B562" s="9" t="str">
        <f t="shared" si="199"/>
        <v>7 2026</v>
      </c>
      <c r="C562" s="88">
        <f t="shared" si="200"/>
        <v>46211</v>
      </c>
      <c r="D562" s="88">
        <f t="shared" si="193"/>
        <v>46212</v>
      </c>
      <c r="E562" s="89">
        <f t="shared" si="201"/>
        <v>1</v>
      </c>
      <c r="G562" s="11" t="s">
        <v>7</v>
      </c>
      <c r="H562" s="12">
        <f t="shared" si="221"/>
        <v>34250000</v>
      </c>
      <c r="I562" s="14">
        <f t="shared" si="221"/>
        <v>1.7500000000000002E-2</v>
      </c>
      <c r="J562" s="13">
        <f t="shared" si="202"/>
        <v>1664.9305555555557</v>
      </c>
      <c r="K562" s="13">
        <f t="shared" si="203"/>
        <v>225218.19444444502</v>
      </c>
      <c r="M562" s="11" t="s">
        <v>7</v>
      </c>
      <c r="N562" s="12">
        <f t="shared" si="224"/>
        <v>12000000</v>
      </c>
      <c r="O562" s="97">
        <f t="shared" si="224"/>
        <v>2.1698630136986304E-2</v>
      </c>
      <c r="P562" s="112">
        <f t="shared" si="204"/>
        <v>723.28767123287685</v>
      </c>
      <c r="Q562" s="13">
        <f t="shared" si="205"/>
        <v>137424.65753424642</v>
      </c>
      <c r="R562" s="13">
        <f t="shared" si="206"/>
        <v>139.95433789954348</v>
      </c>
      <c r="T562" s="11" t="str">
        <f t="shared" si="222"/>
        <v>SG</v>
      </c>
      <c r="U562" s="12">
        <f t="shared" si="222"/>
        <v>6010956.1600000001</v>
      </c>
      <c r="V562" s="97">
        <f t="shared" si="222"/>
        <v>2.1205479452054792E-2</v>
      </c>
      <c r="W562" s="13">
        <f t="shared" si="207"/>
        <v>354.0700203835616</v>
      </c>
      <c r="X562" s="13">
        <f t="shared" si="191"/>
        <v>67266.20488153398</v>
      </c>
      <c r="Y562" s="13">
        <f t="shared" si="208"/>
        <v>61.870762605783796</v>
      </c>
      <c r="AA562" s="11" t="s">
        <v>189</v>
      </c>
      <c r="AB562" s="98">
        <f t="shared" si="223"/>
        <v>15000000</v>
      </c>
      <c r="AC562" s="97">
        <f t="shared" si="223"/>
        <v>2.579E-2</v>
      </c>
      <c r="AD562" s="13">
        <f t="shared" si="209"/>
        <v>1074.5833333333333</v>
      </c>
      <c r="AE562" s="13">
        <f t="shared" si="210"/>
        <v>204170.83333333375</v>
      </c>
      <c r="AF562" s="13">
        <f t="shared" si="211"/>
        <v>345.41666666666663</v>
      </c>
      <c r="AH562" s="235">
        <f>'CT- € Ellipsis BNP'!X562</f>
        <v>0</v>
      </c>
      <c r="AI562" s="236">
        <f>'CT- € Ellipsis BNP'!AA562</f>
        <v>0</v>
      </c>
      <c r="AJ562" s="90">
        <f>'CT- € Ellipsis BNP'!W562</f>
        <v>0</v>
      </c>
      <c r="AK562" s="91">
        <f>'CT- € Ellipsis BNP'!AC562</f>
        <v>0</v>
      </c>
      <c r="AM562" s="235">
        <f>'codeis €'!Z562</f>
        <v>0</v>
      </c>
      <c r="AN562" s="236">
        <f>'codeis €'!AF562</f>
        <v>0</v>
      </c>
      <c r="AO562" s="90">
        <f>'codeis €'!AC562</f>
        <v>0</v>
      </c>
      <c r="AP562" s="91">
        <f>'codeis €'!AI562</f>
        <v>0</v>
      </c>
      <c r="AR562" s="12">
        <f t="shared" si="212"/>
        <v>67260956.159999996</v>
      </c>
      <c r="AS562" s="118">
        <f t="shared" si="213"/>
        <v>0.02</v>
      </c>
      <c r="AT562" s="118">
        <f t="shared" si="214"/>
        <v>2.0428995474183843E-2</v>
      </c>
      <c r="AU562" s="12">
        <f t="shared" si="215"/>
        <v>3816.871580505328</v>
      </c>
      <c r="AV562" s="12">
        <f t="shared" si="216"/>
        <v>547.24176717199384</v>
      </c>
      <c r="AW562" s="19"/>
    </row>
    <row r="563" spans="2:49" x14ac:dyDescent="0.25">
      <c r="B563" s="9" t="str">
        <f t="shared" si="199"/>
        <v>7 2026</v>
      </c>
      <c r="C563" s="88">
        <f t="shared" si="200"/>
        <v>46212</v>
      </c>
      <c r="D563" s="88">
        <f t="shared" si="193"/>
        <v>46213</v>
      </c>
      <c r="E563" s="89">
        <f t="shared" si="201"/>
        <v>1</v>
      </c>
      <c r="G563" s="11" t="s">
        <v>7</v>
      </c>
      <c r="H563" s="12">
        <f t="shared" si="221"/>
        <v>34250000</v>
      </c>
      <c r="I563" s="14">
        <f t="shared" si="221"/>
        <v>1.7500000000000002E-2</v>
      </c>
      <c r="J563" s="13">
        <f t="shared" si="202"/>
        <v>1664.9305555555557</v>
      </c>
      <c r="K563" s="13">
        <f t="shared" si="203"/>
        <v>226883.12500000058</v>
      </c>
      <c r="M563" s="11" t="s">
        <v>7</v>
      </c>
      <c r="N563" s="12">
        <f t="shared" si="224"/>
        <v>12000000</v>
      </c>
      <c r="O563" s="97">
        <f t="shared" si="224"/>
        <v>2.1698630136986304E-2</v>
      </c>
      <c r="P563" s="112">
        <f t="shared" si="204"/>
        <v>723.28767123287685</v>
      </c>
      <c r="Q563" s="13">
        <f t="shared" si="205"/>
        <v>138147.94520547931</v>
      </c>
      <c r="R563" s="13">
        <f t="shared" si="206"/>
        <v>139.95433789954348</v>
      </c>
      <c r="T563" s="11" t="str">
        <f t="shared" si="222"/>
        <v>SG</v>
      </c>
      <c r="U563" s="12">
        <f t="shared" si="222"/>
        <v>6010956.1600000001</v>
      </c>
      <c r="V563" s="97">
        <f t="shared" si="222"/>
        <v>2.1205479452054792E-2</v>
      </c>
      <c r="W563" s="13">
        <f t="shared" si="207"/>
        <v>354.0700203835616</v>
      </c>
      <c r="X563" s="13">
        <f t="shared" si="191"/>
        <v>67620.274901917539</v>
      </c>
      <c r="Y563" s="13">
        <f t="shared" si="208"/>
        <v>61.870762605783796</v>
      </c>
      <c r="AA563" s="11" t="s">
        <v>189</v>
      </c>
      <c r="AB563" s="98">
        <f t="shared" si="223"/>
        <v>15000000</v>
      </c>
      <c r="AC563" s="97">
        <f t="shared" si="223"/>
        <v>2.579E-2</v>
      </c>
      <c r="AD563" s="13">
        <f t="shared" si="209"/>
        <v>1074.5833333333333</v>
      </c>
      <c r="AE563" s="13">
        <f t="shared" si="210"/>
        <v>205245.41666666709</v>
      </c>
      <c r="AF563" s="13">
        <f t="shared" si="211"/>
        <v>345.41666666666663</v>
      </c>
      <c r="AH563" s="235">
        <f>'CT- € Ellipsis BNP'!X563</f>
        <v>0</v>
      </c>
      <c r="AI563" s="236">
        <f>'CT- € Ellipsis BNP'!AA563</f>
        <v>0</v>
      </c>
      <c r="AJ563" s="90">
        <f>'CT- € Ellipsis BNP'!W563</f>
        <v>0</v>
      </c>
      <c r="AK563" s="91">
        <f>'CT- € Ellipsis BNP'!AC563</f>
        <v>0</v>
      </c>
      <c r="AM563" s="235">
        <f>'codeis €'!Z563</f>
        <v>0</v>
      </c>
      <c r="AN563" s="236">
        <f>'codeis €'!AF563</f>
        <v>0</v>
      </c>
      <c r="AO563" s="90">
        <f>'codeis €'!AC563</f>
        <v>0</v>
      </c>
      <c r="AP563" s="91">
        <f>'codeis €'!AI563</f>
        <v>0</v>
      </c>
      <c r="AR563" s="12">
        <f t="shared" si="212"/>
        <v>67260956.159999996</v>
      </c>
      <c r="AS563" s="118">
        <f t="shared" si="213"/>
        <v>0.02</v>
      </c>
      <c r="AT563" s="118">
        <f t="shared" si="214"/>
        <v>2.0428995474183843E-2</v>
      </c>
      <c r="AU563" s="12">
        <f t="shared" si="215"/>
        <v>3816.871580505328</v>
      </c>
      <c r="AV563" s="12">
        <f t="shared" si="216"/>
        <v>547.24176717199384</v>
      </c>
      <c r="AW563" s="19"/>
    </row>
    <row r="564" spans="2:49" x14ac:dyDescent="0.25">
      <c r="B564" s="9" t="str">
        <f t="shared" si="199"/>
        <v>7 2026</v>
      </c>
      <c r="C564" s="88">
        <f t="shared" si="200"/>
        <v>46213</v>
      </c>
      <c r="D564" s="88">
        <f t="shared" si="193"/>
        <v>46214</v>
      </c>
      <c r="E564" s="89">
        <f t="shared" si="201"/>
        <v>1</v>
      </c>
      <c r="G564" s="11" t="s">
        <v>7</v>
      </c>
      <c r="H564" s="12">
        <f t="shared" si="221"/>
        <v>34250000</v>
      </c>
      <c r="I564" s="14">
        <f t="shared" si="221"/>
        <v>1.7500000000000002E-2</v>
      </c>
      <c r="J564" s="13">
        <f t="shared" si="202"/>
        <v>1664.9305555555557</v>
      </c>
      <c r="K564" s="13">
        <f t="shared" si="203"/>
        <v>228548.05555555614</v>
      </c>
      <c r="M564" s="11" t="s">
        <v>7</v>
      </c>
      <c r="N564" s="12">
        <f t="shared" si="224"/>
        <v>12000000</v>
      </c>
      <c r="O564" s="97">
        <f t="shared" si="224"/>
        <v>2.1698630136986304E-2</v>
      </c>
      <c r="P564" s="112">
        <f t="shared" si="204"/>
        <v>723.28767123287685</v>
      </c>
      <c r="Q564" s="13">
        <f t="shared" si="205"/>
        <v>138871.23287671219</v>
      </c>
      <c r="R564" s="13">
        <f t="shared" si="206"/>
        <v>139.95433789954348</v>
      </c>
      <c r="T564" s="11" t="str">
        <f t="shared" si="222"/>
        <v>SG</v>
      </c>
      <c r="U564" s="12">
        <f t="shared" si="222"/>
        <v>6010956.1600000001</v>
      </c>
      <c r="V564" s="97">
        <f t="shared" si="222"/>
        <v>2.1205479452054792E-2</v>
      </c>
      <c r="W564" s="13">
        <f t="shared" si="207"/>
        <v>354.0700203835616</v>
      </c>
      <c r="X564" s="13">
        <f t="shared" si="191"/>
        <v>67974.344922301098</v>
      </c>
      <c r="Y564" s="13">
        <f t="shared" si="208"/>
        <v>61.870762605783796</v>
      </c>
      <c r="AA564" s="11" t="s">
        <v>189</v>
      </c>
      <c r="AB564" s="98">
        <f t="shared" si="223"/>
        <v>15000000</v>
      </c>
      <c r="AC564" s="97">
        <f t="shared" si="223"/>
        <v>2.579E-2</v>
      </c>
      <c r="AD564" s="13">
        <f t="shared" si="209"/>
        <v>1074.5833333333333</v>
      </c>
      <c r="AE564" s="13">
        <f t="shared" si="210"/>
        <v>206320.00000000044</v>
      </c>
      <c r="AF564" s="13">
        <f t="shared" si="211"/>
        <v>345.41666666666663</v>
      </c>
      <c r="AH564" s="235">
        <f>'CT- € Ellipsis BNP'!X564</f>
        <v>0</v>
      </c>
      <c r="AI564" s="236">
        <f>'CT- € Ellipsis BNP'!AA564</f>
        <v>0</v>
      </c>
      <c r="AJ564" s="90">
        <f>'CT- € Ellipsis BNP'!W564</f>
        <v>0</v>
      </c>
      <c r="AK564" s="91">
        <f>'CT- € Ellipsis BNP'!AC564</f>
        <v>0</v>
      </c>
      <c r="AM564" s="235">
        <f>'codeis €'!Z564</f>
        <v>0</v>
      </c>
      <c r="AN564" s="236">
        <f>'codeis €'!AF564</f>
        <v>0</v>
      </c>
      <c r="AO564" s="90">
        <f>'codeis €'!AC564</f>
        <v>0</v>
      </c>
      <c r="AP564" s="91">
        <f>'codeis €'!AI564</f>
        <v>0</v>
      </c>
      <c r="AR564" s="12">
        <f t="shared" si="212"/>
        <v>67260956.159999996</v>
      </c>
      <c r="AS564" s="118">
        <f t="shared" si="213"/>
        <v>0.02</v>
      </c>
      <c r="AT564" s="118">
        <f t="shared" si="214"/>
        <v>2.0428995474183843E-2</v>
      </c>
      <c r="AU564" s="12">
        <f t="shared" si="215"/>
        <v>3816.871580505328</v>
      </c>
      <c r="AV564" s="12">
        <f t="shared" si="216"/>
        <v>547.24176717199384</v>
      </c>
      <c r="AW564" s="19"/>
    </row>
    <row r="565" spans="2:49" x14ac:dyDescent="0.25">
      <c r="B565" s="9" t="str">
        <f t="shared" si="199"/>
        <v>7 2026</v>
      </c>
      <c r="C565" s="88">
        <f t="shared" si="200"/>
        <v>46214</v>
      </c>
      <c r="D565" s="88">
        <f t="shared" si="193"/>
        <v>46215</v>
      </c>
      <c r="E565" s="89">
        <f t="shared" si="201"/>
        <v>1</v>
      </c>
      <c r="G565" s="11" t="s">
        <v>7</v>
      </c>
      <c r="H565" s="12">
        <f t="shared" si="221"/>
        <v>34250000</v>
      </c>
      <c r="I565" s="14">
        <f t="shared" si="221"/>
        <v>1.7500000000000002E-2</v>
      </c>
      <c r="J565" s="13">
        <f t="shared" si="202"/>
        <v>1664.9305555555557</v>
      </c>
      <c r="K565" s="13">
        <f t="shared" si="203"/>
        <v>230212.98611111171</v>
      </c>
      <c r="M565" s="11" t="s">
        <v>7</v>
      </c>
      <c r="N565" s="12">
        <f t="shared" si="224"/>
        <v>12000000</v>
      </c>
      <c r="O565" s="97">
        <f t="shared" si="224"/>
        <v>2.1698630136986304E-2</v>
      </c>
      <c r="P565" s="112">
        <f t="shared" si="204"/>
        <v>723.28767123287685</v>
      </c>
      <c r="Q565" s="13">
        <f t="shared" si="205"/>
        <v>139594.52054794508</v>
      </c>
      <c r="R565" s="13">
        <f t="shared" si="206"/>
        <v>139.95433789954348</v>
      </c>
      <c r="T565" s="11" t="str">
        <f t="shared" si="222"/>
        <v>SG</v>
      </c>
      <c r="U565" s="12">
        <f t="shared" si="222"/>
        <v>6010956.1600000001</v>
      </c>
      <c r="V565" s="97">
        <f t="shared" si="222"/>
        <v>2.1205479452054792E-2</v>
      </c>
      <c r="W565" s="13">
        <f t="shared" si="207"/>
        <v>354.0700203835616</v>
      </c>
      <c r="X565" s="13">
        <f t="shared" si="191"/>
        <v>68328.414942684656</v>
      </c>
      <c r="Y565" s="13">
        <f t="shared" si="208"/>
        <v>61.870762605783796</v>
      </c>
      <c r="AA565" s="11" t="s">
        <v>189</v>
      </c>
      <c r="AB565" s="98">
        <f t="shared" si="223"/>
        <v>15000000</v>
      </c>
      <c r="AC565" s="97">
        <f t="shared" si="223"/>
        <v>2.579E-2</v>
      </c>
      <c r="AD565" s="13">
        <f t="shared" si="209"/>
        <v>1074.5833333333333</v>
      </c>
      <c r="AE565" s="13">
        <f t="shared" si="210"/>
        <v>207394.58333333378</v>
      </c>
      <c r="AF565" s="13">
        <f t="shared" si="211"/>
        <v>345.41666666666663</v>
      </c>
      <c r="AH565" s="235">
        <f>'CT- € Ellipsis BNP'!X565</f>
        <v>0</v>
      </c>
      <c r="AI565" s="236">
        <f>'CT- € Ellipsis BNP'!AA565</f>
        <v>0</v>
      </c>
      <c r="AJ565" s="90">
        <f>'CT- € Ellipsis BNP'!W565</f>
        <v>0</v>
      </c>
      <c r="AK565" s="91">
        <f>'CT- € Ellipsis BNP'!AC565</f>
        <v>0</v>
      </c>
      <c r="AM565" s="235">
        <f>'codeis €'!Z565</f>
        <v>0</v>
      </c>
      <c r="AN565" s="236">
        <f>'codeis €'!AF565</f>
        <v>0</v>
      </c>
      <c r="AO565" s="90">
        <f>'codeis €'!AC565</f>
        <v>0</v>
      </c>
      <c r="AP565" s="91">
        <f>'codeis €'!AI565</f>
        <v>0</v>
      </c>
      <c r="AR565" s="12">
        <f t="shared" si="212"/>
        <v>67260956.159999996</v>
      </c>
      <c r="AS565" s="118">
        <f t="shared" si="213"/>
        <v>0.02</v>
      </c>
      <c r="AT565" s="118">
        <f t="shared" si="214"/>
        <v>2.0428995474183843E-2</v>
      </c>
      <c r="AU565" s="12">
        <f t="shared" si="215"/>
        <v>3816.871580505328</v>
      </c>
      <c r="AV565" s="12">
        <f t="shared" si="216"/>
        <v>547.24176717199384</v>
      </c>
      <c r="AW565" s="19"/>
    </row>
    <row r="566" spans="2:49" x14ac:dyDescent="0.25">
      <c r="B566" s="9" t="str">
        <f t="shared" si="199"/>
        <v>7 2026</v>
      </c>
      <c r="C566" s="88">
        <f t="shared" si="200"/>
        <v>46215</v>
      </c>
      <c r="D566" s="88">
        <f t="shared" si="193"/>
        <v>46216</v>
      </c>
      <c r="E566" s="89">
        <f t="shared" si="201"/>
        <v>1</v>
      </c>
      <c r="G566" s="11" t="s">
        <v>7</v>
      </c>
      <c r="H566" s="12">
        <f t="shared" si="221"/>
        <v>34250000</v>
      </c>
      <c r="I566" s="14">
        <f t="shared" si="221"/>
        <v>1.7500000000000002E-2</v>
      </c>
      <c r="J566" s="13">
        <f t="shared" si="202"/>
        <v>1664.9305555555557</v>
      </c>
      <c r="K566" s="13">
        <f t="shared" si="203"/>
        <v>231877.91666666727</v>
      </c>
      <c r="M566" s="11" t="s">
        <v>7</v>
      </c>
      <c r="N566" s="12">
        <f t="shared" si="224"/>
        <v>12000000</v>
      </c>
      <c r="O566" s="97">
        <f t="shared" si="224"/>
        <v>2.1698630136986304E-2</v>
      </c>
      <c r="P566" s="112">
        <f t="shared" si="204"/>
        <v>723.28767123287685</v>
      </c>
      <c r="Q566" s="13">
        <f t="shared" si="205"/>
        <v>140317.80821917797</v>
      </c>
      <c r="R566" s="13">
        <f t="shared" si="206"/>
        <v>139.95433789954348</v>
      </c>
      <c r="T566" s="11" t="str">
        <f t="shared" si="222"/>
        <v>SG</v>
      </c>
      <c r="U566" s="12">
        <f t="shared" si="222"/>
        <v>6010956.1600000001</v>
      </c>
      <c r="V566" s="97">
        <f t="shared" si="222"/>
        <v>2.1205479452054792E-2</v>
      </c>
      <c r="W566" s="13">
        <f t="shared" si="207"/>
        <v>354.0700203835616</v>
      </c>
      <c r="X566" s="13">
        <f t="shared" si="191"/>
        <v>68682.484963068215</v>
      </c>
      <c r="Y566" s="13">
        <f t="shared" si="208"/>
        <v>61.870762605783796</v>
      </c>
      <c r="AA566" s="11" t="s">
        <v>189</v>
      </c>
      <c r="AB566" s="98">
        <f t="shared" si="223"/>
        <v>15000000</v>
      </c>
      <c r="AC566" s="97">
        <f t="shared" si="223"/>
        <v>2.579E-2</v>
      </c>
      <c r="AD566" s="13">
        <f t="shared" si="209"/>
        <v>1074.5833333333333</v>
      </c>
      <c r="AE566" s="13">
        <f t="shared" si="210"/>
        <v>208469.16666666712</v>
      </c>
      <c r="AF566" s="13">
        <f t="shared" si="211"/>
        <v>345.41666666666663</v>
      </c>
      <c r="AH566" s="235">
        <f>'CT- € Ellipsis BNP'!X566</f>
        <v>0</v>
      </c>
      <c r="AI566" s="236">
        <f>'CT- € Ellipsis BNP'!AA566</f>
        <v>0</v>
      </c>
      <c r="AJ566" s="90">
        <f>'CT- € Ellipsis BNP'!W566</f>
        <v>0</v>
      </c>
      <c r="AK566" s="91">
        <f>'CT- € Ellipsis BNP'!AC566</f>
        <v>0</v>
      </c>
      <c r="AM566" s="235">
        <f>'codeis €'!Z566</f>
        <v>0</v>
      </c>
      <c r="AN566" s="236">
        <f>'codeis €'!AF566</f>
        <v>0</v>
      </c>
      <c r="AO566" s="90">
        <f>'codeis €'!AC566</f>
        <v>0</v>
      </c>
      <c r="AP566" s="91">
        <f>'codeis €'!AI566</f>
        <v>0</v>
      </c>
      <c r="AR566" s="12">
        <f t="shared" si="212"/>
        <v>67260956.159999996</v>
      </c>
      <c r="AS566" s="118">
        <f t="shared" si="213"/>
        <v>0.02</v>
      </c>
      <c r="AT566" s="118">
        <f t="shared" si="214"/>
        <v>2.0428995474183843E-2</v>
      </c>
      <c r="AU566" s="12">
        <f t="shared" si="215"/>
        <v>3816.871580505328</v>
      </c>
      <c r="AV566" s="12">
        <f t="shared" si="216"/>
        <v>547.24176717199384</v>
      </c>
      <c r="AW566" s="19"/>
    </row>
    <row r="567" spans="2:49" x14ac:dyDescent="0.25">
      <c r="B567" s="9" t="str">
        <f t="shared" si="199"/>
        <v>7 2026</v>
      </c>
      <c r="C567" s="88">
        <f t="shared" si="200"/>
        <v>46216</v>
      </c>
      <c r="D567" s="88">
        <f t="shared" si="193"/>
        <v>46217</v>
      </c>
      <c r="E567" s="89">
        <f t="shared" si="201"/>
        <v>1</v>
      </c>
      <c r="G567" s="11" t="s">
        <v>7</v>
      </c>
      <c r="H567" s="12">
        <f t="shared" ref="H567:I582" si="225">H566</f>
        <v>34250000</v>
      </c>
      <c r="I567" s="14">
        <f t="shared" si="225"/>
        <v>1.7500000000000002E-2</v>
      </c>
      <c r="J567" s="13">
        <f t="shared" si="202"/>
        <v>1664.9305555555557</v>
      </c>
      <c r="K567" s="13">
        <f t="shared" si="203"/>
        <v>233542.84722222283</v>
      </c>
      <c r="M567" s="11" t="s">
        <v>7</v>
      </c>
      <c r="N567" s="12">
        <f t="shared" si="224"/>
        <v>12000000</v>
      </c>
      <c r="O567" s="97">
        <f t="shared" si="224"/>
        <v>2.1698630136986304E-2</v>
      </c>
      <c r="P567" s="112">
        <f t="shared" si="204"/>
        <v>723.28767123287685</v>
      </c>
      <c r="Q567" s="13">
        <f t="shared" si="205"/>
        <v>141041.09589041086</v>
      </c>
      <c r="R567" s="13">
        <f t="shared" si="206"/>
        <v>139.95433789954348</v>
      </c>
      <c r="T567" s="11" t="str">
        <f t="shared" ref="T567:V582" si="226">T566</f>
        <v>SG</v>
      </c>
      <c r="U567" s="12">
        <f t="shared" si="226"/>
        <v>6010956.1600000001</v>
      </c>
      <c r="V567" s="97">
        <f t="shared" si="226"/>
        <v>2.1205479452054792E-2</v>
      </c>
      <c r="W567" s="13">
        <f t="shared" si="207"/>
        <v>354.0700203835616</v>
      </c>
      <c r="X567" s="13">
        <f t="shared" ref="X567:X630" si="227">X566+W567</f>
        <v>69036.554983451773</v>
      </c>
      <c r="Y567" s="13">
        <f t="shared" si="208"/>
        <v>61.870762605783796</v>
      </c>
      <c r="AA567" s="11" t="s">
        <v>189</v>
      </c>
      <c r="AB567" s="98">
        <f t="shared" ref="AB567:AC582" si="228">AB566</f>
        <v>15000000</v>
      </c>
      <c r="AC567" s="97">
        <f t="shared" si="228"/>
        <v>2.579E-2</v>
      </c>
      <c r="AD567" s="13">
        <f t="shared" si="209"/>
        <v>1074.5833333333333</v>
      </c>
      <c r="AE567" s="13">
        <f t="shared" si="210"/>
        <v>209543.75000000047</v>
      </c>
      <c r="AF567" s="13">
        <f t="shared" si="211"/>
        <v>345.41666666666663</v>
      </c>
      <c r="AH567" s="235">
        <f>'CT- € Ellipsis BNP'!X567</f>
        <v>0</v>
      </c>
      <c r="AI567" s="236">
        <f>'CT- € Ellipsis BNP'!AA567</f>
        <v>0</v>
      </c>
      <c r="AJ567" s="90">
        <f>'CT- € Ellipsis BNP'!W567</f>
        <v>0</v>
      </c>
      <c r="AK567" s="91">
        <f>'CT- € Ellipsis BNP'!AC567</f>
        <v>0</v>
      </c>
      <c r="AM567" s="235">
        <f>'codeis €'!Z567</f>
        <v>0</v>
      </c>
      <c r="AN567" s="236">
        <f>'codeis €'!AF567</f>
        <v>0</v>
      </c>
      <c r="AO567" s="90">
        <f>'codeis €'!AC567</f>
        <v>0</v>
      </c>
      <c r="AP567" s="91">
        <f>'codeis €'!AI567</f>
        <v>0</v>
      </c>
      <c r="AR567" s="12">
        <f t="shared" si="212"/>
        <v>67260956.159999996</v>
      </c>
      <c r="AS567" s="118">
        <f t="shared" si="213"/>
        <v>0.02</v>
      </c>
      <c r="AT567" s="118">
        <f t="shared" si="214"/>
        <v>2.0428995474183843E-2</v>
      </c>
      <c r="AU567" s="12">
        <f t="shared" si="215"/>
        <v>3816.871580505328</v>
      </c>
      <c r="AV567" s="12">
        <f t="shared" si="216"/>
        <v>547.24176717199384</v>
      </c>
      <c r="AW567" s="19"/>
    </row>
    <row r="568" spans="2:49" x14ac:dyDescent="0.25">
      <c r="B568" s="9" t="str">
        <f t="shared" si="199"/>
        <v>7 2026</v>
      </c>
      <c r="C568" s="88">
        <f t="shared" si="200"/>
        <v>46217</v>
      </c>
      <c r="D568" s="88">
        <f t="shared" ref="D568:D631" si="229">D567+1</f>
        <v>46218</v>
      </c>
      <c r="E568" s="89">
        <f t="shared" si="201"/>
        <v>1</v>
      </c>
      <c r="G568" s="11" t="s">
        <v>7</v>
      </c>
      <c r="H568" s="12">
        <f t="shared" si="225"/>
        <v>34250000</v>
      </c>
      <c r="I568" s="14">
        <f t="shared" si="225"/>
        <v>1.7500000000000002E-2</v>
      </c>
      <c r="J568" s="13">
        <f t="shared" si="202"/>
        <v>1664.9305555555557</v>
      </c>
      <c r="K568" s="13">
        <f t="shared" si="203"/>
        <v>235207.77777777839</v>
      </c>
      <c r="M568" s="11" t="s">
        <v>7</v>
      </c>
      <c r="N568" s="12">
        <f t="shared" ref="N568:O583" si="230">N567</f>
        <v>12000000</v>
      </c>
      <c r="O568" s="97">
        <f t="shared" si="230"/>
        <v>2.1698630136986304E-2</v>
      </c>
      <c r="P568" s="112">
        <f t="shared" si="204"/>
        <v>723.28767123287685</v>
      </c>
      <c r="Q568" s="13">
        <f t="shared" si="205"/>
        <v>141764.38356164374</v>
      </c>
      <c r="R568" s="13">
        <f t="shared" si="206"/>
        <v>139.95433789954348</v>
      </c>
      <c r="T568" s="11" t="str">
        <f t="shared" si="226"/>
        <v>SG</v>
      </c>
      <c r="U568" s="12">
        <f t="shared" si="226"/>
        <v>6010956.1600000001</v>
      </c>
      <c r="V568" s="97">
        <f t="shared" si="226"/>
        <v>2.1205479452054792E-2</v>
      </c>
      <c r="W568" s="13">
        <f t="shared" si="207"/>
        <v>354.0700203835616</v>
      </c>
      <c r="X568" s="13">
        <f t="shared" si="227"/>
        <v>69390.625003835332</v>
      </c>
      <c r="Y568" s="13">
        <f t="shared" si="208"/>
        <v>61.870762605783796</v>
      </c>
      <c r="AA568" s="11" t="s">
        <v>189</v>
      </c>
      <c r="AB568" s="98">
        <f t="shared" si="228"/>
        <v>15000000</v>
      </c>
      <c r="AC568" s="97">
        <f t="shared" si="228"/>
        <v>2.579E-2</v>
      </c>
      <c r="AD568" s="13">
        <f t="shared" si="209"/>
        <v>1074.5833333333333</v>
      </c>
      <c r="AE568" s="13">
        <f t="shared" si="210"/>
        <v>210618.33333333381</v>
      </c>
      <c r="AF568" s="13">
        <f t="shared" si="211"/>
        <v>345.41666666666663</v>
      </c>
      <c r="AH568" s="235">
        <f>'CT- € Ellipsis BNP'!X568</f>
        <v>0</v>
      </c>
      <c r="AI568" s="236">
        <f>'CT- € Ellipsis BNP'!AA568</f>
        <v>0</v>
      </c>
      <c r="AJ568" s="90">
        <f>'CT- € Ellipsis BNP'!W568</f>
        <v>0</v>
      </c>
      <c r="AK568" s="91">
        <f>'CT- € Ellipsis BNP'!AC568</f>
        <v>0</v>
      </c>
      <c r="AM568" s="235">
        <f>'codeis €'!Z568</f>
        <v>0</v>
      </c>
      <c r="AN568" s="236">
        <f>'codeis €'!AF568</f>
        <v>0</v>
      </c>
      <c r="AO568" s="90">
        <f>'codeis €'!AC568</f>
        <v>0</v>
      </c>
      <c r="AP568" s="91">
        <f>'codeis €'!AI568</f>
        <v>0</v>
      </c>
      <c r="AR568" s="12">
        <f t="shared" si="212"/>
        <v>67260956.159999996</v>
      </c>
      <c r="AS568" s="118">
        <f t="shared" si="213"/>
        <v>0.02</v>
      </c>
      <c r="AT568" s="118">
        <f t="shared" si="214"/>
        <v>2.0428995474183843E-2</v>
      </c>
      <c r="AU568" s="12">
        <f t="shared" si="215"/>
        <v>3816.871580505328</v>
      </c>
      <c r="AV568" s="12">
        <f t="shared" si="216"/>
        <v>547.24176717199384</v>
      </c>
      <c r="AW568" s="19"/>
    </row>
    <row r="569" spans="2:49" x14ac:dyDescent="0.25">
      <c r="B569" s="9" t="str">
        <f t="shared" si="199"/>
        <v>7 2026</v>
      </c>
      <c r="C569" s="88">
        <f t="shared" si="200"/>
        <v>46218</v>
      </c>
      <c r="D569" s="88">
        <f t="shared" si="229"/>
        <v>46219</v>
      </c>
      <c r="E569" s="89">
        <f t="shared" si="201"/>
        <v>1</v>
      </c>
      <c r="G569" s="11" t="s">
        <v>7</v>
      </c>
      <c r="H569" s="12">
        <f t="shared" si="225"/>
        <v>34250000</v>
      </c>
      <c r="I569" s="14">
        <f t="shared" si="225"/>
        <v>1.7500000000000002E-2</v>
      </c>
      <c r="J569" s="13">
        <f t="shared" si="202"/>
        <v>1664.9305555555557</v>
      </c>
      <c r="K569" s="13">
        <f t="shared" si="203"/>
        <v>236872.70833333395</v>
      </c>
      <c r="M569" s="11" t="s">
        <v>7</v>
      </c>
      <c r="N569" s="12">
        <f t="shared" si="230"/>
        <v>12000000</v>
      </c>
      <c r="O569" s="97">
        <f t="shared" si="230"/>
        <v>2.1698630136986304E-2</v>
      </c>
      <c r="P569" s="112">
        <f t="shared" si="204"/>
        <v>723.28767123287685</v>
      </c>
      <c r="Q569" s="13">
        <f t="shared" si="205"/>
        <v>142487.67123287663</v>
      </c>
      <c r="R569" s="13">
        <f t="shared" si="206"/>
        <v>139.95433789954348</v>
      </c>
      <c r="T569" s="11" t="str">
        <f t="shared" si="226"/>
        <v>SG</v>
      </c>
      <c r="U569" s="12">
        <f t="shared" si="226"/>
        <v>6010956.1600000001</v>
      </c>
      <c r="V569" s="97">
        <f t="shared" si="226"/>
        <v>2.1205479452054792E-2</v>
      </c>
      <c r="W569" s="13">
        <f t="shared" si="207"/>
        <v>354.0700203835616</v>
      </c>
      <c r="X569" s="13">
        <f t="shared" si="227"/>
        <v>69744.69502421889</v>
      </c>
      <c r="Y569" s="13">
        <f t="shared" si="208"/>
        <v>61.870762605783796</v>
      </c>
      <c r="AA569" s="11" t="s">
        <v>189</v>
      </c>
      <c r="AB569" s="98">
        <f t="shared" si="228"/>
        <v>15000000</v>
      </c>
      <c r="AC569" s="97">
        <f t="shared" si="228"/>
        <v>2.579E-2</v>
      </c>
      <c r="AD569" s="13">
        <f t="shared" si="209"/>
        <v>1074.5833333333333</v>
      </c>
      <c r="AE569" s="13">
        <f t="shared" si="210"/>
        <v>211692.91666666715</v>
      </c>
      <c r="AF569" s="13">
        <f t="shared" si="211"/>
        <v>345.41666666666663</v>
      </c>
      <c r="AH569" s="235">
        <f>'CT- € Ellipsis BNP'!X569</f>
        <v>0</v>
      </c>
      <c r="AI569" s="236">
        <f>'CT- € Ellipsis BNP'!AA569</f>
        <v>0</v>
      </c>
      <c r="AJ569" s="90">
        <f>'CT- € Ellipsis BNP'!W569</f>
        <v>0</v>
      </c>
      <c r="AK569" s="91">
        <f>'CT- € Ellipsis BNP'!AC569</f>
        <v>0</v>
      </c>
      <c r="AM569" s="235">
        <f>'codeis €'!Z569</f>
        <v>0</v>
      </c>
      <c r="AN569" s="236">
        <f>'codeis €'!AF569</f>
        <v>0</v>
      </c>
      <c r="AO569" s="90">
        <f>'codeis €'!AC569</f>
        <v>0</v>
      </c>
      <c r="AP569" s="91">
        <f>'codeis €'!AI569</f>
        <v>0</v>
      </c>
      <c r="AR569" s="12">
        <f t="shared" si="212"/>
        <v>67260956.159999996</v>
      </c>
      <c r="AS569" s="118">
        <f t="shared" si="213"/>
        <v>0.02</v>
      </c>
      <c r="AT569" s="118">
        <f t="shared" si="214"/>
        <v>2.0428995474183843E-2</v>
      </c>
      <c r="AU569" s="12">
        <f t="shared" si="215"/>
        <v>3816.871580505328</v>
      </c>
      <c r="AV569" s="12">
        <f t="shared" si="216"/>
        <v>547.24176717199384</v>
      </c>
      <c r="AW569" s="19"/>
    </row>
    <row r="570" spans="2:49" x14ac:dyDescent="0.25">
      <c r="B570" s="9" t="str">
        <f t="shared" si="199"/>
        <v>7 2026</v>
      </c>
      <c r="C570" s="88">
        <f t="shared" si="200"/>
        <v>46219</v>
      </c>
      <c r="D570" s="88">
        <f t="shared" si="229"/>
        <v>46220</v>
      </c>
      <c r="E570" s="89">
        <f t="shared" si="201"/>
        <v>1</v>
      </c>
      <c r="G570" s="11" t="s">
        <v>7</v>
      </c>
      <c r="H570" s="12">
        <f t="shared" si="225"/>
        <v>34250000</v>
      </c>
      <c r="I570" s="14">
        <f t="shared" si="225"/>
        <v>1.7500000000000002E-2</v>
      </c>
      <c r="J570" s="13">
        <f t="shared" si="202"/>
        <v>1664.9305555555557</v>
      </c>
      <c r="K570" s="13">
        <f t="shared" si="203"/>
        <v>238537.63888888952</v>
      </c>
      <c r="M570" s="11" t="s">
        <v>7</v>
      </c>
      <c r="N570" s="12">
        <f t="shared" si="230"/>
        <v>12000000</v>
      </c>
      <c r="O570" s="97">
        <f t="shared" si="230"/>
        <v>2.1698630136986304E-2</v>
      </c>
      <c r="P570" s="112">
        <f t="shared" si="204"/>
        <v>723.28767123287685</v>
      </c>
      <c r="Q570" s="13">
        <f t="shared" si="205"/>
        <v>143210.95890410952</v>
      </c>
      <c r="R570" s="13">
        <f t="shared" si="206"/>
        <v>139.95433789954348</v>
      </c>
      <c r="T570" s="11" t="str">
        <f t="shared" si="226"/>
        <v>SG</v>
      </c>
      <c r="U570" s="12">
        <f t="shared" si="226"/>
        <v>6010956.1600000001</v>
      </c>
      <c r="V570" s="97">
        <f t="shared" si="226"/>
        <v>2.1205479452054792E-2</v>
      </c>
      <c r="W570" s="13">
        <f t="shared" si="207"/>
        <v>354.0700203835616</v>
      </c>
      <c r="X570" s="13">
        <f t="shared" si="227"/>
        <v>70098.765044602449</v>
      </c>
      <c r="Y570" s="13">
        <f t="shared" si="208"/>
        <v>61.870762605783796</v>
      </c>
      <c r="AA570" s="11" t="s">
        <v>189</v>
      </c>
      <c r="AB570" s="98">
        <f t="shared" si="228"/>
        <v>15000000</v>
      </c>
      <c r="AC570" s="97">
        <f t="shared" si="228"/>
        <v>2.579E-2</v>
      </c>
      <c r="AD570" s="13">
        <f t="shared" si="209"/>
        <v>1074.5833333333333</v>
      </c>
      <c r="AE570" s="13">
        <f t="shared" si="210"/>
        <v>212767.50000000049</v>
      </c>
      <c r="AF570" s="13">
        <f t="shared" si="211"/>
        <v>345.41666666666663</v>
      </c>
      <c r="AH570" s="235">
        <f>'CT- € Ellipsis BNP'!X570</f>
        <v>0</v>
      </c>
      <c r="AI570" s="236">
        <f>'CT- € Ellipsis BNP'!AA570</f>
        <v>0</v>
      </c>
      <c r="AJ570" s="90">
        <f>'CT- € Ellipsis BNP'!W570</f>
        <v>0</v>
      </c>
      <c r="AK570" s="91">
        <f>'CT- € Ellipsis BNP'!AC570</f>
        <v>0</v>
      </c>
      <c r="AM570" s="235">
        <f>'codeis €'!Z570</f>
        <v>0</v>
      </c>
      <c r="AN570" s="236">
        <f>'codeis €'!AF570</f>
        <v>0</v>
      </c>
      <c r="AO570" s="90">
        <f>'codeis €'!AC570</f>
        <v>0</v>
      </c>
      <c r="AP570" s="91">
        <f>'codeis €'!AI570</f>
        <v>0</v>
      </c>
      <c r="AR570" s="12">
        <f t="shared" si="212"/>
        <v>67260956.159999996</v>
      </c>
      <c r="AS570" s="118">
        <f t="shared" si="213"/>
        <v>0.02</v>
      </c>
      <c r="AT570" s="118">
        <f t="shared" si="214"/>
        <v>2.0428995474183843E-2</v>
      </c>
      <c r="AU570" s="12">
        <f t="shared" si="215"/>
        <v>3816.871580505328</v>
      </c>
      <c r="AV570" s="12">
        <f t="shared" si="216"/>
        <v>547.24176717199384</v>
      </c>
      <c r="AW570" s="19"/>
    </row>
    <row r="571" spans="2:49" x14ac:dyDescent="0.25">
      <c r="B571" s="9" t="str">
        <f t="shared" si="199"/>
        <v>7 2026</v>
      </c>
      <c r="C571" s="88">
        <f t="shared" si="200"/>
        <v>46220</v>
      </c>
      <c r="D571" s="88">
        <f t="shared" si="229"/>
        <v>46221</v>
      </c>
      <c r="E571" s="89">
        <f t="shared" si="201"/>
        <v>1</v>
      </c>
      <c r="G571" s="11" t="s">
        <v>7</v>
      </c>
      <c r="H571" s="12">
        <f t="shared" si="225"/>
        <v>34250000</v>
      </c>
      <c r="I571" s="14">
        <f t="shared" si="225"/>
        <v>1.7500000000000002E-2</v>
      </c>
      <c r="J571" s="13">
        <f t="shared" si="202"/>
        <v>1664.9305555555557</v>
      </c>
      <c r="K571" s="13">
        <f t="shared" si="203"/>
        <v>240202.56944444508</v>
      </c>
      <c r="M571" s="11" t="s">
        <v>7</v>
      </c>
      <c r="N571" s="12">
        <f t="shared" si="230"/>
        <v>12000000</v>
      </c>
      <c r="O571" s="97">
        <f t="shared" si="230"/>
        <v>2.1698630136986304E-2</v>
      </c>
      <c r="P571" s="112">
        <f t="shared" si="204"/>
        <v>723.28767123287685</v>
      </c>
      <c r="Q571" s="13">
        <f t="shared" si="205"/>
        <v>143934.2465753424</v>
      </c>
      <c r="R571" s="13">
        <f t="shared" si="206"/>
        <v>139.95433789954348</v>
      </c>
      <c r="T571" s="11" t="str">
        <f t="shared" si="226"/>
        <v>SG</v>
      </c>
      <c r="U571" s="12">
        <f t="shared" si="226"/>
        <v>6010956.1600000001</v>
      </c>
      <c r="V571" s="97">
        <f t="shared" si="226"/>
        <v>2.1205479452054792E-2</v>
      </c>
      <c r="W571" s="13">
        <f t="shared" si="207"/>
        <v>354.0700203835616</v>
      </c>
      <c r="X571" s="13">
        <f t="shared" si="227"/>
        <v>70452.835064986008</v>
      </c>
      <c r="Y571" s="13">
        <f t="shared" si="208"/>
        <v>61.870762605783796</v>
      </c>
      <c r="AA571" s="11" t="s">
        <v>189</v>
      </c>
      <c r="AB571" s="98">
        <f t="shared" si="228"/>
        <v>15000000</v>
      </c>
      <c r="AC571" s="97">
        <f t="shared" si="228"/>
        <v>2.579E-2</v>
      </c>
      <c r="AD571" s="13">
        <f t="shared" si="209"/>
        <v>1074.5833333333333</v>
      </c>
      <c r="AE571" s="13">
        <f t="shared" si="210"/>
        <v>213842.08333333384</v>
      </c>
      <c r="AF571" s="13">
        <f t="shared" si="211"/>
        <v>345.41666666666663</v>
      </c>
      <c r="AH571" s="235">
        <f>'CT- € Ellipsis BNP'!X571</f>
        <v>0</v>
      </c>
      <c r="AI571" s="236">
        <f>'CT- € Ellipsis BNP'!AA571</f>
        <v>0</v>
      </c>
      <c r="AJ571" s="90">
        <f>'CT- € Ellipsis BNP'!W571</f>
        <v>0</v>
      </c>
      <c r="AK571" s="91">
        <f>'CT- € Ellipsis BNP'!AC571</f>
        <v>0</v>
      </c>
      <c r="AM571" s="235">
        <f>'codeis €'!Z571</f>
        <v>0</v>
      </c>
      <c r="AN571" s="236">
        <f>'codeis €'!AF571</f>
        <v>0</v>
      </c>
      <c r="AO571" s="90">
        <f>'codeis €'!AC571</f>
        <v>0</v>
      </c>
      <c r="AP571" s="91">
        <f>'codeis €'!AI571</f>
        <v>0</v>
      </c>
      <c r="AR571" s="12">
        <f t="shared" si="212"/>
        <v>67260956.159999996</v>
      </c>
      <c r="AS571" s="118">
        <f t="shared" si="213"/>
        <v>0.02</v>
      </c>
      <c r="AT571" s="118">
        <f t="shared" si="214"/>
        <v>2.0428995474183843E-2</v>
      </c>
      <c r="AU571" s="12">
        <f t="shared" si="215"/>
        <v>3816.871580505328</v>
      </c>
      <c r="AV571" s="12">
        <f t="shared" si="216"/>
        <v>547.24176717199384</v>
      </c>
      <c r="AW571" s="19"/>
    </row>
    <row r="572" spans="2:49" x14ac:dyDescent="0.25">
      <c r="B572" s="9" t="str">
        <f t="shared" si="199"/>
        <v>7 2026</v>
      </c>
      <c r="C572" s="88">
        <f t="shared" si="200"/>
        <v>46221</v>
      </c>
      <c r="D572" s="88">
        <f t="shared" si="229"/>
        <v>46222</v>
      </c>
      <c r="E572" s="89">
        <f t="shared" si="201"/>
        <v>1</v>
      </c>
      <c r="G572" s="11" t="s">
        <v>7</v>
      </c>
      <c r="H572" s="12">
        <f t="shared" si="225"/>
        <v>34250000</v>
      </c>
      <c r="I572" s="14">
        <f t="shared" si="225"/>
        <v>1.7500000000000002E-2</v>
      </c>
      <c r="J572" s="13">
        <f t="shared" si="202"/>
        <v>1664.9305555555557</v>
      </c>
      <c r="K572" s="13">
        <f t="shared" si="203"/>
        <v>241867.50000000064</v>
      </c>
      <c r="M572" s="11" t="s">
        <v>7</v>
      </c>
      <c r="N572" s="12">
        <f t="shared" si="230"/>
        <v>12000000</v>
      </c>
      <c r="O572" s="97">
        <f t="shared" si="230"/>
        <v>2.1698630136986304E-2</v>
      </c>
      <c r="P572" s="112">
        <f t="shared" si="204"/>
        <v>723.28767123287685</v>
      </c>
      <c r="Q572" s="13">
        <f t="shared" si="205"/>
        <v>144657.53424657529</v>
      </c>
      <c r="R572" s="13">
        <f t="shared" si="206"/>
        <v>139.95433789954348</v>
      </c>
      <c r="T572" s="11" t="str">
        <f t="shared" si="226"/>
        <v>SG</v>
      </c>
      <c r="U572" s="12">
        <f t="shared" si="226"/>
        <v>6010956.1600000001</v>
      </c>
      <c r="V572" s="97">
        <f t="shared" si="226"/>
        <v>2.1205479452054792E-2</v>
      </c>
      <c r="W572" s="13">
        <f t="shared" si="207"/>
        <v>354.0700203835616</v>
      </c>
      <c r="X572" s="13">
        <f t="shared" si="227"/>
        <v>70806.905085369566</v>
      </c>
      <c r="Y572" s="13">
        <f t="shared" si="208"/>
        <v>61.870762605783796</v>
      </c>
      <c r="AA572" s="11" t="s">
        <v>189</v>
      </c>
      <c r="AB572" s="98">
        <f t="shared" si="228"/>
        <v>15000000</v>
      </c>
      <c r="AC572" s="97">
        <f t="shared" si="228"/>
        <v>2.579E-2</v>
      </c>
      <c r="AD572" s="13">
        <f t="shared" si="209"/>
        <v>1074.5833333333333</v>
      </c>
      <c r="AE572" s="13">
        <f t="shared" si="210"/>
        <v>214916.66666666718</v>
      </c>
      <c r="AF572" s="13">
        <f t="shared" si="211"/>
        <v>345.41666666666663</v>
      </c>
      <c r="AH572" s="235">
        <f>'CT- € Ellipsis BNP'!X572</f>
        <v>0</v>
      </c>
      <c r="AI572" s="236">
        <f>'CT- € Ellipsis BNP'!AA572</f>
        <v>0</v>
      </c>
      <c r="AJ572" s="90">
        <f>'CT- € Ellipsis BNP'!W572</f>
        <v>0</v>
      </c>
      <c r="AK572" s="91">
        <f>'CT- € Ellipsis BNP'!AC572</f>
        <v>0</v>
      </c>
      <c r="AM572" s="235">
        <f>'codeis €'!Z572</f>
        <v>0</v>
      </c>
      <c r="AN572" s="236">
        <f>'codeis €'!AF572</f>
        <v>0</v>
      </c>
      <c r="AO572" s="90">
        <f>'codeis €'!AC572</f>
        <v>0</v>
      </c>
      <c r="AP572" s="91">
        <f>'codeis €'!AI572</f>
        <v>0</v>
      </c>
      <c r="AR572" s="12">
        <f t="shared" si="212"/>
        <v>67260956.159999996</v>
      </c>
      <c r="AS572" s="118">
        <f t="shared" si="213"/>
        <v>0.02</v>
      </c>
      <c r="AT572" s="118">
        <f t="shared" si="214"/>
        <v>2.0428995474183843E-2</v>
      </c>
      <c r="AU572" s="12">
        <f t="shared" si="215"/>
        <v>3816.871580505328</v>
      </c>
      <c r="AV572" s="12">
        <f t="shared" si="216"/>
        <v>547.24176717199384</v>
      </c>
      <c r="AW572" s="19"/>
    </row>
    <row r="573" spans="2:49" x14ac:dyDescent="0.25">
      <c r="B573" s="9" t="str">
        <f t="shared" si="199"/>
        <v>7 2026</v>
      </c>
      <c r="C573" s="88">
        <f t="shared" si="200"/>
        <v>46222</v>
      </c>
      <c r="D573" s="88">
        <f t="shared" si="229"/>
        <v>46223</v>
      </c>
      <c r="E573" s="89">
        <f t="shared" si="201"/>
        <v>1</v>
      </c>
      <c r="G573" s="11" t="s">
        <v>7</v>
      </c>
      <c r="H573" s="12">
        <f t="shared" si="225"/>
        <v>34250000</v>
      </c>
      <c r="I573" s="14">
        <f t="shared" si="225"/>
        <v>1.7500000000000002E-2</v>
      </c>
      <c r="J573" s="13">
        <f t="shared" si="202"/>
        <v>1664.9305555555557</v>
      </c>
      <c r="K573" s="13">
        <f t="shared" si="203"/>
        <v>243532.4305555562</v>
      </c>
      <c r="M573" s="11" t="s">
        <v>7</v>
      </c>
      <c r="N573" s="12">
        <f t="shared" si="230"/>
        <v>12000000</v>
      </c>
      <c r="O573" s="97">
        <f t="shared" si="230"/>
        <v>2.1698630136986304E-2</v>
      </c>
      <c r="P573" s="112">
        <f t="shared" si="204"/>
        <v>723.28767123287685</v>
      </c>
      <c r="Q573" s="13">
        <f t="shared" si="205"/>
        <v>145380.82191780818</v>
      </c>
      <c r="R573" s="13">
        <f t="shared" si="206"/>
        <v>139.95433789954348</v>
      </c>
      <c r="T573" s="11" t="str">
        <f t="shared" si="226"/>
        <v>SG</v>
      </c>
      <c r="U573" s="12">
        <f t="shared" si="226"/>
        <v>6010956.1600000001</v>
      </c>
      <c r="V573" s="97">
        <f t="shared" si="226"/>
        <v>2.1205479452054792E-2</v>
      </c>
      <c r="W573" s="13">
        <f t="shared" si="207"/>
        <v>354.0700203835616</v>
      </c>
      <c r="X573" s="13">
        <f t="shared" si="227"/>
        <v>71160.975105753125</v>
      </c>
      <c r="Y573" s="13">
        <f t="shared" si="208"/>
        <v>61.870762605783796</v>
      </c>
      <c r="AA573" s="11" t="s">
        <v>189</v>
      </c>
      <c r="AB573" s="98">
        <f t="shared" si="228"/>
        <v>15000000</v>
      </c>
      <c r="AC573" s="97">
        <f t="shared" si="228"/>
        <v>2.579E-2</v>
      </c>
      <c r="AD573" s="13">
        <f t="shared" si="209"/>
        <v>1074.5833333333333</v>
      </c>
      <c r="AE573" s="13">
        <f t="shared" si="210"/>
        <v>215991.25000000052</v>
      </c>
      <c r="AF573" s="13">
        <f t="shared" si="211"/>
        <v>345.41666666666663</v>
      </c>
      <c r="AH573" s="235">
        <f>'CT- € Ellipsis BNP'!X573</f>
        <v>0</v>
      </c>
      <c r="AI573" s="236">
        <f>'CT- € Ellipsis BNP'!AA573</f>
        <v>0</v>
      </c>
      <c r="AJ573" s="90">
        <f>'CT- € Ellipsis BNP'!W573</f>
        <v>0</v>
      </c>
      <c r="AK573" s="91">
        <f>'CT- € Ellipsis BNP'!AC573</f>
        <v>0</v>
      </c>
      <c r="AM573" s="235">
        <f>'codeis €'!Z573</f>
        <v>0</v>
      </c>
      <c r="AN573" s="236">
        <f>'codeis €'!AF573</f>
        <v>0</v>
      </c>
      <c r="AO573" s="90">
        <f>'codeis €'!AC573</f>
        <v>0</v>
      </c>
      <c r="AP573" s="91">
        <f>'codeis €'!AI573</f>
        <v>0</v>
      </c>
      <c r="AR573" s="12">
        <f t="shared" si="212"/>
        <v>67260956.159999996</v>
      </c>
      <c r="AS573" s="118">
        <f t="shared" si="213"/>
        <v>0.02</v>
      </c>
      <c r="AT573" s="118">
        <f t="shared" si="214"/>
        <v>2.0428995474183843E-2</v>
      </c>
      <c r="AU573" s="12">
        <f t="shared" si="215"/>
        <v>3816.871580505328</v>
      </c>
      <c r="AV573" s="12">
        <f t="shared" si="216"/>
        <v>547.24176717199384</v>
      </c>
      <c r="AW573" s="19"/>
    </row>
    <row r="574" spans="2:49" x14ac:dyDescent="0.25">
      <c r="B574" s="9" t="str">
        <f t="shared" si="199"/>
        <v>7 2026</v>
      </c>
      <c r="C574" s="88">
        <f t="shared" si="200"/>
        <v>46223</v>
      </c>
      <c r="D574" s="88">
        <f t="shared" si="229"/>
        <v>46224</v>
      </c>
      <c r="E574" s="89">
        <f t="shared" si="201"/>
        <v>1</v>
      </c>
      <c r="G574" s="11" t="s">
        <v>7</v>
      </c>
      <c r="H574" s="12">
        <f t="shared" si="225"/>
        <v>34250000</v>
      </c>
      <c r="I574" s="14">
        <f t="shared" si="225"/>
        <v>1.7500000000000002E-2</v>
      </c>
      <c r="J574" s="13">
        <f t="shared" si="202"/>
        <v>1664.9305555555557</v>
      </c>
      <c r="K574" s="13">
        <f t="shared" si="203"/>
        <v>245197.36111111176</v>
      </c>
      <c r="M574" s="11" t="s">
        <v>7</v>
      </c>
      <c r="N574" s="12">
        <f t="shared" si="230"/>
        <v>12000000</v>
      </c>
      <c r="O574" s="97">
        <f t="shared" si="230"/>
        <v>2.1698630136986304E-2</v>
      </c>
      <c r="P574" s="112">
        <f t="shared" si="204"/>
        <v>723.28767123287685</v>
      </c>
      <c r="Q574" s="13">
        <f t="shared" si="205"/>
        <v>146104.10958904107</v>
      </c>
      <c r="R574" s="13">
        <f t="shared" si="206"/>
        <v>139.95433789954348</v>
      </c>
      <c r="T574" s="11" t="str">
        <f t="shared" si="226"/>
        <v>SG</v>
      </c>
      <c r="U574" s="12">
        <f t="shared" si="226"/>
        <v>6010956.1600000001</v>
      </c>
      <c r="V574" s="97">
        <f t="shared" si="226"/>
        <v>2.1205479452054792E-2</v>
      </c>
      <c r="W574" s="13">
        <f t="shared" si="207"/>
        <v>354.0700203835616</v>
      </c>
      <c r="X574" s="13">
        <f t="shared" si="227"/>
        <v>71515.045126136683</v>
      </c>
      <c r="Y574" s="13">
        <f t="shared" si="208"/>
        <v>61.870762605783796</v>
      </c>
      <c r="AA574" s="11" t="s">
        <v>189</v>
      </c>
      <c r="AB574" s="98">
        <f t="shared" si="228"/>
        <v>15000000</v>
      </c>
      <c r="AC574" s="97">
        <f t="shared" si="228"/>
        <v>2.579E-2</v>
      </c>
      <c r="AD574" s="13">
        <f t="shared" si="209"/>
        <v>1074.5833333333333</v>
      </c>
      <c r="AE574" s="13">
        <f t="shared" si="210"/>
        <v>217065.83333333387</v>
      </c>
      <c r="AF574" s="13">
        <f t="shared" si="211"/>
        <v>345.41666666666663</v>
      </c>
      <c r="AH574" s="235">
        <f>'CT- € Ellipsis BNP'!X574</f>
        <v>0</v>
      </c>
      <c r="AI574" s="236">
        <f>'CT- € Ellipsis BNP'!AA574</f>
        <v>0</v>
      </c>
      <c r="AJ574" s="90">
        <f>'CT- € Ellipsis BNP'!W574</f>
        <v>0</v>
      </c>
      <c r="AK574" s="91">
        <f>'CT- € Ellipsis BNP'!AC574</f>
        <v>0</v>
      </c>
      <c r="AM574" s="235">
        <f>'codeis €'!Z574</f>
        <v>0</v>
      </c>
      <c r="AN574" s="236">
        <f>'codeis €'!AF574</f>
        <v>0</v>
      </c>
      <c r="AO574" s="90">
        <f>'codeis €'!AC574</f>
        <v>0</v>
      </c>
      <c r="AP574" s="91">
        <f>'codeis €'!AI574</f>
        <v>0</v>
      </c>
      <c r="AR574" s="12">
        <f t="shared" si="212"/>
        <v>67260956.159999996</v>
      </c>
      <c r="AS574" s="118">
        <f t="shared" si="213"/>
        <v>0.02</v>
      </c>
      <c r="AT574" s="118">
        <f t="shared" si="214"/>
        <v>2.0428995474183843E-2</v>
      </c>
      <c r="AU574" s="12">
        <f t="shared" si="215"/>
        <v>3816.871580505328</v>
      </c>
      <c r="AV574" s="12">
        <f t="shared" si="216"/>
        <v>547.24176717199384</v>
      </c>
      <c r="AW574" s="19"/>
    </row>
    <row r="575" spans="2:49" x14ac:dyDescent="0.25">
      <c r="B575" s="9" t="str">
        <f t="shared" si="199"/>
        <v>7 2026</v>
      </c>
      <c r="C575" s="88">
        <f t="shared" si="200"/>
        <v>46224</v>
      </c>
      <c r="D575" s="88">
        <f t="shared" si="229"/>
        <v>46225</v>
      </c>
      <c r="E575" s="89">
        <f t="shared" si="201"/>
        <v>1</v>
      </c>
      <c r="G575" s="11" t="s">
        <v>7</v>
      </c>
      <c r="H575" s="12">
        <f t="shared" si="225"/>
        <v>34250000</v>
      </c>
      <c r="I575" s="14">
        <f t="shared" si="225"/>
        <v>1.7500000000000002E-2</v>
      </c>
      <c r="J575" s="13">
        <f t="shared" si="202"/>
        <v>1664.9305555555557</v>
      </c>
      <c r="K575" s="13">
        <f t="shared" si="203"/>
        <v>246862.29166666733</v>
      </c>
      <c r="M575" s="11" t="s">
        <v>7</v>
      </c>
      <c r="N575" s="12">
        <f t="shared" si="230"/>
        <v>12000000</v>
      </c>
      <c r="O575" s="97">
        <f t="shared" si="230"/>
        <v>2.1698630136986304E-2</v>
      </c>
      <c r="P575" s="112">
        <f t="shared" si="204"/>
        <v>723.28767123287685</v>
      </c>
      <c r="Q575" s="13">
        <f t="shared" si="205"/>
        <v>146827.39726027395</v>
      </c>
      <c r="R575" s="13">
        <f t="shared" si="206"/>
        <v>139.95433789954348</v>
      </c>
      <c r="T575" s="11" t="str">
        <f t="shared" si="226"/>
        <v>SG</v>
      </c>
      <c r="U575" s="12">
        <f t="shared" si="226"/>
        <v>6010956.1600000001</v>
      </c>
      <c r="V575" s="97">
        <f t="shared" si="226"/>
        <v>2.1205479452054792E-2</v>
      </c>
      <c r="W575" s="13">
        <f t="shared" si="207"/>
        <v>354.0700203835616</v>
      </c>
      <c r="X575" s="13">
        <f t="shared" si="227"/>
        <v>71869.115146520242</v>
      </c>
      <c r="Y575" s="13">
        <f t="shared" si="208"/>
        <v>61.870762605783796</v>
      </c>
      <c r="AA575" s="11" t="s">
        <v>189</v>
      </c>
      <c r="AB575" s="98">
        <f t="shared" si="228"/>
        <v>15000000</v>
      </c>
      <c r="AC575" s="97">
        <f t="shared" si="228"/>
        <v>2.579E-2</v>
      </c>
      <c r="AD575" s="13">
        <f t="shared" si="209"/>
        <v>1074.5833333333333</v>
      </c>
      <c r="AE575" s="13">
        <f t="shared" si="210"/>
        <v>218140.41666666721</v>
      </c>
      <c r="AF575" s="13">
        <f t="shared" si="211"/>
        <v>345.41666666666663</v>
      </c>
      <c r="AH575" s="235">
        <f>'CT- € Ellipsis BNP'!X575</f>
        <v>0</v>
      </c>
      <c r="AI575" s="236">
        <f>'CT- € Ellipsis BNP'!AA575</f>
        <v>0</v>
      </c>
      <c r="AJ575" s="90">
        <f>'CT- € Ellipsis BNP'!W575</f>
        <v>0</v>
      </c>
      <c r="AK575" s="91">
        <f>'CT- € Ellipsis BNP'!AC575</f>
        <v>0</v>
      </c>
      <c r="AM575" s="235">
        <f>'codeis €'!Z575</f>
        <v>0</v>
      </c>
      <c r="AN575" s="236">
        <f>'codeis €'!AF575</f>
        <v>0</v>
      </c>
      <c r="AO575" s="90">
        <f>'codeis €'!AC575</f>
        <v>0</v>
      </c>
      <c r="AP575" s="91">
        <f>'codeis €'!AI575</f>
        <v>0</v>
      </c>
      <c r="AR575" s="12">
        <f t="shared" si="212"/>
        <v>67260956.159999996</v>
      </c>
      <c r="AS575" s="118">
        <f t="shared" si="213"/>
        <v>0.02</v>
      </c>
      <c r="AT575" s="118">
        <f t="shared" si="214"/>
        <v>2.0428995474183843E-2</v>
      </c>
      <c r="AU575" s="12">
        <f t="shared" si="215"/>
        <v>3816.871580505328</v>
      </c>
      <c r="AV575" s="12">
        <f t="shared" si="216"/>
        <v>547.24176717199384</v>
      </c>
      <c r="AW575" s="19"/>
    </row>
    <row r="576" spans="2:49" x14ac:dyDescent="0.25">
      <c r="B576" s="9" t="str">
        <f t="shared" si="199"/>
        <v>7 2026</v>
      </c>
      <c r="C576" s="88">
        <f t="shared" si="200"/>
        <v>46225</v>
      </c>
      <c r="D576" s="88">
        <f t="shared" si="229"/>
        <v>46226</v>
      </c>
      <c r="E576" s="89">
        <f t="shared" si="201"/>
        <v>1</v>
      </c>
      <c r="G576" s="11" t="s">
        <v>7</v>
      </c>
      <c r="H576" s="12">
        <f t="shared" si="225"/>
        <v>34250000</v>
      </c>
      <c r="I576" s="14">
        <f t="shared" si="225"/>
        <v>1.7500000000000002E-2</v>
      </c>
      <c r="J576" s="13">
        <f t="shared" si="202"/>
        <v>1664.9305555555557</v>
      </c>
      <c r="K576" s="13">
        <f t="shared" si="203"/>
        <v>248527.22222222289</v>
      </c>
      <c r="M576" s="11" t="s">
        <v>7</v>
      </c>
      <c r="N576" s="12">
        <f t="shared" si="230"/>
        <v>12000000</v>
      </c>
      <c r="O576" s="97">
        <f t="shared" si="230"/>
        <v>2.1698630136986304E-2</v>
      </c>
      <c r="P576" s="112">
        <f t="shared" si="204"/>
        <v>723.28767123287685</v>
      </c>
      <c r="Q576" s="13">
        <f t="shared" si="205"/>
        <v>147550.68493150684</v>
      </c>
      <c r="R576" s="13">
        <f t="shared" si="206"/>
        <v>139.95433789954348</v>
      </c>
      <c r="T576" s="11" t="str">
        <f t="shared" si="226"/>
        <v>SG</v>
      </c>
      <c r="U576" s="12">
        <f t="shared" si="226"/>
        <v>6010956.1600000001</v>
      </c>
      <c r="V576" s="97">
        <f t="shared" si="226"/>
        <v>2.1205479452054792E-2</v>
      </c>
      <c r="W576" s="13">
        <f t="shared" si="207"/>
        <v>354.0700203835616</v>
      </c>
      <c r="X576" s="13">
        <f t="shared" si="227"/>
        <v>72223.185166903801</v>
      </c>
      <c r="Y576" s="13">
        <f t="shared" si="208"/>
        <v>61.870762605783796</v>
      </c>
      <c r="AA576" s="11" t="s">
        <v>189</v>
      </c>
      <c r="AB576" s="98">
        <f t="shared" si="228"/>
        <v>15000000</v>
      </c>
      <c r="AC576" s="97">
        <f t="shared" si="228"/>
        <v>2.579E-2</v>
      </c>
      <c r="AD576" s="13">
        <f t="shared" si="209"/>
        <v>1074.5833333333333</v>
      </c>
      <c r="AE576" s="13">
        <f t="shared" si="210"/>
        <v>219215.00000000055</v>
      </c>
      <c r="AF576" s="13">
        <f t="shared" si="211"/>
        <v>345.41666666666663</v>
      </c>
      <c r="AH576" s="235">
        <f>'CT- € Ellipsis BNP'!X576</f>
        <v>0</v>
      </c>
      <c r="AI576" s="236">
        <f>'CT- € Ellipsis BNP'!AA576</f>
        <v>0</v>
      </c>
      <c r="AJ576" s="90">
        <f>'CT- € Ellipsis BNP'!W576</f>
        <v>0</v>
      </c>
      <c r="AK576" s="91">
        <f>'CT- € Ellipsis BNP'!AC576</f>
        <v>0</v>
      </c>
      <c r="AM576" s="235">
        <f>'codeis €'!Z576</f>
        <v>0</v>
      </c>
      <c r="AN576" s="236">
        <f>'codeis €'!AF576</f>
        <v>0</v>
      </c>
      <c r="AO576" s="90">
        <f>'codeis €'!AC576</f>
        <v>0</v>
      </c>
      <c r="AP576" s="91">
        <f>'codeis €'!AI576</f>
        <v>0</v>
      </c>
      <c r="AR576" s="12">
        <f t="shared" si="212"/>
        <v>67260956.159999996</v>
      </c>
      <c r="AS576" s="118">
        <f t="shared" si="213"/>
        <v>0.02</v>
      </c>
      <c r="AT576" s="118">
        <f t="shared" si="214"/>
        <v>2.0428995474183843E-2</v>
      </c>
      <c r="AU576" s="12">
        <f t="shared" si="215"/>
        <v>3816.871580505328</v>
      </c>
      <c r="AV576" s="12">
        <f t="shared" si="216"/>
        <v>547.24176717199384</v>
      </c>
      <c r="AW576" s="19"/>
    </row>
    <row r="577" spans="2:49" x14ac:dyDescent="0.25">
      <c r="B577" s="9" t="str">
        <f t="shared" si="199"/>
        <v>7 2026</v>
      </c>
      <c r="C577" s="88">
        <f t="shared" si="200"/>
        <v>46226</v>
      </c>
      <c r="D577" s="88">
        <f t="shared" si="229"/>
        <v>46227</v>
      </c>
      <c r="E577" s="89">
        <f t="shared" si="201"/>
        <v>1</v>
      </c>
      <c r="G577" s="11" t="s">
        <v>7</v>
      </c>
      <c r="H577" s="12">
        <f t="shared" si="225"/>
        <v>34250000</v>
      </c>
      <c r="I577" s="14">
        <f t="shared" si="225"/>
        <v>1.7500000000000002E-2</v>
      </c>
      <c r="J577" s="13">
        <f t="shared" si="202"/>
        <v>1664.9305555555557</v>
      </c>
      <c r="K577" s="13">
        <f t="shared" si="203"/>
        <v>250192.15277777845</v>
      </c>
      <c r="M577" s="11" t="s">
        <v>7</v>
      </c>
      <c r="N577" s="12">
        <f t="shared" si="230"/>
        <v>12000000</v>
      </c>
      <c r="O577" s="97">
        <f t="shared" si="230"/>
        <v>2.1698630136986304E-2</v>
      </c>
      <c r="P577" s="112">
        <f t="shared" si="204"/>
        <v>723.28767123287685</v>
      </c>
      <c r="Q577" s="13">
        <f t="shared" si="205"/>
        <v>148273.97260273973</v>
      </c>
      <c r="R577" s="13">
        <f t="shared" si="206"/>
        <v>139.95433789954348</v>
      </c>
      <c r="T577" s="11" t="str">
        <f t="shared" si="226"/>
        <v>SG</v>
      </c>
      <c r="U577" s="12">
        <f t="shared" si="226"/>
        <v>6010956.1600000001</v>
      </c>
      <c r="V577" s="97">
        <f t="shared" si="226"/>
        <v>2.1205479452054792E-2</v>
      </c>
      <c r="W577" s="13">
        <f t="shared" si="207"/>
        <v>354.0700203835616</v>
      </c>
      <c r="X577" s="13">
        <f t="shared" si="227"/>
        <v>72577.255187287359</v>
      </c>
      <c r="Y577" s="13">
        <f t="shared" si="208"/>
        <v>61.870762605783796</v>
      </c>
      <c r="AA577" s="11" t="s">
        <v>189</v>
      </c>
      <c r="AB577" s="98">
        <f t="shared" si="228"/>
        <v>15000000</v>
      </c>
      <c r="AC577" s="97">
        <f t="shared" si="228"/>
        <v>2.579E-2</v>
      </c>
      <c r="AD577" s="13">
        <f t="shared" si="209"/>
        <v>1074.5833333333333</v>
      </c>
      <c r="AE577" s="13">
        <f t="shared" si="210"/>
        <v>220289.5833333339</v>
      </c>
      <c r="AF577" s="13">
        <f t="shared" si="211"/>
        <v>345.41666666666663</v>
      </c>
      <c r="AH577" s="235">
        <f>'CT- € Ellipsis BNP'!X577</f>
        <v>0</v>
      </c>
      <c r="AI577" s="236">
        <f>'CT- € Ellipsis BNP'!AA577</f>
        <v>0</v>
      </c>
      <c r="AJ577" s="90">
        <f>'CT- € Ellipsis BNP'!W577</f>
        <v>0</v>
      </c>
      <c r="AK577" s="91">
        <f>'CT- € Ellipsis BNP'!AC577</f>
        <v>0</v>
      </c>
      <c r="AM577" s="235">
        <f>'codeis €'!Z577</f>
        <v>0</v>
      </c>
      <c r="AN577" s="236">
        <f>'codeis €'!AF577</f>
        <v>0</v>
      </c>
      <c r="AO577" s="90">
        <f>'codeis €'!AC577</f>
        <v>0</v>
      </c>
      <c r="AP577" s="91">
        <f>'codeis €'!AI577</f>
        <v>0</v>
      </c>
      <c r="AR577" s="12">
        <f t="shared" si="212"/>
        <v>67260956.159999996</v>
      </c>
      <c r="AS577" s="118">
        <f t="shared" si="213"/>
        <v>0.02</v>
      </c>
      <c r="AT577" s="118">
        <f t="shared" si="214"/>
        <v>2.0428995474183843E-2</v>
      </c>
      <c r="AU577" s="12">
        <f t="shared" si="215"/>
        <v>3816.871580505328</v>
      </c>
      <c r="AV577" s="12">
        <f t="shared" si="216"/>
        <v>547.24176717199384</v>
      </c>
      <c r="AW577" s="19"/>
    </row>
    <row r="578" spans="2:49" x14ac:dyDescent="0.25">
      <c r="B578" s="9" t="str">
        <f t="shared" si="199"/>
        <v>7 2026</v>
      </c>
      <c r="C578" s="88">
        <f t="shared" si="200"/>
        <v>46227</v>
      </c>
      <c r="D578" s="88">
        <f t="shared" si="229"/>
        <v>46228</v>
      </c>
      <c r="E578" s="89">
        <f t="shared" si="201"/>
        <v>1</v>
      </c>
      <c r="G578" s="11" t="s">
        <v>7</v>
      </c>
      <c r="H578" s="12">
        <f t="shared" si="225"/>
        <v>34250000</v>
      </c>
      <c r="I578" s="14">
        <f t="shared" si="225"/>
        <v>1.7500000000000002E-2</v>
      </c>
      <c r="J578" s="13">
        <f t="shared" si="202"/>
        <v>1664.9305555555557</v>
      </c>
      <c r="K578" s="13">
        <f t="shared" si="203"/>
        <v>251857.08333333401</v>
      </c>
      <c r="M578" s="11" t="s">
        <v>7</v>
      </c>
      <c r="N578" s="12">
        <f t="shared" si="230"/>
        <v>12000000</v>
      </c>
      <c r="O578" s="97">
        <f t="shared" si="230"/>
        <v>2.1698630136986304E-2</v>
      </c>
      <c r="P578" s="112">
        <f t="shared" si="204"/>
        <v>723.28767123287685</v>
      </c>
      <c r="Q578" s="13">
        <f t="shared" si="205"/>
        <v>148997.26027397261</v>
      </c>
      <c r="R578" s="13">
        <f t="shared" si="206"/>
        <v>139.95433789954348</v>
      </c>
      <c r="T578" s="11" t="str">
        <f t="shared" si="226"/>
        <v>SG</v>
      </c>
      <c r="U578" s="12">
        <f t="shared" si="226"/>
        <v>6010956.1600000001</v>
      </c>
      <c r="V578" s="97">
        <f t="shared" si="226"/>
        <v>2.1205479452054792E-2</v>
      </c>
      <c r="W578" s="13">
        <f t="shared" si="207"/>
        <v>354.0700203835616</v>
      </c>
      <c r="X578" s="13">
        <f t="shared" si="227"/>
        <v>72931.325207670918</v>
      </c>
      <c r="Y578" s="13">
        <f t="shared" si="208"/>
        <v>61.870762605783796</v>
      </c>
      <c r="AA578" s="11" t="s">
        <v>189</v>
      </c>
      <c r="AB578" s="98">
        <f t="shared" si="228"/>
        <v>15000000</v>
      </c>
      <c r="AC578" s="97">
        <f t="shared" si="228"/>
        <v>2.579E-2</v>
      </c>
      <c r="AD578" s="13">
        <f t="shared" si="209"/>
        <v>1074.5833333333333</v>
      </c>
      <c r="AE578" s="13">
        <f t="shared" si="210"/>
        <v>221364.16666666724</v>
      </c>
      <c r="AF578" s="13">
        <f t="shared" si="211"/>
        <v>345.41666666666663</v>
      </c>
      <c r="AH578" s="235">
        <f>'CT- € Ellipsis BNP'!X578</f>
        <v>0</v>
      </c>
      <c r="AI578" s="236">
        <f>'CT- € Ellipsis BNP'!AA578</f>
        <v>0</v>
      </c>
      <c r="AJ578" s="90">
        <f>'CT- € Ellipsis BNP'!W578</f>
        <v>0</v>
      </c>
      <c r="AK578" s="91">
        <f>'CT- € Ellipsis BNP'!AC578</f>
        <v>0</v>
      </c>
      <c r="AM578" s="235">
        <f>'codeis €'!Z578</f>
        <v>0</v>
      </c>
      <c r="AN578" s="236">
        <f>'codeis €'!AF578</f>
        <v>0</v>
      </c>
      <c r="AO578" s="90">
        <f>'codeis €'!AC578</f>
        <v>0</v>
      </c>
      <c r="AP578" s="91">
        <f>'codeis €'!AI578</f>
        <v>0</v>
      </c>
      <c r="AR578" s="12">
        <f t="shared" si="212"/>
        <v>67260956.159999996</v>
      </c>
      <c r="AS578" s="118">
        <f t="shared" si="213"/>
        <v>0.02</v>
      </c>
      <c r="AT578" s="118">
        <f t="shared" si="214"/>
        <v>2.0428995474183843E-2</v>
      </c>
      <c r="AU578" s="12">
        <f t="shared" si="215"/>
        <v>3816.871580505328</v>
      </c>
      <c r="AV578" s="12">
        <f t="shared" si="216"/>
        <v>547.24176717199384</v>
      </c>
      <c r="AW578" s="19"/>
    </row>
    <row r="579" spans="2:49" x14ac:dyDescent="0.25">
      <c r="B579" s="9" t="str">
        <f t="shared" si="199"/>
        <v>7 2026</v>
      </c>
      <c r="C579" s="88">
        <f t="shared" si="200"/>
        <v>46228</v>
      </c>
      <c r="D579" s="88">
        <f t="shared" si="229"/>
        <v>46229</v>
      </c>
      <c r="E579" s="89">
        <f t="shared" si="201"/>
        <v>1</v>
      </c>
      <c r="G579" s="11" t="s">
        <v>7</v>
      </c>
      <c r="H579" s="12">
        <f t="shared" si="225"/>
        <v>34250000</v>
      </c>
      <c r="I579" s="14">
        <f t="shared" si="225"/>
        <v>1.7500000000000002E-2</v>
      </c>
      <c r="J579" s="13">
        <f t="shared" si="202"/>
        <v>1664.9305555555557</v>
      </c>
      <c r="K579" s="13">
        <f t="shared" si="203"/>
        <v>253522.01388888957</v>
      </c>
      <c r="M579" s="11" t="s">
        <v>7</v>
      </c>
      <c r="N579" s="12">
        <f t="shared" si="230"/>
        <v>12000000</v>
      </c>
      <c r="O579" s="97">
        <f t="shared" si="230"/>
        <v>2.1698630136986304E-2</v>
      </c>
      <c r="P579" s="112">
        <f t="shared" si="204"/>
        <v>723.28767123287685</v>
      </c>
      <c r="Q579" s="13">
        <f t="shared" si="205"/>
        <v>149720.5479452055</v>
      </c>
      <c r="R579" s="13">
        <f t="shared" si="206"/>
        <v>139.95433789954348</v>
      </c>
      <c r="T579" s="11" t="str">
        <f t="shared" si="226"/>
        <v>SG</v>
      </c>
      <c r="U579" s="12">
        <f t="shared" si="226"/>
        <v>6010956.1600000001</v>
      </c>
      <c r="V579" s="97">
        <f t="shared" si="226"/>
        <v>2.1205479452054792E-2</v>
      </c>
      <c r="W579" s="13">
        <f t="shared" si="207"/>
        <v>354.0700203835616</v>
      </c>
      <c r="X579" s="13">
        <f t="shared" si="227"/>
        <v>73285.395228054476</v>
      </c>
      <c r="Y579" s="13">
        <f t="shared" si="208"/>
        <v>61.870762605783796</v>
      </c>
      <c r="AA579" s="11" t="s">
        <v>189</v>
      </c>
      <c r="AB579" s="98">
        <f t="shared" si="228"/>
        <v>15000000</v>
      </c>
      <c r="AC579" s="97">
        <f t="shared" si="228"/>
        <v>2.579E-2</v>
      </c>
      <c r="AD579" s="13">
        <f t="shared" si="209"/>
        <v>1074.5833333333333</v>
      </c>
      <c r="AE579" s="13">
        <f t="shared" si="210"/>
        <v>222438.75000000058</v>
      </c>
      <c r="AF579" s="13">
        <f t="shared" si="211"/>
        <v>345.41666666666663</v>
      </c>
      <c r="AH579" s="235">
        <f>'CT- € Ellipsis BNP'!X579</f>
        <v>0</v>
      </c>
      <c r="AI579" s="236">
        <f>'CT- € Ellipsis BNP'!AA579</f>
        <v>0</v>
      </c>
      <c r="AJ579" s="90">
        <f>'CT- € Ellipsis BNP'!W579</f>
        <v>0</v>
      </c>
      <c r="AK579" s="91">
        <f>'CT- € Ellipsis BNP'!AC579</f>
        <v>0</v>
      </c>
      <c r="AM579" s="235">
        <f>'codeis €'!Z579</f>
        <v>0</v>
      </c>
      <c r="AN579" s="236">
        <f>'codeis €'!AF579</f>
        <v>0</v>
      </c>
      <c r="AO579" s="90">
        <f>'codeis €'!AC579</f>
        <v>0</v>
      </c>
      <c r="AP579" s="91">
        <f>'codeis €'!AI579</f>
        <v>0</v>
      </c>
      <c r="AR579" s="12">
        <f t="shared" si="212"/>
        <v>67260956.159999996</v>
      </c>
      <c r="AS579" s="118">
        <f t="shared" si="213"/>
        <v>0.02</v>
      </c>
      <c r="AT579" s="118">
        <f t="shared" si="214"/>
        <v>2.0428995474183843E-2</v>
      </c>
      <c r="AU579" s="12">
        <f t="shared" si="215"/>
        <v>3816.871580505328</v>
      </c>
      <c r="AV579" s="12">
        <f t="shared" si="216"/>
        <v>547.24176717199384</v>
      </c>
      <c r="AW579" s="19"/>
    </row>
    <row r="580" spans="2:49" x14ac:dyDescent="0.25">
      <c r="B580" s="9" t="str">
        <f t="shared" si="199"/>
        <v>7 2026</v>
      </c>
      <c r="C580" s="88">
        <f t="shared" si="200"/>
        <v>46229</v>
      </c>
      <c r="D580" s="88">
        <f t="shared" si="229"/>
        <v>46230</v>
      </c>
      <c r="E580" s="89">
        <f t="shared" si="201"/>
        <v>1</v>
      </c>
      <c r="G580" s="11" t="s">
        <v>7</v>
      </c>
      <c r="H580" s="12">
        <f t="shared" si="225"/>
        <v>34250000</v>
      </c>
      <c r="I580" s="14">
        <f t="shared" si="225"/>
        <v>1.7500000000000002E-2</v>
      </c>
      <c r="J580" s="13">
        <f t="shared" si="202"/>
        <v>1664.9305555555557</v>
      </c>
      <c r="K580" s="13">
        <f t="shared" si="203"/>
        <v>255186.94444444514</v>
      </c>
      <c r="M580" s="11" t="s">
        <v>7</v>
      </c>
      <c r="N580" s="12">
        <f t="shared" si="230"/>
        <v>12000000</v>
      </c>
      <c r="O580" s="97">
        <f t="shared" si="230"/>
        <v>2.1698630136986304E-2</v>
      </c>
      <c r="P580" s="112">
        <f t="shared" si="204"/>
        <v>723.28767123287685</v>
      </c>
      <c r="Q580" s="13">
        <f t="shared" si="205"/>
        <v>150443.83561643839</v>
      </c>
      <c r="R580" s="13">
        <f t="shared" si="206"/>
        <v>139.95433789954348</v>
      </c>
      <c r="T580" s="11" t="str">
        <f t="shared" si="226"/>
        <v>SG</v>
      </c>
      <c r="U580" s="12">
        <f t="shared" si="226"/>
        <v>6010956.1600000001</v>
      </c>
      <c r="V580" s="97">
        <f t="shared" si="226"/>
        <v>2.1205479452054792E-2</v>
      </c>
      <c r="W580" s="13">
        <f t="shared" si="207"/>
        <v>354.0700203835616</v>
      </c>
      <c r="X580" s="13">
        <f t="shared" si="227"/>
        <v>73639.465248438035</v>
      </c>
      <c r="Y580" s="13">
        <f t="shared" si="208"/>
        <v>61.870762605783796</v>
      </c>
      <c r="AA580" s="11" t="s">
        <v>189</v>
      </c>
      <c r="AB580" s="98">
        <f t="shared" si="228"/>
        <v>15000000</v>
      </c>
      <c r="AC580" s="97">
        <f t="shared" si="228"/>
        <v>2.579E-2</v>
      </c>
      <c r="AD580" s="13">
        <f t="shared" si="209"/>
        <v>1074.5833333333333</v>
      </c>
      <c r="AE580" s="13">
        <f t="shared" si="210"/>
        <v>223513.33333333393</v>
      </c>
      <c r="AF580" s="13">
        <f t="shared" si="211"/>
        <v>345.41666666666663</v>
      </c>
      <c r="AH580" s="235">
        <f>'CT- € Ellipsis BNP'!X580</f>
        <v>0</v>
      </c>
      <c r="AI580" s="236">
        <f>'CT- € Ellipsis BNP'!AA580</f>
        <v>0</v>
      </c>
      <c r="AJ580" s="90">
        <f>'CT- € Ellipsis BNP'!W580</f>
        <v>0</v>
      </c>
      <c r="AK580" s="91">
        <f>'CT- € Ellipsis BNP'!AC580</f>
        <v>0</v>
      </c>
      <c r="AM580" s="235">
        <f>'codeis €'!Z580</f>
        <v>0</v>
      </c>
      <c r="AN580" s="236">
        <f>'codeis €'!AF580</f>
        <v>0</v>
      </c>
      <c r="AO580" s="90">
        <f>'codeis €'!AC580</f>
        <v>0</v>
      </c>
      <c r="AP580" s="91">
        <f>'codeis €'!AI580</f>
        <v>0</v>
      </c>
      <c r="AR580" s="12">
        <f t="shared" si="212"/>
        <v>67260956.159999996</v>
      </c>
      <c r="AS580" s="118">
        <f t="shared" si="213"/>
        <v>0.02</v>
      </c>
      <c r="AT580" s="118">
        <f t="shared" si="214"/>
        <v>2.0428995474183843E-2</v>
      </c>
      <c r="AU580" s="12">
        <f t="shared" si="215"/>
        <v>3816.871580505328</v>
      </c>
      <c r="AV580" s="12">
        <f t="shared" si="216"/>
        <v>547.24176717199384</v>
      </c>
      <c r="AW580" s="19"/>
    </row>
    <row r="581" spans="2:49" x14ac:dyDescent="0.25">
      <c r="B581" s="9" t="str">
        <f t="shared" si="199"/>
        <v>7 2026</v>
      </c>
      <c r="C581" s="88">
        <f t="shared" si="200"/>
        <v>46230</v>
      </c>
      <c r="D581" s="88">
        <f t="shared" si="229"/>
        <v>46231</v>
      </c>
      <c r="E581" s="89">
        <f t="shared" si="201"/>
        <v>1</v>
      </c>
      <c r="G581" s="11" t="s">
        <v>7</v>
      </c>
      <c r="H581" s="12">
        <f t="shared" si="225"/>
        <v>34250000</v>
      </c>
      <c r="I581" s="14">
        <f t="shared" si="225"/>
        <v>1.7500000000000002E-2</v>
      </c>
      <c r="J581" s="13">
        <f t="shared" si="202"/>
        <v>1664.9305555555557</v>
      </c>
      <c r="K581" s="13">
        <f t="shared" si="203"/>
        <v>256851.8750000007</v>
      </c>
      <c r="M581" s="11" t="s">
        <v>7</v>
      </c>
      <c r="N581" s="12">
        <f t="shared" si="230"/>
        <v>12000000</v>
      </c>
      <c r="O581" s="97">
        <f t="shared" si="230"/>
        <v>2.1698630136986304E-2</v>
      </c>
      <c r="P581" s="112">
        <f t="shared" si="204"/>
        <v>723.28767123287685</v>
      </c>
      <c r="Q581" s="13">
        <f t="shared" si="205"/>
        <v>151167.12328767127</v>
      </c>
      <c r="R581" s="13">
        <f t="shared" si="206"/>
        <v>139.95433789954348</v>
      </c>
      <c r="T581" s="11" t="str">
        <f t="shared" si="226"/>
        <v>SG</v>
      </c>
      <c r="U581" s="12">
        <f t="shared" si="226"/>
        <v>6010956.1600000001</v>
      </c>
      <c r="V581" s="97">
        <f t="shared" si="226"/>
        <v>2.1205479452054792E-2</v>
      </c>
      <c r="W581" s="13">
        <f t="shared" si="207"/>
        <v>354.0700203835616</v>
      </c>
      <c r="X581" s="13">
        <f t="shared" si="227"/>
        <v>73993.535268821593</v>
      </c>
      <c r="Y581" s="13">
        <f t="shared" si="208"/>
        <v>61.870762605783796</v>
      </c>
      <c r="AA581" s="11" t="s">
        <v>189</v>
      </c>
      <c r="AB581" s="98">
        <f t="shared" si="228"/>
        <v>15000000</v>
      </c>
      <c r="AC581" s="97">
        <f t="shared" si="228"/>
        <v>2.579E-2</v>
      </c>
      <c r="AD581" s="13">
        <f t="shared" si="209"/>
        <v>1074.5833333333333</v>
      </c>
      <c r="AE581" s="13">
        <f t="shared" si="210"/>
        <v>224587.91666666727</v>
      </c>
      <c r="AF581" s="13">
        <f t="shared" si="211"/>
        <v>345.41666666666663</v>
      </c>
      <c r="AH581" s="235">
        <f>'CT- € Ellipsis BNP'!X581</f>
        <v>0</v>
      </c>
      <c r="AI581" s="236">
        <f>'CT- € Ellipsis BNP'!AA581</f>
        <v>0</v>
      </c>
      <c r="AJ581" s="90">
        <f>'CT- € Ellipsis BNP'!W581</f>
        <v>0</v>
      </c>
      <c r="AK581" s="91">
        <f>'CT- € Ellipsis BNP'!AC581</f>
        <v>0</v>
      </c>
      <c r="AM581" s="235">
        <f>'codeis €'!Z581</f>
        <v>0</v>
      </c>
      <c r="AN581" s="236">
        <f>'codeis €'!AF581</f>
        <v>0</v>
      </c>
      <c r="AO581" s="90">
        <f>'codeis €'!AC581</f>
        <v>0</v>
      </c>
      <c r="AP581" s="91">
        <f>'codeis €'!AI581</f>
        <v>0</v>
      </c>
      <c r="AR581" s="12">
        <f t="shared" si="212"/>
        <v>67260956.159999996</v>
      </c>
      <c r="AS581" s="118">
        <f t="shared" si="213"/>
        <v>0.02</v>
      </c>
      <c r="AT581" s="118">
        <f t="shared" si="214"/>
        <v>2.0428995474183843E-2</v>
      </c>
      <c r="AU581" s="12">
        <f t="shared" si="215"/>
        <v>3816.871580505328</v>
      </c>
      <c r="AV581" s="12">
        <f t="shared" si="216"/>
        <v>547.24176717199384</v>
      </c>
      <c r="AW581" s="19"/>
    </row>
    <row r="582" spans="2:49" x14ac:dyDescent="0.25">
      <c r="B582" s="9" t="str">
        <f t="shared" si="199"/>
        <v>7 2026</v>
      </c>
      <c r="C582" s="88">
        <f t="shared" si="200"/>
        <v>46231</v>
      </c>
      <c r="D582" s="88">
        <f t="shared" si="229"/>
        <v>46232</v>
      </c>
      <c r="E582" s="89">
        <f t="shared" si="201"/>
        <v>1</v>
      </c>
      <c r="G582" s="11" t="s">
        <v>7</v>
      </c>
      <c r="H582" s="12">
        <f t="shared" si="225"/>
        <v>34250000</v>
      </c>
      <c r="I582" s="14">
        <f t="shared" si="225"/>
        <v>1.7500000000000002E-2</v>
      </c>
      <c r="J582" s="13">
        <f t="shared" si="202"/>
        <v>1664.9305555555557</v>
      </c>
      <c r="K582" s="13">
        <f t="shared" si="203"/>
        <v>258516.80555555626</v>
      </c>
      <c r="M582" s="11" t="s">
        <v>7</v>
      </c>
      <c r="N582" s="12">
        <f t="shared" si="230"/>
        <v>12000000</v>
      </c>
      <c r="O582" s="97">
        <f t="shared" si="230"/>
        <v>2.1698630136986304E-2</v>
      </c>
      <c r="P582" s="112">
        <f t="shared" si="204"/>
        <v>723.28767123287685</v>
      </c>
      <c r="Q582" s="13">
        <f t="shared" si="205"/>
        <v>151890.41095890416</v>
      </c>
      <c r="R582" s="13">
        <f t="shared" si="206"/>
        <v>139.95433789954348</v>
      </c>
      <c r="T582" s="11" t="str">
        <f t="shared" si="226"/>
        <v>SG</v>
      </c>
      <c r="U582" s="12">
        <f t="shared" si="226"/>
        <v>6010956.1600000001</v>
      </c>
      <c r="V582" s="97">
        <f t="shared" si="226"/>
        <v>2.1205479452054792E-2</v>
      </c>
      <c r="W582" s="13">
        <f t="shared" si="207"/>
        <v>354.0700203835616</v>
      </c>
      <c r="X582" s="13">
        <f t="shared" si="227"/>
        <v>74347.605289205152</v>
      </c>
      <c r="Y582" s="13">
        <f t="shared" si="208"/>
        <v>61.870762605783796</v>
      </c>
      <c r="AA582" s="11" t="s">
        <v>189</v>
      </c>
      <c r="AB582" s="98">
        <f t="shared" si="228"/>
        <v>15000000</v>
      </c>
      <c r="AC582" s="97">
        <f t="shared" si="228"/>
        <v>2.579E-2</v>
      </c>
      <c r="AD582" s="13">
        <f t="shared" si="209"/>
        <v>1074.5833333333333</v>
      </c>
      <c r="AE582" s="13">
        <f t="shared" si="210"/>
        <v>225662.50000000061</v>
      </c>
      <c r="AF582" s="13">
        <f t="shared" si="211"/>
        <v>345.41666666666663</v>
      </c>
      <c r="AH582" s="235">
        <f>'CT- € Ellipsis BNP'!X582</f>
        <v>0</v>
      </c>
      <c r="AI582" s="236">
        <f>'CT- € Ellipsis BNP'!AA582</f>
        <v>0</v>
      </c>
      <c r="AJ582" s="90">
        <f>'CT- € Ellipsis BNP'!W582</f>
        <v>0</v>
      </c>
      <c r="AK582" s="91">
        <f>'CT- € Ellipsis BNP'!AC582</f>
        <v>0</v>
      </c>
      <c r="AM582" s="235">
        <f>'codeis €'!Z582</f>
        <v>0</v>
      </c>
      <c r="AN582" s="236">
        <f>'codeis €'!AF582</f>
        <v>0</v>
      </c>
      <c r="AO582" s="90">
        <f>'codeis €'!AC582</f>
        <v>0</v>
      </c>
      <c r="AP582" s="91">
        <f>'codeis €'!AI582</f>
        <v>0</v>
      </c>
      <c r="AR582" s="12">
        <f t="shared" si="212"/>
        <v>67260956.159999996</v>
      </c>
      <c r="AS582" s="118">
        <f t="shared" si="213"/>
        <v>0.02</v>
      </c>
      <c r="AT582" s="118">
        <f t="shared" si="214"/>
        <v>2.0428995474183843E-2</v>
      </c>
      <c r="AU582" s="12">
        <f t="shared" si="215"/>
        <v>3816.871580505328</v>
      </c>
      <c r="AV582" s="12">
        <f t="shared" si="216"/>
        <v>547.24176717199384</v>
      </c>
      <c r="AW582" s="19"/>
    </row>
    <row r="583" spans="2:49" x14ac:dyDescent="0.25">
      <c r="B583" s="9" t="str">
        <f t="shared" si="199"/>
        <v>7 2026</v>
      </c>
      <c r="C583" s="88">
        <f t="shared" si="200"/>
        <v>46232</v>
      </c>
      <c r="D583" s="88">
        <f t="shared" si="229"/>
        <v>46233</v>
      </c>
      <c r="E583" s="89">
        <f t="shared" si="201"/>
        <v>1</v>
      </c>
      <c r="G583" s="11" t="s">
        <v>7</v>
      </c>
      <c r="H583" s="12">
        <f t="shared" ref="H583:I598" si="231">H582</f>
        <v>34250000</v>
      </c>
      <c r="I583" s="14">
        <f t="shared" si="231"/>
        <v>1.7500000000000002E-2</v>
      </c>
      <c r="J583" s="13">
        <f t="shared" si="202"/>
        <v>1664.9305555555557</v>
      </c>
      <c r="K583" s="13">
        <f t="shared" si="203"/>
        <v>260181.73611111182</v>
      </c>
      <c r="M583" s="11" t="s">
        <v>7</v>
      </c>
      <c r="N583" s="12">
        <f t="shared" si="230"/>
        <v>12000000</v>
      </c>
      <c r="O583" s="97">
        <f t="shared" si="230"/>
        <v>2.1698630136986304E-2</v>
      </c>
      <c r="P583" s="112">
        <f t="shared" si="204"/>
        <v>723.28767123287685</v>
      </c>
      <c r="Q583" s="13">
        <f t="shared" si="205"/>
        <v>152613.69863013705</v>
      </c>
      <c r="R583" s="13">
        <f t="shared" si="206"/>
        <v>139.95433789954348</v>
      </c>
      <c r="T583" s="11" t="str">
        <f t="shared" ref="T583:V598" si="232">T582</f>
        <v>SG</v>
      </c>
      <c r="U583" s="12">
        <f t="shared" si="232"/>
        <v>6010956.1600000001</v>
      </c>
      <c r="V583" s="97">
        <f t="shared" si="232"/>
        <v>2.1205479452054792E-2</v>
      </c>
      <c r="W583" s="13">
        <f t="shared" si="207"/>
        <v>354.0700203835616</v>
      </c>
      <c r="X583" s="13">
        <f t="shared" si="227"/>
        <v>74701.675309588711</v>
      </c>
      <c r="Y583" s="13">
        <f t="shared" si="208"/>
        <v>61.870762605783796</v>
      </c>
      <c r="AA583" s="11" t="s">
        <v>189</v>
      </c>
      <c r="AB583" s="98">
        <f t="shared" ref="AB583:AC598" si="233">AB582</f>
        <v>15000000</v>
      </c>
      <c r="AC583" s="97">
        <f t="shared" si="233"/>
        <v>2.579E-2</v>
      </c>
      <c r="AD583" s="13">
        <f t="shared" si="209"/>
        <v>1074.5833333333333</v>
      </c>
      <c r="AE583" s="13">
        <f t="shared" si="210"/>
        <v>226737.08333333395</v>
      </c>
      <c r="AF583" s="13">
        <f t="shared" si="211"/>
        <v>345.41666666666663</v>
      </c>
      <c r="AH583" s="235">
        <f>'CT- € Ellipsis BNP'!X583</f>
        <v>0</v>
      </c>
      <c r="AI583" s="236">
        <f>'CT- € Ellipsis BNP'!AA583</f>
        <v>0</v>
      </c>
      <c r="AJ583" s="90">
        <f>'CT- € Ellipsis BNP'!W583</f>
        <v>0</v>
      </c>
      <c r="AK583" s="91">
        <f>'CT- € Ellipsis BNP'!AC583</f>
        <v>0</v>
      </c>
      <c r="AM583" s="235">
        <f>'codeis €'!Z583</f>
        <v>0</v>
      </c>
      <c r="AN583" s="236">
        <f>'codeis €'!AF583</f>
        <v>0</v>
      </c>
      <c r="AO583" s="90">
        <f>'codeis €'!AC583</f>
        <v>0</v>
      </c>
      <c r="AP583" s="91">
        <f>'codeis €'!AI583</f>
        <v>0</v>
      </c>
      <c r="AR583" s="12">
        <f t="shared" si="212"/>
        <v>67260956.159999996</v>
      </c>
      <c r="AS583" s="118">
        <f t="shared" si="213"/>
        <v>0.02</v>
      </c>
      <c r="AT583" s="118">
        <f t="shared" si="214"/>
        <v>2.0428995474183843E-2</v>
      </c>
      <c r="AU583" s="12">
        <f t="shared" si="215"/>
        <v>3816.871580505328</v>
      </c>
      <c r="AV583" s="12">
        <f t="shared" si="216"/>
        <v>547.24176717199384</v>
      </c>
      <c r="AW583" s="19"/>
    </row>
    <row r="584" spans="2:49" x14ac:dyDescent="0.25">
      <c r="B584" s="9" t="str">
        <f t="shared" si="199"/>
        <v>7 2026</v>
      </c>
      <c r="C584" s="88">
        <f t="shared" si="200"/>
        <v>46233</v>
      </c>
      <c r="D584" s="88">
        <f t="shared" si="229"/>
        <v>46234</v>
      </c>
      <c r="E584" s="89">
        <f t="shared" si="201"/>
        <v>1</v>
      </c>
      <c r="G584" s="11" t="s">
        <v>7</v>
      </c>
      <c r="H584" s="12">
        <f t="shared" si="231"/>
        <v>34250000</v>
      </c>
      <c r="I584" s="14">
        <f t="shared" si="231"/>
        <v>1.7500000000000002E-2</v>
      </c>
      <c r="J584" s="13">
        <f t="shared" si="202"/>
        <v>1664.9305555555557</v>
      </c>
      <c r="K584" s="13">
        <f t="shared" si="203"/>
        <v>261846.66666666738</v>
      </c>
      <c r="M584" s="11" t="s">
        <v>7</v>
      </c>
      <c r="N584" s="12">
        <f t="shared" ref="N584:O599" si="234">N583</f>
        <v>12000000</v>
      </c>
      <c r="O584" s="97">
        <f t="shared" si="234"/>
        <v>2.1698630136986304E-2</v>
      </c>
      <c r="P584" s="112">
        <f t="shared" si="204"/>
        <v>723.28767123287685</v>
      </c>
      <c r="Q584" s="13">
        <f t="shared" si="205"/>
        <v>153336.98630136994</v>
      </c>
      <c r="R584" s="13">
        <f t="shared" si="206"/>
        <v>139.95433789954348</v>
      </c>
      <c r="T584" s="11" t="str">
        <f t="shared" si="232"/>
        <v>SG</v>
      </c>
      <c r="U584" s="12">
        <f t="shared" si="232"/>
        <v>6010956.1600000001</v>
      </c>
      <c r="V584" s="97">
        <f t="shared" si="232"/>
        <v>2.1205479452054792E-2</v>
      </c>
      <c r="W584" s="13">
        <f t="shared" si="207"/>
        <v>354.0700203835616</v>
      </c>
      <c r="X584" s="13">
        <f t="shared" si="227"/>
        <v>75055.745329972269</v>
      </c>
      <c r="Y584" s="13">
        <f t="shared" si="208"/>
        <v>61.870762605783796</v>
      </c>
      <c r="AA584" s="11" t="s">
        <v>189</v>
      </c>
      <c r="AB584" s="98">
        <f t="shared" si="233"/>
        <v>15000000</v>
      </c>
      <c r="AC584" s="97">
        <f t="shared" si="233"/>
        <v>2.579E-2</v>
      </c>
      <c r="AD584" s="13">
        <f t="shared" si="209"/>
        <v>1074.5833333333333</v>
      </c>
      <c r="AE584" s="13">
        <f t="shared" si="210"/>
        <v>227811.6666666673</v>
      </c>
      <c r="AF584" s="13">
        <f t="shared" si="211"/>
        <v>345.41666666666663</v>
      </c>
      <c r="AH584" s="235">
        <f>'CT- € Ellipsis BNP'!X584</f>
        <v>0</v>
      </c>
      <c r="AI584" s="236">
        <f>'CT- € Ellipsis BNP'!AA584</f>
        <v>0</v>
      </c>
      <c r="AJ584" s="90">
        <f>'CT- € Ellipsis BNP'!W584</f>
        <v>0</v>
      </c>
      <c r="AK584" s="91">
        <f>'CT- € Ellipsis BNP'!AC584</f>
        <v>0</v>
      </c>
      <c r="AM584" s="235">
        <f>'codeis €'!Z584</f>
        <v>0</v>
      </c>
      <c r="AN584" s="236">
        <f>'codeis €'!AF584</f>
        <v>0</v>
      </c>
      <c r="AO584" s="90">
        <f>'codeis €'!AC584</f>
        <v>0</v>
      </c>
      <c r="AP584" s="91">
        <f>'codeis €'!AI584</f>
        <v>0</v>
      </c>
      <c r="AR584" s="12">
        <f t="shared" si="212"/>
        <v>67260956.159999996</v>
      </c>
      <c r="AS584" s="118">
        <f t="shared" si="213"/>
        <v>0.02</v>
      </c>
      <c r="AT584" s="118">
        <f t="shared" si="214"/>
        <v>2.0428995474183843E-2</v>
      </c>
      <c r="AU584" s="12">
        <f t="shared" si="215"/>
        <v>3816.871580505328</v>
      </c>
      <c r="AV584" s="12">
        <f t="shared" si="216"/>
        <v>547.24176717199384</v>
      </c>
      <c r="AW584" s="19"/>
    </row>
    <row r="585" spans="2:49" x14ac:dyDescent="0.25">
      <c r="B585" s="9" t="str">
        <f t="shared" si="199"/>
        <v>8 2026</v>
      </c>
      <c r="C585" s="88">
        <f t="shared" si="200"/>
        <v>46234</v>
      </c>
      <c r="D585" s="88">
        <f t="shared" si="229"/>
        <v>46235</v>
      </c>
      <c r="E585" s="89">
        <f t="shared" si="201"/>
        <v>1</v>
      </c>
      <c r="G585" s="11" t="s">
        <v>7</v>
      </c>
      <c r="H585" s="12">
        <f t="shared" si="231"/>
        <v>34250000</v>
      </c>
      <c r="I585" s="14">
        <f t="shared" si="231"/>
        <v>1.7500000000000002E-2</v>
      </c>
      <c r="J585" s="13">
        <f t="shared" si="202"/>
        <v>1664.9305555555557</v>
      </c>
      <c r="K585" s="13">
        <f t="shared" si="203"/>
        <v>263511.59722222295</v>
      </c>
      <c r="M585" s="11" t="s">
        <v>7</v>
      </c>
      <c r="N585" s="12">
        <f t="shared" si="234"/>
        <v>12000000</v>
      </c>
      <c r="O585" s="97">
        <f t="shared" si="234"/>
        <v>2.1698630136986304E-2</v>
      </c>
      <c r="P585" s="112">
        <f t="shared" si="204"/>
        <v>723.28767123287685</v>
      </c>
      <c r="Q585" s="13">
        <f t="shared" si="205"/>
        <v>154060.27397260282</v>
      </c>
      <c r="R585" s="13">
        <f t="shared" si="206"/>
        <v>139.95433789954348</v>
      </c>
      <c r="T585" s="11" t="str">
        <f t="shared" si="232"/>
        <v>SG</v>
      </c>
      <c r="U585" s="12">
        <f t="shared" si="232"/>
        <v>6010956.1600000001</v>
      </c>
      <c r="V585" s="97">
        <f t="shared" si="232"/>
        <v>2.1205479452054792E-2</v>
      </c>
      <c r="W585" s="13">
        <f t="shared" si="207"/>
        <v>354.0700203835616</v>
      </c>
      <c r="X585" s="13">
        <f t="shared" si="227"/>
        <v>75409.815350355828</v>
      </c>
      <c r="Y585" s="13">
        <f t="shared" si="208"/>
        <v>61.870762605783796</v>
      </c>
      <c r="AA585" s="11" t="s">
        <v>189</v>
      </c>
      <c r="AB585" s="98">
        <f t="shared" si="233"/>
        <v>15000000</v>
      </c>
      <c r="AC585" s="97">
        <f t="shared" si="233"/>
        <v>2.579E-2</v>
      </c>
      <c r="AD585" s="13">
        <f t="shared" si="209"/>
        <v>1074.5833333333333</v>
      </c>
      <c r="AE585" s="13">
        <f t="shared" si="210"/>
        <v>228886.25000000064</v>
      </c>
      <c r="AF585" s="13">
        <f t="shared" si="211"/>
        <v>345.41666666666663</v>
      </c>
      <c r="AH585" s="235">
        <f>'CT- € Ellipsis BNP'!X585</f>
        <v>0</v>
      </c>
      <c r="AI585" s="236">
        <f>'CT- € Ellipsis BNP'!AA585</f>
        <v>0</v>
      </c>
      <c r="AJ585" s="90">
        <f>'CT- € Ellipsis BNP'!W585</f>
        <v>0</v>
      </c>
      <c r="AK585" s="91">
        <f>'CT- € Ellipsis BNP'!AC585</f>
        <v>0</v>
      </c>
      <c r="AM585" s="235">
        <f>'codeis €'!Z585</f>
        <v>0</v>
      </c>
      <c r="AN585" s="236">
        <f>'codeis €'!AF585</f>
        <v>0</v>
      </c>
      <c r="AO585" s="90">
        <f>'codeis €'!AC585</f>
        <v>0</v>
      </c>
      <c r="AP585" s="91">
        <f>'codeis €'!AI585</f>
        <v>0</v>
      </c>
      <c r="AR585" s="12">
        <f t="shared" si="212"/>
        <v>67260956.159999996</v>
      </c>
      <c r="AS585" s="118">
        <f t="shared" si="213"/>
        <v>0.02</v>
      </c>
      <c r="AT585" s="118">
        <f t="shared" si="214"/>
        <v>2.0428995474183843E-2</v>
      </c>
      <c r="AU585" s="12">
        <f t="shared" si="215"/>
        <v>3816.871580505328</v>
      </c>
      <c r="AV585" s="12">
        <f t="shared" si="216"/>
        <v>547.24176717199384</v>
      </c>
      <c r="AW585" s="19"/>
    </row>
    <row r="586" spans="2:49" x14ac:dyDescent="0.25">
      <c r="B586" s="9" t="str">
        <f t="shared" si="199"/>
        <v>8 2026</v>
      </c>
      <c r="C586" s="88">
        <f t="shared" si="200"/>
        <v>46235</v>
      </c>
      <c r="D586" s="88">
        <f t="shared" si="229"/>
        <v>46236</v>
      </c>
      <c r="E586" s="89">
        <f t="shared" si="201"/>
        <v>1</v>
      </c>
      <c r="G586" s="11" t="s">
        <v>7</v>
      </c>
      <c r="H586" s="12">
        <f t="shared" si="231"/>
        <v>34250000</v>
      </c>
      <c r="I586" s="14">
        <f t="shared" si="231"/>
        <v>1.7500000000000002E-2</v>
      </c>
      <c r="J586" s="13">
        <f t="shared" si="202"/>
        <v>1664.9305555555557</v>
      </c>
      <c r="K586" s="13">
        <f t="shared" si="203"/>
        <v>265176.52777777851</v>
      </c>
      <c r="M586" s="11" t="s">
        <v>7</v>
      </c>
      <c r="N586" s="12">
        <f t="shared" si="234"/>
        <v>12000000</v>
      </c>
      <c r="O586" s="97">
        <f t="shared" si="234"/>
        <v>2.1698630136986304E-2</v>
      </c>
      <c r="P586" s="112">
        <f t="shared" si="204"/>
        <v>723.28767123287685</v>
      </c>
      <c r="Q586" s="13">
        <f t="shared" si="205"/>
        <v>154783.56164383571</v>
      </c>
      <c r="R586" s="13">
        <f t="shared" si="206"/>
        <v>139.95433789954348</v>
      </c>
      <c r="T586" s="11" t="str">
        <f t="shared" si="232"/>
        <v>SG</v>
      </c>
      <c r="U586" s="12">
        <f t="shared" si="232"/>
        <v>6010956.1600000001</v>
      </c>
      <c r="V586" s="97">
        <f t="shared" si="232"/>
        <v>2.1205479452054792E-2</v>
      </c>
      <c r="W586" s="13">
        <f t="shared" si="207"/>
        <v>354.0700203835616</v>
      </c>
      <c r="X586" s="13">
        <f t="shared" si="227"/>
        <v>75763.885370739386</v>
      </c>
      <c r="Y586" s="13">
        <f t="shared" si="208"/>
        <v>61.870762605783796</v>
      </c>
      <c r="AA586" s="11" t="s">
        <v>189</v>
      </c>
      <c r="AB586" s="98">
        <f t="shared" si="233"/>
        <v>15000000</v>
      </c>
      <c r="AC586" s="97">
        <f t="shared" si="233"/>
        <v>2.579E-2</v>
      </c>
      <c r="AD586" s="13">
        <f t="shared" si="209"/>
        <v>1074.5833333333333</v>
      </c>
      <c r="AE586" s="13">
        <f t="shared" si="210"/>
        <v>229960.83333333398</v>
      </c>
      <c r="AF586" s="13">
        <f t="shared" si="211"/>
        <v>345.41666666666663</v>
      </c>
      <c r="AH586" s="235">
        <f>'CT- € Ellipsis BNP'!X586</f>
        <v>0</v>
      </c>
      <c r="AI586" s="236">
        <f>'CT- € Ellipsis BNP'!AA586</f>
        <v>0</v>
      </c>
      <c r="AJ586" s="90">
        <f>'CT- € Ellipsis BNP'!W586</f>
        <v>0</v>
      </c>
      <c r="AK586" s="91">
        <f>'CT- € Ellipsis BNP'!AC586</f>
        <v>0</v>
      </c>
      <c r="AM586" s="235">
        <f>'codeis €'!Z586</f>
        <v>0</v>
      </c>
      <c r="AN586" s="236">
        <f>'codeis €'!AF586</f>
        <v>0</v>
      </c>
      <c r="AO586" s="90">
        <f>'codeis €'!AC586</f>
        <v>0</v>
      </c>
      <c r="AP586" s="91">
        <f>'codeis €'!AI586</f>
        <v>0</v>
      </c>
      <c r="AR586" s="12">
        <f t="shared" si="212"/>
        <v>67260956.159999996</v>
      </c>
      <c r="AS586" s="118">
        <f t="shared" si="213"/>
        <v>0.02</v>
      </c>
      <c r="AT586" s="118">
        <f t="shared" si="214"/>
        <v>2.0428995474183843E-2</v>
      </c>
      <c r="AU586" s="12">
        <f t="shared" si="215"/>
        <v>3816.871580505328</v>
      </c>
      <c r="AV586" s="12">
        <f t="shared" si="216"/>
        <v>547.24176717199384</v>
      </c>
      <c r="AW586" s="19"/>
    </row>
    <row r="587" spans="2:49" x14ac:dyDescent="0.25">
      <c r="B587" s="9" t="str">
        <f t="shared" si="199"/>
        <v>8 2026</v>
      </c>
      <c r="C587" s="88">
        <f t="shared" si="200"/>
        <v>46236</v>
      </c>
      <c r="D587" s="88">
        <f t="shared" si="229"/>
        <v>46237</v>
      </c>
      <c r="E587" s="89">
        <f t="shared" si="201"/>
        <v>1</v>
      </c>
      <c r="G587" s="11" t="s">
        <v>7</v>
      </c>
      <c r="H587" s="12">
        <f t="shared" si="231"/>
        <v>34250000</v>
      </c>
      <c r="I587" s="14">
        <f t="shared" si="231"/>
        <v>1.7500000000000002E-2</v>
      </c>
      <c r="J587" s="13">
        <f t="shared" si="202"/>
        <v>1664.9305555555557</v>
      </c>
      <c r="K587" s="13">
        <f t="shared" si="203"/>
        <v>266841.45833333407</v>
      </c>
      <c r="M587" s="11" t="s">
        <v>7</v>
      </c>
      <c r="N587" s="12">
        <f t="shared" si="234"/>
        <v>12000000</v>
      </c>
      <c r="O587" s="97">
        <f t="shared" si="234"/>
        <v>2.1698630136986304E-2</v>
      </c>
      <c r="P587" s="112">
        <f t="shared" si="204"/>
        <v>723.28767123287685</v>
      </c>
      <c r="Q587" s="13">
        <f t="shared" si="205"/>
        <v>155506.8493150686</v>
      </c>
      <c r="R587" s="13">
        <f t="shared" si="206"/>
        <v>139.95433789954348</v>
      </c>
      <c r="T587" s="11" t="str">
        <f t="shared" si="232"/>
        <v>SG</v>
      </c>
      <c r="U587" s="12">
        <f t="shared" si="232"/>
        <v>6010956.1600000001</v>
      </c>
      <c r="V587" s="97">
        <f t="shared" si="232"/>
        <v>2.1205479452054792E-2</v>
      </c>
      <c r="W587" s="13">
        <f t="shared" si="207"/>
        <v>354.0700203835616</v>
      </c>
      <c r="X587" s="13">
        <f t="shared" si="227"/>
        <v>76117.955391122945</v>
      </c>
      <c r="Y587" s="13">
        <f t="shared" si="208"/>
        <v>61.870762605783796</v>
      </c>
      <c r="AA587" s="11" t="s">
        <v>189</v>
      </c>
      <c r="AB587" s="98">
        <f t="shared" si="233"/>
        <v>15000000</v>
      </c>
      <c r="AC587" s="97">
        <f t="shared" si="233"/>
        <v>2.579E-2</v>
      </c>
      <c r="AD587" s="13">
        <f t="shared" si="209"/>
        <v>1074.5833333333333</v>
      </c>
      <c r="AE587" s="13">
        <f t="shared" si="210"/>
        <v>231035.41666666733</v>
      </c>
      <c r="AF587" s="13">
        <f t="shared" si="211"/>
        <v>345.41666666666663</v>
      </c>
      <c r="AH587" s="235">
        <f>'CT- € Ellipsis BNP'!X587</f>
        <v>0</v>
      </c>
      <c r="AI587" s="236">
        <f>'CT- € Ellipsis BNP'!AA587</f>
        <v>0</v>
      </c>
      <c r="AJ587" s="90">
        <f>'CT- € Ellipsis BNP'!W587</f>
        <v>0</v>
      </c>
      <c r="AK587" s="91">
        <f>'CT- € Ellipsis BNP'!AC587</f>
        <v>0</v>
      </c>
      <c r="AM587" s="235">
        <f>'codeis €'!Z587</f>
        <v>0</v>
      </c>
      <c r="AN587" s="236">
        <f>'codeis €'!AF587</f>
        <v>0</v>
      </c>
      <c r="AO587" s="90">
        <f>'codeis €'!AC587</f>
        <v>0</v>
      </c>
      <c r="AP587" s="91">
        <f>'codeis €'!AI587</f>
        <v>0</v>
      </c>
      <c r="AR587" s="12">
        <f t="shared" si="212"/>
        <v>67260956.159999996</v>
      </c>
      <c r="AS587" s="118">
        <f t="shared" si="213"/>
        <v>0.02</v>
      </c>
      <c r="AT587" s="118">
        <f t="shared" si="214"/>
        <v>2.0428995474183843E-2</v>
      </c>
      <c r="AU587" s="12">
        <f t="shared" si="215"/>
        <v>3816.871580505328</v>
      </c>
      <c r="AV587" s="12">
        <f t="shared" si="216"/>
        <v>547.24176717199384</v>
      </c>
      <c r="AW587" s="19"/>
    </row>
    <row r="588" spans="2:49" x14ac:dyDescent="0.25">
      <c r="B588" s="9" t="str">
        <f t="shared" si="199"/>
        <v>8 2026</v>
      </c>
      <c r="C588" s="88">
        <f t="shared" si="200"/>
        <v>46237</v>
      </c>
      <c r="D588" s="88">
        <f t="shared" si="229"/>
        <v>46238</v>
      </c>
      <c r="E588" s="89">
        <f t="shared" si="201"/>
        <v>1</v>
      </c>
      <c r="G588" s="11" t="s">
        <v>7</v>
      </c>
      <c r="H588" s="12">
        <f t="shared" si="231"/>
        <v>34250000</v>
      </c>
      <c r="I588" s="14">
        <f t="shared" si="231"/>
        <v>1.7500000000000002E-2</v>
      </c>
      <c r="J588" s="13">
        <f t="shared" si="202"/>
        <v>1664.9305555555557</v>
      </c>
      <c r="K588" s="13">
        <f t="shared" si="203"/>
        <v>268506.38888888963</v>
      </c>
      <c r="M588" s="11" t="s">
        <v>7</v>
      </c>
      <c r="N588" s="12">
        <f t="shared" si="234"/>
        <v>12000000</v>
      </c>
      <c r="O588" s="97">
        <f t="shared" si="234"/>
        <v>2.1698630136986304E-2</v>
      </c>
      <c r="P588" s="112">
        <f t="shared" si="204"/>
        <v>723.28767123287685</v>
      </c>
      <c r="Q588" s="13">
        <f t="shared" si="205"/>
        <v>156230.13698630148</v>
      </c>
      <c r="R588" s="13">
        <f t="shared" si="206"/>
        <v>139.95433789954348</v>
      </c>
      <c r="T588" s="11" t="str">
        <f t="shared" si="232"/>
        <v>SG</v>
      </c>
      <c r="U588" s="12">
        <f t="shared" si="232"/>
        <v>6010956.1600000001</v>
      </c>
      <c r="V588" s="97">
        <f t="shared" si="232"/>
        <v>2.1205479452054792E-2</v>
      </c>
      <c r="W588" s="13">
        <f t="shared" si="207"/>
        <v>354.0700203835616</v>
      </c>
      <c r="X588" s="13">
        <f t="shared" si="227"/>
        <v>76472.025411506504</v>
      </c>
      <c r="Y588" s="13">
        <f t="shared" si="208"/>
        <v>61.870762605783796</v>
      </c>
      <c r="AA588" s="11" t="s">
        <v>189</v>
      </c>
      <c r="AB588" s="98">
        <f t="shared" si="233"/>
        <v>15000000</v>
      </c>
      <c r="AC588" s="97">
        <f t="shared" si="233"/>
        <v>2.579E-2</v>
      </c>
      <c r="AD588" s="13">
        <f t="shared" si="209"/>
        <v>1074.5833333333333</v>
      </c>
      <c r="AE588" s="13">
        <f t="shared" si="210"/>
        <v>232110.00000000067</v>
      </c>
      <c r="AF588" s="13">
        <f t="shared" si="211"/>
        <v>345.41666666666663</v>
      </c>
      <c r="AH588" s="235">
        <f>'CT- € Ellipsis BNP'!X588</f>
        <v>0</v>
      </c>
      <c r="AI588" s="236">
        <f>'CT- € Ellipsis BNP'!AA588</f>
        <v>0</v>
      </c>
      <c r="AJ588" s="90">
        <f>'CT- € Ellipsis BNP'!W588</f>
        <v>0</v>
      </c>
      <c r="AK588" s="91">
        <f>'CT- € Ellipsis BNP'!AC588</f>
        <v>0</v>
      </c>
      <c r="AM588" s="235">
        <f>'codeis €'!Z588</f>
        <v>0</v>
      </c>
      <c r="AN588" s="236">
        <f>'codeis €'!AF588</f>
        <v>0</v>
      </c>
      <c r="AO588" s="90">
        <f>'codeis €'!AC588</f>
        <v>0</v>
      </c>
      <c r="AP588" s="91">
        <f>'codeis €'!AI588</f>
        <v>0</v>
      </c>
      <c r="AR588" s="12">
        <f t="shared" si="212"/>
        <v>67260956.159999996</v>
      </c>
      <c r="AS588" s="118">
        <f t="shared" si="213"/>
        <v>0.02</v>
      </c>
      <c r="AT588" s="118">
        <f t="shared" si="214"/>
        <v>2.0428995474183843E-2</v>
      </c>
      <c r="AU588" s="12">
        <f t="shared" si="215"/>
        <v>3816.871580505328</v>
      </c>
      <c r="AV588" s="12">
        <f t="shared" si="216"/>
        <v>547.24176717199384</v>
      </c>
      <c r="AW588" s="19"/>
    </row>
    <row r="589" spans="2:49" x14ac:dyDescent="0.25">
      <c r="B589" s="9" t="str">
        <f t="shared" si="199"/>
        <v>8 2026</v>
      </c>
      <c r="C589" s="88">
        <f t="shared" si="200"/>
        <v>46238</v>
      </c>
      <c r="D589" s="88">
        <f t="shared" si="229"/>
        <v>46239</v>
      </c>
      <c r="E589" s="89">
        <f t="shared" si="201"/>
        <v>1</v>
      </c>
      <c r="G589" s="11" t="s">
        <v>7</v>
      </c>
      <c r="H589" s="12">
        <f t="shared" si="231"/>
        <v>34250000</v>
      </c>
      <c r="I589" s="14">
        <f t="shared" si="231"/>
        <v>1.7500000000000002E-2</v>
      </c>
      <c r="J589" s="13">
        <f t="shared" si="202"/>
        <v>1664.9305555555557</v>
      </c>
      <c r="K589" s="13">
        <f t="shared" si="203"/>
        <v>270171.31944444519</v>
      </c>
      <c r="M589" s="11" t="s">
        <v>7</v>
      </c>
      <c r="N589" s="12">
        <f t="shared" si="234"/>
        <v>12000000</v>
      </c>
      <c r="O589" s="97">
        <f t="shared" si="234"/>
        <v>2.1698630136986304E-2</v>
      </c>
      <c r="P589" s="112">
        <f t="shared" si="204"/>
        <v>723.28767123287685</v>
      </c>
      <c r="Q589" s="13">
        <f t="shared" si="205"/>
        <v>156953.42465753437</v>
      </c>
      <c r="R589" s="13">
        <f t="shared" si="206"/>
        <v>139.95433789954348</v>
      </c>
      <c r="T589" s="11" t="str">
        <f t="shared" si="232"/>
        <v>SG</v>
      </c>
      <c r="U589" s="12">
        <f t="shared" si="232"/>
        <v>6010956.1600000001</v>
      </c>
      <c r="V589" s="97">
        <f t="shared" si="232"/>
        <v>2.1205479452054792E-2</v>
      </c>
      <c r="W589" s="13">
        <f t="shared" si="207"/>
        <v>354.0700203835616</v>
      </c>
      <c r="X589" s="13">
        <f t="shared" si="227"/>
        <v>76826.095431890062</v>
      </c>
      <c r="Y589" s="13">
        <f t="shared" si="208"/>
        <v>61.870762605783796</v>
      </c>
      <c r="AA589" s="11" t="s">
        <v>189</v>
      </c>
      <c r="AB589" s="98">
        <f t="shared" si="233"/>
        <v>15000000</v>
      </c>
      <c r="AC589" s="97">
        <f t="shared" si="233"/>
        <v>2.579E-2</v>
      </c>
      <c r="AD589" s="13">
        <f t="shared" si="209"/>
        <v>1074.5833333333333</v>
      </c>
      <c r="AE589" s="13">
        <f t="shared" si="210"/>
        <v>233184.58333333401</v>
      </c>
      <c r="AF589" s="13">
        <f t="shared" si="211"/>
        <v>345.41666666666663</v>
      </c>
      <c r="AH589" s="235">
        <f>'CT- € Ellipsis BNP'!X589</f>
        <v>0</v>
      </c>
      <c r="AI589" s="236">
        <f>'CT- € Ellipsis BNP'!AA589</f>
        <v>0</v>
      </c>
      <c r="AJ589" s="90">
        <f>'CT- € Ellipsis BNP'!W589</f>
        <v>0</v>
      </c>
      <c r="AK589" s="91">
        <f>'CT- € Ellipsis BNP'!AC589</f>
        <v>0</v>
      </c>
      <c r="AM589" s="235">
        <f>'codeis €'!Z589</f>
        <v>0</v>
      </c>
      <c r="AN589" s="236">
        <f>'codeis €'!AF589</f>
        <v>0</v>
      </c>
      <c r="AO589" s="90">
        <f>'codeis €'!AC589</f>
        <v>0</v>
      </c>
      <c r="AP589" s="91">
        <f>'codeis €'!AI589</f>
        <v>0</v>
      </c>
      <c r="AR589" s="12">
        <f t="shared" si="212"/>
        <v>67260956.159999996</v>
      </c>
      <c r="AS589" s="118">
        <f t="shared" si="213"/>
        <v>0.02</v>
      </c>
      <c r="AT589" s="118">
        <f t="shared" si="214"/>
        <v>2.0428995474183843E-2</v>
      </c>
      <c r="AU589" s="12">
        <f t="shared" si="215"/>
        <v>3816.871580505328</v>
      </c>
      <c r="AV589" s="12">
        <f t="shared" si="216"/>
        <v>547.24176717199384</v>
      </c>
      <c r="AW589" s="19"/>
    </row>
    <row r="590" spans="2:49" x14ac:dyDescent="0.25">
      <c r="B590" s="9" t="str">
        <f t="shared" si="199"/>
        <v>8 2026</v>
      </c>
      <c r="C590" s="88">
        <f t="shared" si="200"/>
        <v>46239</v>
      </c>
      <c r="D590" s="88">
        <f t="shared" si="229"/>
        <v>46240</v>
      </c>
      <c r="E590" s="89">
        <f t="shared" si="201"/>
        <v>1</v>
      </c>
      <c r="G590" s="11" t="s">
        <v>7</v>
      </c>
      <c r="H590" s="12">
        <f t="shared" si="231"/>
        <v>34250000</v>
      </c>
      <c r="I590" s="14">
        <f t="shared" si="231"/>
        <v>1.7500000000000002E-2</v>
      </c>
      <c r="J590" s="13">
        <f t="shared" si="202"/>
        <v>1664.9305555555557</v>
      </c>
      <c r="K590" s="13">
        <f t="shared" si="203"/>
        <v>271836.25000000076</v>
      </c>
      <c r="M590" s="11" t="s">
        <v>7</v>
      </c>
      <c r="N590" s="12">
        <f t="shared" si="234"/>
        <v>12000000</v>
      </c>
      <c r="O590" s="97">
        <f t="shared" si="234"/>
        <v>2.1698630136986304E-2</v>
      </c>
      <c r="P590" s="112">
        <f t="shared" si="204"/>
        <v>723.28767123287685</v>
      </c>
      <c r="Q590" s="13">
        <f t="shared" si="205"/>
        <v>157676.71232876726</v>
      </c>
      <c r="R590" s="13">
        <f t="shared" si="206"/>
        <v>139.95433789954348</v>
      </c>
      <c r="T590" s="11" t="str">
        <f t="shared" si="232"/>
        <v>SG</v>
      </c>
      <c r="U590" s="12">
        <f t="shared" si="232"/>
        <v>6010956.1600000001</v>
      </c>
      <c r="V590" s="97">
        <f t="shared" si="232"/>
        <v>2.1205479452054792E-2</v>
      </c>
      <c r="W590" s="13">
        <f t="shared" si="207"/>
        <v>354.0700203835616</v>
      </c>
      <c r="X590" s="13">
        <f t="shared" si="227"/>
        <v>77180.165452273621</v>
      </c>
      <c r="Y590" s="13">
        <f t="shared" si="208"/>
        <v>61.870762605783796</v>
      </c>
      <c r="AA590" s="11" t="s">
        <v>189</v>
      </c>
      <c r="AB590" s="98">
        <f t="shared" si="233"/>
        <v>15000000</v>
      </c>
      <c r="AC590" s="97">
        <f t="shared" si="233"/>
        <v>2.579E-2</v>
      </c>
      <c r="AD590" s="13">
        <f t="shared" si="209"/>
        <v>1074.5833333333333</v>
      </c>
      <c r="AE590" s="13">
        <f t="shared" si="210"/>
        <v>234259.16666666736</v>
      </c>
      <c r="AF590" s="13">
        <f t="shared" si="211"/>
        <v>345.41666666666663</v>
      </c>
      <c r="AH590" s="235">
        <f>'CT- € Ellipsis BNP'!X590</f>
        <v>0</v>
      </c>
      <c r="AI590" s="236">
        <f>'CT- € Ellipsis BNP'!AA590</f>
        <v>0</v>
      </c>
      <c r="AJ590" s="90">
        <f>'CT- € Ellipsis BNP'!W590</f>
        <v>0</v>
      </c>
      <c r="AK590" s="91">
        <f>'CT- € Ellipsis BNP'!AC590</f>
        <v>0</v>
      </c>
      <c r="AM590" s="235">
        <f>'codeis €'!Z590</f>
        <v>0</v>
      </c>
      <c r="AN590" s="236">
        <f>'codeis €'!AF590</f>
        <v>0</v>
      </c>
      <c r="AO590" s="90">
        <f>'codeis €'!AC590</f>
        <v>0</v>
      </c>
      <c r="AP590" s="91">
        <f>'codeis €'!AI590</f>
        <v>0</v>
      </c>
      <c r="AR590" s="12">
        <f t="shared" si="212"/>
        <v>67260956.159999996</v>
      </c>
      <c r="AS590" s="118">
        <f t="shared" si="213"/>
        <v>0.02</v>
      </c>
      <c r="AT590" s="118">
        <f t="shared" si="214"/>
        <v>2.0428995474183843E-2</v>
      </c>
      <c r="AU590" s="12">
        <f t="shared" si="215"/>
        <v>3816.871580505328</v>
      </c>
      <c r="AV590" s="12">
        <f t="shared" si="216"/>
        <v>547.24176717199384</v>
      </c>
      <c r="AW590" s="19"/>
    </row>
    <row r="591" spans="2:49" x14ac:dyDescent="0.25">
      <c r="B591" s="9" t="str">
        <f t="shared" si="199"/>
        <v>8 2026</v>
      </c>
      <c r="C591" s="88">
        <f t="shared" si="200"/>
        <v>46240</v>
      </c>
      <c r="D591" s="88">
        <f t="shared" si="229"/>
        <v>46241</v>
      </c>
      <c r="E591" s="89">
        <f t="shared" si="201"/>
        <v>1</v>
      </c>
      <c r="G591" s="11" t="s">
        <v>7</v>
      </c>
      <c r="H591" s="12">
        <f t="shared" si="231"/>
        <v>34250000</v>
      </c>
      <c r="I591" s="14">
        <f t="shared" si="231"/>
        <v>1.7500000000000002E-2</v>
      </c>
      <c r="J591" s="13">
        <f t="shared" si="202"/>
        <v>1664.9305555555557</v>
      </c>
      <c r="K591" s="13">
        <f t="shared" si="203"/>
        <v>273501.18055555632</v>
      </c>
      <c r="M591" s="11" t="s">
        <v>7</v>
      </c>
      <c r="N591" s="12">
        <f t="shared" si="234"/>
        <v>12000000</v>
      </c>
      <c r="O591" s="97">
        <f t="shared" si="234"/>
        <v>2.1698630136986304E-2</v>
      </c>
      <c r="P591" s="112">
        <f t="shared" si="204"/>
        <v>723.28767123287685</v>
      </c>
      <c r="Q591" s="13">
        <f t="shared" si="205"/>
        <v>158400.00000000015</v>
      </c>
      <c r="R591" s="13">
        <f t="shared" si="206"/>
        <v>139.95433789954348</v>
      </c>
      <c r="T591" s="11" t="str">
        <f t="shared" si="232"/>
        <v>SG</v>
      </c>
      <c r="U591" s="12">
        <f t="shared" si="232"/>
        <v>6010956.1600000001</v>
      </c>
      <c r="V591" s="97">
        <f t="shared" si="232"/>
        <v>2.1205479452054792E-2</v>
      </c>
      <c r="W591" s="13">
        <f t="shared" si="207"/>
        <v>354.0700203835616</v>
      </c>
      <c r="X591" s="13">
        <f t="shared" si="227"/>
        <v>77534.235472657179</v>
      </c>
      <c r="Y591" s="13">
        <f t="shared" si="208"/>
        <v>61.870762605783796</v>
      </c>
      <c r="AA591" s="11" t="s">
        <v>189</v>
      </c>
      <c r="AB591" s="98">
        <f t="shared" si="233"/>
        <v>15000000</v>
      </c>
      <c r="AC591" s="97">
        <f t="shared" si="233"/>
        <v>2.579E-2</v>
      </c>
      <c r="AD591" s="13">
        <f t="shared" si="209"/>
        <v>1074.5833333333333</v>
      </c>
      <c r="AE591" s="13">
        <f t="shared" si="210"/>
        <v>235333.7500000007</v>
      </c>
      <c r="AF591" s="13">
        <f t="shared" si="211"/>
        <v>345.41666666666663</v>
      </c>
      <c r="AH591" s="235">
        <f>'CT- € Ellipsis BNP'!X591</f>
        <v>0</v>
      </c>
      <c r="AI591" s="236">
        <f>'CT- € Ellipsis BNP'!AA591</f>
        <v>0</v>
      </c>
      <c r="AJ591" s="90">
        <f>'CT- € Ellipsis BNP'!W591</f>
        <v>0</v>
      </c>
      <c r="AK591" s="91">
        <f>'CT- € Ellipsis BNP'!AC591</f>
        <v>0</v>
      </c>
      <c r="AM591" s="235">
        <f>'codeis €'!Z591</f>
        <v>0</v>
      </c>
      <c r="AN591" s="236">
        <f>'codeis €'!AF591</f>
        <v>0</v>
      </c>
      <c r="AO591" s="90">
        <f>'codeis €'!AC591</f>
        <v>0</v>
      </c>
      <c r="AP591" s="91">
        <f>'codeis €'!AI591</f>
        <v>0</v>
      </c>
      <c r="AR591" s="12">
        <f t="shared" si="212"/>
        <v>67260956.159999996</v>
      </c>
      <c r="AS591" s="118">
        <f t="shared" si="213"/>
        <v>0.02</v>
      </c>
      <c r="AT591" s="118">
        <f t="shared" si="214"/>
        <v>2.0428995474183843E-2</v>
      </c>
      <c r="AU591" s="12">
        <f t="shared" si="215"/>
        <v>3816.871580505328</v>
      </c>
      <c r="AV591" s="12">
        <f t="shared" si="216"/>
        <v>547.24176717199384</v>
      </c>
      <c r="AW591" s="19"/>
    </row>
    <row r="592" spans="2:49" x14ac:dyDescent="0.25">
      <c r="B592" s="9" t="str">
        <f t="shared" si="199"/>
        <v>8 2026</v>
      </c>
      <c r="C592" s="88">
        <f t="shared" si="200"/>
        <v>46241</v>
      </c>
      <c r="D592" s="88">
        <f t="shared" si="229"/>
        <v>46242</v>
      </c>
      <c r="E592" s="89">
        <f t="shared" si="201"/>
        <v>1</v>
      </c>
      <c r="G592" s="11" t="s">
        <v>7</v>
      </c>
      <c r="H592" s="12">
        <f t="shared" si="231"/>
        <v>34250000</v>
      </c>
      <c r="I592" s="14">
        <f t="shared" si="231"/>
        <v>1.7500000000000002E-2</v>
      </c>
      <c r="J592" s="13">
        <f t="shared" si="202"/>
        <v>1664.9305555555557</v>
      </c>
      <c r="K592" s="13">
        <f t="shared" si="203"/>
        <v>275166.11111111188</v>
      </c>
      <c r="M592" s="11" t="s">
        <v>7</v>
      </c>
      <c r="N592" s="12">
        <f t="shared" si="234"/>
        <v>12000000</v>
      </c>
      <c r="O592" s="97">
        <f t="shared" si="234"/>
        <v>2.1698630136986304E-2</v>
      </c>
      <c r="P592" s="112">
        <f t="shared" si="204"/>
        <v>723.28767123287685</v>
      </c>
      <c r="Q592" s="13">
        <f t="shared" si="205"/>
        <v>159123.28767123303</v>
      </c>
      <c r="R592" s="13">
        <f t="shared" si="206"/>
        <v>139.95433789954348</v>
      </c>
      <c r="T592" s="11" t="str">
        <f t="shared" si="232"/>
        <v>SG</v>
      </c>
      <c r="U592" s="12">
        <f t="shared" si="232"/>
        <v>6010956.1600000001</v>
      </c>
      <c r="V592" s="97">
        <f t="shared" si="232"/>
        <v>2.1205479452054792E-2</v>
      </c>
      <c r="W592" s="13">
        <f t="shared" si="207"/>
        <v>354.0700203835616</v>
      </c>
      <c r="X592" s="13">
        <f t="shared" si="227"/>
        <v>77888.305493040738</v>
      </c>
      <c r="Y592" s="13">
        <f t="shared" si="208"/>
        <v>61.870762605783796</v>
      </c>
      <c r="AA592" s="11" t="s">
        <v>189</v>
      </c>
      <c r="AB592" s="98">
        <f t="shared" si="233"/>
        <v>15000000</v>
      </c>
      <c r="AC592" s="97">
        <f t="shared" si="233"/>
        <v>2.579E-2</v>
      </c>
      <c r="AD592" s="13">
        <f t="shared" si="209"/>
        <v>1074.5833333333333</v>
      </c>
      <c r="AE592" s="13">
        <f t="shared" si="210"/>
        <v>236408.33333333404</v>
      </c>
      <c r="AF592" s="13">
        <f t="shared" si="211"/>
        <v>345.41666666666663</v>
      </c>
      <c r="AH592" s="235">
        <f>'CT- € Ellipsis BNP'!X592</f>
        <v>0</v>
      </c>
      <c r="AI592" s="236">
        <f>'CT- € Ellipsis BNP'!AA592</f>
        <v>0</v>
      </c>
      <c r="AJ592" s="90">
        <f>'CT- € Ellipsis BNP'!W592</f>
        <v>0</v>
      </c>
      <c r="AK592" s="91">
        <f>'CT- € Ellipsis BNP'!AC592</f>
        <v>0</v>
      </c>
      <c r="AM592" s="235">
        <f>'codeis €'!Z592</f>
        <v>0</v>
      </c>
      <c r="AN592" s="236">
        <f>'codeis €'!AF592</f>
        <v>0</v>
      </c>
      <c r="AO592" s="90">
        <f>'codeis €'!AC592</f>
        <v>0</v>
      </c>
      <c r="AP592" s="91">
        <f>'codeis €'!AI592</f>
        <v>0</v>
      </c>
      <c r="AR592" s="12">
        <f t="shared" si="212"/>
        <v>67260956.159999996</v>
      </c>
      <c r="AS592" s="118">
        <f t="shared" si="213"/>
        <v>0.02</v>
      </c>
      <c r="AT592" s="118">
        <f t="shared" si="214"/>
        <v>2.0428995474183843E-2</v>
      </c>
      <c r="AU592" s="12">
        <f t="shared" si="215"/>
        <v>3816.871580505328</v>
      </c>
      <c r="AV592" s="12">
        <f t="shared" si="216"/>
        <v>547.24176717199384</v>
      </c>
      <c r="AW592" s="19"/>
    </row>
    <row r="593" spans="2:49" x14ac:dyDescent="0.25">
      <c r="B593" s="9" t="str">
        <f t="shared" si="199"/>
        <v>8 2026</v>
      </c>
      <c r="C593" s="88">
        <f t="shared" si="200"/>
        <v>46242</v>
      </c>
      <c r="D593" s="88">
        <f t="shared" si="229"/>
        <v>46243</v>
      </c>
      <c r="E593" s="89">
        <f t="shared" si="201"/>
        <v>1</v>
      </c>
      <c r="G593" s="11" t="s">
        <v>7</v>
      </c>
      <c r="H593" s="12">
        <f t="shared" si="231"/>
        <v>34250000</v>
      </c>
      <c r="I593" s="14">
        <f t="shared" si="231"/>
        <v>1.7500000000000002E-2</v>
      </c>
      <c r="J593" s="13">
        <f t="shared" si="202"/>
        <v>1664.9305555555557</v>
      </c>
      <c r="K593" s="13">
        <f t="shared" si="203"/>
        <v>276831.04166666744</v>
      </c>
      <c r="M593" s="11" t="s">
        <v>7</v>
      </c>
      <c r="N593" s="12">
        <f t="shared" si="234"/>
        <v>12000000</v>
      </c>
      <c r="O593" s="97">
        <f t="shared" si="234"/>
        <v>2.1698630136986304E-2</v>
      </c>
      <c r="P593" s="112">
        <f t="shared" si="204"/>
        <v>723.28767123287685</v>
      </c>
      <c r="Q593" s="13">
        <f t="shared" si="205"/>
        <v>159846.57534246592</v>
      </c>
      <c r="R593" s="13">
        <f t="shared" si="206"/>
        <v>139.95433789954348</v>
      </c>
      <c r="T593" s="11" t="str">
        <f t="shared" si="232"/>
        <v>SG</v>
      </c>
      <c r="U593" s="12">
        <f t="shared" si="232"/>
        <v>6010956.1600000001</v>
      </c>
      <c r="V593" s="97">
        <f t="shared" si="232"/>
        <v>2.1205479452054792E-2</v>
      </c>
      <c r="W593" s="13">
        <f t="shared" si="207"/>
        <v>354.0700203835616</v>
      </c>
      <c r="X593" s="13">
        <f t="shared" si="227"/>
        <v>78242.375513424297</v>
      </c>
      <c r="Y593" s="13">
        <f t="shared" si="208"/>
        <v>61.870762605783796</v>
      </c>
      <c r="AA593" s="11" t="s">
        <v>189</v>
      </c>
      <c r="AB593" s="98">
        <f t="shared" si="233"/>
        <v>15000000</v>
      </c>
      <c r="AC593" s="97">
        <f t="shared" si="233"/>
        <v>2.579E-2</v>
      </c>
      <c r="AD593" s="13">
        <f t="shared" si="209"/>
        <v>1074.5833333333333</v>
      </c>
      <c r="AE593" s="13">
        <f t="shared" si="210"/>
        <v>237482.91666666738</v>
      </c>
      <c r="AF593" s="13">
        <f t="shared" si="211"/>
        <v>345.41666666666663</v>
      </c>
      <c r="AH593" s="235">
        <f>'CT- € Ellipsis BNP'!X593</f>
        <v>0</v>
      </c>
      <c r="AI593" s="236">
        <f>'CT- € Ellipsis BNP'!AA593</f>
        <v>0</v>
      </c>
      <c r="AJ593" s="90">
        <f>'CT- € Ellipsis BNP'!W593</f>
        <v>0</v>
      </c>
      <c r="AK593" s="91">
        <f>'CT- € Ellipsis BNP'!AC593</f>
        <v>0</v>
      </c>
      <c r="AM593" s="235">
        <f>'codeis €'!Z593</f>
        <v>0</v>
      </c>
      <c r="AN593" s="236">
        <f>'codeis €'!AF593</f>
        <v>0</v>
      </c>
      <c r="AO593" s="90">
        <f>'codeis €'!AC593</f>
        <v>0</v>
      </c>
      <c r="AP593" s="91">
        <f>'codeis €'!AI593</f>
        <v>0</v>
      </c>
      <c r="AR593" s="12">
        <f t="shared" si="212"/>
        <v>67260956.159999996</v>
      </c>
      <c r="AS593" s="118">
        <f t="shared" si="213"/>
        <v>0.02</v>
      </c>
      <c r="AT593" s="118">
        <f t="shared" si="214"/>
        <v>2.0428995474183843E-2</v>
      </c>
      <c r="AU593" s="12">
        <f t="shared" si="215"/>
        <v>3816.871580505328</v>
      </c>
      <c r="AV593" s="12">
        <f t="shared" si="216"/>
        <v>547.24176717199384</v>
      </c>
      <c r="AW593" s="19"/>
    </row>
    <row r="594" spans="2:49" x14ac:dyDescent="0.25">
      <c r="B594" s="9" t="str">
        <f t="shared" si="199"/>
        <v>8 2026</v>
      </c>
      <c r="C594" s="88">
        <f t="shared" si="200"/>
        <v>46243</v>
      </c>
      <c r="D594" s="88">
        <f t="shared" si="229"/>
        <v>46244</v>
      </c>
      <c r="E594" s="89">
        <f t="shared" si="201"/>
        <v>1</v>
      </c>
      <c r="G594" s="11" t="s">
        <v>7</v>
      </c>
      <c r="H594" s="12">
        <f t="shared" si="231"/>
        <v>34250000</v>
      </c>
      <c r="I594" s="14">
        <f t="shared" si="231"/>
        <v>1.7500000000000002E-2</v>
      </c>
      <c r="J594" s="13">
        <f t="shared" si="202"/>
        <v>1664.9305555555557</v>
      </c>
      <c r="K594" s="13">
        <f t="shared" si="203"/>
        <v>278495.972222223</v>
      </c>
      <c r="M594" s="11" t="s">
        <v>7</v>
      </c>
      <c r="N594" s="12">
        <f t="shared" si="234"/>
        <v>12000000</v>
      </c>
      <c r="O594" s="97">
        <f t="shared" si="234"/>
        <v>2.1698630136986304E-2</v>
      </c>
      <c r="P594" s="112">
        <f t="shared" si="204"/>
        <v>723.28767123287685</v>
      </c>
      <c r="Q594" s="13">
        <f t="shared" si="205"/>
        <v>160569.86301369881</v>
      </c>
      <c r="R594" s="13">
        <f t="shared" si="206"/>
        <v>139.95433789954348</v>
      </c>
      <c r="T594" s="11" t="str">
        <f t="shared" si="232"/>
        <v>SG</v>
      </c>
      <c r="U594" s="12">
        <f t="shared" si="232"/>
        <v>6010956.1600000001</v>
      </c>
      <c r="V594" s="97">
        <f t="shared" si="232"/>
        <v>2.1205479452054792E-2</v>
      </c>
      <c r="W594" s="13">
        <f t="shared" si="207"/>
        <v>354.0700203835616</v>
      </c>
      <c r="X594" s="13">
        <f t="shared" si="227"/>
        <v>78596.445533807855</v>
      </c>
      <c r="Y594" s="13">
        <f t="shared" si="208"/>
        <v>61.870762605783796</v>
      </c>
      <c r="AA594" s="11" t="s">
        <v>189</v>
      </c>
      <c r="AB594" s="98">
        <f t="shared" si="233"/>
        <v>15000000</v>
      </c>
      <c r="AC594" s="97">
        <f t="shared" si="233"/>
        <v>2.579E-2</v>
      </c>
      <c r="AD594" s="13">
        <f t="shared" si="209"/>
        <v>1074.5833333333333</v>
      </c>
      <c r="AE594" s="13">
        <f t="shared" si="210"/>
        <v>238557.50000000073</v>
      </c>
      <c r="AF594" s="13">
        <f t="shared" si="211"/>
        <v>345.41666666666663</v>
      </c>
      <c r="AH594" s="235">
        <f>'CT- € Ellipsis BNP'!X594</f>
        <v>0</v>
      </c>
      <c r="AI594" s="236">
        <f>'CT- € Ellipsis BNP'!AA594</f>
        <v>0</v>
      </c>
      <c r="AJ594" s="90">
        <f>'CT- € Ellipsis BNP'!W594</f>
        <v>0</v>
      </c>
      <c r="AK594" s="91">
        <f>'CT- € Ellipsis BNP'!AC594</f>
        <v>0</v>
      </c>
      <c r="AM594" s="235">
        <f>'codeis €'!Z594</f>
        <v>0</v>
      </c>
      <c r="AN594" s="236">
        <f>'codeis €'!AF594</f>
        <v>0</v>
      </c>
      <c r="AO594" s="90">
        <f>'codeis €'!AC594</f>
        <v>0</v>
      </c>
      <c r="AP594" s="91">
        <f>'codeis €'!AI594</f>
        <v>0</v>
      </c>
      <c r="AR594" s="12">
        <f t="shared" si="212"/>
        <v>67260956.159999996</v>
      </c>
      <c r="AS594" s="118">
        <f t="shared" si="213"/>
        <v>0.02</v>
      </c>
      <c r="AT594" s="118">
        <f t="shared" si="214"/>
        <v>2.0428995474183843E-2</v>
      </c>
      <c r="AU594" s="12">
        <f t="shared" si="215"/>
        <v>3816.871580505328</v>
      </c>
      <c r="AV594" s="12">
        <f t="shared" si="216"/>
        <v>547.24176717199384</v>
      </c>
      <c r="AW594" s="19"/>
    </row>
    <row r="595" spans="2:49" x14ac:dyDescent="0.25">
      <c r="B595" s="9" t="str">
        <f t="shared" si="199"/>
        <v>8 2026</v>
      </c>
      <c r="C595" s="88">
        <f t="shared" si="200"/>
        <v>46244</v>
      </c>
      <c r="D595" s="88">
        <f t="shared" si="229"/>
        <v>46245</v>
      </c>
      <c r="E595" s="89">
        <f t="shared" si="201"/>
        <v>1</v>
      </c>
      <c r="G595" s="11" t="s">
        <v>7</v>
      </c>
      <c r="H595" s="12">
        <f t="shared" si="231"/>
        <v>34250000</v>
      </c>
      <c r="I595" s="14">
        <f t="shared" si="231"/>
        <v>1.7500000000000002E-2</v>
      </c>
      <c r="J595" s="13">
        <f t="shared" si="202"/>
        <v>1664.9305555555557</v>
      </c>
      <c r="K595" s="13">
        <f t="shared" si="203"/>
        <v>280160.90277777857</v>
      </c>
      <c r="M595" s="11" t="s">
        <v>7</v>
      </c>
      <c r="N595" s="12">
        <f t="shared" si="234"/>
        <v>12000000</v>
      </c>
      <c r="O595" s="97">
        <f t="shared" si="234"/>
        <v>2.1698630136986304E-2</v>
      </c>
      <c r="P595" s="112">
        <f t="shared" si="204"/>
        <v>723.28767123287685</v>
      </c>
      <c r="Q595" s="13">
        <f t="shared" si="205"/>
        <v>161293.15068493169</v>
      </c>
      <c r="R595" s="13">
        <f t="shared" si="206"/>
        <v>139.95433789954348</v>
      </c>
      <c r="T595" s="11" t="str">
        <f t="shared" si="232"/>
        <v>SG</v>
      </c>
      <c r="U595" s="12">
        <f t="shared" si="232"/>
        <v>6010956.1600000001</v>
      </c>
      <c r="V595" s="97">
        <f t="shared" si="232"/>
        <v>2.1205479452054792E-2</v>
      </c>
      <c r="W595" s="13">
        <f t="shared" si="207"/>
        <v>354.0700203835616</v>
      </c>
      <c r="X595" s="13">
        <f t="shared" si="227"/>
        <v>78950.515554191414</v>
      </c>
      <c r="Y595" s="13">
        <f t="shared" si="208"/>
        <v>61.870762605783796</v>
      </c>
      <c r="AA595" s="11" t="s">
        <v>189</v>
      </c>
      <c r="AB595" s="98">
        <f t="shared" si="233"/>
        <v>15000000</v>
      </c>
      <c r="AC595" s="97">
        <f t="shared" si="233"/>
        <v>2.579E-2</v>
      </c>
      <c r="AD595" s="13">
        <f t="shared" si="209"/>
        <v>1074.5833333333333</v>
      </c>
      <c r="AE595" s="13">
        <f t="shared" si="210"/>
        <v>239632.08333333407</v>
      </c>
      <c r="AF595" s="13">
        <f t="shared" si="211"/>
        <v>345.41666666666663</v>
      </c>
      <c r="AH595" s="235">
        <f>'CT- € Ellipsis BNP'!X595</f>
        <v>0</v>
      </c>
      <c r="AI595" s="236">
        <f>'CT- € Ellipsis BNP'!AA595</f>
        <v>0</v>
      </c>
      <c r="AJ595" s="90">
        <f>'CT- € Ellipsis BNP'!W595</f>
        <v>0</v>
      </c>
      <c r="AK595" s="91">
        <f>'CT- € Ellipsis BNP'!AC595</f>
        <v>0</v>
      </c>
      <c r="AM595" s="235">
        <f>'codeis €'!Z595</f>
        <v>0</v>
      </c>
      <c r="AN595" s="236">
        <f>'codeis €'!AF595</f>
        <v>0</v>
      </c>
      <c r="AO595" s="90">
        <f>'codeis €'!AC595</f>
        <v>0</v>
      </c>
      <c r="AP595" s="91">
        <f>'codeis €'!AI595</f>
        <v>0</v>
      </c>
      <c r="AR595" s="12">
        <f t="shared" si="212"/>
        <v>67260956.159999996</v>
      </c>
      <c r="AS595" s="118">
        <f t="shared" si="213"/>
        <v>0.02</v>
      </c>
      <c r="AT595" s="118">
        <f t="shared" si="214"/>
        <v>2.0428995474183843E-2</v>
      </c>
      <c r="AU595" s="12">
        <f t="shared" si="215"/>
        <v>3816.871580505328</v>
      </c>
      <c r="AV595" s="12">
        <f t="shared" si="216"/>
        <v>547.24176717199384</v>
      </c>
      <c r="AW595" s="19"/>
    </row>
    <row r="596" spans="2:49" x14ac:dyDescent="0.25">
      <c r="B596" s="9" t="str">
        <f t="shared" si="199"/>
        <v>8 2026</v>
      </c>
      <c r="C596" s="88">
        <f t="shared" si="200"/>
        <v>46245</v>
      </c>
      <c r="D596" s="88">
        <f t="shared" si="229"/>
        <v>46246</v>
      </c>
      <c r="E596" s="89">
        <f t="shared" si="201"/>
        <v>1</v>
      </c>
      <c r="G596" s="11" t="s">
        <v>7</v>
      </c>
      <c r="H596" s="12">
        <f t="shared" si="231"/>
        <v>34250000</v>
      </c>
      <c r="I596" s="14">
        <f t="shared" si="231"/>
        <v>1.7500000000000002E-2</v>
      </c>
      <c r="J596" s="13">
        <f t="shared" si="202"/>
        <v>1664.9305555555557</v>
      </c>
      <c r="K596" s="13">
        <f t="shared" si="203"/>
        <v>281825.83333333413</v>
      </c>
      <c r="M596" s="11" t="s">
        <v>7</v>
      </c>
      <c r="N596" s="12">
        <f t="shared" si="234"/>
        <v>12000000</v>
      </c>
      <c r="O596" s="97">
        <f t="shared" si="234"/>
        <v>2.1698630136986304E-2</v>
      </c>
      <c r="P596" s="112">
        <f t="shared" si="204"/>
        <v>723.28767123287685</v>
      </c>
      <c r="Q596" s="13">
        <f t="shared" si="205"/>
        <v>162016.43835616458</v>
      </c>
      <c r="R596" s="13">
        <f t="shared" si="206"/>
        <v>139.95433789954348</v>
      </c>
      <c r="T596" s="11" t="str">
        <f t="shared" si="232"/>
        <v>SG</v>
      </c>
      <c r="U596" s="12">
        <f t="shared" si="232"/>
        <v>6010956.1600000001</v>
      </c>
      <c r="V596" s="97">
        <f t="shared" si="232"/>
        <v>2.1205479452054792E-2</v>
      </c>
      <c r="W596" s="13">
        <f t="shared" si="207"/>
        <v>354.0700203835616</v>
      </c>
      <c r="X596" s="13">
        <f t="shared" si="227"/>
        <v>79304.585574574972</v>
      </c>
      <c r="Y596" s="13">
        <f t="shared" si="208"/>
        <v>61.870762605783796</v>
      </c>
      <c r="AA596" s="11" t="s">
        <v>189</v>
      </c>
      <c r="AB596" s="98">
        <f t="shared" si="233"/>
        <v>15000000</v>
      </c>
      <c r="AC596" s="97">
        <f t="shared" si="233"/>
        <v>2.579E-2</v>
      </c>
      <c r="AD596" s="13">
        <f t="shared" si="209"/>
        <v>1074.5833333333333</v>
      </c>
      <c r="AE596" s="13">
        <f t="shared" si="210"/>
        <v>240706.66666666741</v>
      </c>
      <c r="AF596" s="13">
        <f t="shared" si="211"/>
        <v>345.41666666666663</v>
      </c>
      <c r="AH596" s="235">
        <f>'CT- € Ellipsis BNP'!X596</f>
        <v>0</v>
      </c>
      <c r="AI596" s="236">
        <f>'CT- € Ellipsis BNP'!AA596</f>
        <v>0</v>
      </c>
      <c r="AJ596" s="90">
        <f>'CT- € Ellipsis BNP'!W596</f>
        <v>0</v>
      </c>
      <c r="AK596" s="91">
        <f>'CT- € Ellipsis BNP'!AC596</f>
        <v>0</v>
      </c>
      <c r="AM596" s="235">
        <f>'codeis €'!Z596</f>
        <v>0</v>
      </c>
      <c r="AN596" s="236">
        <f>'codeis €'!AF596</f>
        <v>0</v>
      </c>
      <c r="AO596" s="90">
        <f>'codeis €'!AC596</f>
        <v>0</v>
      </c>
      <c r="AP596" s="91">
        <f>'codeis €'!AI596</f>
        <v>0</v>
      </c>
      <c r="AR596" s="12">
        <f t="shared" si="212"/>
        <v>67260956.159999996</v>
      </c>
      <c r="AS596" s="118">
        <f t="shared" si="213"/>
        <v>0.02</v>
      </c>
      <c r="AT596" s="118">
        <f t="shared" si="214"/>
        <v>2.0428995474183843E-2</v>
      </c>
      <c r="AU596" s="12">
        <f t="shared" si="215"/>
        <v>3816.871580505328</v>
      </c>
      <c r="AV596" s="12">
        <f t="shared" si="216"/>
        <v>547.24176717199384</v>
      </c>
      <c r="AW596" s="19"/>
    </row>
    <row r="597" spans="2:49" x14ac:dyDescent="0.25">
      <c r="B597" s="9" t="str">
        <f t="shared" ref="B597:B660" si="235">CONCATENATE(MONTH(D597)," ",YEAR(D597))</f>
        <v>8 2026</v>
      </c>
      <c r="C597" s="88">
        <f t="shared" ref="C597:C660" si="236">D596</f>
        <v>46246</v>
      </c>
      <c r="D597" s="88">
        <f t="shared" si="229"/>
        <v>46247</v>
      </c>
      <c r="E597" s="89">
        <f t="shared" ref="E597:E660" si="237">D597-C597</f>
        <v>1</v>
      </c>
      <c r="G597" s="11" t="s">
        <v>7</v>
      </c>
      <c r="H597" s="12">
        <f t="shared" si="231"/>
        <v>34250000</v>
      </c>
      <c r="I597" s="14">
        <f t="shared" si="231"/>
        <v>1.7500000000000002E-2</v>
      </c>
      <c r="J597" s="13">
        <f t="shared" ref="J597:J660" si="238">+H597*I597*E597/360</f>
        <v>1664.9305555555557</v>
      </c>
      <c r="K597" s="13">
        <f t="shared" ref="K597:K660" si="239">K596+J597</f>
        <v>283490.76388888969</v>
      </c>
      <c r="M597" s="11" t="s">
        <v>7</v>
      </c>
      <c r="N597" s="12">
        <f t="shared" si="234"/>
        <v>12000000</v>
      </c>
      <c r="O597" s="97">
        <f t="shared" si="234"/>
        <v>2.1698630136986304E-2</v>
      </c>
      <c r="P597" s="112">
        <f t="shared" ref="P597:P660" si="240">+N597*O597*$E597/360</f>
        <v>723.28767123287685</v>
      </c>
      <c r="Q597" s="13">
        <f t="shared" ref="Q597:Q660" si="241">Q596+P597</f>
        <v>162739.72602739747</v>
      </c>
      <c r="R597" s="13">
        <f t="shared" ref="R597:R660" si="242">P597-(+N597*I597*$E597/360)</f>
        <v>139.95433789954348</v>
      </c>
      <c r="T597" s="11" t="str">
        <f t="shared" si="232"/>
        <v>SG</v>
      </c>
      <c r="U597" s="12">
        <f t="shared" si="232"/>
        <v>6010956.1600000001</v>
      </c>
      <c r="V597" s="97">
        <f t="shared" si="232"/>
        <v>2.1205479452054792E-2</v>
      </c>
      <c r="W597" s="13">
        <f t="shared" ref="W597:W660" si="243">V597*U597*E597/360</f>
        <v>354.0700203835616</v>
      </c>
      <c r="X597" s="13">
        <f t="shared" si="227"/>
        <v>79658.655594958531</v>
      </c>
      <c r="Y597" s="13">
        <f t="shared" ref="Y597:Y660" si="244">W597-(+U597*$I597*$E597/360)</f>
        <v>61.870762605783796</v>
      </c>
      <c r="AA597" s="11" t="s">
        <v>189</v>
      </c>
      <c r="AB597" s="98">
        <f t="shared" si="233"/>
        <v>15000000</v>
      </c>
      <c r="AC597" s="97">
        <f t="shared" si="233"/>
        <v>2.579E-2</v>
      </c>
      <c r="AD597" s="13">
        <f t="shared" ref="AD597:AD660" si="245">+AB597*AC597*$E597/360</f>
        <v>1074.5833333333333</v>
      </c>
      <c r="AE597" s="13">
        <f t="shared" ref="AE597:AE660" si="246">AE596+AD597</f>
        <v>241781.25000000076</v>
      </c>
      <c r="AF597" s="13">
        <f t="shared" ref="AF597:AF660" si="247">AD597-((+AB597*$I597*$E597/360))</f>
        <v>345.41666666666663</v>
      </c>
      <c r="AH597" s="235">
        <f>'CT- € Ellipsis BNP'!X597</f>
        <v>0</v>
      </c>
      <c r="AI597" s="236">
        <f>'CT- € Ellipsis BNP'!AA597</f>
        <v>0</v>
      </c>
      <c r="AJ597" s="90">
        <f>'CT- € Ellipsis BNP'!W597</f>
        <v>0</v>
      </c>
      <c r="AK597" s="91">
        <f>'CT- € Ellipsis BNP'!AC597</f>
        <v>0</v>
      </c>
      <c r="AM597" s="235">
        <f>'codeis €'!Z597</f>
        <v>0</v>
      </c>
      <c r="AN597" s="236">
        <f>'codeis €'!AF597</f>
        <v>0</v>
      </c>
      <c r="AO597" s="90">
        <f>'codeis €'!AC597</f>
        <v>0</v>
      </c>
      <c r="AP597" s="91">
        <f>'codeis €'!AI597</f>
        <v>0</v>
      </c>
      <c r="AR597" s="12">
        <f t="shared" ref="AR597:AR660" si="248">+N597+H597++AH597+AM597+AB597+U597</f>
        <v>67260956.159999996</v>
      </c>
      <c r="AS597" s="118">
        <f t="shared" ref="AS597:AS660" si="249">AS596</f>
        <v>0.02</v>
      </c>
      <c r="AT597" s="118">
        <f t="shared" ref="AT597:AT660" si="250">SUM((I597*H597),(O597*N597),(U597*V597),(AB597*AC597),(AH597*AI597),(AM597*AN597))/AR597</f>
        <v>2.0428995474183843E-2</v>
      </c>
      <c r="AU597" s="12">
        <f t="shared" ref="AU597:AU660" si="251">+P597++J597+W597+AD597+AJ597+AO597</f>
        <v>3816.871580505328</v>
      </c>
      <c r="AV597" s="12">
        <f t="shared" ref="AV597:AV660" si="252">+R597+Y597+AF597+AK597+AP597</f>
        <v>547.24176717199384</v>
      </c>
      <c r="AW597" s="19"/>
    </row>
    <row r="598" spans="2:49" x14ac:dyDescent="0.25">
      <c r="B598" s="9" t="str">
        <f t="shared" si="235"/>
        <v>8 2026</v>
      </c>
      <c r="C598" s="88">
        <f t="shared" si="236"/>
        <v>46247</v>
      </c>
      <c r="D598" s="88">
        <f t="shared" si="229"/>
        <v>46248</v>
      </c>
      <c r="E598" s="89">
        <f t="shared" si="237"/>
        <v>1</v>
      </c>
      <c r="G598" s="11" t="s">
        <v>7</v>
      </c>
      <c r="H598" s="12">
        <f t="shared" si="231"/>
        <v>34250000</v>
      </c>
      <c r="I598" s="14">
        <f t="shared" si="231"/>
        <v>1.7500000000000002E-2</v>
      </c>
      <c r="J598" s="13">
        <f t="shared" si="238"/>
        <v>1664.9305555555557</v>
      </c>
      <c r="K598" s="13">
        <f t="shared" si="239"/>
        <v>285155.69444444525</v>
      </c>
      <c r="M598" s="11" t="s">
        <v>7</v>
      </c>
      <c r="N598" s="12">
        <f t="shared" si="234"/>
        <v>12000000</v>
      </c>
      <c r="O598" s="97">
        <f t="shared" si="234"/>
        <v>2.1698630136986304E-2</v>
      </c>
      <c r="P598" s="112">
        <f t="shared" si="240"/>
        <v>723.28767123287685</v>
      </c>
      <c r="Q598" s="13">
        <f t="shared" si="241"/>
        <v>163463.01369863036</v>
      </c>
      <c r="R598" s="13">
        <f t="shared" si="242"/>
        <v>139.95433789954348</v>
      </c>
      <c r="T598" s="11" t="str">
        <f t="shared" si="232"/>
        <v>SG</v>
      </c>
      <c r="U598" s="12">
        <f t="shared" si="232"/>
        <v>6010956.1600000001</v>
      </c>
      <c r="V598" s="97">
        <f t="shared" si="232"/>
        <v>2.1205479452054792E-2</v>
      </c>
      <c r="W598" s="13">
        <f t="shared" si="243"/>
        <v>354.0700203835616</v>
      </c>
      <c r="X598" s="13">
        <f t="shared" si="227"/>
        <v>80012.725615342089</v>
      </c>
      <c r="Y598" s="13">
        <f t="shared" si="244"/>
        <v>61.870762605783796</v>
      </c>
      <c r="AA598" s="11" t="s">
        <v>189</v>
      </c>
      <c r="AB598" s="98">
        <f t="shared" si="233"/>
        <v>15000000</v>
      </c>
      <c r="AC598" s="97">
        <f t="shared" si="233"/>
        <v>2.579E-2</v>
      </c>
      <c r="AD598" s="13">
        <f t="shared" si="245"/>
        <v>1074.5833333333333</v>
      </c>
      <c r="AE598" s="13">
        <f t="shared" si="246"/>
        <v>242855.8333333341</v>
      </c>
      <c r="AF598" s="13">
        <f t="shared" si="247"/>
        <v>345.41666666666663</v>
      </c>
      <c r="AH598" s="235">
        <f>'CT- € Ellipsis BNP'!X598</f>
        <v>0</v>
      </c>
      <c r="AI598" s="236">
        <f>'CT- € Ellipsis BNP'!AA598</f>
        <v>0</v>
      </c>
      <c r="AJ598" s="90">
        <f>'CT- € Ellipsis BNP'!W598</f>
        <v>0</v>
      </c>
      <c r="AK598" s="91">
        <f>'CT- € Ellipsis BNP'!AC598</f>
        <v>0</v>
      </c>
      <c r="AM598" s="235">
        <f>'codeis €'!Z598</f>
        <v>0</v>
      </c>
      <c r="AN598" s="236">
        <f>'codeis €'!AF598</f>
        <v>0</v>
      </c>
      <c r="AO598" s="90">
        <f>'codeis €'!AC598</f>
        <v>0</v>
      </c>
      <c r="AP598" s="91">
        <f>'codeis €'!AI598</f>
        <v>0</v>
      </c>
      <c r="AR598" s="12">
        <f t="shared" si="248"/>
        <v>67260956.159999996</v>
      </c>
      <c r="AS598" s="118">
        <f t="shared" si="249"/>
        <v>0.02</v>
      </c>
      <c r="AT598" s="118">
        <f t="shared" si="250"/>
        <v>2.0428995474183843E-2</v>
      </c>
      <c r="AU598" s="12">
        <f t="shared" si="251"/>
        <v>3816.871580505328</v>
      </c>
      <c r="AV598" s="12">
        <f t="shared" si="252"/>
        <v>547.24176717199384</v>
      </c>
      <c r="AW598" s="19"/>
    </row>
    <row r="599" spans="2:49" x14ac:dyDescent="0.25">
      <c r="B599" s="9" t="str">
        <f t="shared" si="235"/>
        <v>8 2026</v>
      </c>
      <c r="C599" s="88">
        <f t="shared" si="236"/>
        <v>46248</v>
      </c>
      <c r="D599" s="88">
        <f t="shared" si="229"/>
        <v>46249</v>
      </c>
      <c r="E599" s="89">
        <f t="shared" si="237"/>
        <v>1</v>
      </c>
      <c r="G599" s="11" t="s">
        <v>7</v>
      </c>
      <c r="H599" s="12">
        <f t="shared" ref="H599:I614" si="253">H598</f>
        <v>34250000</v>
      </c>
      <c r="I599" s="14">
        <f t="shared" si="253"/>
        <v>1.7500000000000002E-2</v>
      </c>
      <c r="J599" s="13">
        <f t="shared" si="238"/>
        <v>1664.9305555555557</v>
      </c>
      <c r="K599" s="13">
        <f t="shared" si="239"/>
        <v>286820.62500000081</v>
      </c>
      <c r="M599" s="11" t="s">
        <v>7</v>
      </c>
      <c r="N599" s="12">
        <f t="shared" si="234"/>
        <v>12000000</v>
      </c>
      <c r="O599" s="97">
        <f t="shared" si="234"/>
        <v>2.1698630136986304E-2</v>
      </c>
      <c r="P599" s="112">
        <f t="shared" si="240"/>
        <v>723.28767123287685</v>
      </c>
      <c r="Q599" s="13">
        <f t="shared" si="241"/>
        <v>164186.30136986324</v>
      </c>
      <c r="R599" s="13">
        <f t="shared" si="242"/>
        <v>139.95433789954348</v>
      </c>
      <c r="T599" s="11" t="str">
        <f t="shared" ref="T599:V614" si="254">T598</f>
        <v>SG</v>
      </c>
      <c r="U599" s="12">
        <f t="shared" si="254"/>
        <v>6010956.1600000001</v>
      </c>
      <c r="V599" s="97">
        <f t="shared" si="254"/>
        <v>2.1205479452054792E-2</v>
      </c>
      <c r="W599" s="13">
        <f t="shared" si="243"/>
        <v>354.0700203835616</v>
      </c>
      <c r="X599" s="13">
        <f t="shared" si="227"/>
        <v>80366.795635725648</v>
      </c>
      <c r="Y599" s="13">
        <f t="shared" si="244"/>
        <v>61.870762605783796</v>
      </c>
      <c r="AA599" s="11" t="s">
        <v>189</v>
      </c>
      <c r="AB599" s="98">
        <f t="shared" ref="AB599:AC614" si="255">AB598</f>
        <v>15000000</v>
      </c>
      <c r="AC599" s="97">
        <f t="shared" si="255"/>
        <v>2.579E-2</v>
      </c>
      <c r="AD599" s="13">
        <f t="shared" si="245"/>
        <v>1074.5833333333333</v>
      </c>
      <c r="AE599" s="13">
        <f t="shared" si="246"/>
        <v>243930.41666666744</v>
      </c>
      <c r="AF599" s="13">
        <f t="shared" si="247"/>
        <v>345.41666666666663</v>
      </c>
      <c r="AH599" s="235">
        <f>'CT- € Ellipsis BNP'!X599</f>
        <v>0</v>
      </c>
      <c r="AI599" s="236">
        <f>'CT- € Ellipsis BNP'!AA599</f>
        <v>0</v>
      </c>
      <c r="AJ599" s="90">
        <f>'CT- € Ellipsis BNP'!W599</f>
        <v>0</v>
      </c>
      <c r="AK599" s="91">
        <f>'CT- € Ellipsis BNP'!AC599</f>
        <v>0</v>
      </c>
      <c r="AM599" s="235">
        <f>'codeis €'!Z599</f>
        <v>0</v>
      </c>
      <c r="AN599" s="236">
        <f>'codeis €'!AF599</f>
        <v>0</v>
      </c>
      <c r="AO599" s="90">
        <f>'codeis €'!AC599</f>
        <v>0</v>
      </c>
      <c r="AP599" s="91">
        <f>'codeis €'!AI599</f>
        <v>0</v>
      </c>
      <c r="AR599" s="12">
        <f t="shared" si="248"/>
        <v>67260956.159999996</v>
      </c>
      <c r="AS599" s="118">
        <f t="shared" si="249"/>
        <v>0.02</v>
      </c>
      <c r="AT599" s="118">
        <f t="shared" si="250"/>
        <v>2.0428995474183843E-2</v>
      </c>
      <c r="AU599" s="12">
        <f t="shared" si="251"/>
        <v>3816.871580505328</v>
      </c>
      <c r="AV599" s="12">
        <f t="shared" si="252"/>
        <v>547.24176717199384</v>
      </c>
      <c r="AW599" s="19"/>
    </row>
    <row r="600" spans="2:49" x14ac:dyDescent="0.25">
      <c r="B600" s="9" t="str">
        <f t="shared" si="235"/>
        <v>8 2026</v>
      </c>
      <c r="C600" s="88">
        <f t="shared" si="236"/>
        <v>46249</v>
      </c>
      <c r="D600" s="88">
        <f t="shared" si="229"/>
        <v>46250</v>
      </c>
      <c r="E600" s="89">
        <f t="shared" si="237"/>
        <v>1</v>
      </c>
      <c r="G600" s="11" t="s">
        <v>7</v>
      </c>
      <c r="H600" s="12">
        <f t="shared" si="253"/>
        <v>34250000</v>
      </c>
      <c r="I600" s="14">
        <f t="shared" si="253"/>
        <v>1.7500000000000002E-2</v>
      </c>
      <c r="J600" s="13">
        <f t="shared" si="238"/>
        <v>1664.9305555555557</v>
      </c>
      <c r="K600" s="13">
        <f t="shared" si="239"/>
        <v>288485.55555555638</v>
      </c>
      <c r="M600" s="11" t="s">
        <v>7</v>
      </c>
      <c r="N600" s="12">
        <f t="shared" ref="N600:O615" si="256">N599</f>
        <v>12000000</v>
      </c>
      <c r="O600" s="97">
        <f t="shared" si="256"/>
        <v>2.1698630136986304E-2</v>
      </c>
      <c r="P600" s="112">
        <f t="shared" si="240"/>
        <v>723.28767123287685</v>
      </c>
      <c r="Q600" s="13">
        <f t="shared" si="241"/>
        <v>164909.58904109613</v>
      </c>
      <c r="R600" s="13">
        <f t="shared" si="242"/>
        <v>139.95433789954348</v>
      </c>
      <c r="T600" s="11" t="str">
        <f t="shared" si="254"/>
        <v>SG</v>
      </c>
      <c r="U600" s="12">
        <f t="shared" si="254"/>
        <v>6010956.1600000001</v>
      </c>
      <c r="V600" s="97">
        <f t="shared" si="254"/>
        <v>2.1205479452054792E-2</v>
      </c>
      <c r="W600" s="13">
        <f t="shared" si="243"/>
        <v>354.0700203835616</v>
      </c>
      <c r="X600" s="13">
        <f t="shared" si="227"/>
        <v>80720.865656109207</v>
      </c>
      <c r="Y600" s="13">
        <f t="shared" si="244"/>
        <v>61.870762605783796</v>
      </c>
      <c r="AA600" s="11" t="s">
        <v>189</v>
      </c>
      <c r="AB600" s="98">
        <f t="shared" si="255"/>
        <v>15000000</v>
      </c>
      <c r="AC600" s="97">
        <f t="shared" si="255"/>
        <v>2.579E-2</v>
      </c>
      <c r="AD600" s="13">
        <f t="shared" si="245"/>
        <v>1074.5833333333333</v>
      </c>
      <c r="AE600" s="13">
        <f t="shared" si="246"/>
        <v>245005.00000000079</v>
      </c>
      <c r="AF600" s="13">
        <f t="shared" si="247"/>
        <v>345.41666666666663</v>
      </c>
      <c r="AH600" s="235">
        <f>'CT- € Ellipsis BNP'!X600</f>
        <v>0</v>
      </c>
      <c r="AI600" s="236">
        <f>'CT- € Ellipsis BNP'!AA600</f>
        <v>0</v>
      </c>
      <c r="AJ600" s="90">
        <f>'CT- € Ellipsis BNP'!W600</f>
        <v>0</v>
      </c>
      <c r="AK600" s="91">
        <f>'CT- € Ellipsis BNP'!AC600</f>
        <v>0</v>
      </c>
      <c r="AM600" s="235">
        <f>'codeis €'!Z600</f>
        <v>0</v>
      </c>
      <c r="AN600" s="236">
        <f>'codeis €'!AF600</f>
        <v>0</v>
      </c>
      <c r="AO600" s="90">
        <f>'codeis €'!AC600</f>
        <v>0</v>
      </c>
      <c r="AP600" s="91">
        <f>'codeis €'!AI600</f>
        <v>0</v>
      </c>
      <c r="AR600" s="12">
        <f t="shared" si="248"/>
        <v>67260956.159999996</v>
      </c>
      <c r="AS600" s="118">
        <f t="shared" si="249"/>
        <v>0.02</v>
      </c>
      <c r="AT600" s="118">
        <f t="shared" si="250"/>
        <v>2.0428995474183843E-2</v>
      </c>
      <c r="AU600" s="12">
        <f t="shared" si="251"/>
        <v>3816.871580505328</v>
      </c>
      <c r="AV600" s="12">
        <f t="shared" si="252"/>
        <v>547.24176717199384</v>
      </c>
      <c r="AW600" s="19"/>
    </row>
    <row r="601" spans="2:49" x14ac:dyDescent="0.25">
      <c r="B601" s="9" t="str">
        <f t="shared" si="235"/>
        <v>8 2026</v>
      </c>
      <c r="C601" s="88">
        <f t="shared" si="236"/>
        <v>46250</v>
      </c>
      <c r="D601" s="88">
        <f t="shared" si="229"/>
        <v>46251</v>
      </c>
      <c r="E601" s="89">
        <f t="shared" si="237"/>
        <v>1</v>
      </c>
      <c r="G601" s="11" t="s">
        <v>7</v>
      </c>
      <c r="H601" s="12">
        <f t="shared" si="253"/>
        <v>34250000</v>
      </c>
      <c r="I601" s="14">
        <f t="shared" si="253"/>
        <v>1.7500000000000002E-2</v>
      </c>
      <c r="J601" s="13">
        <f t="shared" si="238"/>
        <v>1664.9305555555557</v>
      </c>
      <c r="K601" s="13">
        <f t="shared" si="239"/>
        <v>290150.48611111194</v>
      </c>
      <c r="M601" s="11" t="s">
        <v>7</v>
      </c>
      <c r="N601" s="12">
        <f t="shared" si="256"/>
        <v>12000000</v>
      </c>
      <c r="O601" s="97">
        <f t="shared" si="256"/>
        <v>2.1698630136986304E-2</v>
      </c>
      <c r="P601" s="112">
        <f t="shared" si="240"/>
        <v>723.28767123287685</v>
      </c>
      <c r="Q601" s="13">
        <f t="shared" si="241"/>
        <v>165632.87671232902</v>
      </c>
      <c r="R601" s="13">
        <f t="shared" si="242"/>
        <v>139.95433789954348</v>
      </c>
      <c r="T601" s="11" t="str">
        <f t="shared" si="254"/>
        <v>SG</v>
      </c>
      <c r="U601" s="12">
        <f t="shared" si="254"/>
        <v>6010956.1600000001</v>
      </c>
      <c r="V601" s="97">
        <f t="shared" si="254"/>
        <v>2.1205479452054792E-2</v>
      </c>
      <c r="W601" s="13">
        <f t="shared" si="243"/>
        <v>354.0700203835616</v>
      </c>
      <c r="X601" s="13">
        <f t="shared" si="227"/>
        <v>81074.935676492765</v>
      </c>
      <c r="Y601" s="13">
        <f t="shared" si="244"/>
        <v>61.870762605783796</v>
      </c>
      <c r="AA601" s="11" t="s">
        <v>189</v>
      </c>
      <c r="AB601" s="98">
        <f t="shared" si="255"/>
        <v>15000000</v>
      </c>
      <c r="AC601" s="97">
        <f t="shared" si="255"/>
        <v>2.579E-2</v>
      </c>
      <c r="AD601" s="13">
        <f t="shared" si="245"/>
        <v>1074.5833333333333</v>
      </c>
      <c r="AE601" s="13">
        <f t="shared" si="246"/>
        <v>246079.58333333413</v>
      </c>
      <c r="AF601" s="13">
        <f t="shared" si="247"/>
        <v>345.41666666666663</v>
      </c>
      <c r="AH601" s="235">
        <f>'CT- € Ellipsis BNP'!X601</f>
        <v>0</v>
      </c>
      <c r="AI601" s="236">
        <f>'CT- € Ellipsis BNP'!AA601</f>
        <v>0</v>
      </c>
      <c r="AJ601" s="90">
        <f>'CT- € Ellipsis BNP'!W601</f>
        <v>0</v>
      </c>
      <c r="AK601" s="91">
        <f>'CT- € Ellipsis BNP'!AC601</f>
        <v>0</v>
      </c>
      <c r="AM601" s="235">
        <f>'codeis €'!Z601</f>
        <v>0</v>
      </c>
      <c r="AN601" s="236">
        <f>'codeis €'!AF601</f>
        <v>0</v>
      </c>
      <c r="AO601" s="90">
        <f>'codeis €'!AC601</f>
        <v>0</v>
      </c>
      <c r="AP601" s="91">
        <f>'codeis €'!AI601</f>
        <v>0</v>
      </c>
      <c r="AR601" s="12">
        <f t="shared" si="248"/>
        <v>67260956.159999996</v>
      </c>
      <c r="AS601" s="118">
        <f t="shared" si="249"/>
        <v>0.02</v>
      </c>
      <c r="AT601" s="118">
        <f t="shared" si="250"/>
        <v>2.0428995474183843E-2</v>
      </c>
      <c r="AU601" s="12">
        <f t="shared" si="251"/>
        <v>3816.871580505328</v>
      </c>
      <c r="AV601" s="12">
        <f t="shared" si="252"/>
        <v>547.24176717199384</v>
      </c>
      <c r="AW601" s="19"/>
    </row>
    <row r="602" spans="2:49" x14ac:dyDescent="0.25">
      <c r="B602" s="9" t="str">
        <f t="shared" si="235"/>
        <v>8 2026</v>
      </c>
      <c r="C602" s="88">
        <f t="shared" si="236"/>
        <v>46251</v>
      </c>
      <c r="D602" s="88">
        <f t="shared" si="229"/>
        <v>46252</v>
      </c>
      <c r="E602" s="89">
        <f t="shared" si="237"/>
        <v>1</v>
      </c>
      <c r="G602" s="11" t="s">
        <v>7</v>
      </c>
      <c r="H602" s="12">
        <f t="shared" si="253"/>
        <v>34250000</v>
      </c>
      <c r="I602" s="14">
        <f t="shared" si="253"/>
        <v>1.7500000000000002E-2</v>
      </c>
      <c r="J602" s="13">
        <f t="shared" si="238"/>
        <v>1664.9305555555557</v>
      </c>
      <c r="K602" s="13">
        <f t="shared" si="239"/>
        <v>291815.4166666675</v>
      </c>
      <c r="M602" s="11" t="s">
        <v>7</v>
      </c>
      <c r="N602" s="12">
        <f t="shared" si="256"/>
        <v>12000000</v>
      </c>
      <c r="O602" s="97">
        <f t="shared" si="256"/>
        <v>2.1698630136986304E-2</v>
      </c>
      <c r="P602" s="112">
        <f t="shared" si="240"/>
        <v>723.28767123287685</v>
      </c>
      <c r="Q602" s="13">
        <f t="shared" si="241"/>
        <v>166356.1643835619</v>
      </c>
      <c r="R602" s="13">
        <f t="shared" si="242"/>
        <v>139.95433789954348</v>
      </c>
      <c r="T602" s="11" t="str">
        <f t="shared" si="254"/>
        <v>SG</v>
      </c>
      <c r="U602" s="12">
        <f t="shared" si="254"/>
        <v>6010956.1600000001</v>
      </c>
      <c r="V602" s="97">
        <f t="shared" si="254"/>
        <v>2.1205479452054792E-2</v>
      </c>
      <c r="W602" s="13">
        <f t="shared" si="243"/>
        <v>354.0700203835616</v>
      </c>
      <c r="X602" s="13">
        <f t="shared" si="227"/>
        <v>81429.005696876324</v>
      </c>
      <c r="Y602" s="13">
        <f t="shared" si="244"/>
        <v>61.870762605783796</v>
      </c>
      <c r="AA602" s="11" t="s">
        <v>189</v>
      </c>
      <c r="AB602" s="98">
        <f t="shared" si="255"/>
        <v>15000000</v>
      </c>
      <c r="AC602" s="97">
        <f t="shared" si="255"/>
        <v>2.579E-2</v>
      </c>
      <c r="AD602" s="13">
        <f t="shared" si="245"/>
        <v>1074.5833333333333</v>
      </c>
      <c r="AE602" s="13">
        <f t="shared" si="246"/>
        <v>247154.16666666747</v>
      </c>
      <c r="AF602" s="13">
        <f t="shared" si="247"/>
        <v>345.41666666666663</v>
      </c>
      <c r="AH602" s="235">
        <f>'CT- € Ellipsis BNP'!X602</f>
        <v>0</v>
      </c>
      <c r="AI602" s="236">
        <f>'CT- € Ellipsis BNP'!AA602</f>
        <v>0</v>
      </c>
      <c r="AJ602" s="90">
        <f>'CT- € Ellipsis BNP'!W602</f>
        <v>0</v>
      </c>
      <c r="AK602" s="91">
        <f>'CT- € Ellipsis BNP'!AC602</f>
        <v>0</v>
      </c>
      <c r="AM602" s="235">
        <f>'codeis €'!Z602</f>
        <v>0</v>
      </c>
      <c r="AN602" s="236">
        <f>'codeis €'!AF602</f>
        <v>0</v>
      </c>
      <c r="AO602" s="90">
        <f>'codeis €'!AC602</f>
        <v>0</v>
      </c>
      <c r="AP602" s="91">
        <f>'codeis €'!AI602</f>
        <v>0</v>
      </c>
      <c r="AR602" s="12">
        <f t="shared" si="248"/>
        <v>67260956.159999996</v>
      </c>
      <c r="AS602" s="118">
        <f t="shared" si="249"/>
        <v>0.02</v>
      </c>
      <c r="AT602" s="118">
        <f t="shared" si="250"/>
        <v>2.0428995474183843E-2</v>
      </c>
      <c r="AU602" s="12">
        <f t="shared" si="251"/>
        <v>3816.871580505328</v>
      </c>
      <c r="AV602" s="12">
        <f t="shared" si="252"/>
        <v>547.24176717199384</v>
      </c>
      <c r="AW602" s="19"/>
    </row>
    <row r="603" spans="2:49" x14ac:dyDescent="0.25">
      <c r="B603" s="9" t="str">
        <f t="shared" si="235"/>
        <v>8 2026</v>
      </c>
      <c r="C603" s="88">
        <f t="shared" si="236"/>
        <v>46252</v>
      </c>
      <c r="D603" s="88">
        <f t="shared" si="229"/>
        <v>46253</v>
      </c>
      <c r="E603" s="89">
        <f t="shared" si="237"/>
        <v>1</v>
      </c>
      <c r="G603" s="11" t="s">
        <v>7</v>
      </c>
      <c r="H603" s="12">
        <f t="shared" si="253"/>
        <v>34250000</v>
      </c>
      <c r="I603" s="14">
        <f t="shared" si="253"/>
        <v>1.7500000000000002E-2</v>
      </c>
      <c r="J603" s="13">
        <f t="shared" si="238"/>
        <v>1664.9305555555557</v>
      </c>
      <c r="K603" s="13">
        <f t="shared" si="239"/>
        <v>293480.34722222306</v>
      </c>
      <c r="M603" s="11" t="s">
        <v>7</v>
      </c>
      <c r="N603" s="12">
        <f t="shared" si="256"/>
        <v>12000000</v>
      </c>
      <c r="O603" s="97">
        <f t="shared" si="256"/>
        <v>2.1698630136986304E-2</v>
      </c>
      <c r="P603" s="112">
        <f t="shared" si="240"/>
        <v>723.28767123287685</v>
      </c>
      <c r="Q603" s="13">
        <f t="shared" si="241"/>
        <v>167079.45205479479</v>
      </c>
      <c r="R603" s="13">
        <f t="shared" si="242"/>
        <v>139.95433789954348</v>
      </c>
      <c r="T603" s="11" t="str">
        <f t="shared" si="254"/>
        <v>SG</v>
      </c>
      <c r="U603" s="12">
        <f t="shared" si="254"/>
        <v>6010956.1600000001</v>
      </c>
      <c r="V603" s="97">
        <f t="shared" si="254"/>
        <v>2.1205479452054792E-2</v>
      </c>
      <c r="W603" s="13">
        <f t="shared" si="243"/>
        <v>354.0700203835616</v>
      </c>
      <c r="X603" s="13">
        <f t="shared" si="227"/>
        <v>81783.075717259882</v>
      </c>
      <c r="Y603" s="13">
        <f t="shared" si="244"/>
        <v>61.870762605783796</v>
      </c>
      <c r="AA603" s="11" t="s">
        <v>189</v>
      </c>
      <c r="AB603" s="98">
        <f t="shared" si="255"/>
        <v>15000000</v>
      </c>
      <c r="AC603" s="97">
        <f t="shared" si="255"/>
        <v>2.579E-2</v>
      </c>
      <c r="AD603" s="13">
        <f t="shared" si="245"/>
        <v>1074.5833333333333</v>
      </c>
      <c r="AE603" s="13">
        <f t="shared" si="246"/>
        <v>248228.75000000081</v>
      </c>
      <c r="AF603" s="13">
        <f t="shared" si="247"/>
        <v>345.41666666666663</v>
      </c>
      <c r="AH603" s="235">
        <f>'CT- € Ellipsis BNP'!X603</f>
        <v>0</v>
      </c>
      <c r="AI603" s="236">
        <f>'CT- € Ellipsis BNP'!AA603</f>
        <v>0</v>
      </c>
      <c r="AJ603" s="90">
        <f>'CT- € Ellipsis BNP'!W603</f>
        <v>0</v>
      </c>
      <c r="AK603" s="91">
        <f>'CT- € Ellipsis BNP'!AC603</f>
        <v>0</v>
      </c>
      <c r="AM603" s="235">
        <f>'codeis €'!Z603</f>
        <v>0</v>
      </c>
      <c r="AN603" s="236">
        <f>'codeis €'!AF603</f>
        <v>0</v>
      </c>
      <c r="AO603" s="90">
        <f>'codeis €'!AC603</f>
        <v>0</v>
      </c>
      <c r="AP603" s="91">
        <f>'codeis €'!AI603</f>
        <v>0</v>
      </c>
      <c r="AR603" s="12">
        <f t="shared" si="248"/>
        <v>67260956.159999996</v>
      </c>
      <c r="AS603" s="118">
        <f t="shared" si="249"/>
        <v>0.02</v>
      </c>
      <c r="AT603" s="118">
        <f t="shared" si="250"/>
        <v>2.0428995474183843E-2</v>
      </c>
      <c r="AU603" s="12">
        <f t="shared" si="251"/>
        <v>3816.871580505328</v>
      </c>
      <c r="AV603" s="12">
        <f t="shared" si="252"/>
        <v>547.24176717199384</v>
      </c>
      <c r="AW603" s="19"/>
    </row>
    <row r="604" spans="2:49" x14ac:dyDescent="0.25">
      <c r="B604" s="9" t="str">
        <f t="shared" si="235"/>
        <v>8 2026</v>
      </c>
      <c r="C604" s="88">
        <f t="shared" si="236"/>
        <v>46253</v>
      </c>
      <c r="D604" s="88">
        <f t="shared" si="229"/>
        <v>46254</v>
      </c>
      <c r="E604" s="89">
        <f t="shared" si="237"/>
        <v>1</v>
      </c>
      <c r="G604" s="11" t="s">
        <v>7</v>
      </c>
      <c r="H604" s="12">
        <f t="shared" si="253"/>
        <v>34250000</v>
      </c>
      <c r="I604" s="14">
        <f t="shared" si="253"/>
        <v>1.7500000000000002E-2</v>
      </c>
      <c r="J604" s="13">
        <f t="shared" si="238"/>
        <v>1664.9305555555557</v>
      </c>
      <c r="K604" s="13">
        <f t="shared" si="239"/>
        <v>295145.27777777863</v>
      </c>
      <c r="M604" s="11" t="s">
        <v>7</v>
      </c>
      <c r="N604" s="12">
        <f t="shared" si="256"/>
        <v>12000000</v>
      </c>
      <c r="O604" s="97">
        <f t="shared" si="256"/>
        <v>2.1698630136986304E-2</v>
      </c>
      <c r="P604" s="112">
        <f t="shared" si="240"/>
        <v>723.28767123287685</v>
      </c>
      <c r="Q604" s="13">
        <f t="shared" si="241"/>
        <v>167802.73972602768</v>
      </c>
      <c r="R604" s="13">
        <f t="shared" si="242"/>
        <v>139.95433789954348</v>
      </c>
      <c r="T604" s="11" t="str">
        <f t="shared" si="254"/>
        <v>SG</v>
      </c>
      <c r="U604" s="12">
        <f t="shared" si="254"/>
        <v>6010956.1600000001</v>
      </c>
      <c r="V604" s="97">
        <f t="shared" si="254"/>
        <v>2.1205479452054792E-2</v>
      </c>
      <c r="W604" s="13">
        <f t="shared" si="243"/>
        <v>354.0700203835616</v>
      </c>
      <c r="X604" s="13">
        <f t="shared" si="227"/>
        <v>82137.145737643441</v>
      </c>
      <c r="Y604" s="13">
        <f t="shared" si="244"/>
        <v>61.870762605783796</v>
      </c>
      <c r="AA604" s="11" t="s">
        <v>189</v>
      </c>
      <c r="AB604" s="98">
        <f t="shared" si="255"/>
        <v>15000000</v>
      </c>
      <c r="AC604" s="97">
        <f t="shared" si="255"/>
        <v>2.579E-2</v>
      </c>
      <c r="AD604" s="13">
        <f t="shared" si="245"/>
        <v>1074.5833333333333</v>
      </c>
      <c r="AE604" s="13">
        <f t="shared" si="246"/>
        <v>249303.33333333416</v>
      </c>
      <c r="AF604" s="13">
        <f t="shared" si="247"/>
        <v>345.41666666666663</v>
      </c>
      <c r="AH604" s="235">
        <f>'CT- € Ellipsis BNP'!X604</f>
        <v>0</v>
      </c>
      <c r="AI604" s="236">
        <f>'CT- € Ellipsis BNP'!AA604</f>
        <v>0</v>
      </c>
      <c r="AJ604" s="90">
        <f>'CT- € Ellipsis BNP'!W604</f>
        <v>0</v>
      </c>
      <c r="AK604" s="91">
        <f>'CT- € Ellipsis BNP'!AC604</f>
        <v>0</v>
      </c>
      <c r="AM604" s="235">
        <f>'codeis €'!Z604</f>
        <v>0</v>
      </c>
      <c r="AN604" s="236">
        <f>'codeis €'!AF604</f>
        <v>0</v>
      </c>
      <c r="AO604" s="90">
        <f>'codeis €'!AC604</f>
        <v>0</v>
      </c>
      <c r="AP604" s="91">
        <f>'codeis €'!AI604</f>
        <v>0</v>
      </c>
      <c r="AR604" s="12">
        <f t="shared" si="248"/>
        <v>67260956.159999996</v>
      </c>
      <c r="AS604" s="118">
        <f t="shared" si="249"/>
        <v>0.02</v>
      </c>
      <c r="AT604" s="118">
        <f t="shared" si="250"/>
        <v>2.0428995474183843E-2</v>
      </c>
      <c r="AU604" s="12">
        <f t="shared" si="251"/>
        <v>3816.871580505328</v>
      </c>
      <c r="AV604" s="12">
        <f t="shared" si="252"/>
        <v>547.24176717199384</v>
      </c>
      <c r="AW604" s="19"/>
    </row>
    <row r="605" spans="2:49" x14ac:dyDescent="0.25">
      <c r="B605" s="9" t="str">
        <f t="shared" si="235"/>
        <v>8 2026</v>
      </c>
      <c r="C605" s="88">
        <f t="shared" si="236"/>
        <v>46254</v>
      </c>
      <c r="D605" s="88">
        <f t="shared" si="229"/>
        <v>46255</v>
      </c>
      <c r="E605" s="89">
        <f t="shared" si="237"/>
        <v>1</v>
      </c>
      <c r="G605" s="11" t="s">
        <v>7</v>
      </c>
      <c r="H605" s="12">
        <f t="shared" si="253"/>
        <v>34250000</v>
      </c>
      <c r="I605" s="14">
        <f t="shared" si="253"/>
        <v>1.7500000000000002E-2</v>
      </c>
      <c r="J605" s="13">
        <f t="shared" si="238"/>
        <v>1664.9305555555557</v>
      </c>
      <c r="K605" s="13">
        <f t="shared" si="239"/>
        <v>296810.20833333419</v>
      </c>
      <c r="M605" s="11" t="s">
        <v>7</v>
      </c>
      <c r="N605" s="12">
        <f t="shared" si="256"/>
        <v>12000000</v>
      </c>
      <c r="O605" s="97">
        <f t="shared" si="256"/>
        <v>2.1698630136986304E-2</v>
      </c>
      <c r="P605" s="112">
        <f t="shared" si="240"/>
        <v>723.28767123287685</v>
      </c>
      <c r="Q605" s="13">
        <f t="shared" si="241"/>
        <v>168526.02739726056</v>
      </c>
      <c r="R605" s="13">
        <f t="shared" si="242"/>
        <v>139.95433789954348</v>
      </c>
      <c r="T605" s="11" t="str">
        <f t="shared" si="254"/>
        <v>SG</v>
      </c>
      <c r="U605" s="12">
        <f t="shared" si="254"/>
        <v>6010956.1600000001</v>
      </c>
      <c r="V605" s="97">
        <f t="shared" si="254"/>
        <v>2.1205479452054792E-2</v>
      </c>
      <c r="W605" s="13">
        <f t="shared" si="243"/>
        <v>354.0700203835616</v>
      </c>
      <c r="X605" s="13">
        <f t="shared" si="227"/>
        <v>82491.215758027</v>
      </c>
      <c r="Y605" s="13">
        <f t="shared" si="244"/>
        <v>61.870762605783796</v>
      </c>
      <c r="AA605" s="11" t="s">
        <v>189</v>
      </c>
      <c r="AB605" s="98">
        <f t="shared" si="255"/>
        <v>15000000</v>
      </c>
      <c r="AC605" s="97">
        <f t="shared" si="255"/>
        <v>2.579E-2</v>
      </c>
      <c r="AD605" s="13">
        <f t="shared" si="245"/>
        <v>1074.5833333333333</v>
      </c>
      <c r="AE605" s="13">
        <f t="shared" si="246"/>
        <v>250377.9166666675</v>
      </c>
      <c r="AF605" s="13">
        <f t="shared" si="247"/>
        <v>345.41666666666663</v>
      </c>
      <c r="AH605" s="235">
        <f>'CT- € Ellipsis BNP'!X605</f>
        <v>0</v>
      </c>
      <c r="AI605" s="236">
        <f>'CT- € Ellipsis BNP'!AA605</f>
        <v>0</v>
      </c>
      <c r="AJ605" s="90">
        <f>'CT- € Ellipsis BNP'!W605</f>
        <v>0</v>
      </c>
      <c r="AK605" s="91">
        <f>'CT- € Ellipsis BNP'!AC605</f>
        <v>0</v>
      </c>
      <c r="AM605" s="235">
        <f>'codeis €'!Z605</f>
        <v>0</v>
      </c>
      <c r="AN605" s="236">
        <f>'codeis €'!AF605</f>
        <v>0</v>
      </c>
      <c r="AO605" s="90">
        <f>'codeis €'!AC605</f>
        <v>0</v>
      </c>
      <c r="AP605" s="91">
        <f>'codeis €'!AI605</f>
        <v>0</v>
      </c>
      <c r="AR605" s="12">
        <f t="shared" si="248"/>
        <v>67260956.159999996</v>
      </c>
      <c r="AS605" s="118">
        <f t="shared" si="249"/>
        <v>0.02</v>
      </c>
      <c r="AT605" s="118">
        <f t="shared" si="250"/>
        <v>2.0428995474183843E-2</v>
      </c>
      <c r="AU605" s="12">
        <f t="shared" si="251"/>
        <v>3816.871580505328</v>
      </c>
      <c r="AV605" s="12">
        <f t="shared" si="252"/>
        <v>547.24176717199384</v>
      </c>
      <c r="AW605" s="19"/>
    </row>
    <row r="606" spans="2:49" x14ac:dyDescent="0.25">
      <c r="B606" s="9" t="str">
        <f t="shared" si="235"/>
        <v>8 2026</v>
      </c>
      <c r="C606" s="88">
        <f t="shared" si="236"/>
        <v>46255</v>
      </c>
      <c r="D606" s="88">
        <f t="shared" si="229"/>
        <v>46256</v>
      </c>
      <c r="E606" s="89">
        <f t="shared" si="237"/>
        <v>1</v>
      </c>
      <c r="G606" s="11" t="s">
        <v>7</v>
      </c>
      <c r="H606" s="12">
        <f t="shared" si="253"/>
        <v>34250000</v>
      </c>
      <c r="I606" s="14">
        <f t="shared" si="253"/>
        <v>1.7500000000000002E-2</v>
      </c>
      <c r="J606" s="13">
        <f t="shared" si="238"/>
        <v>1664.9305555555557</v>
      </c>
      <c r="K606" s="13">
        <f t="shared" si="239"/>
        <v>298475.13888888975</v>
      </c>
      <c r="M606" s="11" t="s">
        <v>7</v>
      </c>
      <c r="N606" s="12">
        <f t="shared" si="256"/>
        <v>12000000</v>
      </c>
      <c r="O606" s="97">
        <f t="shared" si="256"/>
        <v>2.1698630136986304E-2</v>
      </c>
      <c r="P606" s="112">
        <f t="shared" si="240"/>
        <v>723.28767123287685</v>
      </c>
      <c r="Q606" s="13">
        <f t="shared" si="241"/>
        <v>169249.31506849345</v>
      </c>
      <c r="R606" s="13">
        <f t="shared" si="242"/>
        <v>139.95433789954348</v>
      </c>
      <c r="T606" s="11" t="str">
        <f t="shared" si="254"/>
        <v>SG</v>
      </c>
      <c r="U606" s="12">
        <f t="shared" si="254"/>
        <v>6010956.1600000001</v>
      </c>
      <c r="V606" s="97">
        <f t="shared" si="254"/>
        <v>2.1205479452054792E-2</v>
      </c>
      <c r="W606" s="13">
        <f t="shared" si="243"/>
        <v>354.0700203835616</v>
      </c>
      <c r="X606" s="13">
        <f t="shared" si="227"/>
        <v>82845.285778410558</v>
      </c>
      <c r="Y606" s="13">
        <f t="shared" si="244"/>
        <v>61.870762605783796</v>
      </c>
      <c r="AA606" s="11" t="s">
        <v>189</v>
      </c>
      <c r="AB606" s="98">
        <f t="shared" si="255"/>
        <v>15000000</v>
      </c>
      <c r="AC606" s="97">
        <f t="shared" si="255"/>
        <v>2.579E-2</v>
      </c>
      <c r="AD606" s="13">
        <f t="shared" si="245"/>
        <v>1074.5833333333333</v>
      </c>
      <c r="AE606" s="13">
        <f t="shared" si="246"/>
        <v>251452.50000000084</v>
      </c>
      <c r="AF606" s="13">
        <f t="shared" si="247"/>
        <v>345.41666666666663</v>
      </c>
      <c r="AH606" s="235">
        <f>'CT- € Ellipsis BNP'!X606</f>
        <v>0</v>
      </c>
      <c r="AI606" s="236">
        <f>'CT- € Ellipsis BNP'!AA606</f>
        <v>0</v>
      </c>
      <c r="AJ606" s="90">
        <f>'CT- € Ellipsis BNP'!W606</f>
        <v>0</v>
      </c>
      <c r="AK606" s="91">
        <f>'CT- € Ellipsis BNP'!AC606</f>
        <v>0</v>
      </c>
      <c r="AM606" s="235">
        <f>'codeis €'!Z606</f>
        <v>0</v>
      </c>
      <c r="AN606" s="236">
        <f>'codeis €'!AF606</f>
        <v>0</v>
      </c>
      <c r="AO606" s="90">
        <f>'codeis €'!AC606</f>
        <v>0</v>
      </c>
      <c r="AP606" s="91">
        <f>'codeis €'!AI606</f>
        <v>0</v>
      </c>
      <c r="AR606" s="12">
        <f t="shared" si="248"/>
        <v>67260956.159999996</v>
      </c>
      <c r="AS606" s="118">
        <f t="shared" si="249"/>
        <v>0.02</v>
      </c>
      <c r="AT606" s="118">
        <f t="shared" si="250"/>
        <v>2.0428995474183843E-2</v>
      </c>
      <c r="AU606" s="12">
        <f t="shared" si="251"/>
        <v>3816.871580505328</v>
      </c>
      <c r="AV606" s="12">
        <f t="shared" si="252"/>
        <v>547.24176717199384</v>
      </c>
      <c r="AW606" s="19"/>
    </row>
    <row r="607" spans="2:49" x14ac:dyDescent="0.25">
      <c r="B607" s="9" t="str">
        <f t="shared" si="235"/>
        <v>8 2026</v>
      </c>
      <c r="C607" s="88">
        <f t="shared" si="236"/>
        <v>46256</v>
      </c>
      <c r="D607" s="88">
        <f t="shared" si="229"/>
        <v>46257</v>
      </c>
      <c r="E607" s="89">
        <f t="shared" si="237"/>
        <v>1</v>
      </c>
      <c r="G607" s="11" t="s">
        <v>7</v>
      </c>
      <c r="H607" s="12">
        <f t="shared" si="253"/>
        <v>34250000</v>
      </c>
      <c r="I607" s="14">
        <f t="shared" si="253"/>
        <v>1.7500000000000002E-2</v>
      </c>
      <c r="J607" s="13">
        <f t="shared" si="238"/>
        <v>1664.9305555555557</v>
      </c>
      <c r="K607" s="13">
        <f t="shared" si="239"/>
        <v>300140.06944444531</v>
      </c>
      <c r="M607" s="11" t="s">
        <v>7</v>
      </c>
      <c r="N607" s="12">
        <f t="shared" si="256"/>
        <v>12000000</v>
      </c>
      <c r="O607" s="97">
        <f t="shared" si="256"/>
        <v>2.1698630136986304E-2</v>
      </c>
      <c r="P607" s="112">
        <f t="shared" si="240"/>
        <v>723.28767123287685</v>
      </c>
      <c r="Q607" s="13">
        <f t="shared" si="241"/>
        <v>169972.60273972634</v>
      </c>
      <c r="R607" s="13">
        <f t="shared" si="242"/>
        <v>139.95433789954348</v>
      </c>
      <c r="T607" s="11" t="str">
        <f t="shared" si="254"/>
        <v>SG</v>
      </c>
      <c r="U607" s="12">
        <f t="shared" si="254"/>
        <v>6010956.1600000001</v>
      </c>
      <c r="V607" s="97">
        <f t="shared" si="254"/>
        <v>2.1205479452054792E-2</v>
      </c>
      <c r="W607" s="13">
        <f t="shared" si="243"/>
        <v>354.0700203835616</v>
      </c>
      <c r="X607" s="13">
        <f t="shared" si="227"/>
        <v>83199.355798794117</v>
      </c>
      <c r="Y607" s="13">
        <f t="shared" si="244"/>
        <v>61.870762605783796</v>
      </c>
      <c r="AA607" s="11" t="s">
        <v>189</v>
      </c>
      <c r="AB607" s="98">
        <f t="shared" si="255"/>
        <v>15000000</v>
      </c>
      <c r="AC607" s="97">
        <f t="shared" si="255"/>
        <v>2.579E-2</v>
      </c>
      <c r="AD607" s="13">
        <f t="shared" si="245"/>
        <v>1074.5833333333333</v>
      </c>
      <c r="AE607" s="13">
        <f t="shared" si="246"/>
        <v>252527.08333333419</v>
      </c>
      <c r="AF607" s="13">
        <f t="shared" si="247"/>
        <v>345.41666666666663</v>
      </c>
      <c r="AH607" s="235">
        <f>'CT- € Ellipsis BNP'!X607</f>
        <v>0</v>
      </c>
      <c r="AI607" s="236">
        <f>'CT- € Ellipsis BNP'!AA607</f>
        <v>0</v>
      </c>
      <c r="AJ607" s="90">
        <f>'CT- € Ellipsis BNP'!W607</f>
        <v>0</v>
      </c>
      <c r="AK607" s="91">
        <f>'CT- € Ellipsis BNP'!AC607</f>
        <v>0</v>
      </c>
      <c r="AM607" s="235">
        <f>'codeis €'!Z607</f>
        <v>0</v>
      </c>
      <c r="AN607" s="236">
        <f>'codeis €'!AF607</f>
        <v>0</v>
      </c>
      <c r="AO607" s="90">
        <f>'codeis €'!AC607</f>
        <v>0</v>
      </c>
      <c r="AP607" s="91">
        <f>'codeis €'!AI607</f>
        <v>0</v>
      </c>
      <c r="AR607" s="12">
        <f t="shared" si="248"/>
        <v>67260956.159999996</v>
      </c>
      <c r="AS607" s="118">
        <f t="shared" si="249"/>
        <v>0.02</v>
      </c>
      <c r="AT607" s="118">
        <f t="shared" si="250"/>
        <v>2.0428995474183843E-2</v>
      </c>
      <c r="AU607" s="12">
        <f t="shared" si="251"/>
        <v>3816.871580505328</v>
      </c>
      <c r="AV607" s="12">
        <f t="shared" si="252"/>
        <v>547.24176717199384</v>
      </c>
      <c r="AW607" s="19"/>
    </row>
    <row r="608" spans="2:49" x14ac:dyDescent="0.25">
      <c r="B608" s="9" t="str">
        <f t="shared" si="235"/>
        <v>8 2026</v>
      </c>
      <c r="C608" s="88">
        <f t="shared" si="236"/>
        <v>46257</v>
      </c>
      <c r="D608" s="88">
        <f t="shared" si="229"/>
        <v>46258</v>
      </c>
      <c r="E608" s="89">
        <f t="shared" si="237"/>
        <v>1</v>
      </c>
      <c r="G608" s="11" t="s">
        <v>7</v>
      </c>
      <c r="H608" s="12">
        <f t="shared" si="253"/>
        <v>34250000</v>
      </c>
      <c r="I608" s="14">
        <f t="shared" si="253"/>
        <v>1.7500000000000002E-2</v>
      </c>
      <c r="J608" s="13">
        <f t="shared" si="238"/>
        <v>1664.9305555555557</v>
      </c>
      <c r="K608" s="13">
        <f t="shared" si="239"/>
        <v>301805.00000000087</v>
      </c>
      <c r="M608" s="11" t="s">
        <v>7</v>
      </c>
      <c r="N608" s="12">
        <f t="shared" si="256"/>
        <v>12000000</v>
      </c>
      <c r="O608" s="97">
        <f t="shared" si="256"/>
        <v>2.1698630136986304E-2</v>
      </c>
      <c r="P608" s="112">
        <f t="shared" si="240"/>
        <v>723.28767123287685</v>
      </c>
      <c r="Q608" s="13">
        <f t="shared" si="241"/>
        <v>170695.89041095923</v>
      </c>
      <c r="R608" s="13">
        <f t="shared" si="242"/>
        <v>139.95433789954348</v>
      </c>
      <c r="T608" s="11" t="str">
        <f t="shared" si="254"/>
        <v>SG</v>
      </c>
      <c r="U608" s="12">
        <f t="shared" si="254"/>
        <v>6010956.1600000001</v>
      </c>
      <c r="V608" s="97">
        <f t="shared" si="254"/>
        <v>2.1205479452054792E-2</v>
      </c>
      <c r="W608" s="13">
        <f t="shared" si="243"/>
        <v>354.0700203835616</v>
      </c>
      <c r="X608" s="13">
        <f t="shared" si="227"/>
        <v>83553.425819177675</v>
      </c>
      <c r="Y608" s="13">
        <f t="shared" si="244"/>
        <v>61.870762605783796</v>
      </c>
      <c r="AA608" s="11" t="s">
        <v>189</v>
      </c>
      <c r="AB608" s="98">
        <f t="shared" si="255"/>
        <v>15000000</v>
      </c>
      <c r="AC608" s="97">
        <f t="shared" si="255"/>
        <v>2.579E-2</v>
      </c>
      <c r="AD608" s="13">
        <f t="shared" si="245"/>
        <v>1074.5833333333333</v>
      </c>
      <c r="AE608" s="13">
        <f t="shared" si="246"/>
        <v>253601.66666666753</v>
      </c>
      <c r="AF608" s="13">
        <f t="shared" si="247"/>
        <v>345.41666666666663</v>
      </c>
      <c r="AH608" s="235">
        <f>'CT- € Ellipsis BNP'!X608</f>
        <v>0</v>
      </c>
      <c r="AI608" s="236">
        <f>'CT- € Ellipsis BNP'!AA608</f>
        <v>0</v>
      </c>
      <c r="AJ608" s="90">
        <f>'CT- € Ellipsis BNP'!W608</f>
        <v>0</v>
      </c>
      <c r="AK608" s="91">
        <f>'CT- € Ellipsis BNP'!AC608</f>
        <v>0</v>
      </c>
      <c r="AM608" s="235">
        <f>'codeis €'!Z608</f>
        <v>0</v>
      </c>
      <c r="AN608" s="236">
        <f>'codeis €'!AF608</f>
        <v>0</v>
      </c>
      <c r="AO608" s="90">
        <f>'codeis €'!AC608</f>
        <v>0</v>
      </c>
      <c r="AP608" s="91">
        <f>'codeis €'!AI608</f>
        <v>0</v>
      </c>
      <c r="AR608" s="12">
        <f t="shared" si="248"/>
        <v>67260956.159999996</v>
      </c>
      <c r="AS608" s="118">
        <f t="shared" si="249"/>
        <v>0.02</v>
      </c>
      <c r="AT608" s="118">
        <f t="shared" si="250"/>
        <v>2.0428995474183843E-2</v>
      </c>
      <c r="AU608" s="12">
        <f t="shared" si="251"/>
        <v>3816.871580505328</v>
      </c>
      <c r="AV608" s="12">
        <f t="shared" si="252"/>
        <v>547.24176717199384</v>
      </c>
      <c r="AW608" s="19"/>
    </row>
    <row r="609" spans="2:49" x14ac:dyDescent="0.25">
      <c r="B609" s="9" t="str">
        <f t="shared" si="235"/>
        <v>8 2026</v>
      </c>
      <c r="C609" s="88">
        <f t="shared" si="236"/>
        <v>46258</v>
      </c>
      <c r="D609" s="88">
        <f t="shared" si="229"/>
        <v>46259</v>
      </c>
      <c r="E609" s="89">
        <f t="shared" si="237"/>
        <v>1</v>
      </c>
      <c r="G609" s="11" t="s">
        <v>7</v>
      </c>
      <c r="H609" s="12">
        <f t="shared" si="253"/>
        <v>34250000</v>
      </c>
      <c r="I609" s="14">
        <f t="shared" si="253"/>
        <v>1.7500000000000002E-2</v>
      </c>
      <c r="J609" s="13">
        <f t="shared" si="238"/>
        <v>1664.9305555555557</v>
      </c>
      <c r="K609" s="13">
        <f t="shared" si="239"/>
        <v>303469.93055555644</v>
      </c>
      <c r="M609" s="11" t="s">
        <v>7</v>
      </c>
      <c r="N609" s="12">
        <f t="shared" si="256"/>
        <v>12000000</v>
      </c>
      <c r="O609" s="97">
        <f t="shared" si="256"/>
        <v>2.1698630136986304E-2</v>
      </c>
      <c r="P609" s="112">
        <f t="shared" si="240"/>
        <v>723.28767123287685</v>
      </c>
      <c r="Q609" s="13">
        <f t="shared" si="241"/>
        <v>171419.17808219211</v>
      </c>
      <c r="R609" s="13">
        <f t="shared" si="242"/>
        <v>139.95433789954348</v>
      </c>
      <c r="T609" s="11" t="str">
        <f t="shared" si="254"/>
        <v>SG</v>
      </c>
      <c r="U609" s="12">
        <f t="shared" si="254"/>
        <v>6010956.1600000001</v>
      </c>
      <c r="V609" s="97">
        <f t="shared" si="254"/>
        <v>2.1205479452054792E-2</v>
      </c>
      <c r="W609" s="13">
        <f t="shared" si="243"/>
        <v>354.0700203835616</v>
      </c>
      <c r="X609" s="13">
        <f t="shared" si="227"/>
        <v>83907.495839561234</v>
      </c>
      <c r="Y609" s="13">
        <f t="shared" si="244"/>
        <v>61.870762605783796</v>
      </c>
      <c r="AA609" s="11" t="s">
        <v>189</v>
      </c>
      <c r="AB609" s="98">
        <f t="shared" si="255"/>
        <v>15000000</v>
      </c>
      <c r="AC609" s="97">
        <f t="shared" si="255"/>
        <v>2.579E-2</v>
      </c>
      <c r="AD609" s="13">
        <f t="shared" si="245"/>
        <v>1074.5833333333333</v>
      </c>
      <c r="AE609" s="13">
        <f t="shared" si="246"/>
        <v>254676.25000000087</v>
      </c>
      <c r="AF609" s="13">
        <f t="shared" si="247"/>
        <v>345.41666666666663</v>
      </c>
      <c r="AH609" s="235">
        <f>'CT- € Ellipsis BNP'!X609</f>
        <v>0</v>
      </c>
      <c r="AI609" s="236">
        <f>'CT- € Ellipsis BNP'!AA609</f>
        <v>0</v>
      </c>
      <c r="AJ609" s="90">
        <f>'CT- € Ellipsis BNP'!W609</f>
        <v>0</v>
      </c>
      <c r="AK609" s="91">
        <f>'CT- € Ellipsis BNP'!AC609</f>
        <v>0</v>
      </c>
      <c r="AM609" s="235">
        <f>'codeis €'!Z609</f>
        <v>0</v>
      </c>
      <c r="AN609" s="236">
        <f>'codeis €'!AF609</f>
        <v>0</v>
      </c>
      <c r="AO609" s="90">
        <f>'codeis €'!AC609</f>
        <v>0</v>
      </c>
      <c r="AP609" s="91">
        <f>'codeis €'!AI609</f>
        <v>0</v>
      </c>
      <c r="AR609" s="12">
        <f t="shared" si="248"/>
        <v>67260956.159999996</v>
      </c>
      <c r="AS609" s="118">
        <f t="shared" si="249"/>
        <v>0.02</v>
      </c>
      <c r="AT609" s="118">
        <f t="shared" si="250"/>
        <v>2.0428995474183843E-2</v>
      </c>
      <c r="AU609" s="12">
        <f t="shared" si="251"/>
        <v>3816.871580505328</v>
      </c>
      <c r="AV609" s="12">
        <f t="shared" si="252"/>
        <v>547.24176717199384</v>
      </c>
      <c r="AW609" s="19"/>
    </row>
    <row r="610" spans="2:49" x14ac:dyDescent="0.25">
      <c r="B610" s="9" t="str">
        <f t="shared" si="235"/>
        <v>8 2026</v>
      </c>
      <c r="C610" s="88">
        <f t="shared" si="236"/>
        <v>46259</v>
      </c>
      <c r="D610" s="88">
        <f t="shared" si="229"/>
        <v>46260</v>
      </c>
      <c r="E610" s="89">
        <f t="shared" si="237"/>
        <v>1</v>
      </c>
      <c r="G610" s="11" t="s">
        <v>7</v>
      </c>
      <c r="H610" s="12">
        <f t="shared" si="253"/>
        <v>34250000</v>
      </c>
      <c r="I610" s="14">
        <f t="shared" si="253"/>
        <v>1.7500000000000002E-2</v>
      </c>
      <c r="J610" s="13">
        <f t="shared" si="238"/>
        <v>1664.9305555555557</v>
      </c>
      <c r="K610" s="13">
        <f t="shared" si="239"/>
        <v>305134.861111112</v>
      </c>
      <c r="M610" s="11" t="s">
        <v>7</v>
      </c>
      <c r="N610" s="12">
        <f t="shared" si="256"/>
        <v>12000000</v>
      </c>
      <c r="O610" s="97">
        <f t="shared" si="256"/>
        <v>2.1698630136986304E-2</v>
      </c>
      <c r="P610" s="112">
        <f t="shared" si="240"/>
        <v>723.28767123287685</v>
      </c>
      <c r="Q610" s="13">
        <f t="shared" si="241"/>
        <v>172142.465753425</v>
      </c>
      <c r="R610" s="13">
        <f t="shared" si="242"/>
        <v>139.95433789954348</v>
      </c>
      <c r="T610" s="11" t="str">
        <f t="shared" si="254"/>
        <v>SG</v>
      </c>
      <c r="U610" s="12">
        <f t="shared" si="254"/>
        <v>6010956.1600000001</v>
      </c>
      <c r="V610" s="97">
        <f t="shared" si="254"/>
        <v>2.1205479452054792E-2</v>
      </c>
      <c r="W610" s="13">
        <f t="shared" si="243"/>
        <v>354.0700203835616</v>
      </c>
      <c r="X610" s="13">
        <f t="shared" si="227"/>
        <v>84261.565859944792</v>
      </c>
      <c r="Y610" s="13">
        <f t="shared" si="244"/>
        <v>61.870762605783796</v>
      </c>
      <c r="AA610" s="11" t="s">
        <v>189</v>
      </c>
      <c r="AB610" s="98">
        <f t="shared" si="255"/>
        <v>15000000</v>
      </c>
      <c r="AC610" s="97">
        <f t="shared" si="255"/>
        <v>2.579E-2</v>
      </c>
      <c r="AD610" s="13">
        <f t="shared" si="245"/>
        <v>1074.5833333333333</v>
      </c>
      <c r="AE610" s="13">
        <f t="shared" si="246"/>
        <v>255750.83333333422</v>
      </c>
      <c r="AF610" s="13">
        <f t="shared" si="247"/>
        <v>345.41666666666663</v>
      </c>
      <c r="AH610" s="235">
        <f>'CT- € Ellipsis BNP'!X610</f>
        <v>0</v>
      </c>
      <c r="AI610" s="236">
        <f>'CT- € Ellipsis BNP'!AA610</f>
        <v>0</v>
      </c>
      <c r="AJ610" s="90">
        <f>'CT- € Ellipsis BNP'!W610</f>
        <v>0</v>
      </c>
      <c r="AK610" s="91">
        <f>'CT- € Ellipsis BNP'!AC610</f>
        <v>0</v>
      </c>
      <c r="AM610" s="235">
        <f>'codeis €'!Z610</f>
        <v>0</v>
      </c>
      <c r="AN610" s="236">
        <f>'codeis €'!AF610</f>
        <v>0</v>
      </c>
      <c r="AO610" s="90">
        <f>'codeis €'!AC610</f>
        <v>0</v>
      </c>
      <c r="AP610" s="91">
        <f>'codeis €'!AI610</f>
        <v>0</v>
      </c>
      <c r="AR610" s="12">
        <f t="shared" si="248"/>
        <v>67260956.159999996</v>
      </c>
      <c r="AS610" s="118">
        <f t="shared" si="249"/>
        <v>0.02</v>
      </c>
      <c r="AT610" s="118">
        <f t="shared" si="250"/>
        <v>2.0428995474183843E-2</v>
      </c>
      <c r="AU610" s="12">
        <f t="shared" si="251"/>
        <v>3816.871580505328</v>
      </c>
      <c r="AV610" s="12">
        <f t="shared" si="252"/>
        <v>547.24176717199384</v>
      </c>
      <c r="AW610" s="19"/>
    </row>
    <row r="611" spans="2:49" x14ac:dyDescent="0.25">
      <c r="B611" s="9" t="str">
        <f t="shared" si="235"/>
        <v>8 2026</v>
      </c>
      <c r="C611" s="88">
        <f t="shared" si="236"/>
        <v>46260</v>
      </c>
      <c r="D611" s="88">
        <f t="shared" si="229"/>
        <v>46261</v>
      </c>
      <c r="E611" s="89">
        <f t="shared" si="237"/>
        <v>1</v>
      </c>
      <c r="G611" s="11" t="s">
        <v>7</v>
      </c>
      <c r="H611" s="12">
        <f t="shared" si="253"/>
        <v>34250000</v>
      </c>
      <c r="I611" s="14">
        <f t="shared" si="253"/>
        <v>1.7500000000000002E-2</v>
      </c>
      <c r="J611" s="13">
        <f t="shared" si="238"/>
        <v>1664.9305555555557</v>
      </c>
      <c r="K611" s="13">
        <f t="shared" si="239"/>
        <v>306799.79166666756</v>
      </c>
      <c r="M611" s="11" t="s">
        <v>7</v>
      </c>
      <c r="N611" s="12">
        <f t="shared" si="256"/>
        <v>12000000</v>
      </c>
      <c r="O611" s="97">
        <f t="shared" si="256"/>
        <v>2.1698630136986304E-2</v>
      </c>
      <c r="P611" s="112">
        <f t="shared" si="240"/>
        <v>723.28767123287685</v>
      </c>
      <c r="Q611" s="13">
        <f t="shared" si="241"/>
        <v>172865.75342465789</v>
      </c>
      <c r="R611" s="13">
        <f t="shared" si="242"/>
        <v>139.95433789954348</v>
      </c>
      <c r="T611" s="11" t="str">
        <f t="shared" si="254"/>
        <v>SG</v>
      </c>
      <c r="U611" s="12">
        <f t="shared" si="254"/>
        <v>6010956.1600000001</v>
      </c>
      <c r="V611" s="97">
        <f t="shared" si="254"/>
        <v>2.1205479452054792E-2</v>
      </c>
      <c r="W611" s="13">
        <f t="shared" si="243"/>
        <v>354.0700203835616</v>
      </c>
      <c r="X611" s="13">
        <f t="shared" si="227"/>
        <v>84615.635880328351</v>
      </c>
      <c r="Y611" s="13">
        <f t="shared" si="244"/>
        <v>61.870762605783796</v>
      </c>
      <c r="AA611" s="11" t="s">
        <v>189</v>
      </c>
      <c r="AB611" s="98">
        <f t="shared" si="255"/>
        <v>15000000</v>
      </c>
      <c r="AC611" s="97">
        <f t="shared" si="255"/>
        <v>2.579E-2</v>
      </c>
      <c r="AD611" s="13">
        <f t="shared" si="245"/>
        <v>1074.5833333333333</v>
      </c>
      <c r="AE611" s="13">
        <f t="shared" si="246"/>
        <v>256825.41666666756</v>
      </c>
      <c r="AF611" s="13">
        <f t="shared" si="247"/>
        <v>345.41666666666663</v>
      </c>
      <c r="AH611" s="235">
        <f>'CT- € Ellipsis BNP'!X611</f>
        <v>0</v>
      </c>
      <c r="AI611" s="236">
        <f>'CT- € Ellipsis BNP'!AA611</f>
        <v>0</v>
      </c>
      <c r="AJ611" s="90">
        <f>'CT- € Ellipsis BNP'!W611</f>
        <v>0</v>
      </c>
      <c r="AK611" s="91">
        <f>'CT- € Ellipsis BNP'!AC611</f>
        <v>0</v>
      </c>
      <c r="AM611" s="235">
        <f>'codeis €'!Z611</f>
        <v>0</v>
      </c>
      <c r="AN611" s="236">
        <f>'codeis €'!AF611</f>
        <v>0</v>
      </c>
      <c r="AO611" s="90">
        <f>'codeis €'!AC611</f>
        <v>0</v>
      </c>
      <c r="AP611" s="91">
        <f>'codeis €'!AI611</f>
        <v>0</v>
      </c>
      <c r="AR611" s="12">
        <f t="shared" si="248"/>
        <v>67260956.159999996</v>
      </c>
      <c r="AS611" s="118">
        <f t="shared" si="249"/>
        <v>0.02</v>
      </c>
      <c r="AT611" s="118">
        <f t="shared" si="250"/>
        <v>2.0428995474183843E-2</v>
      </c>
      <c r="AU611" s="12">
        <f t="shared" si="251"/>
        <v>3816.871580505328</v>
      </c>
      <c r="AV611" s="12">
        <f t="shared" si="252"/>
        <v>547.24176717199384</v>
      </c>
      <c r="AW611" s="19"/>
    </row>
    <row r="612" spans="2:49" x14ac:dyDescent="0.25">
      <c r="B612" s="9" t="str">
        <f t="shared" si="235"/>
        <v>8 2026</v>
      </c>
      <c r="C612" s="88">
        <f t="shared" si="236"/>
        <v>46261</v>
      </c>
      <c r="D612" s="88">
        <f t="shared" si="229"/>
        <v>46262</v>
      </c>
      <c r="E612" s="89">
        <f t="shared" si="237"/>
        <v>1</v>
      </c>
      <c r="G612" s="11" t="s">
        <v>7</v>
      </c>
      <c r="H612" s="12">
        <f t="shared" si="253"/>
        <v>34250000</v>
      </c>
      <c r="I612" s="14">
        <f t="shared" si="253"/>
        <v>1.7500000000000002E-2</v>
      </c>
      <c r="J612" s="13">
        <f t="shared" si="238"/>
        <v>1664.9305555555557</v>
      </c>
      <c r="K612" s="13">
        <f t="shared" si="239"/>
        <v>308464.72222222312</v>
      </c>
      <c r="M612" s="11" t="s">
        <v>7</v>
      </c>
      <c r="N612" s="12">
        <f t="shared" si="256"/>
        <v>12000000</v>
      </c>
      <c r="O612" s="97">
        <f t="shared" si="256"/>
        <v>2.1698630136986304E-2</v>
      </c>
      <c r="P612" s="112">
        <f t="shared" si="240"/>
        <v>723.28767123287685</v>
      </c>
      <c r="Q612" s="13">
        <f t="shared" si="241"/>
        <v>173589.04109589077</v>
      </c>
      <c r="R612" s="13">
        <f t="shared" si="242"/>
        <v>139.95433789954348</v>
      </c>
      <c r="T612" s="11" t="str">
        <f t="shared" si="254"/>
        <v>SG</v>
      </c>
      <c r="U612" s="12">
        <f t="shared" si="254"/>
        <v>6010956.1600000001</v>
      </c>
      <c r="V612" s="97">
        <f t="shared" si="254"/>
        <v>2.1205479452054792E-2</v>
      </c>
      <c r="W612" s="13">
        <f t="shared" si="243"/>
        <v>354.0700203835616</v>
      </c>
      <c r="X612" s="13">
        <f t="shared" si="227"/>
        <v>84969.70590071191</v>
      </c>
      <c r="Y612" s="13">
        <f t="shared" si="244"/>
        <v>61.870762605783796</v>
      </c>
      <c r="AA612" s="11" t="s">
        <v>189</v>
      </c>
      <c r="AB612" s="98">
        <f t="shared" si="255"/>
        <v>15000000</v>
      </c>
      <c r="AC612" s="97">
        <f t="shared" si="255"/>
        <v>2.579E-2</v>
      </c>
      <c r="AD612" s="13">
        <f t="shared" si="245"/>
        <v>1074.5833333333333</v>
      </c>
      <c r="AE612" s="13">
        <f t="shared" si="246"/>
        <v>257900.0000000009</v>
      </c>
      <c r="AF612" s="13">
        <f t="shared" si="247"/>
        <v>345.41666666666663</v>
      </c>
      <c r="AH612" s="235">
        <f>'CT- € Ellipsis BNP'!X612</f>
        <v>0</v>
      </c>
      <c r="AI612" s="236">
        <f>'CT- € Ellipsis BNP'!AA612</f>
        <v>0</v>
      </c>
      <c r="AJ612" s="90">
        <f>'CT- € Ellipsis BNP'!W612</f>
        <v>0</v>
      </c>
      <c r="AK612" s="91">
        <f>'CT- € Ellipsis BNP'!AC612</f>
        <v>0</v>
      </c>
      <c r="AM612" s="235">
        <f>'codeis €'!Z612</f>
        <v>0</v>
      </c>
      <c r="AN612" s="236">
        <f>'codeis €'!AF612</f>
        <v>0</v>
      </c>
      <c r="AO612" s="90">
        <f>'codeis €'!AC612</f>
        <v>0</v>
      </c>
      <c r="AP612" s="91">
        <f>'codeis €'!AI612</f>
        <v>0</v>
      </c>
      <c r="AR612" s="12">
        <f t="shared" si="248"/>
        <v>67260956.159999996</v>
      </c>
      <c r="AS612" s="118">
        <f t="shared" si="249"/>
        <v>0.02</v>
      </c>
      <c r="AT612" s="118">
        <f t="shared" si="250"/>
        <v>2.0428995474183843E-2</v>
      </c>
      <c r="AU612" s="12">
        <f t="shared" si="251"/>
        <v>3816.871580505328</v>
      </c>
      <c r="AV612" s="12">
        <f t="shared" si="252"/>
        <v>547.24176717199384</v>
      </c>
      <c r="AW612" s="19"/>
    </row>
    <row r="613" spans="2:49" x14ac:dyDescent="0.25">
      <c r="B613" s="9" t="str">
        <f t="shared" si="235"/>
        <v>8 2026</v>
      </c>
      <c r="C613" s="88">
        <f t="shared" si="236"/>
        <v>46262</v>
      </c>
      <c r="D613" s="88">
        <f t="shared" si="229"/>
        <v>46263</v>
      </c>
      <c r="E613" s="89">
        <f t="shared" si="237"/>
        <v>1</v>
      </c>
      <c r="G613" s="11" t="s">
        <v>7</v>
      </c>
      <c r="H613" s="12">
        <f t="shared" si="253"/>
        <v>34250000</v>
      </c>
      <c r="I613" s="14">
        <f t="shared" si="253"/>
        <v>1.7500000000000002E-2</v>
      </c>
      <c r="J613" s="13">
        <f t="shared" si="238"/>
        <v>1664.9305555555557</v>
      </c>
      <c r="K613" s="13">
        <f t="shared" si="239"/>
        <v>310129.65277777868</v>
      </c>
      <c r="M613" s="11" t="s">
        <v>7</v>
      </c>
      <c r="N613" s="12">
        <f t="shared" si="256"/>
        <v>12000000</v>
      </c>
      <c r="O613" s="97">
        <f t="shared" si="256"/>
        <v>2.1698630136986304E-2</v>
      </c>
      <c r="P613" s="112">
        <f t="shared" si="240"/>
        <v>723.28767123287685</v>
      </c>
      <c r="Q613" s="13">
        <f t="shared" si="241"/>
        <v>174312.32876712366</v>
      </c>
      <c r="R613" s="13">
        <f t="shared" si="242"/>
        <v>139.95433789954348</v>
      </c>
      <c r="T613" s="11" t="str">
        <f t="shared" si="254"/>
        <v>SG</v>
      </c>
      <c r="U613" s="12">
        <f t="shared" si="254"/>
        <v>6010956.1600000001</v>
      </c>
      <c r="V613" s="97">
        <f t="shared" si="254"/>
        <v>2.1205479452054792E-2</v>
      </c>
      <c r="W613" s="13">
        <f t="shared" si="243"/>
        <v>354.0700203835616</v>
      </c>
      <c r="X613" s="13">
        <f t="shared" si="227"/>
        <v>85323.775921095468</v>
      </c>
      <c r="Y613" s="13">
        <f t="shared" si="244"/>
        <v>61.870762605783796</v>
      </c>
      <c r="AA613" s="11" t="s">
        <v>189</v>
      </c>
      <c r="AB613" s="98">
        <f t="shared" si="255"/>
        <v>15000000</v>
      </c>
      <c r="AC613" s="97">
        <f t="shared" si="255"/>
        <v>2.579E-2</v>
      </c>
      <c r="AD613" s="13">
        <f t="shared" si="245"/>
        <v>1074.5833333333333</v>
      </c>
      <c r="AE613" s="13">
        <f t="shared" si="246"/>
        <v>258974.58333333425</v>
      </c>
      <c r="AF613" s="13">
        <f t="shared" si="247"/>
        <v>345.41666666666663</v>
      </c>
      <c r="AH613" s="235">
        <f>'CT- € Ellipsis BNP'!X613</f>
        <v>0</v>
      </c>
      <c r="AI613" s="236">
        <f>'CT- € Ellipsis BNP'!AA613</f>
        <v>0</v>
      </c>
      <c r="AJ613" s="90">
        <f>'CT- € Ellipsis BNP'!W613</f>
        <v>0</v>
      </c>
      <c r="AK613" s="91">
        <f>'CT- € Ellipsis BNP'!AC613</f>
        <v>0</v>
      </c>
      <c r="AM613" s="235">
        <f>'codeis €'!Z613</f>
        <v>0</v>
      </c>
      <c r="AN613" s="236">
        <f>'codeis €'!AF613</f>
        <v>0</v>
      </c>
      <c r="AO613" s="90">
        <f>'codeis €'!AC613</f>
        <v>0</v>
      </c>
      <c r="AP613" s="91">
        <f>'codeis €'!AI613</f>
        <v>0</v>
      </c>
      <c r="AR613" s="12">
        <f t="shared" si="248"/>
        <v>67260956.159999996</v>
      </c>
      <c r="AS613" s="118">
        <f t="shared" si="249"/>
        <v>0.02</v>
      </c>
      <c r="AT613" s="118">
        <f t="shared" si="250"/>
        <v>2.0428995474183843E-2</v>
      </c>
      <c r="AU613" s="12">
        <f t="shared" si="251"/>
        <v>3816.871580505328</v>
      </c>
      <c r="AV613" s="12">
        <f t="shared" si="252"/>
        <v>547.24176717199384</v>
      </c>
      <c r="AW613" s="19"/>
    </row>
    <row r="614" spans="2:49" x14ac:dyDescent="0.25">
      <c r="B614" s="9" t="str">
        <f t="shared" si="235"/>
        <v>8 2026</v>
      </c>
      <c r="C614" s="88">
        <f t="shared" si="236"/>
        <v>46263</v>
      </c>
      <c r="D614" s="88">
        <f t="shared" si="229"/>
        <v>46264</v>
      </c>
      <c r="E614" s="89">
        <f t="shared" si="237"/>
        <v>1</v>
      </c>
      <c r="G614" s="11" t="s">
        <v>7</v>
      </c>
      <c r="H614" s="12">
        <f t="shared" si="253"/>
        <v>34250000</v>
      </c>
      <c r="I614" s="14">
        <f t="shared" si="253"/>
        <v>1.7500000000000002E-2</v>
      </c>
      <c r="J614" s="13">
        <f t="shared" si="238"/>
        <v>1664.9305555555557</v>
      </c>
      <c r="K614" s="13">
        <f t="shared" si="239"/>
        <v>311794.58333333425</v>
      </c>
      <c r="M614" s="11" t="s">
        <v>7</v>
      </c>
      <c r="N614" s="12">
        <f t="shared" si="256"/>
        <v>12000000</v>
      </c>
      <c r="O614" s="97">
        <f t="shared" si="256"/>
        <v>2.1698630136986304E-2</v>
      </c>
      <c r="P614" s="112">
        <f t="shared" si="240"/>
        <v>723.28767123287685</v>
      </c>
      <c r="Q614" s="13">
        <f t="shared" si="241"/>
        <v>175035.61643835655</v>
      </c>
      <c r="R614" s="13">
        <f t="shared" si="242"/>
        <v>139.95433789954348</v>
      </c>
      <c r="T614" s="11" t="str">
        <f t="shared" si="254"/>
        <v>SG</v>
      </c>
      <c r="U614" s="12">
        <f t="shared" si="254"/>
        <v>6010956.1600000001</v>
      </c>
      <c r="V614" s="97">
        <f t="shared" si="254"/>
        <v>2.1205479452054792E-2</v>
      </c>
      <c r="W614" s="13">
        <f t="shared" si="243"/>
        <v>354.0700203835616</v>
      </c>
      <c r="X614" s="13">
        <f t="shared" si="227"/>
        <v>85677.845941479027</v>
      </c>
      <c r="Y614" s="13">
        <f t="shared" si="244"/>
        <v>61.870762605783796</v>
      </c>
      <c r="AA614" s="11" t="s">
        <v>189</v>
      </c>
      <c r="AB614" s="98">
        <f t="shared" si="255"/>
        <v>15000000</v>
      </c>
      <c r="AC614" s="97">
        <f t="shared" si="255"/>
        <v>2.579E-2</v>
      </c>
      <c r="AD614" s="13">
        <f t="shared" si="245"/>
        <v>1074.5833333333333</v>
      </c>
      <c r="AE614" s="13">
        <f t="shared" si="246"/>
        <v>260049.16666666759</v>
      </c>
      <c r="AF614" s="13">
        <f t="shared" si="247"/>
        <v>345.41666666666663</v>
      </c>
      <c r="AH614" s="235">
        <f>'CT- € Ellipsis BNP'!X614</f>
        <v>0</v>
      </c>
      <c r="AI614" s="236">
        <f>'CT- € Ellipsis BNP'!AA614</f>
        <v>0</v>
      </c>
      <c r="AJ614" s="90">
        <f>'CT- € Ellipsis BNP'!W614</f>
        <v>0</v>
      </c>
      <c r="AK614" s="91">
        <f>'CT- € Ellipsis BNP'!AC614</f>
        <v>0</v>
      </c>
      <c r="AM614" s="235">
        <f>'codeis €'!Z614</f>
        <v>0</v>
      </c>
      <c r="AN614" s="236">
        <f>'codeis €'!AF614</f>
        <v>0</v>
      </c>
      <c r="AO614" s="90">
        <f>'codeis €'!AC614</f>
        <v>0</v>
      </c>
      <c r="AP614" s="91">
        <f>'codeis €'!AI614</f>
        <v>0</v>
      </c>
      <c r="AR614" s="12">
        <f t="shared" si="248"/>
        <v>67260956.159999996</v>
      </c>
      <c r="AS614" s="118">
        <f t="shared" si="249"/>
        <v>0.02</v>
      </c>
      <c r="AT614" s="118">
        <f t="shared" si="250"/>
        <v>2.0428995474183843E-2</v>
      </c>
      <c r="AU614" s="12">
        <f t="shared" si="251"/>
        <v>3816.871580505328</v>
      </c>
      <c r="AV614" s="12">
        <f t="shared" si="252"/>
        <v>547.24176717199384</v>
      </c>
      <c r="AW614" s="19"/>
    </row>
    <row r="615" spans="2:49" x14ac:dyDescent="0.25">
      <c r="B615" s="9" t="str">
        <f t="shared" si="235"/>
        <v>8 2026</v>
      </c>
      <c r="C615" s="88">
        <f t="shared" si="236"/>
        <v>46264</v>
      </c>
      <c r="D615" s="88">
        <f t="shared" si="229"/>
        <v>46265</v>
      </c>
      <c r="E615" s="89">
        <f t="shared" si="237"/>
        <v>1</v>
      </c>
      <c r="G615" s="11" t="s">
        <v>7</v>
      </c>
      <c r="H615" s="12">
        <f t="shared" ref="H615:I630" si="257">H614</f>
        <v>34250000</v>
      </c>
      <c r="I615" s="14">
        <f t="shared" si="257"/>
        <v>1.7500000000000002E-2</v>
      </c>
      <c r="J615" s="13">
        <f t="shared" si="238"/>
        <v>1664.9305555555557</v>
      </c>
      <c r="K615" s="13">
        <f t="shared" si="239"/>
        <v>313459.51388888981</v>
      </c>
      <c r="M615" s="11" t="s">
        <v>7</v>
      </c>
      <c r="N615" s="12">
        <f t="shared" si="256"/>
        <v>12000000</v>
      </c>
      <c r="O615" s="97">
        <f t="shared" si="256"/>
        <v>2.1698630136986304E-2</v>
      </c>
      <c r="P615" s="112">
        <f t="shared" si="240"/>
        <v>723.28767123287685</v>
      </c>
      <c r="Q615" s="13">
        <f t="shared" si="241"/>
        <v>175758.90410958944</v>
      </c>
      <c r="R615" s="13">
        <f t="shared" si="242"/>
        <v>139.95433789954348</v>
      </c>
      <c r="T615" s="11" t="str">
        <f t="shared" ref="T615:V630" si="258">T614</f>
        <v>SG</v>
      </c>
      <c r="U615" s="12">
        <f t="shared" si="258"/>
        <v>6010956.1600000001</v>
      </c>
      <c r="V615" s="97">
        <f t="shared" si="258"/>
        <v>2.1205479452054792E-2</v>
      </c>
      <c r="W615" s="13">
        <f t="shared" si="243"/>
        <v>354.0700203835616</v>
      </c>
      <c r="X615" s="13">
        <f t="shared" si="227"/>
        <v>86031.915961862585</v>
      </c>
      <c r="Y615" s="13">
        <f t="shared" si="244"/>
        <v>61.870762605783796</v>
      </c>
      <c r="AA615" s="11" t="s">
        <v>189</v>
      </c>
      <c r="AB615" s="98">
        <f t="shared" ref="AB615:AC630" si="259">AB614</f>
        <v>15000000</v>
      </c>
      <c r="AC615" s="97">
        <f t="shared" si="259"/>
        <v>2.579E-2</v>
      </c>
      <c r="AD615" s="13">
        <f t="shared" si="245"/>
        <v>1074.5833333333333</v>
      </c>
      <c r="AE615" s="13">
        <f t="shared" si="246"/>
        <v>261123.75000000093</v>
      </c>
      <c r="AF615" s="13">
        <f t="shared" si="247"/>
        <v>345.41666666666663</v>
      </c>
      <c r="AH615" s="235">
        <f>'CT- € Ellipsis BNP'!X615</f>
        <v>0</v>
      </c>
      <c r="AI615" s="236">
        <f>'CT- € Ellipsis BNP'!AA615</f>
        <v>0</v>
      </c>
      <c r="AJ615" s="90">
        <f>'CT- € Ellipsis BNP'!W615</f>
        <v>0</v>
      </c>
      <c r="AK615" s="91">
        <f>'CT- € Ellipsis BNP'!AC615</f>
        <v>0</v>
      </c>
      <c r="AM615" s="235">
        <f>'codeis €'!Z615</f>
        <v>0</v>
      </c>
      <c r="AN615" s="236">
        <f>'codeis €'!AF615</f>
        <v>0</v>
      </c>
      <c r="AO615" s="90">
        <f>'codeis €'!AC615</f>
        <v>0</v>
      </c>
      <c r="AP615" s="91">
        <f>'codeis €'!AI615</f>
        <v>0</v>
      </c>
      <c r="AR615" s="12">
        <f t="shared" si="248"/>
        <v>67260956.159999996</v>
      </c>
      <c r="AS615" s="118">
        <f t="shared" si="249"/>
        <v>0.02</v>
      </c>
      <c r="AT615" s="118">
        <f t="shared" si="250"/>
        <v>2.0428995474183843E-2</v>
      </c>
      <c r="AU615" s="12">
        <f t="shared" si="251"/>
        <v>3816.871580505328</v>
      </c>
      <c r="AV615" s="12">
        <f t="shared" si="252"/>
        <v>547.24176717199384</v>
      </c>
      <c r="AW615" s="19"/>
    </row>
    <row r="616" spans="2:49" x14ac:dyDescent="0.25">
      <c r="B616" s="9" t="str">
        <f t="shared" si="235"/>
        <v>9 2026</v>
      </c>
      <c r="C616" s="88">
        <f t="shared" si="236"/>
        <v>46265</v>
      </c>
      <c r="D616" s="88">
        <f t="shared" si="229"/>
        <v>46266</v>
      </c>
      <c r="E616" s="89">
        <f t="shared" si="237"/>
        <v>1</v>
      </c>
      <c r="G616" s="11" t="s">
        <v>7</v>
      </c>
      <c r="H616" s="12">
        <f t="shared" si="257"/>
        <v>34250000</v>
      </c>
      <c r="I616" s="14">
        <f t="shared" si="257"/>
        <v>1.7500000000000002E-2</v>
      </c>
      <c r="J616" s="13">
        <f t="shared" si="238"/>
        <v>1664.9305555555557</v>
      </c>
      <c r="K616" s="13">
        <f t="shared" si="239"/>
        <v>315124.44444444537</v>
      </c>
      <c r="M616" s="11" t="s">
        <v>7</v>
      </c>
      <c r="N616" s="12">
        <f t="shared" ref="N616:O631" si="260">N615</f>
        <v>12000000</v>
      </c>
      <c r="O616" s="97">
        <f t="shared" si="260"/>
        <v>2.1698630136986304E-2</v>
      </c>
      <c r="P616" s="112">
        <f t="shared" si="240"/>
        <v>723.28767123287685</v>
      </c>
      <c r="Q616" s="13">
        <f t="shared" si="241"/>
        <v>176482.19178082232</v>
      </c>
      <c r="R616" s="13">
        <f t="shared" si="242"/>
        <v>139.95433789954348</v>
      </c>
      <c r="T616" s="11" t="str">
        <f t="shared" si="258"/>
        <v>SG</v>
      </c>
      <c r="U616" s="12">
        <f t="shared" si="258"/>
        <v>6010956.1600000001</v>
      </c>
      <c r="V616" s="97">
        <f t="shared" si="258"/>
        <v>2.1205479452054792E-2</v>
      </c>
      <c r="W616" s="13">
        <f t="shared" si="243"/>
        <v>354.0700203835616</v>
      </c>
      <c r="X616" s="13">
        <f t="shared" si="227"/>
        <v>86385.985982246144</v>
      </c>
      <c r="Y616" s="13">
        <f t="shared" si="244"/>
        <v>61.870762605783796</v>
      </c>
      <c r="AA616" s="11" t="s">
        <v>189</v>
      </c>
      <c r="AB616" s="98">
        <f t="shared" si="259"/>
        <v>15000000</v>
      </c>
      <c r="AC616" s="97">
        <f t="shared" si="259"/>
        <v>2.579E-2</v>
      </c>
      <c r="AD616" s="13">
        <f t="shared" si="245"/>
        <v>1074.5833333333333</v>
      </c>
      <c r="AE616" s="13">
        <f t="shared" si="246"/>
        <v>262198.33333333425</v>
      </c>
      <c r="AF616" s="13">
        <f t="shared" si="247"/>
        <v>345.41666666666663</v>
      </c>
      <c r="AH616" s="235">
        <f>'CT- € Ellipsis BNP'!X616</f>
        <v>0</v>
      </c>
      <c r="AI616" s="236">
        <f>'CT- € Ellipsis BNP'!AA616</f>
        <v>0</v>
      </c>
      <c r="AJ616" s="90">
        <f>'CT- € Ellipsis BNP'!W616</f>
        <v>0</v>
      </c>
      <c r="AK616" s="91">
        <f>'CT- € Ellipsis BNP'!AC616</f>
        <v>0</v>
      </c>
      <c r="AM616" s="235">
        <f>'codeis €'!Z616</f>
        <v>0</v>
      </c>
      <c r="AN616" s="236">
        <f>'codeis €'!AF616</f>
        <v>0</v>
      </c>
      <c r="AO616" s="90">
        <f>'codeis €'!AC616</f>
        <v>0</v>
      </c>
      <c r="AP616" s="91">
        <f>'codeis €'!AI616</f>
        <v>0</v>
      </c>
      <c r="AR616" s="12">
        <f t="shared" si="248"/>
        <v>67260956.159999996</v>
      </c>
      <c r="AS616" s="118">
        <f t="shared" si="249"/>
        <v>0.02</v>
      </c>
      <c r="AT616" s="118">
        <f t="shared" si="250"/>
        <v>2.0428995474183843E-2</v>
      </c>
      <c r="AU616" s="12">
        <f t="shared" si="251"/>
        <v>3816.871580505328</v>
      </c>
      <c r="AV616" s="12">
        <f t="shared" si="252"/>
        <v>547.24176717199384</v>
      </c>
      <c r="AW616" s="19"/>
    </row>
    <row r="617" spans="2:49" x14ac:dyDescent="0.25">
      <c r="B617" s="9" t="str">
        <f t="shared" si="235"/>
        <v>9 2026</v>
      </c>
      <c r="C617" s="88">
        <f t="shared" si="236"/>
        <v>46266</v>
      </c>
      <c r="D617" s="88">
        <f t="shared" si="229"/>
        <v>46267</v>
      </c>
      <c r="E617" s="89">
        <f t="shared" si="237"/>
        <v>1</v>
      </c>
      <c r="G617" s="11" t="s">
        <v>7</v>
      </c>
      <c r="H617" s="12">
        <f t="shared" si="257"/>
        <v>34250000</v>
      </c>
      <c r="I617" s="14">
        <f t="shared" si="257"/>
        <v>1.7500000000000002E-2</v>
      </c>
      <c r="J617" s="13">
        <f t="shared" si="238"/>
        <v>1664.9305555555557</v>
      </c>
      <c r="K617" s="13">
        <f t="shared" si="239"/>
        <v>316789.37500000093</v>
      </c>
      <c r="M617" s="11" t="s">
        <v>7</v>
      </c>
      <c r="N617" s="12">
        <f t="shared" si="260"/>
        <v>12000000</v>
      </c>
      <c r="O617" s="97">
        <f t="shared" si="260"/>
        <v>2.1698630136986304E-2</v>
      </c>
      <c r="P617" s="112">
        <f t="shared" si="240"/>
        <v>723.28767123287685</v>
      </c>
      <c r="Q617" s="13">
        <f t="shared" si="241"/>
        <v>177205.47945205521</v>
      </c>
      <c r="R617" s="13">
        <f t="shared" si="242"/>
        <v>139.95433789954348</v>
      </c>
      <c r="T617" s="11" t="str">
        <f t="shared" si="258"/>
        <v>SG</v>
      </c>
      <c r="U617" s="12">
        <f t="shared" si="258"/>
        <v>6010956.1600000001</v>
      </c>
      <c r="V617" s="97">
        <f t="shared" si="258"/>
        <v>2.1205479452054792E-2</v>
      </c>
      <c r="W617" s="13">
        <f t="shared" si="243"/>
        <v>354.0700203835616</v>
      </c>
      <c r="X617" s="13">
        <f t="shared" si="227"/>
        <v>86740.056002629703</v>
      </c>
      <c r="Y617" s="13">
        <f t="shared" si="244"/>
        <v>61.870762605783796</v>
      </c>
      <c r="AA617" s="11" t="s">
        <v>189</v>
      </c>
      <c r="AB617" s="98">
        <f t="shared" si="259"/>
        <v>15000000</v>
      </c>
      <c r="AC617" s="97">
        <f t="shared" si="259"/>
        <v>2.579E-2</v>
      </c>
      <c r="AD617" s="13">
        <f t="shared" si="245"/>
        <v>1074.5833333333333</v>
      </c>
      <c r="AE617" s="13">
        <f t="shared" si="246"/>
        <v>263272.91666666756</v>
      </c>
      <c r="AF617" s="13">
        <f t="shared" si="247"/>
        <v>345.41666666666663</v>
      </c>
      <c r="AH617" s="235">
        <f>'CT- € Ellipsis BNP'!X617</f>
        <v>0</v>
      </c>
      <c r="AI617" s="236">
        <f>'CT- € Ellipsis BNP'!AA617</f>
        <v>0</v>
      </c>
      <c r="AJ617" s="90">
        <f>'CT- € Ellipsis BNP'!W617</f>
        <v>0</v>
      </c>
      <c r="AK617" s="91">
        <f>'CT- € Ellipsis BNP'!AC617</f>
        <v>0</v>
      </c>
      <c r="AM617" s="235">
        <f>'codeis €'!Z617</f>
        <v>0</v>
      </c>
      <c r="AN617" s="236">
        <f>'codeis €'!AF617</f>
        <v>0</v>
      </c>
      <c r="AO617" s="90">
        <f>'codeis €'!AC617</f>
        <v>0</v>
      </c>
      <c r="AP617" s="91">
        <f>'codeis €'!AI617</f>
        <v>0</v>
      </c>
      <c r="AR617" s="12">
        <f t="shared" si="248"/>
        <v>67260956.159999996</v>
      </c>
      <c r="AS617" s="118">
        <f t="shared" si="249"/>
        <v>0.02</v>
      </c>
      <c r="AT617" s="118">
        <f t="shared" si="250"/>
        <v>2.0428995474183843E-2</v>
      </c>
      <c r="AU617" s="12">
        <f t="shared" si="251"/>
        <v>3816.871580505328</v>
      </c>
      <c r="AV617" s="12">
        <f t="shared" si="252"/>
        <v>547.24176717199384</v>
      </c>
      <c r="AW617" s="19"/>
    </row>
    <row r="618" spans="2:49" x14ac:dyDescent="0.25">
      <c r="B618" s="9" t="str">
        <f t="shared" si="235"/>
        <v>9 2026</v>
      </c>
      <c r="C618" s="88">
        <f t="shared" si="236"/>
        <v>46267</v>
      </c>
      <c r="D618" s="88">
        <f t="shared" si="229"/>
        <v>46268</v>
      </c>
      <c r="E618" s="89">
        <f t="shared" si="237"/>
        <v>1</v>
      </c>
      <c r="G618" s="11" t="s">
        <v>7</v>
      </c>
      <c r="H618" s="12">
        <f t="shared" si="257"/>
        <v>34250000</v>
      </c>
      <c r="I618" s="14">
        <f t="shared" si="257"/>
        <v>1.7500000000000002E-2</v>
      </c>
      <c r="J618" s="13">
        <f t="shared" si="238"/>
        <v>1664.9305555555557</v>
      </c>
      <c r="K618" s="13">
        <f t="shared" si="239"/>
        <v>318454.30555555649</v>
      </c>
      <c r="M618" s="11" t="s">
        <v>7</v>
      </c>
      <c r="N618" s="12">
        <f t="shared" si="260"/>
        <v>12000000</v>
      </c>
      <c r="O618" s="97">
        <f t="shared" si="260"/>
        <v>2.1698630136986304E-2</v>
      </c>
      <c r="P618" s="112">
        <f t="shared" si="240"/>
        <v>723.28767123287685</v>
      </c>
      <c r="Q618" s="13">
        <f t="shared" si="241"/>
        <v>177928.7671232881</v>
      </c>
      <c r="R618" s="13">
        <f t="shared" si="242"/>
        <v>139.95433789954348</v>
      </c>
      <c r="T618" s="11" t="str">
        <f t="shared" si="258"/>
        <v>SG</v>
      </c>
      <c r="U618" s="12">
        <f t="shared" si="258"/>
        <v>6010956.1600000001</v>
      </c>
      <c r="V618" s="97">
        <f t="shared" si="258"/>
        <v>2.1205479452054792E-2</v>
      </c>
      <c r="W618" s="13">
        <f t="shared" si="243"/>
        <v>354.0700203835616</v>
      </c>
      <c r="X618" s="13">
        <f t="shared" si="227"/>
        <v>87094.126023013261</v>
      </c>
      <c r="Y618" s="13">
        <f t="shared" si="244"/>
        <v>61.870762605783796</v>
      </c>
      <c r="AA618" s="11" t="s">
        <v>189</v>
      </c>
      <c r="AB618" s="98">
        <f t="shared" si="259"/>
        <v>15000000</v>
      </c>
      <c r="AC618" s="97">
        <f t="shared" si="259"/>
        <v>2.579E-2</v>
      </c>
      <c r="AD618" s="13">
        <f t="shared" si="245"/>
        <v>1074.5833333333333</v>
      </c>
      <c r="AE618" s="13">
        <f t="shared" si="246"/>
        <v>264347.50000000087</v>
      </c>
      <c r="AF618" s="13">
        <f t="shared" si="247"/>
        <v>345.41666666666663</v>
      </c>
      <c r="AH618" s="235">
        <f>'CT- € Ellipsis BNP'!X618</f>
        <v>0</v>
      </c>
      <c r="AI618" s="236">
        <f>'CT- € Ellipsis BNP'!AA618</f>
        <v>0</v>
      </c>
      <c r="AJ618" s="90">
        <f>'CT- € Ellipsis BNP'!W618</f>
        <v>0</v>
      </c>
      <c r="AK618" s="91">
        <f>'CT- € Ellipsis BNP'!AC618</f>
        <v>0</v>
      </c>
      <c r="AM618" s="235">
        <f>'codeis €'!Z618</f>
        <v>0</v>
      </c>
      <c r="AN618" s="236">
        <f>'codeis €'!AF618</f>
        <v>0</v>
      </c>
      <c r="AO618" s="90">
        <f>'codeis €'!AC618</f>
        <v>0</v>
      </c>
      <c r="AP618" s="91">
        <f>'codeis €'!AI618</f>
        <v>0</v>
      </c>
      <c r="AR618" s="12">
        <f t="shared" si="248"/>
        <v>67260956.159999996</v>
      </c>
      <c r="AS618" s="118">
        <f t="shared" si="249"/>
        <v>0.02</v>
      </c>
      <c r="AT618" s="118">
        <f t="shared" si="250"/>
        <v>2.0428995474183843E-2</v>
      </c>
      <c r="AU618" s="12">
        <f t="shared" si="251"/>
        <v>3816.871580505328</v>
      </c>
      <c r="AV618" s="12">
        <f t="shared" si="252"/>
        <v>547.24176717199384</v>
      </c>
      <c r="AW618" s="19"/>
    </row>
    <row r="619" spans="2:49" x14ac:dyDescent="0.25">
      <c r="B619" s="9" t="str">
        <f t="shared" si="235"/>
        <v>9 2026</v>
      </c>
      <c r="C619" s="88">
        <f t="shared" si="236"/>
        <v>46268</v>
      </c>
      <c r="D619" s="88">
        <f t="shared" si="229"/>
        <v>46269</v>
      </c>
      <c r="E619" s="89">
        <f t="shared" si="237"/>
        <v>1</v>
      </c>
      <c r="G619" s="11" t="s">
        <v>7</v>
      </c>
      <c r="H619" s="12">
        <f t="shared" si="257"/>
        <v>34250000</v>
      </c>
      <c r="I619" s="14">
        <f t="shared" si="257"/>
        <v>1.7500000000000002E-2</v>
      </c>
      <c r="J619" s="13">
        <f t="shared" si="238"/>
        <v>1664.9305555555557</v>
      </c>
      <c r="K619" s="13">
        <f t="shared" si="239"/>
        <v>320119.23611111206</v>
      </c>
      <c r="M619" s="11" t="s">
        <v>7</v>
      </c>
      <c r="N619" s="12">
        <f t="shared" si="260"/>
        <v>12000000</v>
      </c>
      <c r="O619" s="97">
        <f t="shared" si="260"/>
        <v>2.1698630136986304E-2</v>
      </c>
      <c r="P619" s="112">
        <f t="shared" si="240"/>
        <v>723.28767123287685</v>
      </c>
      <c r="Q619" s="13">
        <f t="shared" si="241"/>
        <v>178652.05479452098</v>
      </c>
      <c r="R619" s="13">
        <f t="shared" si="242"/>
        <v>139.95433789954348</v>
      </c>
      <c r="T619" s="11" t="str">
        <f t="shared" si="258"/>
        <v>SG</v>
      </c>
      <c r="U619" s="12">
        <f t="shared" si="258"/>
        <v>6010956.1600000001</v>
      </c>
      <c r="V619" s="97">
        <f t="shared" si="258"/>
        <v>2.1205479452054792E-2</v>
      </c>
      <c r="W619" s="13">
        <f t="shared" si="243"/>
        <v>354.0700203835616</v>
      </c>
      <c r="X619" s="13">
        <f t="shared" si="227"/>
        <v>87448.19604339682</v>
      </c>
      <c r="Y619" s="13">
        <f t="shared" si="244"/>
        <v>61.870762605783796</v>
      </c>
      <c r="AA619" s="11" t="s">
        <v>189</v>
      </c>
      <c r="AB619" s="98">
        <f t="shared" si="259"/>
        <v>15000000</v>
      </c>
      <c r="AC619" s="97">
        <f t="shared" si="259"/>
        <v>2.579E-2</v>
      </c>
      <c r="AD619" s="13">
        <f t="shared" si="245"/>
        <v>1074.5833333333333</v>
      </c>
      <c r="AE619" s="13">
        <f t="shared" si="246"/>
        <v>265422.08333333419</v>
      </c>
      <c r="AF619" s="13">
        <f t="shared" si="247"/>
        <v>345.41666666666663</v>
      </c>
      <c r="AH619" s="235">
        <f>'CT- € Ellipsis BNP'!X619</f>
        <v>0</v>
      </c>
      <c r="AI619" s="236">
        <f>'CT- € Ellipsis BNP'!AA619</f>
        <v>0</v>
      </c>
      <c r="AJ619" s="90">
        <f>'CT- € Ellipsis BNP'!W619</f>
        <v>0</v>
      </c>
      <c r="AK619" s="91">
        <f>'CT- € Ellipsis BNP'!AC619</f>
        <v>0</v>
      </c>
      <c r="AM619" s="235">
        <f>'codeis €'!Z619</f>
        <v>0</v>
      </c>
      <c r="AN619" s="236">
        <f>'codeis €'!AF619</f>
        <v>0</v>
      </c>
      <c r="AO619" s="90">
        <f>'codeis €'!AC619</f>
        <v>0</v>
      </c>
      <c r="AP619" s="91">
        <f>'codeis €'!AI619</f>
        <v>0</v>
      </c>
      <c r="AR619" s="12">
        <f t="shared" si="248"/>
        <v>67260956.159999996</v>
      </c>
      <c r="AS619" s="118">
        <f t="shared" si="249"/>
        <v>0.02</v>
      </c>
      <c r="AT619" s="118">
        <f t="shared" si="250"/>
        <v>2.0428995474183843E-2</v>
      </c>
      <c r="AU619" s="12">
        <f t="shared" si="251"/>
        <v>3816.871580505328</v>
      </c>
      <c r="AV619" s="12">
        <f t="shared" si="252"/>
        <v>547.24176717199384</v>
      </c>
      <c r="AW619" s="19"/>
    </row>
    <row r="620" spans="2:49" x14ac:dyDescent="0.25">
      <c r="B620" s="9" t="str">
        <f t="shared" si="235"/>
        <v>9 2026</v>
      </c>
      <c r="C620" s="88">
        <f t="shared" si="236"/>
        <v>46269</v>
      </c>
      <c r="D620" s="88">
        <f t="shared" si="229"/>
        <v>46270</v>
      </c>
      <c r="E620" s="89">
        <f t="shared" si="237"/>
        <v>1</v>
      </c>
      <c r="G620" s="11" t="s">
        <v>7</v>
      </c>
      <c r="H620" s="12">
        <f t="shared" si="257"/>
        <v>34250000</v>
      </c>
      <c r="I620" s="14">
        <f t="shared" si="257"/>
        <v>1.7500000000000002E-2</v>
      </c>
      <c r="J620" s="13">
        <f t="shared" si="238"/>
        <v>1664.9305555555557</v>
      </c>
      <c r="K620" s="13">
        <f t="shared" si="239"/>
        <v>321784.16666666762</v>
      </c>
      <c r="M620" s="11" t="s">
        <v>7</v>
      </c>
      <c r="N620" s="12">
        <f t="shared" si="260"/>
        <v>12000000</v>
      </c>
      <c r="O620" s="97">
        <f t="shared" si="260"/>
        <v>2.1698630136986304E-2</v>
      </c>
      <c r="P620" s="112">
        <f t="shared" si="240"/>
        <v>723.28767123287685</v>
      </c>
      <c r="Q620" s="13">
        <f t="shared" si="241"/>
        <v>179375.34246575387</v>
      </c>
      <c r="R620" s="13">
        <f t="shared" si="242"/>
        <v>139.95433789954348</v>
      </c>
      <c r="T620" s="11" t="str">
        <f t="shared" si="258"/>
        <v>SG</v>
      </c>
      <c r="U620" s="12">
        <f t="shared" si="258"/>
        <v>6010956.1600000001</v>
      </c>
      <c r="V620" s="97">
        <f t="shared" si="258"/>
        <v>2.1205479452054792E-2</v>
      </c>
      <c r="W620" s="13">
        <f t="shared" si="243"/>
        <v>354.0700203835616</v>
      </c>
      <c r="X620" s="13">
        <f t="shared" si="227"/>
        <v>87802.266063780378</v>
      </c>
      <c r="Y620" s="13">
        <f t="shared" si="244"/>
        <v>61.870762605783796</v>
      </c>
      <c r="AA620" s="11" t="s">
        <v>189</v>
      </c>
      <c r="AB620" s="98">
        <f t="shared" si="259"/>
        <v>15000000</v>
      </c>
      <c r="AC620" s="97">
        <f t="shared" si="259"/>
        <v>2.579E-2</v>
      </c>
      <c r="AD620" s="13">
        <f t="shared" si="245"/>
        <v>1074.5833333333333</v>
      </c>
      <c r="AE620" s="13">
        <f t="shared" si="246"/>
        <v>266496.6666666675</v>
      </c>
      <c r="AF620" s="13">
        <f t="shared" si="247"/>
        <v>345.41666666666663</v>
      </c>
      <c r="AH620" s="235">
        <f>'CT- € Ellipsis BNP'!X620</f>
        <v>0</v>
      </c>
      <c r="AI620" s="236">
        <f>'CT- € Ellipsis BNP'!AA620</f>
        <v>0</v>
      </c>
      <c r="AJ620" s="90">
        <f>'CT- € Ellipsis BNP'!W620</f>
        <v>0</v>
      </c>
      <c r="AK620" s="91">
        <f>'CT- € Ellipsis BNP'!AC620</f>
        <v>0</v>
      </c>
      <c r="AM620" s="235">
        <f>'codeis €'!Z620</f>
        <v>0</v>
      </c>
      <c r="AN620" s="236">
        <f>'codeis €'!AF620</f>
        <v>0</v>
      </c>
      <c r="AO620" s="90">
        <f>'codeis €'!AC620</f>
        <v>0</v>
      </c>
      <c r="AP620" s="91">
        <f>'codeis €'!AI620</f>
        <v>0</v>
      </c>
      <c r="AR620" s="12">
        <f t="shared" si="248"/>
        <v>67260956.159999996</v>
      </c>
      <c r="AS620" s="118">
        <f t="shared" si="249"/>
        <v>0.02</v>
      </c>
      <c r="AT620" s="118">
        <f t="shared" si="250"/>
        <v>2.0428995474183843E-2</v>
      </c>
      <c r="AU620" s="12">
        <f t="shared" si="251"/>
        <v>3816.871580505328</v>
      </c>
      <c r="AV620" s="12">
        <f t="shared" si="252"/>
        <v>547.24176717199384</v>
      </c>
      <c r="AW620" s="19"/>
    </row>
    <row r="621" spans="2:49" x14ac:dyDescent="0.25">
      <c r="B621" s="9" t="str">
        <f t="shared" si="235"/>
        <v>9 2026</v>
      </c>
      <c r="C621" s="88">
        <f t="shared" si="236"/>
        <v>46270</v>
      </c>
      <c r="D621" s="88">
        <f t="shared" si="229"/>
        <v>46271</v>
      </c>
      <c r="E621" s="89">
        <f t="shared" si="237"/>
        <v>1</v>
      </c>
      <c r="G621" s="11" t="s">
        <v>7</v>
      </c>
      <c r="H621" s="12">
        <f t="shared" si="257"/>
        <v>34250000</v>
      </c>
      <c r="I621" s="14">
        <f t="shared" si="257"/>
        <v>1.7500000000000002E-2</v>
      </c>
      <c r="J621" s="13">
        <f t="shared" si="238"/>
        <v>1664.9305555555557</v>
      </c>
      <c r="K621" s="13">
        <f t="shared" si="239"/>
        <v>323449.09722222318</v>
      </c>
      <c r="M621" s="11" t="s">
        <v>7</v>
      </c>
      <c r="N621" s="12">
        <f t="shared" si="260"/>
        <v>12000000</v>
      </c>
      <c r="O621" s="97">
        <f t="shared" si="260"/>
        <v>2.1698630136986304E-2</v>
      </c>
      <c r="P621" s="112">
        <f t="shared" si="240"/>
        <v>723.28767123287685</v>
      </c>
      <c r="Q621" s="13">
        <f t="shared" si="241"/>
        <v>180098.63013698676</v>
      </c>
      <c r="R621" s="13">
        <f t="shared" si="242"/>
        <v>139.95433789954348</v>
      </c>
      <c r="T621" s="11" t="str">
        <f t="shared" si="258"/>
        <v>SG</v>
      </c>
      <c r="U621" s="12">
        <f t="shared" si="258"/>
        <v>6010956.1600000001</v>
      </c>
      <c r="V621" s="97">
        <f t="shared" si="258"/>
        <v>2.1205479452054792E-2</v>
      </c>
      <c r="W621" s="13">
        <f t="shared" si="243"/>
        <v>354.0700203835616</v>
      </c>
      <c r="X621" s="13">
        <f t="shared" si="227"/>
        <v>88156.336084163937</v>
      </c>
      <c r="Y621" s="13">
        <f t="shared" si="244"/>
        <v>61.870762605783796</v>
      </c>
      <c r="AA621" s="11" t="s">
        <v>189</v>
      </c>
      <c r="AB621" s="98">
        <f t="shared" si="259"/>
        <v>15000000</v>
      </c>
      <c r="AC621" s="97">
        <f t="shared" si="259"/>
        <v>2.579E-2</v>
      </c>
      <c r="AD621" s="13">
        <f t="shared" si="245"/>
        <v>1074.5833333333333</v>
      </c>
      <c r="AE621" s="13">
        <f t="shared" si="246"/>
        <v>267571.25000000081</v>
      </c>
      <c r="AF621" s="13">
        <f t="shared" si="247"/>
        <v>345.41666666666663</v>
      </c>
      <c r="AH621" s="235">
        <f>'CT- € Ellipsis BNP'!X621</f>
        <v>0</v>
      </c>
      <c r="AI621" s="236">
        <f>'CT- € Ellipsis BNP'!AA621</f>
        <v>0</v>
      </c>
      <c r="AJ621" s="90">
        <f>'CT- € Ellipsis BNP'!W621</f>
        <v>0</v>
      </c>
      <c r="AK621" s="91">
        <f>'CT- € Ellipsis BNP'!AC621</f>
        <v>0</v>
      </c>
      <c r="AM621" s="235">
        <f>'codeis €'!Z621</f>
        <v>0</v>
      </c>
      <c r="AN621" s="236">
        <f>'codeis €'!AF621</f>
        <v>0</v>
      </c>
      <c r="AO621" s="90">
        <f>'codeis €'!AC621</f>
        <v>0</v>
      </c>
      <c r="AP621" s="91">
        <f>'codeis €'!AI621</f>
        <v>0</v>
      </c>
      <c r="AR621" s="12">
        <f t="shared" si="248"/>
        <v>67260956.159999996</v>
      </c>
      <c r="AS621" s="118">
        <f t="shared" si="249"/>
        <v>0.02</v>
      </c>
      <c r="AT621" s="118">
        <f t="shared" si="250"/>
        <v>2.0428995474183843E-2</v>
      </c>
      <c r="AU621" s="12">
        <f t="shared" si="251"/>
        <v>3816.871580505328</v>
      </c>
      <c r="AV621" s="12">
        <f t="shared" si="252"/>
        <v>547.24176717199384</v>
      </c>
      <c r="AW621" s="19"/>
    </row>
    <row r="622" spans="2:49" x14ac:dyDescent="0.25">
      <c r="B622" s="9" t="str">
        <f t="shared" si="235"/>
        <v>9 2026</v>
      </c>
      <c r="C622" s="88">
        <f t="shared" si="236"/>
        <v>46271</v>
      </c>
      <c r="D622" s="88">
        <f t="shared" si="229"/>
        <v>46272</v>
      </c>
      <c r="E622" s="89">
        <f t="shared" si="237"/>
        <v>1</v>
      </c>
      <c r="G622" s="11" t="s">
        <v>7</v>
      </c>
      <c r="H622" s="12">
        <f t="shared" si="257"/>
        <v>34250000</v>
      </c>
      <c r="I622" s="14">
        <f t="shared" si="257"/>
        <v>1.7500000000000002E-2</v>
      </c>
      <c r="J622" s="13">
        <f t="shared" si="238"/>
        <v>1664.9305555555557</v>
      </c>
      <c r="K622" s="13">
        <f t="shared" si="239"/>
        <v>325114.02777777874</v>
      </c>
      <c r="M622" s="11" t="s">
        <v>7</v>
      </c>
      <c r="N622" s="12">
        <f t="shared" si="260"/>
        <v>12000000</v>
      </c>
      <c r="O622" s="97">
        <f t="shared" si="260"/>
        <v>2.1698630136986304E-2</v>
      </c>
      <c r="P622" s="112">
        <f t="shared" si="240"/>
        <v>723.28767123287685</v>
      </c>
      <c r="Q622" s="13">
        <f t="shared" si="241"/>
        <v>180821.91780821964</v>
      </c>
      <c r="R622" s="13">
        <f t="shared" si="242"/>
        <v>139.95433789954348</v>
      </c>
      <c r="T622" s="11" t="str">
        <f t="shared" si="258"/>
        <v>SG</v>
      </c>
      <c r="U622" s="12">
        <f t="shared" si="258"/>
        <v>6010956.1600000001</v>
      </c>
      <c r="V622" s="97">
        <f t="shared" si="258"/>
        <v>2.1205479452054792E-2</v>
      </c>
      <c r="W622" s="13">
        <f t="shared" si="243"/>
        <v>354.0700203835616</v>
      </c>
      <c r="X622" s="13">
        <f t="shared" si="227"/>
        <v>88510.406104547495</v>
      </c>
      <c r="Y622" s="13">
        <f t="shared" si="244"/>
        <v>61.870762605783796</v>
      </c>
      <c r="AA622" s="11" t="s">
        <v>189</v>
      </c>
      <c r="AB622" s="98">
        <f t="shared" si="259"/>
        <v>15000000</v>
      </c>
      <c r="AC622" s="97">
        <f t="shared" si="259"/>
        <v>2.579E-2</v>
      </c>
      <c r="AD622" s="13">
        <f t="shared" si="245"/>
        <v>1074.5833333333333</v>
      </c>
      <c r="AE622" s="13">
        <f t="shared" si="246"/>
        <v>268645.83333333413</v>
      </c>
      <c r="AF622" s="13">
        <f t="shared" si="247"/>
        <v>345.41666666666663</v>
      </c>
      <c r="AH622" s="235">
        <f>'CT- € Ellipsis BNP'!X622</f>
        <v>0</v>
      </c>
      <c r="AI622" s="236">
        <f>'CT- € Ellipsis BNP'!AA622</f>
        <v>0</v>
      </c>
      <c r="AJ622" s="90">
        <f>'CT- € Ellipsis BNP'!W622</f>
        <v>0</v>
      </c>
      <c r="AK622" s="91">
        <f>'CT- € Ellipsis BNP'!AC622</f>
        <v>0</v>
      </c>
      <c r="AM622" s="235">
        <f>'codeis €'!Z622</f>
        <v>0</v>
      </c>
      <c r="AN622" s="236">
        <f>'codeis €'!AF622</f>
        <v>0</v>
      </c>
      <c r="AO622" s="90">
        <f>'codeis €'!AC622</f>
        <v>0</v>
      </c>
      <c r="AP622" s="91">
        <f>'codeis €'!AI622</f>
        <v>0</v>
      </c>
      <c r="AR622" s="12">
        <f t="shared" si="248"/>
        <v>67260956.159999996</v>
      </c>
      <c r="AS622" s="118">
        <f t="shared" si="249"/>
        <v>0.02</v>
      </c>
      <c r="AT622" s="118">
        <f t="shared" si="250"/>
        <v>2.0428995474183843E-2</v>
      </c>
      <c r="AU622" s="12">
        <f t="shared" si="251"/>
        <v>3816.871580505328</v>
      </c>
      <c r="AV622" s="12">
        <f t="shared" si="252"/>
        <v>547.24176717199384</v>
      </c>
      <c r="AW622" s="19"/>
    </row>
    <row r="623" spans="2:49" x14ac:dyDescent="0.25">
      <c r="B623" s="9" t="str">
        <f t="shared" si="235"/>
        <v>9 2026</v>
      </c>
      <c r="C623" s="88">
        <f t="shared" si="236"/>
        <v>46272</v>
      </c>
      <c r="D623" s="88">
        <f t="shared" si="229"/>
        <v>46273</v>
      </c>
      <c r="E623" s="89">
        <f t="shared" si="237"/>
        <v>1</v>
      </c>
      <c r="G623" s="11" t="s">
        <v>7</v>
      </c>
      <c r="H623" s="12">
        <f t="shared" si="257"/>
        <v>34250000</v>
      </c>
      <c r="I623" s="14">
        <f t="shared" si="257"/>
        <v>1.7500000000000002E-2</v>
      </c>
      <c r="J623" s="13">
        <f t="shared" si="238"/>
        <v>1664.9305555555557</v>
      </c>
      <c r="K623" s="13">
        <f t="shared" si="239"/>
        <v>326778.9583333343</v>
      </c>
      <c r="M623" s="11" t="s">
        <v>7</v>
      </c>
      <c r="N623" s="12">
        <f t="shared" si="260"/>
        <v>12000000</v>
      </c>
      <c r="O623" s="97">
        <f t="shared" si="260"/>
        <v>2.1698630136986304E-2</v>
      </c>
      <c r="P623" s="112">
        <f t="shared" si="240"/>
        <v>723.28767123287685</v>
      </c>
      <c r="Q623" s="13">
        <f t="shared" si="241"/>
        <v>181545.20547945253</v>
      </c>
      <c r="R623" s="13">
        <f t="shared" si="242"/>
        <v>139.95433789954348</v>
      </c>
      <c r="T623" s="11" t="str">
        <f t="shared" si="258"/>
        <v>SG</v>
      </c>
      <c r="U623" s="12">
        <f t="shared" si="258"/>
        <v>6010956.1600000001</v>
      </c>
      <c r="V623" s="97">
        <f t="shared" si="258"/>
        <v>2.1205479452054792E-2</v>
      </c>
      <c r="W623" s="13">
        <f t="shared" si="243"/>
        <v>354.0700203835616</v>
      </c>
      <c r="X623" s="13">
        <f t="shared" si="227"/>
        <v>88864.476124931054</v>
      </c>
      <c r="Y623" s="13">
        <f t="shared" si="244"/>
        <v>61.870762605783796</v>
      </c>
      <c r="AA623" s="11" t="s">
        <v>189</v>
      </c>
      <c r="AB623" s="98">
        <f t="shared" si="259"/>
        <v>15000000</v>
      </c>
      <c r="AC623" s="97">
        <f t="shared" si="259"/>
        <v>2.579E-2</v>
      </c>
      <c r="AD623" s="13">
        <f t="shared" si="245"/>
        <v>1074.5833333333333</v>
      </c>
      <c r="AE623" s="13">
        <f t="shared" si="246"/>
        <v>269720.41666666744</v>
      </c>
      <c r="AF623" s="13">
        <f t="shared" si="247"/>
        <v>345.41666666666663</v>
      </c>
      <c r="AH623" s="235">
        <f>'CT- € Ellipsis BNP'!X623</f>
        <v>0</v>
      </c>
      <c r="AI623" s="236">
        <f>'CT- € Ellipsis BNP'!AA623</f>
        <v>0</v>
      </c>
      <c r="AJ623" s="90">
        <f>'CT- € Ellipsis BNP'!W623</f>
        <v>0</v>
      </c>
      <c r="AK623" s="91">
        <f>'CT- € Ellipsis BNP'!AC623</f>
        <v>0</v>
      </c>
      <c r="AM623" s="235">
        <f>'codeis €'!Z623</f>
        <v>0</v>
      </c>
      <c r="AN623" s="236">
        <f>'codeis €'!AF623</f>
        <v>0</v>
      </c>
      <c r="AO623" s="90">
        <f>'codeis €'!AC623</f>
        <v>0</v>
      </c>
      <c r="AP623" s="91">
        <f>'codeis €'!AI623</f>
        <v>0</v>
      </c>
      <c r="AR623" s="12">
        <f t="shared" si="248"/>
        <v>67260956.159999996</v>
      </c>
      <c r="AS623" s="118">
        <f t="shared" si="249"/>
        <v>0.02</v>
      </c>
      <c r="AT623" s="118">
        <f t="shared" si="250"/>
        <v>2.0428995474183843E-2</v>
      </c>
      <c r="AU623" s="12">
        <f t="shared" si="251"/>
        <v>3816.871580505328</v>
      </c>
      <c r="AV623" s="12">
        <f t="shared" si="252"/>
        <v>547.24176717199384</v>
      </c>
      <c r="AW623" s="19"/>
    </row>
    <row r="624" spans="2:49" x14ac:dyDescent="0.25">
      <c r="B624" s="9" t="str">
        <f t="shared" si="235"/>
        <v>9 2026</v>
      </c>
      <c r="C624" s="88">
        <f t="shared" si="236"/>
        <v>46273</v>
      </c>
      <c r="D624" s="88">
        <f t="shared" si="229"/>
        <v>46274</v>
      </c>
      <c r="E624" s="89">
        <f t="shared" si="237"/>
        <v>1</v>
      </c>
      <c r="G624" s="11" t="s">
        <v>7</v>
      </c>
      <c r="H624" s="12">
        <f t="shared" si="257"/>
        <v>34250000</v>
      </c>
      <c r="I624" s="14">
        <f t="shared" si="257"/>
        <v>1.7500000000000002E-2</v>
      </c>
      <c r="J624" s="13">
        <f t="shared" si="238"/>
        <v>1664.9305555555557</v>
      </c>
      <c r="K624" s="13">
        <f t="shared" si="239"/>
        <v>328443.88888888987</v>
      </c>
      <c r="M624" s="11" t="s">
        <v>7</v>
      </c>
      <c r="N624" s="12">
        <f t="shared" si="260"/>
        <v>12000000</v>
      </c>
      <c r="O624" s="97">
        <f t="shared" si="260"/>
        <v>2.1698630136986304E-2</v>
      </c>
      <c r="P624" s="112">
        <f t="shared" si="240"/>
        <v>723.28767123287685</v>
      </c>
      <c r="Q624" s="13">
        <f t="shared" si="241"/>
        <v>182268.49315068542</v>
      </c>
      <c r="R624" s="13">
        <f t="shared" si="242"/>
        <v>139.95433789954348</v>
      </c>
      <c r="T624" s="11" t="str">
        <f t="shared" si="258"/>
        <v>SG</v>
      </c>
      <c r="U624" s="12">
        <f t="shared" si="258"/>
        <v>6010956.1600000001</v>
      </c>
      <c r="V624" s="97">
        <f t="shared" si="258"/>
        <v>2.1205479452054792E-2</v>
      </c>
      <c r="W624" s="13">
        <f t="shared" si="243"/>
        <v>354.0700203835616</v>
      </c>
      <c r="X624" s="13">
        <f t="shared" si="227"/>
        <v>89218.546145314613</v>
      </c>
      <c r="Y624" s="13">
        <f t="shared" si="244"/>
        <v>61.870762605783796</v>
      </c>
      <c r="AA624" s="11" t="s">
        <v>189</v>
      </c>
      <c r="AB624" s="98">
        <f t="shared" si="259"/>
        <v>15000000</v>
      </c>
      <c r="AC624" s="97">
        <f t="shared" si="259"/>
        <v>2.579E-2</v>
      </c>
      <c r="AD624" s="13">
        <f t="shared" si="245"/>
        <v>1074.5833333333333</v>
      </c>
      <c r="AE624" s="13">
        <f t="shared" si="246"/>
        <v>270795.00000000076</v>
      </c>
      <c r="AF624" s="13">
        <f t="shared" si="247"/>
        <v>345.41666666666663</v>
      </c>
      <c r="AH624" s="235">
        <f>'CT- € Ellipsis BNP'!X624</f>
        <v>0</v>
      </c>
      <c r="AI624" s="236">
        <f>'CT- € Ellipsis BNP'!AA624</f>
        <v>0</v>
      </c>
      <c r="AJ624" s="90">
        <f>'CT- € Ellipsis BNP'!W624</f>
        <v>0</v>
      </c>
      <c r="AK624" s="91">
        <f>'CT- € Ellipsis BNP'!AC624</f>
        <v>0</v>
      </c>
      <c r="AM624" s="235">
        <f>'codeis €'!Z624</f>
        <v>0</v>
      </c>
      <c r="AN624" s="236">
        <f>'codeis €'!AF624</f>
        <v>0</v>
      </c>
      <c r="AO624" s="90">
        <f>'codeis €'!AC624</f>
        <v>0</v>
      </c>
      <c r="AP624" s="91">
        <f>'codeis €'!AI624</f>
        <v>0</v>
      </c>
      <c r="AR624" s="12">
        <f t="shared" si="248"/>
        <v>67260956.159999996</v>
      </c>
      <c r="AS624" s="118">
        <f t="shared" si="249"/>
        <v>0.02</v>
      </c>
      <c r="AT624" s="118">
        <f t="shared" si="250"/>
        <v>2.0428995474183843E-2</v>
      </c>
      <c r="AU624" s="12">
        <f t="shared" si="251"/>
        <v>3816.871580505328</v>
      </c>
      <c r="AV624" s="12">
        <f t="shared" si="252"/>
        <v>547.24176717199384</v>
      </c>
      <c r="AW624" s="19"/>
    </row>
    <row r="625" spans="2:49" x14ac:dyDescent="0.25">
      <c r="B625" s="9" t="str">
        <f t="shared" si="235"/>
        <v>9 2026</v>
      </c>
      <c r="C625" s="88">
        <f t="shared" si="236"/>
        <v>46274</v>
      </c>
      <c r="D625" s="88">
        <f t="shared" si="229"/>
        <v>46275</v>
      </c>
      <c r="E625" s="89">
        <f t="shared" si="237"/>
        <v>1</v>
      </c>
      <c r="G625" s="11" t="s">
        <v>7</v>
      </c>
      <c r="H625" s="12">
        <f t="shared" si="257"/>
        <v>34250000</v>
      </c>
      <c r="I625" s="14">
        <f t="shared" si="257"/>
        <v>1.7500000000000002E-2</v>
      </c>
      <c r="J625" s="13">
        <f t="shared" si="238"/>
        <v>1664.9305555555557</v>
      </c>
      <c r="K625" s="13">
        <f t="shared" si="239"/>
        <v>330108.81944444543</v>
      </c>
      <c r="M625" s="11" t="s">
        <v>7</v>
      </c>
      <c r="N625" s="12">
        <f t="shared" si="260"/>
        <v>12000000</v>
      </c>
      <c r="O625" s="97">
        <f t="shared" si="260"/>
        <v>2.1698630136986304E-2</v>
      </c>
      <c r="P625" s="112">
        <f t="shared" si="240"/>
        <v>723.28767123287685</v>
      </c>
      <c r="Q625" s="13">
        <f t="shared" si="241"/>
        <v>182991.78082191831</v>
      </c>
      <c r="R625" s="13">
        <f t="shared" si="242"/>
        <v>139.95433789954348</v>
      </c>
      <c r="T625" s="11" t="str">
        <f t="shared" si="258"/>
        <v>SG</v>
      </c>
      <c r="U625" s="12">
        <f t="shared" si="258"/>
        <v>6010956.1600000001</v>
      </c>
      <c r="V625" s="97">
        <f t="shared" si="258"/>
        <v>2.1205479452054792E-2</v>
      </c>
      <c r="W625" s="13">
        <f t="shared" si="243"/>
        <v>354.0700203835616</v>
      </c>
      <c r="X625" s="13">
        <f t="shared" si="227"/>
        <v>89572.616165698171</v>
      </c>
      <c r="Y625" s="13">
        <f t="shared" si="244"/>
        <v>61.870762605783796</v>
      </c>
      <c r="AA625" s="11" t="s">
        <v>189</v>
      </c>
      <c r="AB625" s="98">
        <f t="shared" si="259"/>
        <v>15000000</v>
      </c>
      <c r="AC625" s="97">
        <f t="shared" si="259"/>
        <v>2.579E-2</v>
      </c>
      <c r="AD625" s="13">
        <f t="shared" si="245"/>
        <v>1074.5833333333333</v>
      </c>
      <c r="AE625" s="13">
        <f t="shared" si="246"/>
        <v>271869.58333333407</v>
      </c>
      <c r="AF625" s="13">
        <f t="shared" si="247"/>
        <v>345.41666666666663</v>
      </c>
      <c r="AH625" s="235">
        <f>'CT- € Ellipsis BNP'!X625</f>
        <v>0</v>
      </c>
      <c r="AI625" s="236">
        <f>'CT- € Ellipsis BNP'!AA625</f>
        <v>0</v>
      </c>
      <c r="AJ625" s="90">
        <f>'CT- € Ellipsis BNP'!W625</f>
        <v>0</v>
      </c>
      <c r="AK625" s="91">
        <f>'CT- € Ellipsis BNP'!AC625</f>
        <v>0</v>
      </c>
      <c r="AM625" s="235">
        <f>'codeis €'!Z625</f>
        <v>0</v>
      </c>
      <c r="AN625" s="236">
        <f>'codeis €'!AF625</f>
        <v>0</v>
      </c>
      <c r="AO625" s="90">
        <f>'codeis €'!AC625</f>
        <v>0</v>
      </c>
      <c r="AP625" s="91">
        <f>'codeis €'!AI625</f>
        <v>0</v>
      </c>
      <c r="AR625" s="12">
        <f t="shared" si="248"/>
        <v>67260956.159999996</v>
      </c>
      <c r="AS625" s="118">
        <f t="shared" si="249"/>
        <v>0.02</v>
      </c>
      <c r="AT625" s="118">
        <f t="shared" si="250"/>
        <v>2.0428995474183843E-2</v>
      </c>
      <c r="AU625" s="12">
        <f t="shared" si="251"/>
        <v>3816.871580505328</v>
      </c>
      <c r="AV625" s="12">
        <f t="shared" si="252"/>
        <v>547.24176717199384</v>
      </c>
      <c r="AW625" s="19"/>
    </row>
    <row r="626" spans="2:49" x14ac:dyDescent="0.25">
      <c r="B626" s="9" t="str">
        <f t="shared" si="235"/>
        <v>9 2026</v>
      </c>
      <c r="C626" s="88">
        <f t="shared" si="236"/>
        <v>46275</v>
      </c>
      <c r="D626" s="88">
        <f t="shared" si="229"/>
        <v>46276</v>
      </c>
      <c r="E626" s="89">
        <f t="shared" si="237"/>
        <v>1</v>
      </c>
      <c r="G626" s="11" t="s">
        <v>7</v>
      </c>
      <c r="H626" s="12">
        <f t="shared" si="257"/>
        <v>34250000</v>
      </c>
      <c r="I626" s="14">
        <f t="shared" si="257"/>
        <v>1.7500000000000002E-2</v>
      </c>
      <c r="J626" s="13">
        <f t="shared" si="238"/>
        <v>1664.9305555555557</v>
      </c>
      <c r="K626" s="13">
        <f t="shared" si="239"/>
        <v>331773.75000000099</v>
      </c>
      <c r="M626" s="11" t="s">
        <v>7</v>
      </c>
      <c r="N626" s="12">
        <f t="shared" si="260"/>
        <v>12000000</v>
      </c>
      <c r="O626" s="97">
        <f t="shared" si="260"/>
        <v>2.1698630136986304E-2</v>
      </c>
      <c r="P626" s="112">
        <f t="shared" si="240"/>
        <v>723.28767123287685</v>
      </c>
      <c r="Q626" s="13">
        <f t="shared" si="241"/>
        <v>183715.06849315119</v>
      </c>
      <c r="R626" s="13">
        <f t="shared" si="242"/>
        <v>139.95433789954348</v>
      </c>
      <c r="T626" s="11" t="str">
        <f t="shared" si="258"/>
        <v>SG</v>
      </c>
      <c r="U626" s="12">
        <f t="shared" si="258"/>
        <v>6010956.1600000001</v>
      </c>
      <c r="V626" s="97">
        <f t="shared" si="258"/>
        <v>2.1205479452054792E-2</v>
      </c>
      <c r="W626" s="13">
        <f t="shared" si="243"/>
        <v>354.0700203835616</v>
      </c>
      <c r="X626" s="13">
        <f t="shared" si="227"/>
        <v>89926.68618608173</v>
      </c>
      <c r="Y626" s="13">
        <f t="shared" si="244"/>
        <v>61.870762605783796</v>
      </c>
      <c r="AA626" s="11" t="s">
        <v>189</v>
      </c>
      <c r="AB626" s="98">
        <f t="shared" si="259"/>
        <v>15000000</v>
      </c>
      <c r="AC626" s="97">
        <f t="shared" si="259"/>
        <v>2.579E-2</v>
      </c>
      <c r="AD626" s="13">
        <f t="shared" si="245"/>
        <v>1074.5833333333333</v>
      </c>
      <c r="AE626" s="13">
        <f t="shared" si="246"/>
        <v>272944.16666666738</v>
      </c>
      <c r="AF626" s="13">
        <f t="shared" si="247"/>
        <v>345.41666666666663</v>
      </c>
      <c r="AH626" s="235">
        <f>'CT- € Ellipsis BNP'!X626</f>
        <v>0</v>
      </c>
      <c r="AI626" s="236">
        <f>'CT- € Ellipsis BNP'!AA626</f>
        <v>0</v>
      </c>
      <c r="AJ626" s="90">
        <f>'CT- € Ellipsis BNP'!W626</f>
        <v>0</v>
      </c>
      <c r="AK626" s="91">
        <f>'CT- € Ellipsis BNP'!AC626</f>
        <v>0</v>
      </c>
      <c r="AM626" s="235">
        <f>'codeis €'!Z626</f>
        <v>0</v>
      </c>
      <c r="AN626" s="236">
        <f>'codeis €'!AF626</f>
        <v>0</v>
      </c>
      <c r="AO626" s="90">
        <f>'codeis €'!AC626</f>
        <v>0</v>
      </c>
      <c r="AP626" s="91">
        <f>'codeis €'!AI626</f>
        <v>0</v>
      </c>
      <c r="AR626" s="12">
        <f t="shared" si="248"/>
        <v>67260956.159999996</v>
      </c>
      <c r="AS626" s="118">
        <f t="shared" si="249"/>
        <v>0.02</v>
      </c>
      <c r="AT626" s="118">
        <f t="shared" si="250"/>
        <v>2.0428995474183843E-2</v>
      </c>
      <c r="AU626" s="12">
        <f t="shared" si="251"/>
        <v>3816.871580505328</v>
      </c>
      <c r="AV626" s="12">
        <f t="shared" si="252"/>
        <v>547.24176717199384</v>
      </c>
      <c r="AW626" s="19"/>
    </row>
    <row r="627" spans="2:49" x14ac:dyDescent="0.25">
      <c r="B627" s="9" t="str">
        <f t="shared" si="235"/>
        <v>9 2026</v>
      </c>
      <c r="C627" s="88">
        <f t="shared" si="236"/>
        <v>46276</v>
      </c>
      <c r="D627" s="88">
        <f t="shared" si="229"/>
        <v>46277</v>
      </c>
      <c r="E627" s="89">
        <f t="shared" si="237"/>
        <v>1</v>
      </c>
      <c r="G627" s="11" t="s">
        <v>7</v>
      </c>
      <c r="H627" s="12">
        <f t="shared" si="257"/>
        <v>34250000</v>
      </c>
      <c r="I627" s="14">
        <f t="shared" si="257"/>
        <v>1.7500000000000002E-2</v>
      </c>
      <c r="J627" s="13">
        <f t="shared" si="238"/>
        <v>1664.9305555555557</v>
      </c>
      <c r="K627" s="13">
        <f t="shared" si="239"/>
        <v>333438.68055555655</v>
      </c>
      <c r="M627" s="11" t="s">
        <v>7</v>
      </c>
      <c r="N627" s="12">
        <f t="shared" si="260"/>
        <v>12000000</v>
      </c>
      <c r="O627" s="97">
        <f t="shared" si="260"/>
        <v>2.1698630136986304E-2</v>
      </c>
      <c r="P627" s="112">
        <f t="shared" si="240"/>
        <v>723.28767123287685</v>
      </c>
      <c r="Q627" s="13">
        <f t="shared" si="241"/>
        <v>184438.35616438408</v>
      </c>
      <c r="R627" s="13">
        <f t="shared" si="242"/>
        <v>139.95433789954348</v>
      </c>
      <c r="T627" s="11" t="str">
        <f t="shared" si="258"/>
        <v>SG</v>
      </c>
      <c r="U627" s="12">
        <f t="shared" si="258"/>
        <v>6010956.1600000001</v>
      </c>
      <c r="V627" s="97">
        <f t="shared" si="258"/>
        <v>2.1205479452054792E-2</v>
      </c>
      <c r="W627" s="13">
        <f t="shared" si="243"/>
        <v>354.0700203835616</v>
      </c>
      <c r="X627" s="13">
        <f t="shared" si="227"/>
        <v>90280.756206465288</v>
      </c>
      <c r="Y627" s="13">
        <f t="shared" si="244"/>
        <v>61.870762605783796</v>
      </c>
      <c r="AA627" s="11" t="s">
        <v>189</v>
      </c>
      <c r="AB627" s="98">
        <f t="shared" si="259"/>
        <v>15000000</v>
      </c>
      <c r="AC627" s="97">
        <f t="shared" si="259"/>
        <v>2.579E-2</v>
      </c>
      <c r="AD627" s="13">
        <f t="shared" si="245"/>
        <v>1074.5833333333333</v>
      </c>
      <c r="AE627" s="13">
        <f t="shared" si="246"/>
        <v>274018.7500000007</v>
      </c>
      <c r="AF627" s="13">
        <f t="shared" si="247"/>
        <v>345.41666666666663</v>
      </c>
      <c r="AH627" s="235">
        <f>'CT- € Ellipsis BNP'!X627</f>
        <v>0</v>
      </c>
      <c r="AI627" s="236">
        <f>'CT- € Ellipsis BNP'!AA627</f>
        <v>0</v>
      </c>
      <c r="AJ627" s="90">
        <f>'CT- € Ellipsis BNP'!W627</f>
        <v>0</v>
      </c>
      <c r="AK627" s="91">
        <f>'CT- € Ellipsis BNP'!AC627</f>
        <v>0</v>
      </c>
      <c r="AM627" s="235">
        <f>'codeis €'!Z627</f>
        <v>0</v>
      </c>
      <c r="AN627" s="236">
        <f>'codeis €'!AF627</f>
        <v>0</v>
      </c>
      <c r="AO627" s="90">
        <f>'codeis €'!AC627</f>
        <v>0</v>
      </c>
      <c r="AP627" s="91">
        <f>'codeis €'!AI627</f>
        <v>0</v>
      </c>
      <c r="AR627" s="12">
        <f t="shared" si="248"/>
        <v>67260956.159999996</v>
      </c>
      <c r="AS627" s="118">
        <f t="shared" si="249"/>
        <v>0.02</v>
      </c>
      <c r="AT627" s="118">
        <f t="shared" si="250"/>
        <v>2.0428995474183843E-2</v>
      </c>
      <c r="AU627" s="12">
        <f t="shared" si="251"/>
        <v>3816.871580505328</v>
      </c>
      <c r="AV627" s="12">
        <f t="shared" si="252"/>
        <v>547.24176717199384</v>
      </c>
      <c r="AW627" s="19"/>
    </row>
    <row r="628" spans="2:49" x14ac:dyDescent="0.25">
      <c r="B628" s="9" t="str">
        <f t="shared" si="235"/>
        <v>9 2026</v>
      </c>
      <c r="C628" s="88">
        <f t="shared" si="236"/>
        <v>46277</v>
      </c>
      <c r="D628" s="88">
        <f t="shared" si="229"/>
        <v>46278</v>
      </c>
      <c r="E628" s="89">
        <f t="shared" si="237"/>
        <v>1</v>
      </c>
      <c r="G628" s="11" t="s">
        <v>7</v>
      </c>
      <c r="H628" s="12">
        <f t="shared" si="257"/>
        <v>34250000</v>
      </c>
      <c r="I628" s="14">
        <f t="shared" si="257"/>
        <v>1.7500000000000002E-2</v>
      </c>
      <c r="J628" s="13">
        <f t="shared" si="238"/>
        <v>1664.9305555555557</v>
      </c>
      <c r="K628" s="13">
        <f t="shared" si="239"/>
        <v>335103.61111111211</v>
      </c>
      <c r="M628" s="11" t="s">
        <v>7</v>
      </c>
      <c r="N628" s="12">
        <f t="shared" si="260"/>
        <v>12000000</v>
      </c>
      <c r="O628" s="97">
        <f t="shared" si="260"/>
        <v>2.1698630136986304E-2</v>
      </c>
      <c r="P628" s="112">
        <f t="shared" si="240"/>
        <v>723.28767123287685</v>
      </c>
      <c r="Q628" s="13">
        <f t="shared" si="241"/>
        <v>185161.64383561697</v>
      </c>
      <c r="R628" s="13">
        <f t="shared" si="242"/>
        <v>139.95433789954348</v>
      </c>
      <c r="T628" s="11" t="str">
        <f t="shared" si="258"/>
        <v>SG</v>
      </c>
      <c r="U628" s="12">
        <f t="shared" si="258"/>
        <v>6010956.1600000001</v>
      </c>
      <c r="V628" s="97">
        <f t="shared" si="258"/>
        <v>2.1205479452054792E-2</v>
      </c>
      <c r="W628" s="13">
        <f t="shared" si="243"/>
        <v>354.0700203835616</v>
      </c>
      <c r="X628" s="13">
        <f t="shared" si="227"/>
        <v>90634.826226848847</v>
      </c>
      <c r="Y628" s="13">
        <f t="shared" si="244"/>
        <v>61.870762605783796</v>
      </c>
      <c r="AA628" s="11" t="s">
        <v>189</v>
      </c>
      <c r="AB628" s="98">
        <f t="shared" si="259"/>
        <v>15000000</v>
      </c>
      <c r="AC628" s="97">
        <f t="shared" si="259"/>
        <v>2.579E-2</v>
      </c>
      <c r="AD628" s="13">
        <f t="shared" si="245"/>
        <v>1074.5833333333333</v>
      </c>
      <c r="AE628" s="13">
        <f t="shared" si="246"/>
        <v>275093.33333333401</v>
      </c>
      <c r="AF628" s="13">
        <f t="shared" si="247"/>
        <v>345.41666666666663</v>
      </c>
      <c r="AH628" s="235">
        <f>'CT- € Ellipsis BNP'!X628</f>
        <v>0</v>
      </c>
      <c r="AI628" s="236">
        <f>'CT- € Ellipsis BNP'!AA628</f>
        <v>0</v>
      </c>
      <c r="AJ628" s="90">
        <f>'CT- € Ellipsis BNP'!W628</f>
        <v>0</v>
      </c>
      <c r="AK628" s="91">
        <f>'CT- € Ellipsis BNP'!AC628</f>
        <v>0</v>
      </c>
      <c r="AM628" s="235">
        <f>'codeis €'!Z628</f>
        <v>0</v>
      </c>
      <c r="AN628" s="236">
        <f>'codeis €'!AF628</f>
        <v>0</v>
      </c>
      <c r="AO628" s="90">
        <f>'codeis €'!AC628</f>
        <v>0</v>
      </c>
      <c r="AP628" s="91">
        <f>'codeis €'!AI628</f>
        <v>0</v>
      </c>
      <c r="AR628" s="12">
        <f t="shared" si="248"/>
        <v>67260956.159999996</v>
      </c>
      <c r="AS628" s="118">
        <f t="shared" si="249"/>
        <v>0.02</v>
      </c>
      <c r="AT628" s="118">
        <f t="shared" si="250"/>
        <v>2.0428995474183843E-2</v>
      </c>
      <c r="AU628" s="12">
        <f t="shared" si="251"/>
        <v>3816.871580505328</v>
      </c>
      <c r="AV628" s="12">
        <f t="shared" si="252"/>
        <v>547.24176717199384</v>
      </c>
      <c r="AW628" s="19"/>
    </row>
    <row r="629" spans="2:49" x14ac:dyDescent="0.25">
      <c r="B629" s="9" t="str">
        <f t="shared" si="235"/>
        <v>9 2026</v>
      </c>
      <c r="C629" s="88">
        <f t="shared" si="236"/>
        <v>46278</v>
      </c>
      <c r="D629" s="88">
        <f t="shared" si="229"/>
        <v>46279</v>
      </c>
      <c r="E629" s="89">
        <f t="shared" si="237"/>
        <v>1</v>
      </c>
      <c r="G629" s="11" t="s">
        <v>7</v>
      </c>
      <c r="H629" s="12">
        <f t="shared" si="257"/>
        <v>34250000</v>
      </c>
      <c r="I629" s="14">
        <f t="shared" si="257"/>
        <v>1.7500000000000002E-2</v>
      </c>
      <c r="J629" s="13">
        <f t="shared" si="238"/>
        <v>1664.9305555555557</v>
      </c>
      <c r="K629" s="13">
        <f t="shared" si="239"/>
        <v>336768.54166666768</v>
      </c>
      <c r="M629" s="11" t="s">
        <v>7</v>
      </c>
      <c r="N629" s="12">
        <f t="shared" si="260"/>
        <v>12000000</v>
      </c>
      <c r="O629" s="97">
        <f t="shared" si="260"/>
        <v>2.1698630136986304E-2</v>
      </c>
      <c r="P629" s="112">
        <f t="shared" si="240"/>
        <v>723.28767123287685</v>
      </c>
      <c r="Q629" s="13">
        <f t="shared" si="241"/>
        <v>185884.93150684985</v>
      </c>
      <c r="R629" s="13">
        <f t="shared" si="242"/>
        <v>139.95433789954348</v>
      </c>
      <c r="T629" s="11" t="str">
        <f t="shared" si="258"/>
        <v>SG</v>
      </c>
      <c r="U629" s="12">
        <f t="shared" si="258"/>
        <v>6010956.1600000001</v>
      </c>
      <c r="V629" s="97">
        <f t="shared" si="258"/>
        <v>2.1205479452054792E-2</v>
      </c>
      <c r="W629" s="13">
        <f t="shared" si="243"/>
        <v>354.0700203835616</v>
      </c>
      <c r="X629" s="13">
        <f t="shared" si="227"/>
        <v>90988.896247232406</v>
      </c>
      <c r="Y629" s="13">
        <f t="shared" si="244"/>
        <v>61.870762605783796</v>
      </c>
      <c r="AA629" s="11" t="s">
        <v>189</v>
      </c>
      <c r="AB629" s="98">
        <f t="shared" si="259"/>
        <v>15000000</v>
      </c>
      <c r="AC629" s="97">
        <f t="shared" si="259"/>
        <v>2.579E-2</v>
      </c>
      <c r="AD629" s="13">
        <f t="shared" si="245"/>
        <v>1074.5833333333333</v>
      </c>
      <c r="AE629" s="13">
        <f t="shared" si="246"/>
        <v>276167.91666666733</v>
      </c>
      <c r="AF629" s="13">
        <f t="shared" si="247"/>
        <v>345.41666666666663</v>
      </c>
      <c r="AH629" s="235">
        <f>'CT- € Ellipsis BNP'!X629</f>
        <v>0</v>
      </c>
      <c r="AI629" s="236">
        <f>'CT- € Ellipsis BNP'!AA629</f>
        <v>0</v>
      </c>
      <c r="AJ629" s="90">
        <f>'CT- € Ellipsis BNP'!W629</f>
        <v>0</v>
      </c>
      <c r="AK629" s="91">
        <f>'CT- € Ellipsis BNP'!AC629</f>
        <v>0</v>
      </c>
      <c r="AM629" s="235">
        <f>'codeis €'!Z629</f>
        <v>0</v>
      </c>
      <c r="AN629" s="236">
        <f>'codeis €'!AF629</f>
        <v>0</v>
      </c>
      <c r="AO629" s="90">
        <f>'codeis €'!AC629</f>
        <v>0</v>
      </c>
      <c r="AP629" s="91">
        <f>'codeis €'!AI629</f>
        <v>0</v>
      </c>
      <c r="AR629" s="12">
        <f t="shared" si="248"/>
        <v>67260956.159999996</v>
      </c>
      <c r="AS629" s="118">
        <f t="shared" si="249"/>
        <v>0.02</v>
      </c>
      <c r="AT629" s="118">
        <f t="shared" si="250"/>
        <v>2.0428995474183843E-2</v>
      </c>
      <c r="AU629" s="12">
        <f t="shared" si="251"/>
        <v>3816.871580505328</v>
      </c>
      <c r="AV629" s="12">
        <f t="shared" si="252"/>
        <v>547.24176717199384</v>
      </c>
      <c r="AW629" s="19"/>
    </row>
    <row r="630" spans="2:49" x14ac:dyDescent="0.25">
      <c r="B630" s="9" t="str">
        <f t="shared" si="235"/>
        <v>9 2026</v>
      </c>
      <c r="C630" s="88">
        <f t="shared" si="236"/>
        <v>46279</v>
      </c>
      <c r="D630" s="88">
        <f t="shared" si="229"/>
        <v>46280</v>
      </c>
      <c r="E630" s="89">
        <f t="shared" si="237"/>
        <v>1</v>
      </c>
      <c r="G630" s="11" t="s">
        <v>7</v>
      </c>
      <c r="H630" s="12">
        <f t="shared" si="257"/>
        <v>34250000</v>
      </c>
      <c r="I630" s="14">
        <f t="shared" si="257"/>
        <v>1.7500000000000002E-2</v>
      </c>
      <c r="J630" s="13">
        <f t="shared" si="238"/>
        <v>1664.9305555555557</v>
      </c>
      <c r="K630" s="13">
        <f t="shared" si="239"/>
        <v>338433.47222222324</v>
      </c>
      <c r="M630" s="11" t="s">
        <v>7</v>
      </c>
      <c r="N630" s="12">
        <f t="shared" si="260"/>
        <v>12000000</v>
      </c>
      <c r="O630" s="97">
        <f t="shared" si="260"/>
        <v>2.1698630136986304E-2</v>
      </c>
      <c r="P630" s="112">
        <f t="shared" si="240"/>
        <v>723.28767123287685</v>
      </c>
      <c r="Q630" s="13">
        <f t="shared" si="241"/>
        <v>186608.21917808274</v>
      </c>
      <c r="R630" s="13">
        <f t="shared" si="242"/>
        <v>139.95433789954348</v>
      </c>
      <c r="T630" s="11" t="str">
        <f t="shared" si="258"/>
        <v>SG</v>
      </c>
      <c r="U630" s="12">
        <f t="shared" si="258"/>
        <v>6010956.1600000001</v>
      </c>
      <c r="V630" s="97">
        <f t="shared" si="258"/>
        <v>2.1205479452054792E-2</v>
      </c>
      <c r="W630" s="13">
        <f t="shared" si="243"/>
        <v>354.0700203835616</v>
      </c>
      <c r="X630" s="13">
        <f t="shared" si="227"/>
        <v>91342.966267615964</v>
      </c>
      <c r="Y630" s="13">
        <f t="shared" si="244"/>
        <v>61.870762605783796</v>
      </c>
      <c r="AA630" s="11" t="s">
        <v>189</v>
      </c>
      <c r="AB630" s="98">
        <f t="shared" si="259"/>
        <v>15000000</v>
      </c>
      <c r="AC630" s="97">
        <f t="shared" si="259"/>
        <v>2.579E-2</v>
      </c>
      <c r="AD630" s="13">
        <f t="shared" si="245"/>
        <v>1074.5833333333333</v>
      </c>
      <c r="AE630" s="13">
        <f t="shared" si="246"/>
        <v>277242.50000000064</v>
      </c>
      <c r="AF630" s="13">
        <f t="shared" si="247"/>
        <v>345.41666666666663</v>
      </c>
      <c r="AH630" s="235">
        <f>'CT- € Ellipsis BNP'!X630</f>
        <v>0</v>
      </c>
      <c r="AI630" s="236">
        <f>'CT- € Ellipsis BNP'!AA630</f>
        <v>0</v>
      </c>
      <c r="AJ630" s="90">
        <f>'CT- € Ellipsis BNP'!W630</f>
        <v>0</v>
      </c>
      <c r="AK630" s="91">
        <f>'CT- € Ellipsis BNP'!AC630</f>
        <v>0</v>
      </c>
      <c r="AM630" s="235">
        <f>'codeis €'!Z630</f>
        <v>0</v>
      </c>
      <c r="AN630" s="236">
        <f>'codeis €'!AF630</f>
        <v>0</v>
      </c>
      <c r="AO630" s="90">
        <f>'codeis €'!AC630</f>
        <v>0</v>
      </c>
      <c r="AP630" s="91">
        <f>'codeis €'!AI630</f>
        <v>0</v>
      </c>
      <c r="AR630" s="12">
        <f t="shared" si="248"/>
        <v>67260956.159999996</v>
      </c>
      <c r="AS630" s="118">
        <f t="shared" si="249"/>
        <v>0.02</v>
      </c>
      <c r="AT630" s="118">
        <f t="shared" si="250"/>
        <v>2.0428995474183843E-2</v>
      </c>
      <c r="AU630" s="12">
        <f t="shared" si="251"/>
        <v>3816.871580505328</v>
      </c>
      <c r="AV630" s="12">
        <f t="shared" si="252"/>
        <v>547.24176717199384</v>
      </c>
      <c r="AW630" s="19"/>
    </row>
    <row r="631" spans="2:49" x14ac:dyDescent="0.25">
      <c r="B631" s="9" t="str">
        <f t="shared" si="235"/>
        <v>9 2026</v>
      </c>
      <c r="C631" s="88">
        <f t="shared" si="236"/>
        <v>46280</v>
      </c>
      <c r="D631" s="88">
        <f t="shared" si="229"/>
        <v>46281</v>
      </c>
      <c r="E631" s="89">
        <f t="shared" si="237"/>
        <v>1</v>
      </c>
      <c r="G631" s="11" t="s">
        <v>7</v>
      </c>
      <c r="H631" s="12">
        <f t="shared" ref="H631:I646" si="261">H630</f>
        <v>34250000</v>
      </c>
      <c r="I631" s="14">
        <f t="shared" si="261"/>
        <v>1.7500000000000002E-2</v>
      </c>
      <c r="J631" s="13">
        <f t="shared" si="238"/>
        <v>1664.9305555555557</v>
      </c>
      <c r="K631" s="13">
        <f t="shared" si="239"/>
        <v>340098.4027777788</v>
      </c>
      <c r="M631" s="11" t="s">
        <v>7</v>
      </c>
      <c r="N631" s="12">
        <f t="shared" si="260"/>
        <v>12000000</v>
      </c>
      <c r="O631" s="97">
        <f t="shared" si="260"/>
        <v>2.1698630136986304E-2</v>
      </c>
      <c r="P631" s="112">
        <f t="shared" si="240"/>
        <v>723.28767123287685</v>
      </c>
      <c r="Q631" s="13">
        <f t="shared" si="241"/>
        <v>187331.50684931563</v>
      </c>
      <c r="R631" s="13">
        <f t="shared" si="242"/>
        <v>139.95433789954348</v>
      </c>
      <c r="T631" s="11" t="str">
        <f t="shared" ref="T631:V646" si="262">T630</f>
        <v>SG</v>
      </c>
      <c r="U631" s="12">
        <f t="shared" si="262"/>
        <v>6010956.1600000001</v>
      </c>
      <c r="V631" s="97">
        <f t="shared" si="262"/>
        <v>2.1205479452054792E-2</v>
      </c>
      <c r="W631" s="13">
        <f t="shared" si="243"/>
        <v>354.0700203835616</v>
      </c>
      <c r="X631" s="13">
        <f t="shared" ref="X631:X694" si="263">X630+W631</f>
        <v>91697.036287999523</v>
      </c>
      <c r="Y631" s="13">
        <f t="shared" si="244"/>
        <v>61.870762605783796</v>
      </c>
      <c r="AA631" s="11" t="s">
        <v>189</v>
      </c>
      <c r="AB631" s="98">
        <f t="shared" ref="AB631:AC646" si="264">AB630</f>
        <v>15000000</v>
      </c>
      <c r="AC631" s="97">
        <f t="shared" si="264"/>
        <v>2.579E-2</v>
      </c>
      <c r="AD631" s="13">
        <f t="shared" si="245"/>
        <v>1074.5833333333333</v>
      </c>
      <c r="AE631" s="13">
        <f t="shared" si="246"/>
        <v>278317.08333333395</v>
      </c>
      <c r="AF631" s="13">
        <f t="shared" si="247"/>
        <v>345.41666666666663</v>
      </c>
      <c r="AH631" s="235">
        <f>'CT- € Ellipsis BNP'!X631</f>
        <v>0</v>
      </c>
      <c r="AI631" s="236">
        <f>'CT- € Ellipsis BNP'!AA631</f>
        <v>0</v>
      </c>
      <c r="AJ631" s="90">
        <f>'CT- € Ellipsis BNP'!W631</f>
        <v>0</v>
      </c>
      <c r="AK631" s="91">
        <f>'CT- € Ellipsis BNP'!AC631</f>
        <v>0</v>
      </c>
      <c r="AM631" s="235">
        <f>'codeis €'!Z631</f>
        <v>0</v>
      </c>
      <c r="AN631" s="236">
        <f>'codeis €'!AF631</f>
        <v>0</v>
      </c>
      <c r="AO631" s="90">
        <f>'codeis €'!AC631</f>
        <v>0</v>
      </c>
      <c r="AP631" s="91">
        <f>'codeis €'!AI631</f>
        <v>0</v>
      </c>
      <c r="AR631" s="12">
        <f t="shared" si="248"/>
        <v>67260956.159999996</v>
      </c>
      <c r="AS631" s="118">
        <f t="shared" si="249"/>
        <v>0.02</v>
      </c>
      <c r="AT631" s="118">
        <f t="shared" si="250"/>
        <v>2.0428995474183843E-2</v>
      </c>
      <c r="AU631" s="12">
        <f t="shared" si="251"/>
        <v>3816.871580505328</v>
      </c>
      <c r="AV631" s="12">
        <f t="shared" si="252"/>
        <v>547.24176717199384</v>
      </c>
      <c r="AW631" s="19"/>
    </row>
    <row r="632" spans="2:49" x14ac:dyDescent="0.25">
      <c r="B632" s="9" t="str">
        <f t="shared" si="235"/>
        <v>9 2026</v>
      </c>
      <c r="C632" s="88">
        <f t="shared" si="236"/>
        <v>46281</v>
      </c>
      <c r="D632" s="88">
        <f t="shared" ref="D632:D695" si="265">D631+1</f>
        <v>46282</v>
      </c>
      <c r="E632" s="89">
        <f t="shared" si="237"/>
        <v>1</v>
      </c>
      <c r="G632" s="11" t="s">
        <v>7</v>
      </c>
      <c r="H632" s="12">
        <f t="shared" si="261"/>
        <v>34250000</v>
      </c>
      <c r="I632" s="14">
        <f t="shared" si="261"/>
        <v>1.7500000000000002E-2</v>
      </c>
      <c r="J632" s="13">
        <f t="shared" si="238"/>
        <v>1664.9305555555557</v>
      </c>
      <c r="K632" s="13">
        <f t="shared" si="239"/>
        <v>341763.33333333436</v>
      </c>
      <c r="M632" s="11" t="s">
        <v>7</v>
      </c>
      <c r="N632" s="12">
        <f t="shared" ref="N632:O647" si="266">N631</f>
        <v>12000000</v>
      </c>
      <c r="O632" s="97">
        <f t="shared" si="266"/>
        <v>2.1698630136986304E-2</v>
      </c>
      <c r="P632" s="112">
        <f t="shared" si="240"/>
        <v>723.28767123287685</v>
      </c>
      <c r="Q632" s="13">
        <f t="shared" si="241"/>
        <v>188054.79452054852</v>
      </c>
      <c r="R632" s="13">
        <f t="shared" si="242"/>
        <v>139.95433789954348</v>
      </c>
      <c r="T632" s="11" t="str">
        <f t="shared" si="262"/>
        <v>SG</v>
      </c>
      <c r="U632" s="12">
        <f t="shared" si="262"/>
        <v>6010956.1600000001</v>
      </c>
      <c r="V632" s="97">
        <f t="shared" si="262"/>
        <v>2.1205479452054792E-2</v>
      </c>
      <c r="W632" s="13">
        <f t="shared" si="243"/>
        <v>354.0700203835616</v>
      </c>
      <c r="X632" s="13">
        <f t="shared" si="263"/>
        <v>92051.106308383081</v>
      </c>
      <c r="Y632" s="13">
        <f t="shared" si="244"/>
        <v>61.870762605783796</v>
      </c>
      <c r="AA632" s="11" t="s">
        <v>189</v>
      </c>
      <c r="AB632" s="98">
        <f t="shared" si="264"/>
        <v>15000000</v>
      </c>
      <c r="AC632" s="97">
        <f t="shared" si="264"/>
        <v>2.579E-2</v>
      </c>
      <c r="AD632" s="13">
        <f t="shared" si="245"/>
        <v>1074.5833333333333</v>
      </c>
      <c r="AE632" s="13">
        <f t="shared" si="246"/>
        <v>279391.66666666727</v>
      </c>
      <c r="AF632" s="13">
        <f t="shared" si="247"/>
        <v>345.41666666666663</v>
      </c>
      <c r="AH632" s="235">
        <f>'CT- € Ellipsis BNP'!X632</f>
        <v>0</v>
      </c>
      <c r="AI632" s="236">
        <f>'CT- € Ellipsis BNP'!AA632</f>
        <v>0</v>
      </c>
      <c r="AJ632" s="90">
        <f>'CT- € Ellipsis BNP'!W632</f>
        <v>0</v>
      </c>
      <c r="AK632" s="91">
        <f>'CT- € Ellipsis BNP'!AC632</f>
        <v>0</v>
      </c>
      <c r="AM632" s="235">
        <f>'codeis €'!Z632</f>
        <v>0</v>
      </c>
      <c r="AN632" s="236">
        <f>'codeis €'!AF632</f>
        <v>0</v>
      </c>
      <c r="AO632" s="90">
        <f>'codeis €'!AC632</f>
        <v>0</v>
      </c>
      <c r="AP632" s="91">
        <f>'codeis €'!AI632</f>
        <v>0</v>
      </c>
      <c r="AR632" s="12">
        <f t="shared" si="248"/>
        <v>67260956.159999996</v>
      </c>
      <c r="AS632" s="118">
        <f t="shared" si="249"/>
        <v>0.02</v>
      </c>
      <c r="AT632" s="118">
        <f t="shared" si="250"/>
        <v>2.0428995474183843E-2</v>
      </c>
      <c r="AU632" s="12">
        <f t="shared" si="251"/>
        <v>3816.871580505328</v>
      </c>
      <c r="AV632" s="12">
        <f t="shared" si="252"/>
        <v>547.24176717199384</v>
      </c>
      <c r="AW632" s="19"/>
    </row>
    <row r="633" spans="2:49" x14ac:dyDescent="0.25">
      <c r="B633" s="9" t="str">
        <f t="shared" si="235"/>
        <v>9 2026</v>
      </c>
      <c r="C633" s="88">
        <f t="shared" si="236"/>
        <v>46282</v>
      </c>
      <c r="D633" s="88">
        <f t="shared" si="265"/>
        <v>46283</v>
      </c>
      <c r="E633" s="89">
        <f t="shared" si="237"/>
        <v>1</v>
      </c>
      <c r="G633" s="11" t="s">
        <v>7</v>
      </c>
      <c r="H633" s="12">
        <f t="shared" si="261"/>
        <v>34250000</v>
      </c>
      <c r="I633" s="14">
        <f t="shared" si="261"/>
        <v>1.7500000000000002E-2</v>
      </c>
      <c r="J633" s="13">
        <f t="shared" si="238"/>
        <v>1664.9305555555557</v>
      </c>
      <c r="K633" s="13">
        <f t="shared" si="239"/>
        <v>343428.26388888992</v>
      </c>
      <c r="M633" s="11" t="s">
        <v>7</v>
      </c>
      <c r="N633" s="12">
        <f t="shared" si="266"/>
        <v>12000000</v>
      </c>
      <c r="O633" s="97">
        <f t="shared" si="266"/>
        <v>2.1698630136986304E-2</v>
      </c>
      <c r="P633" s="112">
        <f t="shared" si="240"/>
        <v>723.28767123287685</v>
      </c>
      <c r="Q633" s="13">
        <f t="shared" si="241"/>
        <v>188778.0821917814</v>
      </c>
      <c r="R633" s="13">
        <f t="shared" si="242"/>
        <v>139.95433789954348</v>
      </c>
      <c r="T633" s="11" t="str">
        <f t="shared" si="262"/>
        <v>SG</v>
      </c>
      <c r="U633" s="12">
        <f t="shared" si="262"/>
        <v>6010956.1600000001</v>
      </c>
      <c r="V633" s="97">
        <f t="shared" si="262"/>
        <v>2.1205479452054792E-2</v>
      </c>
      <c r="W633" s="13">
        <f t="shared" si="243"/>
        <v>354.0700203835616</v>
      </c>
      <c r="X633" s="13">
        <f t="shared" si="263"/>
        <v>92405.17632876664</v>
      </c>
      <c r="Y633" s="13">
        <f t="shared" si="244"/>
        <v>61.870762605783796</v>
      </c>
      <c r="AA633" s="11" t="s">
        <v>189</v>
      </c>
      <c r="AB633" s="98">
        <f t="shared" si="264"/>
        <v>15000000</v>
      </c>
      <c r="AC633" s="97">
        <f t="shared" si="264"/>
        <v>2.579E-2</v>
      </c>
      <c r="AD633" s="13">
        <f t="shared" si="245"/>
        <v>1074.5833333333333</v>
      </c>
      <c r="AE633" s="13">
        <f t="shared" si="246"/>
        <v>280466.25000000058</v>
      </c>
      <c r="AF633" s="13">
        <f t="shared" si="247"/>
        <v>345.41666666666663</v>
      </c>
      <c r="AH633" s="235">
        <f>'CT- € Ellipsis BNP'!X633</f>
        <v>0</v>
      </c>
      <c r="AI633" s="236">
        <f>'CT- € Ellipsis BNP'!AA633</f>
        <v>0</v>
      </c>
      <c r="AJ633" s="90">
        <f>'CT- € Ellipsis BNP'!W633</f>
        <v>0</v>
      </c>
      <c r="AK633" s="91">
        <f>'CT- € Ellipsis BNP'!AC633</f>
        <v>0</v>
      </c>
      <c r="AM633" s="235">
        <f>'codeis €'!Z633</f>
        <v>0</v>
      </c>
      <c r="AN633" s="236">
        <f>'codeis €'!AF633</f>
        <v>0</v>
      </c>
      <c r="AO633" s="90">
        <f>'codeis €'!AC633</f>
        <v>0</v>
      </c>
      <c r="AP633" s="91">
        <f>'codeis €'!AI633</f>
        <v>0</v>
      </c>
      <c r="AR633" s="12">
        <f t="shared" si="248"/>
        <v>67260956.159999996</v>
      </c>
      <c r="AS633" s="118">
        <f t="shared" si="249"/>
        <v>0.02</v>
      </c>
      <c r="AT633" s="118">
        <f t="shared" si="250"/>
        <v>2.0428995474183843E-2</v>
      </c>
      <c r="AU633" s="12">
        <f t="shared" si="251"/>
        <v>3816.871580505328</v>
      </c>
      <c r="AV633" s="12">
        <f t="shared" si="252"/>
        <v>547.24176717199384</v>
      </c>
      <c r="AW633" s="19"/>
    </row>
    <row r="634" spans="2:49" x14ac:dyDescent="0.25">
      <c r="B634" s="9" t="str">
        <f t="shared" si="235"/>
        <v>9 2026</v>
      </c>
      <c r="C634" s="88">
        <f t="shared" si="236"/>
        <v>46283</v>
      </c>
      <c r="D634" s="88">
        <f t="shared" si="265"/>
        <v>46284</v>
      </c>
      <c r="E634" s="89">
        <f t="shared" si="237"/>
        <v>1</v>
      </c>
      <c r="G634" s="11" t="s">
        <v>7</v>
      </c>
      <c r="H634" s="12">
        <f t="shared" si="261"/>
        <v>34250000</v>
      </c>
      <c r="I634" s="14">
        <f t="shared" si="261"/>
        <v>1.7500000000000002E-2</v>
      </c>
      <c r="J634" s="13">
        <f t="shared" si="238"/>
        <v>1664.9305555555557</v>
      </c>
      <c r="K634" s="13">
        <f t="shared" si="239"/>
        <v>345093.19444444549</v>
      </c>
      <c r="M634" s="11" t="s">
        <v>7</v>
      </c>
      <c r="N634" s="12">
        <f t="shared" si="266"/>
        <v>12000000</v>
      </c>
      <c r="O634" s="97">
        <f t="shared" si="266"/>
        <v>2.1698630136986304E-2</v>
      </c>
      <c r="P634" s="112">
        <f t="shared" si="240"/>
        <v>723.28767123287685</v>
      </c>
      <c r="Q634" s="13">
        <f t="shared" si="241"/>
        <v>189501.36986301429</v>
      </c>
      <c r="R634" s="13">
        <f t="shared" si="242"/>
        <v>139.95433789954348</v>
      </c>
      <c r="T634" s="11" t="str">
        <f t="shared" si="262"/>
        <v>SG</v>
      </c>
      <c r="U634" s="12">
        <f t="shared" si="262"/>
        <v>6010956.1600000001</v>
      </c>
      <c r="V634" s="97">
        <f t="shared" si="262"/>
        <v>2.1205479452054792E-2</v>
      </c>
      <c r="W634" s="13">
        <f t="shared" si="243"/>
        <v>354.0700203835616</v>
      </c>
      <c r="X634" s="13">
        <f t="shared" si="263"/>
        <v>92759.246349150199</v>
      </c>
      <c r="Y634" s="13">
        <f t="shared" si="244"/>
        <v>61.870762605783796</v>
      </c>
      <c r="AA634" s="11" t="s">
        <v>189</v>
      </c>
      <c r="AB634" s="98">
        <f t="shared" si="264"/>
        <v>15000000</v>
      </c>
      <c r="AC634" s="97">
        <f t="shared" si="264"/>
        <v>2.579E-2</v>
      </c>
      <c r="AD634" s="13">
        <f t="shared" si="245"/>
        <v>1074.5833333333333</v>
      </c>
      <c r="AE634" s="13">
        <f t="shared" si="246"/>
        <v>281540.8333333339</v>
      </c>
      <c r="AF634" s="13">
        <f t="shared" si="247"/>
        <v>345.41666666666663</v>
      </c>
      <c r="AH634" s="235">
        <f>'CT- € Ellipsis BNP'!X634</f>
        <v>0</v>
      </c>
      <c r="AI634" s="236">
        <f>'CT- € Ellipsis BNP'!AA634</f>
        <v>0</v>
      </c>
      <c r="AJ634" s="90">
        <f>'CT- € Ellipsis BNP'!W634</f>
        <v>0</v>
      </c>
      <c r="AK634" s="91">
        <f>'CT- € Ellipsis BNP'!AC634</f>
        <v>0</v>
      </c>
      <c r="AM634" s="235">
        <f>'codeis €'!Z634</f>
        <v>0</v>
      </c>
      <c r="AN634" s="236">
        <f>'codeis €'!AF634</f>
        <v>0</v>
      </c>
      <c r="AO634" s="90">
        <f>'codeis €'!AC634</f>
        <v>0</v>
      </c>
      <c r="AP634" s="91">
        <f>'codeis €'!AI634</f>
        <v>0</v>
      </c>
      <c r="AR634" s="12">
        <f t="shared" si="248"/>
        <v>67260956.159999996</v>
      </c>
      <c r="AS634" s="118">
        <f t="shared" si="249"/>
        <v>0.02</v>
      </c>
      <c r="AT634" s="118">
        <f t="shared" si="250"/>
        <v>2.0428995474183843E-2</v>
      </c>
      <c r="AU634" s="12">
        <f t="shared" si="251"/>
        <v>3816.871580505328</v>
      </c>
      <c r="AV634" s="12">
        <f t="shared" si="252"/>
        <v>547.24176717199384</v>
      </c>
      <c r="AW634" s="19"/>
    </row>
    <row r="635" spans="2:49" x14ac:dyDescent="0.25">
      <c r="B635" s="9" t="str">
        <f t="shared" si="235"/>
        <v>9 2026</v>
      </c>
      <c r="C635" s="88">
        <f t="shared" si="236"/>
        <v>46284</v>
      </c>
      <c r="D635" s="88">
        <f t="shared" si="265"/>
        <v>46285</v>
      </c>
      <c r="E635" s="89">
        <f t="shared" si="237"/>
        <v>1</v>
      </c>
      <c r="G635" s="11" t="s">
        <v>7</v>
      </c>
      <c r="H635" s="12">
        <f t="shared" si="261"/>
        <v>34250000</v>
      </c>
      <c r="I635" s="14">
        <f t="shared" si="261"/>
        <v>1.7500000000000002E-2</v>
      </c>
      <c r="J635" s="13">
        <f t="shared" si="238"/>
        <v>1664.9305555555557</v>
      </c>
      <c r="K635" s="13">
        <f t="shared" si="239"/>
        <v>346758.12500000105</v>
      </c>
      <c r="M635" s="11" t="s">
        <v>7</v>
      </c>
      <c r="N635" s="12">
        <f t="shared" si="266"/>
        <v>12000000</v>
      </c>
      <c r="O635" s="97">
        <f t="shared" si="266"/>
        <v>2.1698630136986304E-2</v>
      </c>
      <c r="P635" s="112">
        <f t="shared" si="240"/>
        <v>723.28767123287685</v>
      </c>
      <c r="Q635" s="13">
        <f t="shared" si="241"/>
        <v>190224.65753424718</v>
      </c>
      <c r="R635" s="13">
        <f t="shared" si="242"/>
        <v>139.95433789954348</v>
      </c>
      <c r="T635" s="11" t="str">
        <f t="shared" si="262"/>
        <v>SG</v>
      </c>
      <c r="U635" s="12">
        <f t="shared" si="262"/>
        <v>6010956.1600000001</v>
      </c>
      <c r="V635" s="97">
        <f t="shared" si="262"/>
        <v>2.1205479452054792E-2</v>
      </c>
      <c r="W635" s="13">
        <f t="shared" si="243"/>
        <v>354.0700203835616</v>
      </c>
      <c r="X635" s="13">
        <f t="shared" si="263"/>
        <v>93113.316369533757</v>
      </c>
      <c r="Y635" s="13">
        <f t="shared" si="244"/>
        <v>61.870762605783796</v>
      </c>
      <c r="AA635" s="11" t="s">
        <v>189</v>
      </c>
      <c r="AB635" s="98">
        <f t="shared" si="264"/>
        <v>15000000</v>
      </c>
      <c r="AC635" s="97">
        <f t="shared" si="264"/>
        <v>2.579E-2</v>
      </c>
      <c r="AD635" s="13">
        <f t="shared" si="245"/>
        <v>1074.5833333333333</v>
      </c>
      <c r="AE635" s="13">
        <f t="shared" si="246"/>
        <v>282615.41666666721</v>
      </c>
      <c r="AF635" s="13">
        <f t="shared" si="247"/>
        <v>345.41666666666663</v>
      </c>
      <c r="AH635" s="235">
        <f>'CT- € Ellipsis BNP'!X635</f>
        <v>0</v>
      </c>
      <c r="AI635" s="236">
        <f>'CT- € Ellipsis BNP'!AA635</f>
        <v>0</v>
      </c>
      <c r="AJ635" s="90">
        <f>'CT- € Ellipsis BNP'!W635</f>
        <v>0</v>
      </c>
      <c r="AK635" s="91">
        <f>'CT- € Ellipsis BNP'!AC635</f>
        <v>0</v>
      </c>
      <c r="AM635" s="235">
        <f>'codeis €'!Z635</f>
        <v>0</v>
      </c>
      <c r="AN635" s="236">
        <f>'codeis €'!AF635</f>
        <v>0</v>
      </c>
      <c r="AO635" s="90">
        <f>'codeis €'!AC635</f>
        <v>0</v>
      </c>
      <c r="AP635" s="91">
        <f>'codeis €'!AI635</f>
        <v>0</v>
      </c>
      <c r="AR635" s="12">
        <f t="shared" si="248"/>
        <v>67260956.159999996</v>
      </c>
      <c r="AS635" s="118">
        <f t="shared" si="249"/>
        <v>0.02</v>
      </c>
      <c r="AT635" s="118">
        <f t="shared" si="250"/>
        <v>2.0428995474183843E-2</v>
      </c>
      <c r="AU635" s="12">
        <f t="shared" si="251"/>
        <v>3816.871580505328</v>
      </c>
      <c r="AV635" s="12">
        <f t="shared" si="252"/>
        <v>547.24176717199384</v>
      </c>
      <c r="AW635" s="19"/>
    </row>
    <row r="636" spans="2:49" x14ac:dyDescent="0.25">
      <c r="B636" s="9" t="str">
        <f t="shared" si="235"/>
        <v>9 2026</v>
      </c>
      <c r="C636" s="88">
        <f t="shared" si="236"/>
        <v>46285</v>
      </c>
      <c r="D636" s="88">
        <f t="shared" si="265"/>
        <v>46286</v>
      </c>
      <c r="E636" s="89">
        <f t="shared" si="237"/>
        <v>1</v>
      </c>
      <c r="G636" s="11" t="s">
        <v>7</v>
      </c>
      <c r="H636" s="12">
        <f t="shared" si="261"/>
        <v>34250000</v>
      </c>
      <c r="I636" s="14">
        <f t="shared" si="261"/>
        <v>1.7500000000000002E-2</v>
      </c>
      <c r="J636" s="13">
        <f t="shared" si="238"/>
        <v>1664.9305555555557</v>
      </c>
      <c r="K636" s="13">
        <f t="shared" si="239"/>
        <v>348423.05555555661</v>
      </c>
      <c r="M636" s="11" t="s">
        <v>7</v>
      </c>
      <c r="N636" s="12">
        <f t="shared" si="266"/>
        <v>12000000</v>
      </c>
      <c r="O636" s="97">
        <f t="shared" si="266"/>
        <v>2.1698630136986304E-2</v>
      </c>
      <c r="P636" s="112">
        <f t="shared" si="240"/>
        <v>723.28767123287685</v>
      </c>
      <c r="Q636" s="13">
        <f t="shared" si="241"/>
        <v>190947.94520548006</v>
      </c>
      <c r="R636" s="13">
        <f t="shared" si="242"/>
        <v>139.95433789954348</v>
      </c>
      <c r="T636" s="11" t="str">
        <f t="shared" si="262"/>
        <v>SG</v>
      </c>
      <c r="U636" s="12">
        <f t="shared" si="262"/>
        <v>6010956.1600000001</v>
      </c>
      <c r="V636" s="97">
        <f t="shared" si="262"/>
        <v>2.1205479452054792E-2</v>
      </c>
      <c r="W636" s="13">
        <f t="shared" si="243"/>
        <v>354.0700203835616</v>
      </c>
      <c r="X636" s="13">
        <f t="shared" si="263"/>
        <v>93467.386389917316</v>
      </c>
      <c r="Y636" s="13">
        <f t="shared" si="244"/>
        <v>61.870762605783796</v>
      </c>
      <c r="AA636" s="11" t="s">
        <v>189</v>
      </c>
      <c r="AB636" s="98">
        <f t="shared" si="264"/>
        <v>15000000</v>
      </c>
      <c r="AC636" s="97">
        <f t="shared" si="264"/>
        <v>2.579E-2</v>
      </c>
      <c r="AD636" s="13">
        <f t="shared" si="245"/>
        <v>1074.5833333333333</v>
      </c>
      <c r="AE636" s="13">
        <f t="shared" si="246"/>
        <v>283690.00000000052</v>
      </c>
      <c r="AF636" s="13">
        <f t="shared" si="247"/>
        <v>345.41666666666663</v>
      </c>
      <c r="AH636" s="235">
        <f>'CT- € Ellipsis BNP'!X636</f>
        <v>0</v>
      </c>
      <c r="AI636" s="236">
        <f>'CT- € Ellipsis BNP'!AA636</f>
        <v>0</v>
      </c>
      <c r="AJ636" s="90">
        <f>'CT- € Ellipsis BNP'!W636</f>
        <v>0</v>
      </c>
      <c r="AK636" s="91">
        <f>'CT- € Ellipsis BNP'!AC636</f>
        <v>0</v>
      </c>
      <c r="AM636" s="235">
        <f>'codeis €'!Z636</f>
        <v>0</v>
      </c>
      <c r="AN636" s="236">
        <f>'codeis €'!AF636</f>
        <v>0</v>
      </c>
      <c r="AO636" s="90">
        <f>'codeis €'!AC636</f>
        <v>0</v>
      </c>
      <c r="AP636" s="91">
        <f>'codeis €'!AI636</f>
        <v>0</v>
      </c>
      <c r="AR636" s="12">
        <f t="shared" si="248"/>
        <v>67260956.159999996</v>
      </c>
      <c r="AS636" s="118">
        <f t="shared" si="249"/>
        <v>0.02</v>
      </c>
      <c r="AT636" s="118">
        <f t="shared" si="250"/>
        <v>2.0428995474183843E-2</v>
      </c>
      <c r="AU636" s="12">
        <f t="shared" si="251"/>
        <v>3816.871580505328</v>
      </c>
      <c r="AV636" s="12">
        <f t="shared" si="252"/>
        <v>547.24176717199384</v>
      </c>
      <c r="AW636" s="19"/>
    </row>
    <row r="637" spans="2:49" x14ac:dyDescent="0.25">
      <c r="B637" s="9" t="str">
        <f t="shared" si="235"/>
        <v>9 2026</v>
      </c>
      <c r="C637" s="88">
        <f t="shared" si="236"/>
        <v>46286</v>
      </c>
      <c r="D637" s="88">
        <f t="shared" si="265"/>
        <v>46287</v>
      </c>
      <c r="E637" s="89">
        <f t="shared" si="237"/>
        <v>1</v>
      </c>
      <c r="G637" s="11" t="s">
        <v>7</v>
      </c>
      <c r="H637" s="12">
        <f t="shared" si="261"/>
        <v>34250000</v>
      </c>
      <c r="I637" s="14">
        <f t="shared" si="261"/>
        <v>1.7500000000000002E-2</v>
      </c>
      <c r="J637" s="13">
        <f t="shared" si="238"/>
        <v>1664.9305555555557</v>
      </c>
      <c r="K637" s="13">
        <f t="shared" si="239"/>
        <v>350087.98611111217</v>
      </c>
      <c r="M637" s="11" t="s">
        <v>7</v>
      </c>
      <c r="N637" s="12">
        <f t="shared" si="266"/>
        <v>12000000</v>
      </c>
      <c r="O637" s="97">
        <f t="shared" si="266"/>
        <v>2.1698630136986304E-2</v>
      </c>
      <c r="P637" s="112">
        <f t="shared" si="240"/>
        <v>723.28767123287685</v>
      </c>
      <c r="Q637" s="13">
        <f t="shared" si="241"/>
        <v>191671.23287671295</v>
      </c>
      <c r="R637" s="13">
        <f t="shared" si="242"/>
        <v>139.95433789954348</v>
      </c>
      <c r="T637" s="11" t="str">
        <f t="shared" si="262"/>
        <v>SG</v>
      </c>
      <c r="U637" s="12">
        <f t="shared" si="262"/>
        <v>6010956.1600000001</v>
      </c>
      <c r="V637" s="97">
        <f t="shared" si="262"/>
        <v>2.1205479452054792E-2</v>
      </c>
      <c r="W637" s="13">
        <f t="shared" si="243"/>
        <v>354.0700203835616</v>
      </c>
      <c r="X637" s="13">
        <f t="shared" si="263"/>
        <v>93821.456410300874</v>
      </c>
      <c r="Y637" s="13">
        <f t="shared" si="244"/>
        <v>61.870762605783796</v>
      </c>
      <c r="AA637" s="11" t="s">
        <v>189</v>
      </c>
      <c r="AB637" s="98">
        <f t="shared" si="264"/>
        <v>15000000</v>
      </c>
      <c r="AC637" s="97">
        <f t="shared" si="264"/>
        <v>2.579E-2</v>
      </c>
      <c r="AD637" s="13">
        <f t="shared" si="245"/>
        <v>1074.5833333333333</v>
      </c>
      <c r="AE637" s="13">
        <f t="shared" si="246"/>
        <v>284764.58333333384</v>
      </c>
      <c r="AF637" s="13">
        <f t="shared" si="247"/>
        <v>345.41666666666663</v>
      </c>
      <c r="AH637" s="235">
        <f>'CT- € Ellipsis BNP'!X637</f>
        <v>0</v>
      </c>
      <c r="AI637" s="236">
        <f>'CT- € Ellipsis BNP'!AA637</f>
        <v>0</v>
      </c>
      <c r="AJ637" s="90">
        <f>'CT- € Ellipsis BNP'!W637</f>
        <v>0</v>
      </c>
      <c r="AK637" s="91">
        <f>'CT- € Ellipsis BNP'!AC637</f>
        <v>0</v>
      </c>
      <c r="AM637" s="235">
        <f>'codeis €'!Z637</f>
        <v>0</v>
      </c>
      <c r="AN637" s="236">
        <f>'codeis €'!AF637</f>
        <v>0</v>
      </c>
      <c r="AO637" s="90">
        <f>'codeis €'!AC637</f>
        <v>0</v>
      </c>
      <c r="AP637" s="91">
        <f>'codeis €'!AI637</f>
        <v>0</v>
      </c>
      <c r="AR637" s="12">
        <f t="shared" si="248"/>
        <v>67260956.159999996</v>
      </c>
      <c r="AS637" s="118">
        <f t="shared" si="249"/>
        <v>0.02</v>
      </c>
      <c r="AT637" s="118">
        <f t="shared" si="250"/>
        <v>2.0428995474183843E-2</v>
      </c>
      <c r="AU637" s="12">
        <f t="shared" si="251"/>
        <v>3816.871580505328</v>
      </c>
      <c r="AV637" s="12">
        <f t="shared" si="252"/>
        <v>547.24176717199384</v>
      </c>
      <c r="AW637" s="19"/>
    </row>
    <row r="638" spans="2:49" x14ac:dyDescent="0.25">
      <c r="B638" s="9" t="str">
        <f t="shared" si="235"/>
        <v>9 2026</v>
      </c>
      <c r="C638" s="88">
        <f t="shared" si="236"/>
        <v>46287</v>
      </c>
      <c r="D638" s="88">
        <f t="shared" si="265"/>
        <v>46288</v>
      </c>
      <c r="E638" s="89">
        <f t="shared" si="237"/>
        <v>1</v>
      </c>
      <c r="G638" s="11" t="s">
        <v>7</v>
      </c>
      <c r="H638" s="12">
        <f t="shared" si="261"/>
        <v>34250000</v>
      </c>
      <c r="I638" s="14">
        <f t="shared" si="261"/>
        <v>1.7500000000000002E-2</v>
      </c>
      <c r="J638" s="13">
        <f t="shared" si="238"/>
        <v>1664.9305555555557</v>
      </c>
      <c r="K638" s="13">
        <f t="shared" si="239"/>
        <v>351752.91666666773</v>
      </c>
      <c r="M638" s="11" t="s">
        <v>7</v>
      </c>
      <c r="N638" s="12">
        <f t="shared" si="266"/>
        <v>12000000</v>
      </c>
      <c r="O638" s="97">
        <f t="shared" si="266"/>
        <v>2.1698630136986304E-2</v>
      </c>
      <c r="P638" s="112">
        <f t="shared" si="240"/>
        <v>723.28767123287685</v>
      </c>
      <c r="Q638" s="13">
        <f t="shared" si="241"/>
        <v>192394.52054794584</v>
      </c>
      <c r="R638" s="13">
        <f t="shared" si="242"/>
        <v>139.95433789954348</v>
      </c>
      <c r="T638" s="11" t="str">
        <f t="shared" si="262"/>
        <v>SG</v>
      </c>
      <c r="U638" s="12">
        <f t="shared" si="262"/>
        <v>6010956.1600000001</v>
      </c>
      <c r="V638" s="97">
        <f t="shared" si="262"/>
        <v>2.1205479452054792E-2</v>
      </c>
      <c r="W638" s="13">
        <f t="shared" si="243"/>
        <v>354.0700203835616</v>
      </c>
      <c r="X638" s="13">
        <f t="shared" si="263"/>
        <v>94175.526430684433</v>
      </c>
      <c r="Y638" s="13">
        <f t="shared" si="244"/>
        <v>61.870762605783796</v>
      </c>
      <c r="AA638" s="11" t="s">
        <v>189</v>
      </c>
      <c r="AB638" s="98">
        <f t="shared" si="264"/>
        <v>15000000</v>
      </c>
      <c r="AC638" s="97">
        <f t="shared" si="264"/>
        <v>2.579E-2</v>
      </c>
      <c r="AD638" s="13">
        <f t="shared" si="245"/>
        <v>1074.5833333333333</v>
      </c>
      <c r="AE638" s="13">
        <f t="shared" si="246"/>
        <v>285839.16666666715</v>
      </c>
      <c r="AF638" s="13">
        <f t="shared" si="247"/>
        <v>345.41666666666663</v>
      </c>
      <c r="AH638" s="235">
        <f>'CT- € Ellipsis BNP'!X638</f>
        <v>0</v>
      </c>
      <c r="AI638" s="236">
        <f>'CT- € Ellipsis BNP'!AA638</f>
        <v>0</v>
      </c>
      <c r="AJ638" s="90">
        <f>'CT- € Ellipsis BNP'!W638</f>
        <v>0</v>
      </c>
      <c r="AK638" s="91">
        <f>'CT- € Ellipsis BNP'!AC638</f>
        <v>0</v>
      </c>
      <c r="AM638" s="235">
        <f>'codeis €'!Z638</f>
        <v>0</v>
      </c>
      <c r="AN638" s="236">
        <f>'codeis €'!AF638</f>
        <v>0</v>
      </c>
      <c r="AO638" s="90">
        <f>'codeis €'!AC638</f>
        <v>0</v>
      </c>
      <c r="AP638" s="91">
        <f>'codeis €'!AI638</f>
        <v>0</v>
      </c>
      <c r="AR638" s="12">
        <f t="shared" si="248"/>
        <v>67260956.159999996</v>
      </c>
      <c r="AS638" s="118">
        <f t="shared" si="249"/>
        <v>0.02</v>
      </c>
      <c r="AT638" s="118">
        <f t="shared" si="250"/>
        <v>2.0428995474183843E-2</v>
      </c>
      <c r="AU638" s="12">
        <f t="shared" si="251"/>
        <v>3816.871580505328</v>
      </c>
      <c r="AV638" s="12">
        <f t="shared" si="252"/>
        <v>547.24176717199384</v>
      </c>
      <c r="AW638" s="19"/>
    </row>
    <row r="639" spans="2:49" x14ac:dyDescent="0.25">
      <c r="B639" s="9" t="str">
        <f t="shared" si="235"/>
        <v>9 2026</v>
      </c>
      <c r="C639" s="88">
        <f t="shared" si="236"/>
        <v>46288</v>
      </c>
      <c r="D639" s="88">
        <f t="shared" si="265"/>
        <v>46289</v>
      </c>
      <c r="E639" s="89">
        <f t="shared" si="237"/>
        <v>1</v>
      </c>
      <c r="G639" s="11" t="s">
        <v>7</v>
      </c>
      <c r="H639" s="12">
        <f t="shared" si="261"/>
        <v>34250000</v>
      </c>
      <c r="I639" s="14">
        <f t="shared" si="261"/>
        <v>1.7500000000000002E-2</v>
      </c>
      <c r="J639" s="13">
        <f t="shared" si="238"/>
        <v>1664.9305555555557</v>
      </c>
      <c r="K639" s="13">
        <f t="shared" si="239"/>
        <v>353417.8472222233</v>
      </c>
      <c r="M639" s="11" t="s">
        <v>7</v>
      </c>
      <c r="N639" s="12">
        <f t="shared" si="266"/>
        <v>12000000</v>
      </c>
      <c r="O639" s="97">
        <f t="shared" si="266"/>
        <v>2.1698630136986304E-2</v>
      </c>
      <c r="P639" s="112">
        <f t="shared" si="240"/>
        <v>723.28767123287685</v>
      </c>
      <c r="Q639" s="13">
        <f t="shared" si="241"/>
        <v>193117.80821917873</v>
      </c>
      <c r="R639" s="13">
        <f t="shared" si="242"/>
        <v>139.95433789954348</v>
      </c>
      <c r="T639" s="11" t="str">
        <f t="shared" si="262"/>
        <v>SG</v>
      </c>
      <c r="U639" s="12">
        <f t="shared" si="262"/>
        <v>6010956.1600000001</v>
      </c>
      <c r="V639" s="97">
        <f t="shared" si="262"/>
        <v>2.1205479452054792E-2</v>
      </c>
      <c r="W639" s="13">
        <f t="shared" si="243"/>
        <v>354.0700203835616</v>
      </c>
      <c r="X639" s="13">
        <f t="shared" si="263"/>
        <v>94529.596451067991</v>
      </c>
      <c r="Y639" s="13">
        <f t="shared" si="244"/>
        <v>61.870762605783796</v>
      </c>
      <c r="AA639" s="11" t="s">
        <v>189</v>
      </c>
      <c r="AB639" s="98">
        <f t="shared" si="264"/>
        <v>15000000</v>
      </c>
      <c r="AC639" s="97">
        <f t="shared" si="264"/>
        <v>2.579E-2</v>
      </c>
      <c r="AD639" s="13">
        <f t="shared" si="245"/>
        <v>1074.5833333333333</v>
      </c>
      <c r="AE639" s="13">
        <f t="shared" si="246"/>
        <v>286913.75000000047</v>
      </c>
      <c r="AF639" s="13">
        <f t="shared" si="247"/>
        <v>345.41666666666663</v>
      </c>
      <c r="AH639" s="235">
        <f>'CT- € Ellipsis BNP'!X639</f>
        <v>0</v>
      </c>
      <c r="AI639" s="236">
        <f>'CT- € Ellipsis BNP'!AA639</f>
        <v>0</v>
      </c>
      <c r="AJ639" s="90">
        <f>'CT- € Ellipsis BNP'!W639</f>
        <v>0</v>
      </c>
      <c r="AK639" s="91">
        <f>'CT- € Ellipsis BNP'!AC639</f>
        <v>0</v>
      </c>
      <c r="AM639" s="235">
        <f>'codeis €'!Z639</f>
        <v>0</v>
      </c>
      <c r="AN639" s="236">
        <f>'codeis €'!AF639</f>
        <v>0</v>
      </c>
      <c r="AO639" s="90">
        <f>'codeis €'!AC639</f>
        <v>0</v>
      </c>
      <c r="AP639" s="91">
        <f>'codeis €'!AI639</f>
        <v>0</v>
      </c>
      <c r="AR639" s="12">
        <f t="shared" si="248"/>
        <v>67260956.159999996</v>
      </c>
      <c r="AS639" s="118">
        <f t="shared" si="249"/>
        <v>0.02</v>
      </c>
      <c r="AT639" s="118">
        <f t="shared" si="250"/>
        <v>2.0428995474183843E-2</v>
      </c>
      <c r="AU639" s="12">
        <f t="shared" si="251"/>
        <v>3816.871580505328</v>
      </c>
      <c r="AV639" s="12">
        <f t="shared" si="252"/>
        <v>547.24176717199384</v>
      </c>
      <c r="AW639" s="19"/>
    </row>
    <row r="640" spans="2:49" x14ac:dyDescent="0.25">
      <c r="B640" s="9" t="str">
        <f t="shared" si="235"/>
        <v>9 2026</v>
      </c>
      <c r="C640" s="88">
        <f t="shared" si="236"/>
        <v>46289</v>
      </c>
      <c r="D640" s="88">
        <f t="shared" si="265"/>
        <v>46290</v>
      </c>
      <c r="E640" s="89">
        <f t="shared" si="237"/>
        <v>1</v>
      </c>
      <c r="G640" s="11" t="s">
        <v>7</v>
      </c>
      <c r="H640" s="12">
        <f t="shared" si="261"/>
        <v>34250000</v>
      </c>
      <c r="I640" s="14">
        <f t="shared" si="261"/>
        <v>1.7500000000000002E-2</v>
      </c>
      <c r="J640" s="13">
        <f t="shared" si="238"/>
        <v>1664.9305555555557</v>
      </c>
      <c r="K640" s="13">
        <f t="shared" si="239"/>
        <v>355082.77777777886</v>
      </c>
      <c r="M640" s="11" t="s">
        <v>7</v>
      </c>
      <c r="N640" s="12">
        <f t="shared" si="266"/>
        <v>12000000</v>
      </c>
      <c r="O640" s="97">
        <f t="shared" si="266"/>
        <v>2.1698630136986304E-2</v>
      </c>
      <c r="P640" s="112">
        <f t="shared" si="240"/>
        <v>723.28767123287685</v>
      </c>
      <c r="Q640" s="13">
        <f t="shared" si="241"/>
        <v>193841.09589041161</v>
      </c>
      <c r="R640" s="13">
        <f t="shared" si="242"/>
        <v>139.95433789954348</v>
      </c>
      <c r="T640" s="11" t="str">
        <f t="shared" si="262"/>
        <v>SG</v>
      </c>
      <c r="U640" s="12">
        <f t="shared" si="262"/>
        <v>6010956.1600000001</v>
      </c>
      <c r="V640" s="97">
        <f t="shared" si="262"/>
        <v>2.1205479452054792E-2</v>
      </c>
      <c r="W640" s="13">
        <f t="shared" si="243"/>
        <v>354.0700203835616</v>
      </c>
      <c r="X640" s="13">
        <f t="shared" si="263"/>
        <v>94883.66647145155</v>
      </c>
      <c r="Y640" s="13">
        <f t="shared" si="244"/>
        <v>61.870762605783796</v>
      </c>
      <c r="AA640" s="11" t="s">
        <v>189</v>
      </c>
      <c r="AB640" s="98">
        <f t="shared" si="264"/>
        <v>15000000</v>
      </c>
      <c r="AC640" s="97">
        <f t="shared" si="264"/>
        <v>2.579E-2</v>
      </c>
      <c r="AD640" s="13">
        <f t="shared" si="245"/>
        <v>1074.5833333333333</v>
      </c>
      <c r="AE640" s="13">
        <f t="shared" si="246"/>
        <v>287988.33333333378</v>
      </c>
      <c r="AF640" s="13">
        <f t="shared" si="247"/>
        <v>345.41666666666663</v>
      </c>
      <c r="AH640" s="235">
        <f>'CT- € Ellipsis BNP'!X640</f>
        <v>0</v>
      </c>
      <c r="AI640" s="236">
        <f>'CT- € Ellipsis BNP'!AA640</f>
        <v>0</v>
      </c>
      <c r="AJ640" s="90">
        <f>'CT- € Ellipsis BNP'!W640</f>
        <v>0</v>
      </c>
      <c r="AK640" s="91">
        <f>'CT- € Ellipsis BNP'!AC640</f>
        <v>0</v>
      </c>
      <c r="AM640" s="235">
        <f>'codeis €'!Z640</f>
        <v>0</v>
      </c>
      <c r="AN640" s="236">
        <f>'codeis €'!AF640</f>
        <v>0</v>
      </c>
      <c r="AO640" s="90">
        <f>'codeis €'!AC640</f>
        <v>0</v>
      </c>
      <c r="AP640" s="91">
        <f>'codeis €'!AI640</f>
        <v>0</v>
      </c>
      <c r="AR640" s="12">
        <f t="shared" si="248"/>
        <v>67260956.159999996</v>
      </c>
      <c r="AS640" s="118">
        <f t="shared" si="249"/>
        <v>0.02</v>
      </c>
      <c r="AT640" s="118">
        <f t="shared" si="250"/>
        <v>2.0428995474183843E-2</v>
      </c>
      <c r="AU640" s="12">
        <f t="shared" si="251"/>
        <v>3816.871580505328</v>
      </c>
      <c r="AV640" s="12">
        <f t="shared" si="252"/>
        <v>547.24176717199384</v>
      </c>
      <c r="AW640" s="19"/>
    </row>
    <row r="641" spans="2:49" x14ac:dyDescent="0.25">
      <c r="B641" s="9" t="str">
        <f t="shared" si="235"/>
        <v>9 2026</v>
      </c>
      <c r="C641" s="88">
        <f t="shared" si="236"/>
        <v>46290</v>
      </c>
      <c r="D641" s="88">
        <f t="shared" si="265"/>
        <v>46291</v>
      </c>
      <c r="E641" s="89">
        <f t="shared" si="237"/>
        <v>1</v>
      </c>
      <c r="G641" s="11" t="s">
        <v>7</v>
      </c>
      <c r="H641" s="12">
        <f t="shared" si="261"/>
        <v>34250000</v>
      </c>
      <c r="I641" s="14">
        <f t="shared" si="261"/>
        <v>1.7500000000000002E-2</v>
      </c>
      <c r="J641" s="13">
        <f t="shared" si="238"/>
        <v>1664.9305555555557</v>
      </c>
      <c r="K641" s="13">
        <f t="shared" si="239"/>
        <v>356747.70833333442</v>
      </c>
      <c r="M641" s="11" t="s">
        <v>7</v>
      </c>
      <c r="N641" s="12">
        <f t="shared" si="266"/>
        <v>12000000</v>
      </c>
      <c r="O641" s="97">
        <f t="shared" si="266"/>
        <v>2.1698630136986304E-2</v>
      </c>
      <c r="P641" s="112">
        <f t="shared" si="240"/>
        <v>723.28767123287685</v>
      </c>
      <c r="Q641" s="13">
        <f t="shared" si="241"/>
        <v>194564.3835616445</v>
      </c>
      <c r="R641" s="13">
        <f t="shared" si="242"/>
        <v>139.95433789954348</v>
      </c>
      <c r="T641" s="11" t="str">
        <f t="shared" si="262"/>
        <v>SG</v>
      </c>
      <c r="U641" s="12">
        <f t="shared" si="262"/>
        <v>6010956.1600000001</v>
      </c>
      <c r="V641" s="97">
        <f t="shared" si="262"/>
        <v>2.1205479452054792E-2</v>
      </c>
      <c r="W641" s="13">
        <f t="shared" si="243"/>
        <v>354.0700203835616</v>
      </c>
      <c r="X641" s="13">
        <f t="shared" si="263"/>
        <v>95237.736491835109</v>
      </c>
      <c r="Y641" s="13">
        <f t="shared" si="244"/>
        <v>61.870762605783796</v>
      </c>
      <c r="AA641" s="11" t="s">
        <v>189</v>
      </c>
      <c r="AB641" s="98">
        <f t="shared" si="264"/>
        <v>15000000</v>
      </c>
      <c r="AC641" s="97">
        <f t="shared" si="264"/>
        <v>2.579E-2</v>
      </c>
      <c r="AD641" s="13">
        <f t="shared" si="245"/>
        <v>1074.5833333333333</v>
      </c>
      <c r="AE641" s="13">
        <f t="shared" si="246"/>
        <v>289062.91666666709</v>
      </c>
      <c r="AF641" s="13">
        <f t="shared" si="247"/>
        <v>345.41666666666663</v>
      </c>
      <c r="AH641" s="235">
        <f>'CT- € Ellipsis BNP'!X641</f>
        <v>0</v>
      </c>
      <c r="AI641" s="236">
        <f>'CT- € Ellipsis BNP'!AA641</f>
        <v>0</v>
      </c>
      <c r="AJ641" s="90">
        <f>'CT- € Ellipsis BNP'!W641</f>
        <v>0</v>
      </c>
      <c r="AK641" s="91">
        <f>'CT- € Ellipsis BNP'!AC641</f>
        <v>0</v>
      </c>
      <c r="AM641" s="235">
        <f>'codeis €'!Z641</f>
        <v>0</v>
      </c>
      <c r="AN641" s="236">
        <f>'codeis €'!AF641</f>
        <v>0</v>
      </c>
      <c r="AO641" s="90">
        <f>'codeis €'!AC641</f>
        <v>0</v>
      </c>
      <c r="AP641" s="91">
        <f>'codeis €'!AI641</f>
        <v>0</v>
      </c>
      <c r="AR641" s="12">
        <f t="shared" si="248"/>
        <v>67260956.159999996</v>
      </c>
      <c r="AS641" s="118">
        <f t="shared" si="249"/>
        <v>0.02</v>
      </c>
      <c r="AT641" s="118">
        <f t="shared" si="250"/>
        <v>2.0428995474183843E-2</v>
      </c>
      <c r="AU641" s="12">
        <f t="shared" si="251"/>
        <v>3816.871580505328</v>
      </c>
      <c r="AV641" s="12">
        <f t="shared" si="252"/>
        <v>547.24176717199384</v>
      </c>
      <c r="AW641" s="19"/>
    </row>
    <row r="642" spans="2:49" x14ac:dyDescent="0.25">
      <c r="B642" s="9" t="str">
        <f t="shared" si="235"/>
        <v>9 2026</v>
      </c>
      <c r="C642" s="88">
        <f t="shared" si="236"/>
        <v>46291</v>
      </c>
      <c r="D642" s="88">
        <f t="shared" si="265"/>
        <v>46292</v>
      </c>
      <c r="E642" s="89">
        <f t="shared" si="237"/>
        <v>1</v>
      </c>
      <c r="G642" s="11" t="s">
        <v>7</v>
      </c>
      <c r="H642" s="12">
        <f t="shared" si="261"/>
        <v>34250000</v>
      </c>
      <c r="I642" s="14">
        <f t="shared" si="261"/>
        <v>1.7500000000000002E-2</v>
      </c>
      <c r="J642" s="13">
        <f t="shared" si="238"/>
        <v>1664.9305555555557</v>
      </c>
      <c r="K642" s="13">
        <f t="shared" si="239"/>
        <v>358412.63888888998</v>
      </c>
      <c r="M642" s="11" t="s">
        <v>7</v>
      </c>
      <c r="N642" s="12">
        <f t="shared" si="266"/>
        <v>12000000</v>
      </c>
      <c r="O642" s="97">
        <f t="shared" si="266"/>
        <v>2.1698630136986304E-2</v>
      </c>
      <c r="P642" s="112">
        <f t="shared" si="240"/>
        <v>723.28767123287685</v>
      </c>
      <c r="Q642" s="13">
        <f t="shared" si="241"/>
        <v>195287.67123287739</v>
      </c>
      <c r="R642" s="13">
        <f t="shared" si="242"/>
        <v>139.95433789954348</v>
      </c>
      <c r="T642" s="11" t="str">
        <f t="shared" si="262"/>
        <v>SG</v>
      </c>
      <c r="U642" s="12">
        <f t="shared" si="262"/>
        <v>6010956.1600000001</v>
      </c>
      <c r="V642" s="97">
        <f t="shared" si="262"/>
        <v>2.1205479452054792E-2</v>
      </c>
      <c r="W642" s="13">
        <f t="shared" si="243"/>
        <v>354.0700203835616</v>
      </c>
      <c r="X642" s="13">
        <f t="shared" si="263"/>
        <v>95591.806512218667</v>
      </c>
      <c r="Y642" s="13">
        <f t="shared" si="244"/>
        <v>61.870762605783796</v>
      </c>
      <c r="AA642" s="11" t="s">
        <v>189</v>
      </c>
      <c r="AB642" s="98">
        <f t="shared" si="264"/>
        <v>15000000</v>
      </c>
      <c r="AC642" s="97">
        <f t="shared" si="264"/>
        <v>2.579E-2</v>
      </c>
      <c r="AD642" s="13">
        <f t="shared" si="245"/>
        <v>1074.5833333333333</v>
      </c>
      <c r="AE642" s="13">
        <f t="shared" si="246"/>
        <v>290137.50000000041</v>
      </c>
      <c r="AF642" s="13">
        <f t="shared" si="247"/>
        <v>345.41666666666663</v>
      </c>
      <c r="AH642" s="235">
        <f>'CT- € Ellipsis BNP'!X642</f>
        <v>0</v>
      </c>
      <c r="AI642" s="236">
        <f>'CT- € Ellipsis BNP'!AA642</f>
        <v>0</v>
      </c>
      <c r="AJ642" s="90">
        <f>'CT- € Ellipsis BNP'!W642</f>
        <v>0</v>
      </c>
      <c r="AK642" s="91">
        <f>'CT- € Ellipsis BNP'!AC642</f>
        <v>0</v>
      </c>
      <c r="AM642" s="235">
        <f>'codeis €'!Z642</f>
        <v>0</v>
      </c>
      <c r="AN642" s="236">
        <f>'codeis €'!AF642</f>
        <v>0</v>
      </c>
      <c r="AO642" s="90">
        <f>'codeis €'!AC642</f>
        <v>0</v>
      </c>
      <c r="AP642" s="91">
        <f>'codeis €'!AI642</f>
        <v>0</v>
      </c>
      <c r="AR642" s="12">
        <f t="shared" si="248"/>
        <v>67260956.159999996</v>
      </c>
      <c r="AS642" s="118">
        <f t="shared" si="249"/>
        <v>0.02</v>
      </c>
      <c r="AT642" s="118">
        <f t="shared" si="250"/>
        <v>2.0428995474183843E-2</v>
      </c>
      <c r="AU642" s="12">
        <f t="shared" si="251"/>
        <v>3816.871580505328</v>
      </c>
      <c r="AV642" s="12">
        <f t="shared" si="252"/>
        <v>547.24176717199384</v>
      </c>
      <c r="AW642" s="19"/>
    </row>
    <row r="643" spans="2:49" x14ac:dyDescent="0.25">
      <c r="B643" s="9" t="str">
        <f t="shared" si="235"/>
        <v>9 2026</v>
      </c>
      <c r="C643" s="88">
        <f t="shared" si="236"/>
        <v>46292</v>
      </c>
      <c r="D643" s="88">
        <f t="shared" si="265"/>
        <v>46293</v>
      </c>
      <c r="E643" s="89">
        <f t="shared" si="237"/>
        <v>1</v>
      </c>
      <c r="G643" s="11" t="s">
        <v>7</v>
      </c>
      <c r="H643" s="12">
        <f t="shared" si="261"/>
        <v>34250000</v>
      </c>
      <c r="I643" s="14">
        <f t="shared" si="261"/>
        <v>1.7500000000000002E-2</v>
      </c>
      <c r="J643" s="13">
        <f t="shared" si="238"/>
        <v>1664.9305555555557</v>
      </c>
      <c r="K643" s="13">
        <f t="shared" si="239"/>
        <v>360077.56944444554</v>
      </c>
      <c r="M643" s="11" t="s">
        <v>7</v>
      </c>
      <c r="N643" s="12">
        <f t="shared" si="266"/>
        <v>12000000</v>
      </c>
      <c r="O643" s="97">
        <f t="shared" si="266"/>
        <v>2.1698630136986304E-2</v>
      </c>
      <c r="P643" s="112">
        <f t="shared" si="240"/>
        <v>723.28767123287685</v>
      </c>
      <c r="Q643" s="13">
        <f t="shared" si="241"/>
        <v>196010.95890411027</v>
      </c>
      <c r="R643" s="13">
        <f t="shared" si="242"/>
        <v>139.95433789954348</v>
      </c>
      <c r="T643" s="11" t="str">
        <f t="shared" si="262"/>
        <v>SG</v>
      </c>
      <c r="U643" s="12">
        <f t="shared" si="262"/>
        <v>6010956.1600000001</v>
      </c>
      <c r="V643" s="97">
        <f t="shared" si="262"/>
        <v>2.1205479452054792E-2</v>
      </c>
      <c r="W643" s="13">
        <f t="shared" si="243"/>
        <v>354.0700203835616</v>
      </c>
      <c r="X643" s="13">
        <f t="shared" si="263"/>
        <v>95945.876532602226</v>
      </c>
      <c r="Y643" s="13">
        <f t="shared" si="244"/>
        <v>61.870762605783796</v>
      </c>
      <c r="AA643" s="11" t="s">
        <v>189</v>
      </c>
      <c r="AB643" s="98">
        <f t="shared" si="264"/>
        <v>15000000</v>
      </c>
      <c r="AC643" s="97">
        <f t="shared" si="264"/>
        <v>2.579E-2</v>
      </c>
      <c r="AD643" s="13">
        <f t="shared" si="245"/>
        <v>1074.5833333333333</v>
      </c>
      <c r="AE643" s="13">
        <f t="shared" si="246"/>
        <v>291212.08333333372</v>
      </c>
      <c r="AF643" s="13">
        <f t="shared" si="247"/>
        <v>345.41666666666663</v>
      </c>
      <c r="AH643" s="235">
        <f>'CT- € Ellipsis BNP'!X643</f>
        <v>0</v>
      </c>
      <c r="AI643" s="236">
        <f>'CT- € Ellipsis BNP'!AA643</f>
        <v>0</v>
      </c>
      <c r="AJ643" s="90">
        <f>'CT- € Ellipsis BNP'!W643</f>
        <v>0</v>
      </c>
      <c r="AK643" s="91">
        <f>'CT- € Ellipsis BNP'!AC643</f>
        <v>0</v>
      </c>
      <c r="AM643" s="235">
        <f>'codeis €'!Z643</f>
        <v>0</v>
      </c>
      <c r="AN643" s="236">
        <f>'codeis €'!AF643</f>
        <v>0</v>
      </c>
      <c r="AO643" s="90">
        <f>'codeis €'!AC643</f>
        <v>0</v>
      </c>
      <c r="AP643" s="91">
        <f>'codeis €'!AI643</f>
        <v>0</v>
      </c>
      <c r="AR643" s="12">
        <f t="shared" si="248"/>
        <v>67260956.159999996</v>
      </c>
      <c r="AS643" s="118">
        <f t="shared" si="249"/>
        <v>0.02</v>
      </c>
      <c r="AT643" s="118">
        <f t="shared" si="250"/>
        <v>2.0428995474183843E-2</v>
      </c>
      <c r="AU643" s="12">
        <f t="shared" si="251"/>
        <v>3816.871580505328</v>
      </c>
      <c r="AV643" s="12">
        <f t="shared" si="252"/>
        <v>547.24176717199384</v>
      </c>
      <c r="AW643" s="19"/>
    </row>
    <row r="644" spans="2:49" x14ac:dyDescent="0.25">
      <c r="B644" s="9" t="str">
        <f t="shared" si="235"/>
        <v>9 2026</v>
      </c>
      <c r="C644" s="88">
        <f t="shared" si="236"/>
        <v>46293</v>
      </c>
      <c r="D644" s="88">
        <f t="shared" si="265"/>
        <v>46294</v>
      </c>
      <c r="E644" s="89">
        <f t="shared" si="237"/>
        <v>1</v>
      </c>
      <c r="G644" s="11" t="s">
        <v>7</v>
      </c>
      <c r="H644" s="12">
        <f t="shared" si="261"/>
        <v>34250000</v>
      </c>
      <c r="I644" s="14">
        <f t="shared" si="261"/>
        <v>1.7500000000000002E-2</v>
      </c>
      <c r="J644" s="13">
        <f t="shared" si="238"/>
        <v>1664.9305555555557</v>
      </c>
      <c r="K644" s="13">
        <f t="shared" si="239"/>
        <v>361742.50000000111</v>
      </c>
      <c r="M644" s="11" t="s">
        <v>7</v>
      </c>
      <c r="N644" s="12">
        <f t="shared" si="266"/>
        <v>12000000</v>
      </c>
      <c r="O644" s="97">
        <f t="shared" si="266"/>
        <v>2.1698630136986304E-2</v>
      </c>
      <c r="P644" s="112">
        <f t="shared" si="240"/>
        <v>723.28767123287685</v>
      </c>
      <c r="Q644" s="13">
        <f t="shared" si="241"/>
        <v>196734.24657534316</v>
      </c>
      <c r="R644" s="13">
        <f t="shared" si="242"/>
        <v>139.95433789954348</v>
      </c>
      <c r="T644" s="11" t="str">
        <f t="shared" si="262"/>
        <v>SG</v>
      </c>
      <c r="U644" s="12">
        <f t="shared" si="262"/>
        <v>6010956.1600000001</v>
      </c>
      <c r="V644" s="97">
        <f t="shared" si="262"/>
        <v>2.1205479452054792E-2</v>
      </c>
      <c r="W644" s="13">
        <f t="shared" si="243"/>
        <v>354.0700203835616</v>
      </c>
      <c r="X644" s="13">
        <f t="shared" si="263"/>
        <v>96299.946552985784</v>
      </c>
      <c r="Y644" s="13">
        <f t="shared" si="244"/>
        <v>61.870762605783796</v>
      </c>
      <c r="AA644" s="11" t="s">
        <v>189</v>
      </c>
      <c r="AB644" s="98">
        <f t="shared" si="264"/>
        <v>15000000</v>
      </c>
      <c r="AC644" s="97">
        <f t="shared" si="264"/>
        <v>2.579E-2</v>
      </c>
      <c r="AD644" s="13">
        <f t="shared" si="245"/>
        <v>1074.5833333333333</v>
      </c>
      <c r="AE644" s="13">
        <f t="shared" si="246"/>
        <v>292286.66666666704</v>
      </c>
      <c r="AF644" s="13">
        <f t="shared" si="247"/>
        <v>345.41666666666663</v>
      </c>
      <c r="AH644" s="235">
        <f>'CT- € Ellipsis BNP'!X644</f>
        <v>0</v>
      </c>
      <c r="AI644" s="236">
        <f>'CT- € Ellipsis BNP'!AA644</f>
        <v>0</v>
      </c>
      <c r="AJ644" s="90">
        <f>'CT- € Ellipsis BNP'!W644</f>
        <v>0</v>
      </c>
      <c r="AK644" s="91">
        <f>'CT- € Ellipsis BNP'!AC644</f>
        <v>0</v>
      </c>
      <c r="AM644" s="235">
        <f>'codeis €'!Z644</f>
        <v>0</v>
      </c>
      <c r="AN644" s="236">
        <f>'codeis €'!AF644</f>
        <v>0</v>
      </c>
      <c r="AO644" s="90">
        <f>'codeis €'!AC644</f>
        <v>0</v>
      </c>
      <c r="AP644" s="91">
        <f>'codeis €'!AI644</f>
        <v>0</v>
      </c>
      <c r="AR644" s="12">
        <f t="shared" si="248"/>
        <v>67260956.159999996</v>
      </c>
      <c r="AS644" s="118">
        <f t="shared" si="249"/>
        <v>0.02</v>
      </c>
      <c r="AT644" s="118">
        <f t="shared" si="250"/>
        <v>2.0428995474183843E-2</v>
      </c>
      <c r="AU644" s="12">
        <f t="shared" si="251"/>
        <v>3816.871580505328</v>
      </c>
      <c r="AV644" s="12">
        <f t="shared" si="252"/>
        <v>547.24176717199384</v>
      </c>
      <c r="AW644" s="19"/>
    </row>
    <row r="645" spans="2:49" x14ac:dyDescent="0.25">
      <c r="B645" s="9" t="str">
        <f t="shared" si="235"/>
        <v>9 2026</v>
      </c>
      <c r="C645" s="88">
        <f t="shared" si="236"/>
        <v>46294</v>
      </c>
      <c r="D645" s="88">
        <f t="shared" si="265"/>
        <v>46295</v>
      </c>
      <c r="E645" s="89">
        <f t="shared" si="237"/>
        <v>1</v>
      </c>
      <c r="G645" s="11" t="s">
        <v>7</v>
      </c>
      <c r="H645" s="12">
        <f t="shared" si="261"/>
        <v>34250000</v>
      </c>
      <c r="I645" s="14">
        <f t="shared" si="261"/>
        <v>1.7500000000000002E-2</v>
      </c>
      <c r="J645" s="13">
        <f t="shared" si="238"/>
        <v>1664.9305555555557</v>
      </c>
      <c r="K645" s="13">
        <f t="shared" si="239"/>
        <v>363407.43055555667</v>
      </c>
      <c r="M645" s="11" t="s">
        <v>7</v>
      </c>
      <c r="N645" s="12">
        <f t="shared" si="266"/>
        <v>12000000</v>
      </c>
      <c r="O645" s="97">
        <f t="shared" si="266"/>
        <v>2.1698630136986304E-2</v>
      </c>
      <c r="P645" s="112">
        <f t="shared" si="240"/>
        <v>723.28767123287685</v>
      </c>
      <c r="Q645" s="13">
        <f t="shared" si="241"/>
        <v>197457.53424657605</v>
      </c>
      <c r="R645" s="13">
        <f t="shared" si="242"/>
        <v>139.95433789954348</v>
      </c>
      <c r="T645" s="11" t="str">
        <f t="shared" si="262"/>
        <v>SG</v>
      </c>
      <c r="U645" s="12">
        <f t="shared" si="262"/>
        <v>6010956.1600000001</v>
      </c>
      <c r="V645" s="97">
        <f t="shared" si="262"/>
        <v>2.1205479452054792E-2</v>
      </c>
      <c r="W645" s="13">
        <f t="shared" si="243"/>
        <v>354.0700203835616</v>
      </c>
      <c r="X645" s="13">
        <f t="shared" si="263"/>
        <v>96654.016573369343</v>
      </c>
      <c r="Y645" s="13">
        <f t="shared" si="244"/>
        <v>61.870762605783796</v>
      </c>
      <c r="AA645" s="11" t="s">
        <v>189</v>
      </c>
      <c r="AB645" s="98">
        <f t="shared" si="264"/>
        <v>15000000</v>
      </c>
      <c r="AC645" s="97">
        <f t="shared" si="264"/>
        <v>2.579E-2</v>
      </c>
      <c r="AD645" s="13">
        <f t="shared" si="245"/>
        <v>1074.5833333333333</v>
      </c>
      <c r="AE645" s="13">
        <f t="shared" si="246"/>
        <v>293361.25000000035</v>
      </c>
      <c r="AF645" s="13">
        <f t="shared" si="247"/>
        <v>345.41666666666663</v>
      </c>
      <c r="AH645" s="235">
        <f>'CT- € Ellipsis BNP'!X645</f>
        <v>0</v>
      </c>
      <c r="AI645" s="236">
        <f>'CT- € Ellipsis BNP'!AA645</f>
        <v>0</v>
      </c>
      <c r="AJ645" s="90">
        <f>'CT- € Ellipsis BNP'!W645</f>
        <v>0</v>
      </c>
      <c r="AK645" s="91">
        <f>'CT- € Ellipsis BNP'!AC645</f>
        <v>0</v>
      </c>
      <c r="AM645" s="235">
        <f>'codeis €'!Z645</f>
        <v>0</v>
      </c>
      <c r="AN645" s="236">
        <f>'codeis €'!AF645</f>
        <v>0</v>
      </c>
      <c r="AO645" s="90">
        <f>'codeis €'!AC645</f>
        <v>0</v>
      </c>
      <c r="AP645" s="91">
        <f>'codeis €'!AI645</f>
        <v>0</v>
      </c>
      <c r="AR645" s="12">
        <f t="shared" si="248"/>
        <v>67260956.159999996</v>
      </c>
      <c r="AS645" s="118">
        <f t="shared" si="249"/>
        <v>0.02</v>
      </c>
      <c r="AT645" s="118">
        <f t="shared" si="250"/>
        <v>2.0428995474183843E-2</v>
      </c>
      <c r="AU645" s="12">
        <f t="shared" si="251"/>
        <v>3816.871580505328</v>
      </c>
      <c r="AV645" s="12">
        <f t="shared" si="252"/>
        <v>547.24176717199384</v>
      </c>
      <c r="AW645" s="19"/>
    </row>
    <row r="646" spans="2:49" x14ac:dyDescent="0.25">
      <c r="B646" s="9" t="str">
        <f t="shared" si="235"/>
        <v>10 2026</v>
      </c>
      <c r="C646" s="88">
        <f t="shared" si="236"/>
        <v>46295</v>
      </c>
      <c r="D646" s="88">
        <f t="shared" si="265"/>
        <v>46296</v>
      </c>
      <c r="E646" s="89">
        <f t="shared" si="237"/>
        <v>1</v>
      </c>
      <c r="G646" s="11" t="s">
        <v>7</v>
      </c>
      <c r="H646" s="12">
        <f t="shared" si="261"/>
        <v>34250000</v>
      </c>
      <c r="I646" s="14">
        <f t="shared" si="261"/>
        <v>1.7500000000000002E-2</v>
      </c>
      <c r="J646" s="13">
        <f t="shared" si="238"/>
        <v>1664.9305555555557</v>
      </c>
      <c r="K646" s="13">
        <f t="shared" si="239"/>
        <v>365072.36111111223</v>
      </c>
      <c r="M646" s="11" t="s">
        <v>7</v>
      </c>
      <c r="N646" s="12">
        <f t="shared" si="266"/>
        <v>12000000</v>
      </c>
      <c r="O646" s="97">
        <f t="shared" si="266"/>
        <v>2.1698630136986304E-2</v>
      </c>
      <c r="P646" s="112">
        <f t="shared" si="240"/>
        <v>723.28767123287685</v>
      </c>
      <c r="Q646" s="13">
        <f t="shared" si="241"/>
        <v>198180.82191780893</v>
      </c>
      <c r="R646" s="13">
        <f t="shared" si="242"/>
        <v>139.95433789954348</v>
      </c>
      <c r="T646" s="11" t="str">
        <f t="shared" si="262"/>
        <v>SG</v>
      </c>
      <c r="U646" s="12">
        <f t="shared" si="262"/>
        <v>6010956.1600000001</v>
      </c>
      <c r="V646" s="97">
        <f t="shared" si="262"/>
        <v>2.1205479452054792E-2</v>
      </c>
      <c r="W646" s="13">
        <f t="shared" si="243"/>
        <v>354.0700203835616</v>
      </c>
      <c r="X646" s="13">
        <f t="shared" si="263"/>
        <v>97008.086593752902</v>
      </c>
      <c r="Y646" s="13">
        <f t="shared" si="244"/>
        <v>61.870762605783796</v>
      </c>
      <c r="AA646" s="11" t="s">
        <v>189</v>
      </c>
      <c r="AB646" s="98">
        <f t="shared" si="264"/>
        <v>15000000</v>
      </c>
      <c r="AC646" s="97">
        <f t="shared" si="264"/>
        <v>2.579E-2</v>
      </c>
      <c r="AD646" s="13">
        <f t="shared" si="245"/>
        <v>1074.5833333333333</v>
      </c>
      <c r="AE646" s="13">
        <f t="shared" si="246"/>
        <v>294435.83333333366</v>
      </c>
      <c r="AF646" s="13">
        <f t="shared" si="247"/>
        <v>345.41666666666663</v>
      </c>
      <c r="AH646" s="235">
        <f>'CT- € Ellipsis BNP'!X646</f>
        <v>0</v>
      </c>
      <c r="AI646" s="236">
        <f>'CT- € Ellipsis BNP'!AA646</f>
        <v>0</v>
      </c>
      <c r="AJ646" s="90">
        <f>'CT- € Ellipsis BNP'!W646</f>
        <v>0</v>
      </c>
      <c r="AK646" s="91">
        <f>'CT- € Ellipsis BNP'!AC646</f>
        <v>0</v>
      </c>
      <c r="AM646" s="235">
        <f>'codeis €'!Z646</f>
        <v>0</v>
      </c>
      <c r="AN646" s="236">
        <f>'codeis €'!AF646</f>
        <v>0</v>
      </c>
      <c r="AO646" s="90">
        <f>'codeis €'!AC646</f>
        <v>0</v>
      </c>
      <c r="AP646" s="91">
        <f>'codeis €'!AI646</f>
        <v>0</v>
      </c>
      <c r="AR646" s="12">
        <f t="shared" si="248"/>
        <v>67260956.159999996</v>
      </c>
      <c r="AS646" s="118">
        <f t="shared" si="249"/>
        <v>0.02</v>
      </c>
      <c r="AT646" s="118">
        <f t="shared" si="250"/>
        <v>2.0428995474183843E-2</v>
      </c>
      <c r="AU646" s="12">
        <f t="shared" si="251"/>
        <v>3816.871580505328</v>
      </c>
      <c r="AV646" s="12">
        <f t="shared" si="252"/>
        <v>547.24176717199384</v>
      </c>
      <c r="AW646" s="19"/>
    </row>
    <row r="647" spans="2:49" x14ac:dyDescent="0.25">
      <c r="B647" s="9" t="str">
        <f t="shared" si="235"/>
        <v>10 2026</v>
      </c>
      <c r="C647" s="88">
        <f t="shared" si="236"/>
        <v>46296</v>
      </c>
      <c r="D647" s="88">
        <f t="shared" si="265"/>
        <v>46297</v>
      </c>
      <c r="E647" s="89">
        <f t="shared" si="237"/>
        <v>1</v>
      </c>
      <c r="G647" s="11" t="s">
        <v>7</v>
      </c>
      <c r="H647" s="12">
        <f t="shared" ref="H647:I662" si="267">H646</f>
        <v>34250000</v>
      </c>
      <c r="I647" s="14">
        <f t="shared" si="267"/>
        <v>1.7500000000000002E-2</v>
      </c>
      <c r="J647" s="13">
        <f t="shared" si="238"/>
        <v>1664.9305555555557</v>
      </c>
      <c r="K647" s="13">
        <f t="shared" si="239"/>
        <v>366737.29166666779</v>
      </c>
      <c r="M647" s="11" t="s">
        <v>7</v>
      </c>
      <c r="N647" s="12">
        <f t="shared" si="266"/>
        <v>12000000</v>
      </c>
      <c r="O647" s="97">
        <f t="shared" si="266"/>
        <v>2.1698630136986304E-2</v>
      </c>
      <c r="P647" s="112">
        <f t="shared" si="240"/>
        <v>723.28767123287685</v>
      </c>
      <c r="Q647" s="13">
        <f t="shared" si="241"/>
        <v>198904.10958904182</v>
      </c>
      <c r="R647" s="13">
        <f t="shared" si="242"/>
        <v>139.95433789954348</v>
      </c>
      <c r="T647" s="11" t="str">
        <f t="shared" ref="T647:V662" si="268">T646</f>
        <v>SG</v>
      </c>
      <c r="U647" s="12">
        <f t="shared" si="268"/>
        <v>6010956.1600000001</v>
      </c>
      <c r="V647" s="97">
        <f t="shared" si="268"/>
        <v>2.1205479452054792E-2</v>
      </c>
      <c r="W647" s="13">
        <f t="shared" si="243"/>
        <v>354.0700203835616</v>
      </c>
      <c r="X647" s="13">
        <f t="shared" si="263"/>
        <v>97362.15661413646</v>
      </c>
      <c r="Y647" s="13">
        <f t="shared" si="244"/>
        <v>61.870762605783796</v>
      </c>
      <c r="AA647" s="11" t="s">
        <v>189</v>
      </c>
      <c r="AB647" s="98">
        <f t="shared" ref="AB647:AC662" si="269">AB646</f>
        <v>15000000</v>
      </c>
      <c r="AC647" s="97">
        <f t="shared" si="269"/>
        <v>2.579E-2</v>
      </c>
      <c r="AD647" s="13">
        <f t="shared" si="245"/>
        <v>1074.5833333333333</v>
      </c>
      <c r="AE647" s="13">
        <f t="shared" si="246"/>
        <v>295510.41666666698</v>
      </c>
      <c r="AF647" s="13">
        <f t="shared" si="247"/>
        <v>345.41666666666663</v>
      </c>
      <c r="AH647" s="235">
        <f>'CT- € Ellipsis BNP'!X647</f>
        <v>0</v>
      </c>
      <c r="AI647" s="236">
        <f>'CT- € Ellipsis BNP'!AA647</f>
        <v>0</v>
      </c>
      <c r="AJ647" s="90">
        <f>'CT- € Ellipsis BNP'!W647</f>
        <v>0</v>
      </c>
      <c r="AK647" s="91">
        <f>'CT- € Ellipsis BNP'!AC647</f>
        <v>0</v>
      </c>
      <c r="AM647" s="235">
        <f>'codeis €'!Z647</f>
        <v>0</v>
      </c>
      <c r="AN647" s="236">
        <f>'codeis €'!AF647</f>
        <v>0</v>
      </c>
      <c r="AO647" s="90">
        <f>'codeis €'!AC647</f>
        <v>0</v>
      </c>
      <c r="AP647" s="91">
        <f>'codeis €'!AI647</f>
        <v>0</v>
      </c>
      <c r="AR647" s="12">
        <f t="shared" si="248"/>
        <v>67260956.159999996</v>
      </c>
      <c r="AS647" s="118">
        <f t="shared" si="249"/>
        <v>0.02</v>
      </c>
      <c r="AT647" s="118">
        <f t="shared" si="250"/>
        <v>2.0428995474183843E-2</v>
      </c>
      <c r="AU647" s="12">
        <f t="shared" si="251"/>
        <v>3816.871580505328</v>
      </c>
      <c r="AV647" s="12">
        <f t="shared" si="252"/>
        <v>547.24176717199384</v>
      </c>
      <c r="AW647" s="19"/>
    </row>
    <row r="648" spans="2:49" x14ac:dyDescent="0.25">
      <c r="B648" s="9" t="str">
        <f t="shared" si="235"/>
        <v>10 2026</v>
      </c>
      <c r="C648" s="88">
        <f t="shared" si="236"/>
        <v>46297</v>
      </c>
      <c r="D648" s="88">
        <f t="shared" si="265"/>
        <v>46298</v>
      </c>
      <c r="E648" s="89">
        <f t="shared" si="237"/>
        <v>1</v>
      </c>
      <c r="G648" s="11" t="s">
        <v>7</v>
      </c>
      <c r="H648" s="12">
        <f t="shared" si="267"/>
        <v>34250000</v>
      </c>
      <c r="I648" s="14">
        <f t="shared" si="267"/>
        <v>1.7500000000000002E-2</v>
      </c>
      <c r="J648" s="13">
        <f t="shared" si="238"/>
        <v>1664.9305555555557</v>
      </c>
      <c r="K648" s="13">
        <f t="shared" si="239"/>
        <v>368402.22222222335</v>
      </c>
      <c r="M648" s="11" t="s">
        <v>7</v>
      </c>
      <c r="N648" s="12">
        <f t="shared" ref="N648:O663" si="270">N647</f>
        <v>12000000</v>
      </c>
      <c r="O648" s="97">
        <f t="shared" si="270"/>
        <v>2.1698630136986304E-2</v>
      </c>
      <c r="P648" s="112">
        <f t="shared" si="240"/>
        <v>723.28767123287685</v>
      </c>
      <c r="Q648" s="13">
        <f t="shared" si="241"/>
        <v>199627.39726027471</v>
      </c>
      <c r="R648" s="13">
        <f t="shared" si="242"/>
        <v>139.95433789954348</v>
      </c>
      <c r="T648" s="11" t="str">
        <f t="shared" si="268"/>
        <v>SG</v>
      </c>
      <c r="U648" s="12">
        <f t="shared" si="268"/>
        <v>6010956.1600000001</v>
      </c>
      <c r="V648" s="97">
        <f t="shared" si="268"/>
        <v>2.1205479452054792E-2</v>
      </c>
      <c r="W648" s="13">
        <f t="shared" si="243"/>
        <v>354.0700203835616</v>
      </c>
      <c r="X648" s="13">
        <f t="shared" si="263"/>
        <v>97716.226634520019</v>
      </c>
      <c r="Y648" s="13">
        <f t="shared" si="244"/>
        <v>61.870762605783796</v>
      </c>
      <c r="AA648" s="11" t="s">
        <v>189</v>
      </c>
      <c r="AB648" s="98">
        <f t="shared" si="269"/>
        <v>15000000</v>
      </c>
      <c r="AC648" s="97">
        <f t="shared" si="269"/>
        <v>2.579E-2</v>
      </c>
      <c r="AD648" s="13">
        <f t="shared" si="245"/>
        <v>1074.5833333333333</v>
      </c>
      <c r="AE648" s="13">
        <f t="shared" si="246"/>
        <v>296585.00000000029</v>
      </c>
      <c r="AF648" s="13">
        <f t="shared" si="247"/>
        <v>345.41666666666663</v>
      </c>
      <c r="AH648" s="235">
        <f>'CT- € Ellipsis BNP'!X648</f>
        <v>0</v>
      </c>
      <c r="AI648" s="236">
        <f>'CT- € Ellipsis BNP'!AA648</f>
        <v>0</v>
      </c>
      <c r="AJ648" s="90">
        <f>'CT- € Ellipsis BNP'!W648</f>
        <v>0</v>
      </c>
      <c r="AK648" s="91">
        <f>'CT- € Ellipsis BNP'!AC648</f>
        <v>0</v>
      </c>
      <c r="AM648" s="235">
        <f>'codeis €'!Z648</f>
        <v>0</v>
      </c>
      <c r="AN648" s="236">
        <f>'codeis €'!AF648</f>
        <v>0</v>
      </c>
      <c r="AO648" s="90">
        <f>'codeis €'!AC648</f>
        <v>0</v>
      </c>
      <c r="AP648" s="91">
        <f>'codeis €'!AI648</f>
        <v>0</v>
      </c>
      <c r="AR648" s="12">
        <f t="shared" si="248"/>
        <v>67260956.159999996</v>
      </c>
      <c r="AS648" s="118">
        <f t="shared" si="249"/>
        <v>0.02</v>
      </c>
      <c r="AT648" s="118">
        <f t="shared" si="250"/>
        <v>2.0428995474183843E-2</v>
      </c>
      <c r="AU648" s="12">
        <f t="shared" si="251"/>
        <v>3816.871580505328</v>
      </c>
      <c r="AV648" s="12">
        <f t="shared" si="252"/>
        <v>547.24176717199384</v>
      </c>
      <c r="AW648" s="19"/>
    </row>
    <row r="649" spans="2:49" x14ac:dyDescent="0.25">
      <c r="B649" s="9" t="str">
        <f t="shared" si="235"/>
        <v>10 2026</v>
      </c>
      <c r="C649" s="88">
        <f t="shared" si="236"/>
        <v>46298</v>
      </c>
      <c r="D649" s="88">
        <f t="shared" si="265"/>
        <v>46299</v>
      </c>
      <c r="E649" s="89">
        <f t="shared" si="237"/>
        <v>1</v>
      </c>
      <c r="G649" s="11" t="s">
        <v>7</v>
      </c>
      <c r="H649" s="12">
        <f t="shared" si="267"/>
        <v>34250000</v>
      </c>
      <c r="I649" s="14">
        <f t="shared" si="267"/>
        <v>1.7500000000000002E-2</v>
      </c>
      <c r="J649" s="13">
        <f t="shared" si="238"/>
        <v>1664.9305555555557</v>
      </c>
      <c r="K649" s="13">
        <f t="shared" si="239"/>
        <v>370067.15277777892</v>
      </c>
      <c r="M649" s="11" t="s">
        <v>7</v>
      </c>
      <c r="N649" s="12">
        <f t="shared" si="270"/>
        <v>12000000</v>
      </c>
      <c r="O649" s="97">
        <f t="shared" si="270"/>
        <v>2.1698630136986304E-2</v>
      </c>
      <c r="P649" s="112">
        <f t="shared" si="240"/>
        <v>723.28767123287685</v>
      </c>
      <c r="Q649" s="13">
        <f t="shared" si="241"/>
        <v>200350.6849315076</v>
      </c>
      <c r="R649" s="13">
        <f t="shared" si="242"/>
        <v>139.95433789954348</v>
      </c>
      <c r="T649" s="11" t="str">
        <f t="shared" si="268"/>
        <v>SG</v>
      </c>
      <c r="U649" s="12">
        <f t="shared" si="268"/>
        <v>6010956.1600000001</v>
      </c>
      <c r="V649" s="97">
        <f t="shared" si="268"/>
        <v>2.1205479452054792E-2</v>
      </c>
      <c r="W649" s="13">
        <f t="shared" si="243"/>
        <v>354.0700203835616</v>
      </c>
      <c r="X649" s="13">
        <f t="shared" si="263"/>
        <v>98070.296654903577</v>
      </c>
      <c r="Y649" s="13">
        <f t="shared" si="244"/>
        <v>61.870762605783796</v>
      </c>
      <c r="AA649" s="11" t="s">
        <v>189</v>
      </c>
      <c r="AB649" s="98">
        <f t="shared" si="269"/>
        <v>15000000</v>
      </c>
      <c r="AC649" s="97">
        <f t="shared" si="269"/>
        <v>2.579E-2</v>
      </c>
      <c r="AD649" s="13">
        <f t="shared" si="245"/>
        <v>1074.5833333333333</v>
      </c>
      <c r="AE649" s="13">
        <f t="shared" si="246"/>
        <v>297659.5833333336</v>
      </c>
      <c r="AF649" s="13">
        <f t="shared" si="247"/>
        <v>345.41666666666663</v>
      </c>
      <c r="AH649" s="235">
        <f>'CT- € Ellipsis BNP'!X649</f>
        <v>0</v>
      </c>
      <c r="AI649" s="236">
        <f>'CT- € Ellipsis BNP'!AA649</f>
        <v>0</v>
      </c>
      <c r="AJ649" s="90">
        <f>'CT- € Ellipsis BNP'!W649</f>
        <v>0</v>
      </c>
      <c r="AK649" s="91">
        <f>'CT- € Ellipsis BNP'!AC649</f>
        <v>0</v>
      </c>
      <c r="AM649" s="235">
        <f>'codeis €'!Z649</f>
        <v>0</v>
      </c>
      <c r="AN649" s="236">
        <f>'codeis €'!AF649</f>
        <v>0</v>
      </c>
      <c r="AO649" s="90">
        <f>'codeis €'!AC649</f>
        <v>0</v>
      </c>
      <c r="AP649" s="91">
        <f>'codeis €'!AI649</f>
        <v>0</v>
      </c>
      <c r="AR649" s="12">
        <f t="shared" si="248"/>
        <v>67260956.159999996</v>
      </c>
      <c r="AS649" s="118">
        <f t="shared" si="249"/>
        <v>0.02</v>
      </c>
      <c r="AT649" s="118">
        <f t="shared" si="250"/>
        <v>2.0428995474183843E-2</v>
      </c>
      <c r="AU649" s="12">
        <f t="shared" si="251"/>
        <v>3816.871580505328</v>
      </c>
      <c r="AV649" s="12">
        <f t="shared" si="252"/>
        <v>547.24176717199384</v>
      </c>
      <c r="AW649" s="19"/>
    </row>
    <row r="650" spans="2:49" x14ac:dyDescent="0.25">
      <c r="B650" s="9" t="str">
        <f t="shared" si="235"/>
        <v>10 2026</v>
      </c>
      <c r="C650" s="88">
        <f t="shared" si="236"/>
        <v>46299</v>
      </c>
      <c r="D650" s="88">
        <f t="shared" si="265"/>
        <v>46300</v>
      </c>
      <c r="E650" s="89">
        <f t="shared" si="237"/>
        <v>1</v>
      </c>
      <c r="G650" s="11" t="s">
        <v>7</v>
      </c>
      <c r="H650" s="12">
        <f t="shared" si="267"/>
        <v>34250000</v>
      </c>
      <c r="I650" s="14">
        <f t="shared" si="267"/>
        <v>1.7500000000000002E-2</v>
      </c>
      <c r="J650" s="13">
        <f t="shared" si="238"/>
        <v>1664.9305555555557</v>
      </c>
      <c r="K650" s="13">
        <f t="shared" si="239"/>
        <v>371732.08333333448</v>
      </c>
      <c r="M650" s="11" t="s">
        <v>7</v>
      </c>
      <c r="N650" s="12">
        <f t="shared" si="270"/>
        <v>12000000</v>
      </c>
      <c r="O650" s="97">
        <f t="shared" si="270"/>
        <v>2.1698630136986304E-2</v>
      </c>
      <c r="P650" s="112">
        <f t="shared" si="240"/>
        <v>723.28767123287685</v>
      </c>
      <c r="Q650" s="13">
        <f t="shared" si="241"/>
        <v>201073.97260274048</v>
      </c>
      <c r="R650" s="13">
        <f t="shared" si="242"/>
        <v>139.95433789954348</v>
      </c>
      <c r="T650" s="11" t="str">
        <f t="shared" si="268"/>
        <v>SG</v>
      </c>
      <c r="U650" s="12">
        <f t="shared" si="268"/>
        <v>6010956.1600000001</v>
      </c>
      <c r="V650" s="97">
        <f t="shared" si="268"/>
        <v>2.1205479452054792E-2</v>
      </c>
      <c r="W650" s="13">
        <f t="shared" si="243"/>
        <v>354.0700203835616</v>
      </c>
      <c r="X650" s="13">
        <f t="shared" si="263"/>
        <v>98424.366675287136</v>
      </c>
      <c r="Y650" s="13">
        <f t="shared" si="244"/>
        <v>61.870762605783796</v>
      </c>
      <c r="AA650" s="11" t="s">
        <v>189</v>
      </c>
      <c r="AB650" s="98">
        <f t="shared" si="269"/>
        <v>15000000</v>
      </c>
      <c r="AC650" s="97">
        <f t="shared" si="269"/>
        <v>2.579E-2</v>
      </c>
      <c r="AD650" s="13">
        <f t="shared" si="245"/>
        <v>1074.5833333333333</v>
      </c>
      <c r="AE650" s="13">
        <f t="shared" si="246"/>
        <v>298734.16666666692</v>
      </c>
      <c r="AF650" s="13">
        <f t="shared" si="247"/>
        <v>345.41666666666663</v>
      </c>
      <c r="AH650" s="235">
        <f>'CT- € Ellipsis BNP'!X650</f>
        <v>0</v>
      </c>
      <c r="AI650" s="236">
        <f>'CT- € Ellipsis BNP'!AA650</f>
        <v>0</v>
      </c>
      <c r="AJ650" s="90">
        <f>'CT- € Ellipsis BNP'!W650</f>
        <v>0</v>
      </c>
      <c r="AK650" s="91">
        <f>'CT- € Ellipsis BNP'!AC650</f>
        <v>0</v>
      </c>
      <c r="AM650" s="235">
        <f>'codeis €'!Z650</f>
        <v>0</v>
      </c>
      <c r="AN650" s="236">
        <f>'codeis €'!AF650</f>
        <v>0</v>
      </c>
      <c r="AO650" s="90">
        <f>'codeis €'!AC650</f>
        <v>0</v>
      </c>
      <c r="AP650" s="91">
        <f>'codeis €'!AI650</f>
        <v>0</v>
      </c>
      <c r="AR650" s="12">
        <f t="shared" si="248"/>
        <v>67260956.159999996</v>
      </c>
      <c r="AS650" s="118">
        <f t="shared" si="249"/>
        <v>0.02</v>
      </c>
      <c r="AT650" s="118">
        <f t="shared" si="250"/>
        <v>2.0428995474183843E-2</v>
      </c>
      <c r="AU650" s="12">
        <f t="shared" si="251"/>
        <v>3816.871580505328</v>
      </c>
      <c r="AV650" s="12">
        <f t="shared" si="252"/>
        <v>547.24176717199384</v>
      </c>
      <c r="AW650" s="19"/>
    </row>
    <row r="651" spans="2:49" x14ac:dyDescent="0.25">
      <c r="B651" s="9" t="str">
        <f t="shared" si="235"/>
        <v>10 2026</v>
      </c>
      <c r="C651" s="88">
        <f t="shared" si="236"/>
        <v>46300</v>
      </c>
      <c r="D651" s="88">
        <f t="shared" si="265"/>
        <v>46301</v>
      </c>
      <c r="E651" s="89">
        <f t="shared" si="237"/>
        <v>1</v>
      </c>
      <c r="G651" s="11" t="s">
        <v>7</v>
      </c>
      <c r="H651" s="12">
        <f t="shared" si="267"/>
        <v>34250000</v>
      </c>
      <c r="I651" s="14">
        <f t="shared" si="267"/>
        <v>1.7500000000000002E-2</v>
      </c>
      <c r="J651" s="13">
        <f t="shared" si="238"/>
        <v>1664.9305555555557</v>
      </c>
      <c r="K651" s="13">
        <f t="shared" si="239"/>
        <v>373397.01388889004</v>
      </c>
      <c r="M651" s="11" t="s">
        <v>7</v>
      </c>
      <c r="N651" s="12">
        <f t="shared" si="270"/>
        <v>12000000</v>
      </c>
      <c r="O651" s="97">
        <f t="shared" si="270"/>
        <v>2.1698630136986304E-2</v>
      </c>
      <c r="P651" s="112">
        <f t="shared" si="240"/>
        <v>723.28767123287685</v>
      </c>
      <c r="Q651" s="13">
        <f t="shared" si="241"/>
        <v>201797.26027397337</v>
      </c>
      <c r="R651" s="13">
        <f t="shared" si="242"/>
        <v>139.95433789954348</v>
      </c>
      <c r="T651" s="11" t="str">
        <f t="shared" si="268"/>
        <v>SG</v>
      </c>
      <c r="U651" s="12">
        <f t="shared" si="268"/>
        <v>6010956.1600000001</v>
      </c>
      <c r="V651" s="97">
        <f t="shared" si="268"/>
        <v>2.1205479452054792E-2</v>
      </c>
      <c r="W651" s="13">
        <f t="shared" si="243"/>
        <v>354.0700203835616</v>
      </c>
      <c r="X651" s="13">
        <f t="shared" si="263"/>
        <v>98778.436695670694</v>
      </c>
      <c r="Y651" s="13">
        <f t="shared" si="244"/>
        <v>61.870762605783796</v>
      </c>
      <c r="AA651" s="11" t="s">
        <v>189</v>
      </c>
      <c r="AB651" s="98">
        <f t="shared" si="269"/>
        <v>15000000</v>
      </c>
      <c r="AC651" s="97">
        <f t="shared" si="269"/>
        <v>2.579E-2</v>
      </c>
      <c r="AD651" s="13">
        <f t="shared" si="245"/>
        <v>1074.5833333333333</v>
      </c>
      <c r="AE651" s="13">
        <f t="shared" si="246"/>
        <v>299808.75000000023</v>
      </c>
      <c r="AF651" s="13">
        <f t="shared" si="247"/>
        <v>345.41666666666663</v>
      </c>
      <c r="AH651" s="235">
        <f>'CT- € Ellipsis BNP'!X651</f>
        <v>0</v>
      </c>
      <c r="AI651" s="236">
        <f>'CT- € Ellipsis BNP'!AA651</f>
        <v>0</v>
      </c>
      <c r="AJ651" s="90">
        <f>'CT- € Ellipsis BNP'!W651</f>
        <v>0</v>
      </c>
      <c r="AK651" s="91">
        <f>'CT- € Ellipsis BNP'!AC651</f>
        <v>0</v>
      </c>
      <c r="AM651" s="235">
        <f>'codeis €'!Z651</f>
        <v>0</v>
      </c>
      <c r="AN651" s="236">
        <f>'codeis €'!AF651</f>
        <v>0</v>
      </c>
      <c r="AO651" s="90">
        <f>'codeis €'!AC651</f>
        <v>0</v>
      </c>
      <c r="AP651" s="91">
        <f>'codeis €'!AI651</f>
        <v>0</v>
      </c>
      <c r="AR651" s="12">
        <f t="shared" si="248"/>
        <v>67260956.159999996</v>
      </c>
      <c r="AS651" s="118">
        <f t="shared" si="249"/>
        <v>0.02</v>
      </c>
      <c r="AT651" s="118">
        <f t="shared" si="250"/>
        <v>2.0428995474183843E-2</v>
      </c>
      <c r="AU651" s="12">
        <f t="shared" si="251"/>
        <v>3816.871580505328</v>
      </c>
      <c r="AV651" s="12">
        <f t="shared" si="252"/>
        <v>547.24176717199384</v>
      </c>
      <c r="AW651" s="19"/>
    </row>
    <row r="652" spans="2:49" x14ac:dyDescent="0.25">
      <c r="B652" s="9" t="str">
        <f t="shared" si="235"/>
        <v>10 2026</v>
      </c>
      <c r="C652" s="88">
        <f t="shared" si="236"/>
        <v>46301</v>
      </c>
      <c r="D652" s="88">
        <f t="shared" si="265"/>
        <v>46302</v>
      </c>
      <c r="E652" s="89">
        <f t="shared" si="237"/>
        <v>1</v>
      </c>
      <c r="G652" s="11" t="s">
        <v>7</v>
      </c>
      <c r="H652" s="12">
        <f t="shared" si="267"/>
        <v>34250000</v>
      </c>
      <c r="I652" s="14">
        <f t="shared" si="267"/>
        <v>1.7500000000000002E-2</v>
      </c>
      <c r="J652" s="13">
        <f t="shared" si="238"/>
        <v>1664.9305555555557</v>
      </c>
      <c r="K652" s="13">
        <f t="shared" si="239"/>
        <v>375061.9444444456</v>
      </c>
      <c r="M652" s="11" t="s">
        <v>7</v>
      </c>
      <c r="N652" s="12">
        <f t="shared" si="270"/>
        <v>12000000</v>
      </c>
      <c r="O652" s="97">
        <f t="shared" si="270"/>
        <v>2.1698630136986304E-2</v>
      </c>
      <c r="P652" s="112">
        <f t="shared" si="240"/>
        <v>723.28767123287685</v>
      </c>
      <c r="Q652" s="13">
        <f t="shared" si="241"/>
        <v>202520.54794520626</v>
      </c>
      <c r="R652" s="13">
        <f t="shared" si="242"/>
        <v>139.95433789954348</v>
      </c>
      <c r="T652" s="11" t="str">
        <f t="shared" si="268"/>
        <v>SG</v>
      </c>
      <c r="U652" s="12">
        <f t="shared" si="268"/>
        <v>6010956.1600000001</v>
      </c>
      <c r="V652" s="97">
        <f t="shared" si="268"/>
        <v>2.1205479452054792E-2</v>
      </c>
      <c r="W652" s="13">
        <f t="shared" si="243"/>
        <v>354.0700203835616</v>
      </c>
      <c r="X652" s="13">
        <f t="shared" si="263"/>
        <v>99132.506716054253</v>
      </c>
      <c r="Y652" s="13">
        <f t="shared" si="244"/>
        <v>61.870762605783796</v>
      </c>
      <c r="AA652" s="11" t="s">
        <v>189</v>
      </c>
      <c r="AB652" s="98">
        <f t="shared" si="269"/>
        <v>15000000</v>
      </c>
      <c r="AC652" s="97">
        <f t="shared" si="269"/>
        <v>2.579E-2</v>
      </c>
      <c r="AD652" s="13">
        <f t="shared" si="245"/>
        <v>1074.5833333333333</v>
      </c>
      <c r="AE652" s="13">
        <f t="shared" si="246"/>
        <v>300883.33333333355</v>
      </c>
      <c r="AF652" s="13">
        <f t="shared" si="247"/>
        <v>345.41666666666663</v>
      </c>
      <c r="AH652" s="235">
        <f>'CT- € Ellipsis BNP'!X652</f>
        <v>0</v>
      </c>
      <c r="AI652" s="236">
        <f>'CT- € Ellipsis BNP'!AA652</f>
        <v>0</v>
      </c>
      <c r="AJ652" s="90">
        <f>'CT- € Ellipsis BNP'!W652</f>
        <v>0</v>
      </c>
      <c r="AK652" s="91">
        <f>'CT- € Ellipsis BNP'!AC652</f>
        <v>0</v>
      </c>
      <c r="AM652" s="235">
        <f>'codeis €'!Z652</f>
        <v>0</v>
      </c>
      <c r="AN652" s="236">
        <f>'codeis €'!AF652</f>
        <v>0</v>
      </c>
      <c r="AO652" s="90">
        <f>'codeis €'!AC652</f>
        <v>0</v>
      </c>
      <c r="AP652" s="91">
        <f>'codeis €'!AI652</f>
        <v>0</v>
      </c>
      <c r="AR652" s="12">
        <f t="shared" si="248"/>
        <v>67260956.159999996</v>
      </c>
      <c r="AS652" s="118">
        <f t="shared" si="249"/>
        <v>0.02</v>
      </c>
      <c r="AT652" s="118">
        <f t="shared" si="250"/>
        <v>2.0428995474183843E-2</v>
      </c>
      <c r="AU652" s="12">
        <f t="shared" si="251"/>
        <v>3816.871580505328</v>
      </c>
      <c r="AV652" s="12">
        <f t="shared" si="252"/>
        <v>547.24176717199384</v>
      </c>
      <c r="AW652" s="19"/>
    </row>
    <row r="653" spans="2:49" x14ac:dyDescent="0.25">
      <c r="B653" s="9" t="str">
        <f t="shared" si="235"/>
        <v>10 2026</v>
      </c>
      <c r="C653" s="88">
        <f t="shared" si="236"/>
        <v>46302</v>
      </c>
      <c r="D653" s="88">
        <f t="shared" si="265"/>
        <v>46303</v>
      </c>
      <c r="E653" s="89">
        <f t="shared" si="237"/>
        <v>1</v>
      </c>
      <c r="G653" s="11" t="s">
        <v>7</v>
      </c>
      <c r="H653" s="12">
        <f t="shared" si="267"/>
        <v>34250000</v>
      </c>
      <c r="I653" s="14">
        <f t="shared" si="267"/>
        <v>1.7500000000000002E-2</v>
      </c>
      <c r="J653" s="13">
        <f t="shared" si="238"/>
        <v>1664.9305555555557</v>
      </c>
      <c r="K653" s="13">
        <f t="shared" si="239"/>
        <v>376726.87500000116</v>
      </c>
      <c r="M653" s="11" t="s">
        <v>7</v>
      </c>
      <c r="N653" s="12">
        <f t="shared" si="270"/>
        <v>12000000</v>
      </c>
      <c r="O653" s="97">
        <f t="shared" si="270"/>
        <v>2.1698630136986304E-2</v>
      </c>
      <c r="P653" s="112">
        <f t="shared" si="240"/>
        <v>723.28767123287685</v>
      </c>
      <c r="Q653" s="13">
        <f t="shared" si="241"/>
        <v>203243.83561643914</v>
      </c>
      <c r="R653" s="13">
        <f t="shared" si="242"/>
        <v>139.95433789954348</v>
      </c>
      <c r="T653" s="11" t="str">
        <f t="shared" si="268"/>
        <v>SG</v>
      </c>
      <c r="U653" s="12">
        <f t="shared" si="268"/>
        <v>6010956.1600000001</v>
      </c>
      <c r="V653" s="97">
        <f t="shared" si="268"/>
        <v>2.1205479452054792E-2</v>
      </c>
      <c r="W653" s="13">
        <f t="shared" si="243"/>
        <v>354.0700203835616</v>
      </c>
      <c r="X653" s="13">
        <f t="shared" si="263"/>
        <v>99486.576736437812</v>
      </c>
      <c r="Y653" s="13">
        <f t="shared" si="244"/>
        <v>61.870762605783796</v>
      </c>
      <c r="AA653" s="11" t="s">
        <v>189</v>
      </c>
      <c r="AB653" s="98">
        <f t="shared" si="269"/>
        <v>15000000</v>
      </c>
      <c r="AC653" s="97">
        <f t="shared" si="269"/>
        <v>2.579E-2</v>
      </c>
      <c r="AD653" s="13">
        <f t="shared" si="245"/>
        <v>1074.5833333333333</v>
      </c>
      <c r="AE653" s="13">
        <f t="shared" si="246"/>
        <v>301957.91666666686</v>
      </c>
      <c r="AF653" s="13">
        <f t="shared" si="247"/>
        <v>345.41666666666663</v>
      </c>
      <c r="AH653" s="235">
        <f>'CT- € Ellipsis BNP'!X653</f>
        <v>0</v>
      </c>
      <c r="AI653" s="236">
        <f>'CT- € Ellipsis BNP'!AA653</f>
        <v>0</v>
      </c>
      <c r="AJ653" s="90">
        <f>'CT- € Ellipsis BNP'!W653</f>
        <v>0</v>
      </c>
      <c r="AK653" s="91">
        <f>'CT- € Ellipsis BNP'!AC653</f>
        <v>0</v>
      </c>
      <c r="AM653" s="235">
        <f>'codeis €'!Z653</f>
        <v>0</v>
      </c>
      <c r="AN653" s="236">
        <f>'codeis €'!AF653</f>
        <v>0</v>
      </c>
      <c r="AO653" s="90">
        <f>'codeis €'!AC653</f>
        <v>0</v>
      </c>
      <c r="AP653" s="91">
        <f>'codeis €'!AI653</f>
        <v>0</v>
      </c>
      <c r="AR653" s="12">
        <f t="shared" si="248"/>
        <v>67260956.159999996</v>
      </c>
      <c r="AS653" s="118">
        <f t="shared" si="249"/>
        <v>0.02</v>
      </c>
      <c r="AT653" s="118">
        <f t="shared" si="250"/>
        <v>2.0428995474183843E-2</v>
      </c>
      <c r="AU653" s="12">
        <f t="shared" si="251"/>
        <v>3816.871580505328</v>
      </c>
      <c r="AV653" s="12">
        <f t="shared" si="252"/>
        <v>547.24176717199384</v>
      </c>
      <c r="AW653" s="19"/>
    </row>
    <row r="654" spans="2:49" x14ac:dyDescent="0.25">
      <c r="B654" s="9" t="str">
        <f t="shared" si="235"/>
        <v>10 2026</v>
      </c>
      <c r="C654" s="88">
        <f t="shared" si="236"/>
        <v>46303</v>
      </c>
      <c r="D654" s="88">
        <f t="shared" si="265"/>
        <v>46304</v>
      </c>
      <c r="E654" s="89">
        <f t="shared" si="237"/>
        <v>1</v>
      </c>
      <c r="G654" s="11" t="s">
        <v>7</v>
      </c>
      <c r="H654" s="12">
        <f t="shared" si="267"/>
        <v>34250000</v>
      </c>
      <c r="I654" s="14">
        <f t="shared" si="267"/>
        <v>1.7500000000000002E-2</v>
      </c>
      <c r="J654" s="13">
        <f t="shared" si="238"/>
        <v>1664.9305555555557</v>
      </c>
      <c r="K654" s="13">
        <f t="shared" si="239"/>
        <v>378391.80555555673</v>
      </c>
      <c r="M654" s="11" t="s">
        <v>7</v>
      </c>
      <c r="N654" s="12">
        <f t="shared" si="270"/>
        <v>12000000</v>
      </c>
      <c r="O654" s="97">
        <f t="shared" si="270"/>
        <v>2.1698630136986304E-2</v>
      </c>
      <c r="P654" s="112">
        <f t="shared" si="240"/>
        <v>723.28767123287685</v>
      </c>
      <c r="Q654" s="13">
        <f t="shared" si="241"/>
        <v>203967.12328767203</v>
      </c>
      <c r="R654" s="13">
        <f t="shared" si="242"/>
        <v>139.95433789954348</v>
      </c>
      <c r="T654" s="11" t="str">
        <f t="shared" si="268"/>
        <v>SG</v>
      </c>
      <c r="U654" s="12">
        <f t="shared" si="268"/>
        <v>6010956.1600000001</v>
      </c>
      <c r="V654" s="97">
        <f t="shared" si="268"/>
        <v>2.1205479452054792E-2</v>
      </c>
      <c r="W654" s="13">
        <f t="shared" si="243"/>
        <v>354.0700203835616</v>
      </c>
      <c r="X654" s="13">
        <f t="shared" si="263"/>
        <v>99840.64675682137</v>
      </c>
      <c r="Y654" s="13">
        <f t="shared" si="244"/>
        <v>61.870762605783796</v>
      </c>
      <c r="AA654" s="11" t="s">
        <v>189</v>
      </c>
      <c r="AB654" s="98">
        <f t="shared" si="269"/>
        <v>15000000</v>
      </c>
      <c r="AC654" s="97">
        <f t="shared" si="269"/>
        <v>2.579E-2</v>
      </c>
      <c r="AD654" s="13">
        <f t="shared" si="245"/>
        <v>1074.5833333333333</v>
      </c>
      <c r="AE654" s="13">
        <f t="shared" si="246"/>
        <v>303032.50000000017</v>
      </c>
      <c r="AF654" s="13">
        <f t="shared" si="247"/>
        <v>345.41666666666663</v>
      </c>
      <c r="AH654" s="235">
        <f>'CT- € Ellipsis BNP'!X654</f>
        <v>0</v>
      </c>
      <c r="AI654" s="236">
        <f>'CT- € Ellipsis BNP'!AA654</f>
        <v>0</v>
      </c>
      <c r="AJ654" s="90">
        <f>'CT- € Ellipsis BNP'!W654</f>
        <v>0</v>
      </c>
      <c r="AK654" s="91">
        <f>'CT- € Ellipsis BNP'!AC654</f>
        <v>0</v>
      </c>
      <c r="AM654" s="235">
        <f>'codeis €'!Z654</f>
        <v>0</v>
      </c>
      <c r="AN654" s="236">
        <f>'codeis €'!AF654</f>
        <v>0</v>
      </c>
      <c r="AO654" s="90">
        <f>'codeis €'!AC654</f>
        <v>0</v>
      </c>
      <c r="AP654" s="91">
        <f>'codeis €'!AI654</f>
        <v>0</v>
      </c>
      <c r="AR654" s="12">
        <f t="shared" si="248"/>
        <v>67260956.159999996</v>
      </c>
      <c r="AS654" s="118">
        <f t="shared" si="249"/>
        <v>0.02</v>
      </c>
      <c r="AT654" s="118">
        <f t="shared" si="250"/>
        <v>2.0428995474183843E-2</v>
      </c>
      <c r="AU654" s="12">
        <f t="shared" si="251"/>
        <v>3816.871580505328</v>
      </c>
      <c r="AV654" s="12">
        <f t="shared" si="252"/>
        <v>547.24176717199384</v>
      </c>
      <c r="AW654" s="19"/>
    </row>
    <row r="655" spans="2:49" x14ac:dyDescent="0.25">
      <c r="B655" s="9" t="str">
        <f t="shared" si="235"/>
        <v>10 2026</v>
      </c>
      <c r="C655" s="88">
        <f t="shared" si="236"/>
        <v>46304</v>
      </c>
      <c r="D655" s="88">
        <f t="shared" si="265"/>
        <v>46305</v>
      </c>
      <c r="E655" s="89">
        <f t="shared" si="237"/>
        <v>1</v>
      </c>
      <c r="G655" s="11" t="s">
        <v>7</v>
      </c>
      <c r="H655" s="12">
        <f t="shared" si="267"/>
        <v>34250000</v>
      </c>
      <c r="I655" s="14">
        <f t="shared" si="267"/>
        <v>1.7500000000000002E-2</v>
      </c>
      <c r="J655" s="13">
        <f t="shared" si="238"/>
        <v>1664.9305555555557</v>
      </c>
      <c r="K655" s="13">
        <f t="shared" si="239"/>
        <v>380056.73611111229</v>
      </c>
      <c r="M655" s="11" t="s">
        <v>7</v>
      </c>
      <c r="N655" s="12">
        <f t="shared" si="270"/>
        <v>12000000</v>
      </c>
      <c r="O655" s="97">
        <f t="shared" si="270"/>
        <v>2.1698630136986304E-2</v>
      </c>
      <c r="P655" s="112">
        <f t="shared" si="240"/>
        <v>723.28767123287685</v>
      </c>
      <c r="Q655" s="13">
        <f t="shared" si="241"/>
        <v>204690.41095890492</v>
      </c>
      <c r="R655" s="13">
        <f t="shared" si="242"/>
        <v>139.95433789954348</v>
      </c>
      <c r="T655" s="11" t="str">
        <f t="shared" si="268"/>
        <v>SG</v>
      </c>
      <c r="U655" s="12">
        <f t="shared" si="268"/>
        <v>6010956.1600000001</v>
      </c>
      <c r="V655" s="97">
        <f t="shared" si="268"/>
        <v>2.1205479452054792E-2</v>
      </c>
      <c r="W655" s="13">
        <f t="shared" si="243"/>
        <v>354.0700203835616</v>
      </c>
      <c r="X655" s="13">
        <f t="shared" si="263"/>
        <v>100194.71677720493</v>
      </c>
      <c r="Y655" s="13">
        <f t="shared" si="244"/>
        <v>61.870762605783796</v>
      </c>
      <c r="AA655" s="11" t="s">
        <v>189</v>
      </c>
      <c r="AB655" s="98">
        <f t="shared" si="269"/>
        <v>15000000</v>
      </c>
      <c r="AC655" s="97">
        <f t="shared" si="269"/>
        <v>2.579E-2</v>
      </c>
      <c r="AD655" s="13">
        <f t="shared" si="245"/>
        <v>1074.5833333333333</v>
      </c>
      <c r="AE655" s="13">
        <f t="shared" si="246"/>
        <v>304107.08333333349</v>
      </c>
      <c r="AF655" s="13">
        <f t="shared" si="247"/>
        <v>345.41666666666663</v>
      </c>
      <c r="AH655" s="235">
        <f>'CT- € Ellipsis BNP'!X655</f>
        <v>0</v>
      </c>
      <c r="AI655" s="236">
        <f>'CT- € Ellipsis BNP'!AA655</f>
        <v>0</v>
      </c>
      <c r="AJ655" s="90">
        <f>'CT- € Ellipsis BNP'!W655</f>
        <v>0</v>
      </c>
      <c r="AK655" s="91">
        <f>'CT- € Ellipsis BNP'!AC655</f>
        <v>0</v>
      </c>
      <c r="AM655" s="235">
        <f>'codeis €'!Z655</f>
        <v>0</v>
      </c>
      <c r="AN655" s="236">
        <f>'codeis €'!AF655</f>
        <v>0</v>
      </c>
      <c r="AO655" s="90">
        <f>'codeis €'!AC655</f>
        <v>0</v>
      </c>
      <c r="AP655" s="91">
        <f>'codeis €'!AI655</f>
        <v>0</v>
      </c>
      <c r="AR655" s="12">
        <f t="shared" si="248"/>
        <v>67260956.159999996</v>
      </c>
      <c r="AS655" s="118">
        <f t="shared" si="249"/>
        <v>0.02</v>
      </c>
      <c r="AT655" s="118">
        <f t="shared" si="250"/>
        <v>2.0428995474183843E-2</v>
      </c>
      <c r="AU655" s="12">
        <f t="shared" si="251"/>
        <v>3816.871580505328</v>
      </c>
      <c r="AV655" s="12">
        <f t="shared" si="252"/>
        <v>547.24176717199384</v>
      </c>
      <c r="AW655" s="19"/>
    </row>
    <row r="656" spans="2:49" x14ac:dyDescent="0.25">
      <c r="B656" s="9" t="str">
        <f t="shared" si="235"/>
        <v>10 2026</v>
      </c>
      <c r="C656" s="88">
        <f t="shared" si="236"/>
        <v>46305</v>
      </c>
      <c r="D656" s="88">
        <f t="shared" si="265"/>
        <v>46306</v>
      </c>
      <c r="E656" s="89">
        <f t="shared" si="237"/>
        <v>1</v>
      </c>
      <c r="G656" s="11" t="s">
        <v>7</v>
      </c>
      <c r="H656" s="12">
        <f t="shared" si="267"/>
        <v>34250000</v>
      </c>
      <c r="I656" s="14">
        <f t="shared" si="267"/>
        <v>1.7500000000000002E-2</v>
      </c>
      <c r="J656" s="13">
        <f t="shared" si="238"/>
        <v>1664.9305555555557</v>
      </c>
      <c r="K656" s="13">
        <f t="shared" si="239"/>
        <v>381721.66666666785</v>
      </c>
      <c r="M656" s="11" t="s">
        <v>7</v>
      </c>
      <c r="N656" s="12">
        <f t="shared" si="270"/>
        <v>12000000</v>
      </c>
      <c r="O656" s="97">
        <f t="shared" si="270"/>
        <v>2.1698630136986304E-2</v>
      </c>
      <c r="P656" s="112">
        <f t="shared" si="240"/>
        <v>723.28767123287685</v>
      </c>
      <c r="Q656" s="13">
        <f t="shared" si="241"/>
        <v>205413.69863013781</v>
      </c>
      <c r="R656" s="13">
        <f t="shared" si="242"/>
        <v>139.95433789954348</v>
      </c>
      <c r="T656" s="11" t="str">
        <f t="shared" si="268"/>
        <v>SG</v>
      </c>
      <c r="U656" s="12">
        <f t="shared" si="268"/>
        <v>6010956.1600000001</v>
      </c>
      <c r="V656" s="97">
        <f t="shared" si="268"/>
        <v>2.1205479452054792E-2</v>
      </c>
      <c r="W656" s="13">
        <f t="shared" si="243"/>
        <v>354.0700203835616</v>
      </c>
      <c r="X656" s="13">
        <f t="shared" si="263"/>
        <v>100548.78679758849</v>
      </c>
      <c r="Y656" s="13">
        <f t="shared" si="244"/>
        <v>61.870762605783796</v>
      </c>
      <c r="AA656" s="11" t="s">
        <v>189</v>
      </c>
      <c r="AB656" s="98">
        <f t="shared" si="269"/>
        <v>15000000</v>
      </c>
      <c r="AC656" s="97">
        <f t="shared" si="269"/>
        <v>2.579E-2</v>
      </c>
      <c r="AD656" s="13">
        <f t="shared" si="245"/>
        <v>1074.5833333333333</v>
      </c>
      <c r="AE656" s="13">
        <f t="shared" si="246"/>
        <v>305181.6666666668</v>
      </c>
      <c r="AF656" s="13">
        <f t="shared" si="247"/>
        <v>345.41666666666663</v>
      </c>
      <c r="AH656" s="235">
        <f>'CT- € Ellipsis BNP'!X656</f>
        <v>0</v>
      </c>
      <c r="AI656" s="236">
        <f>'CT- € Ellipsis BNP'!AA656</f>
        <v>0</v>
      </c>
      <c r="AJ656" s="90">
        <f>'CT- € Ellipsis BNP'!W656</f>
        <v>0</v>
      </c>
      <c r="AK656" s="91">
        <f>'CT- € Ellipsis BNP'!AC656</f>
        <v>0</v>
      </c>
      <c r="AM656" s="235">
        <f>'codeis €'!Z656</f>
        <v>0</v>
      </c>
      <c r="AN656" s="236">
        <f>'codeis €'!AF656</f>
        <v>0</v>
      </c>
      <c r="AO656" s="90">
        <f>'codeis €'!AC656</f>
        <v>0</v>
      </c>
      <c r="AP656" s="91">
        <f>'codeis €'!AI656</f>
        <v>0</v>
      </c>
      <c r="AR656" s="12">
        <f t="shared" si="248"/>
        <v>67260956.159999996</v>
      </c>
      <c r="AS656" s="118">
        <f t="shared" si="249"/>
        <v>0.02</v>
      </c>
      <c r="AT656" s="118">
        <f t="shared" si="250"/>
        <v>2.0428995474183843E-2</v>
      </c>
      <c r="AU656" s="12">
        <f t="shared" si="251"/>
        <v>3816.871580505328</v>
      </c>
      <c r="AV656" s="12">
        <f t="shared" si="252"/>
        <v>547.24176717199384</v>
      </c>
      <c r="AW656" s="19"/>
    </row>
    <row r="657" spans="2:49" x14ac:dyDescent="0.25">
      <c r="B657" s="9" t="str">
        <f t="shared" si="235"/>
        <v>10 2026</v>
      </c>
      <c r="C657" s="88">
        <f t="shared" si="236"/>
        <v>46306</v>
      </c>
      <c r="D657" s="88">
        <f t="shared" si="265"/>
        <v>46307</v>
      </c>
      <c r="E657" s="89">
        <f t="shared" si="237"/>
        <v>1</v>
      </c>
      <c r="G657" s="11" t="s">
        <v>7</v>
      </c>
      <c r="H657" s="12">
        <f t="shared" si="267"/>
        <v>34250000</v>
      </c>
      <c r="I657" s="14">
        <f t="shared" si="267"/>
        <v>1.7500000000000002E-2</v>
      </c>
      <c r="J657" s="13">
        <f t="shared" si="238"/>
        <v>1664.9305555555557</v>
      </c>
      <c r="K657" s="13">
        <f t="shared" si="239"/>
        <v>383386.59722222341</v>
      </c>
      <c r="M657" s="11" t="s">
        <v>7</v>
      </c>
      <c r="N657" s="12">
        <f t="shared" si="270"/>
        <v>12000000</v>
      </c>
      <c r="O657" s="97">
        <f t="shared" si="270"/>
        <v>2.1698630136986304E-2</v>
      </c>
      <c r="P657" s="112">
        <f t="shared" si="240"/>
        <v>723.28767123287685</v>
      </c>
      <c r="Q657" s="13">
        <f t="shared" si="241"/>
        <v>206136.98630137069</v>
      </c>
      <c r="R657" s="13">
        <f t="shared" si="242"/>
        <v>139.95433789954348</v>
      </c>
      <c r="T657" s="11" t="str">
        <f t="shared" si="268"/>
        <v>SG</v>
      </c>
      <c r="U657" s="12">
        <f t="shared" si="268"/>
        <v>6010956.1600000001</v>
      </c>
      <c r="V657" s="97">
        <f t="shared" si="268"/>
        <v>2.1205479452054792E-2</v>
      </c>
      <c r="W657" s="13">
        <f t="shared" si="243"/>
        <v>354.0700203835616</v>
      </c>
      <c r="X657" s="13">
        <f t="shared" si="263"/>
        <v>100902.85681797205</v>
      </c>
      <c r="Y657" s="13">
        <f t="shared" si="244"/>
        <v>61.870762605783796</v>
      </c>
      <c r="AA657" s="11" t="s">
        <v>189</v>
      </c>
      <c r="AB657" s="98">
        <f t="shared" si="269"/>
        <v>15000000</v>
      </c>
      <c r="AC657" s="97">
        <f t="shared" si="269"/>
        <v>2.579E-2</v>
      </c>
      <c r="AD657" s="13">
        <f t="shared" si="245"/>
        <v>1074.5833333333333</v>
      </c>
      <c r="AE657" s="13">
        <f t="shared" si="246"/>
        <v>306256.25000000012</v>
      </c>
      <c r="AF657" s="13">
        <f t="shared" si="247"/>
        <v>345.41666666666663</v>
      </c>
      <c r="AH657" s="235">
        <f>'CT- € Ellipsis BNP'!X657</f>
        <v>0</v>
      </c>
      <c r="AI657" s="236">
        <f>'CT- € Ellipsis BNP'!AA657</f>
        <v>0</v>
      </c>
      <c r="AJ657" s="90">
        <f>'CT- € Ellipsis BNP'!W657</f>
        <v>0</v>
      </c>
      <c r="AK657" s="91">
        <f>'CT- € Ellipsis BNP'!AC657</f>
        <v>0</v>
      </c>
      <c r="AM657" s="235">
        <f>'codeis €'!Z657</f>
        <v>0</v>
      </c>
      <c r="AN657" s="236">
        <f>'codeis €'!AF657</f>
        <v>0</v>
      </c>
      <c r="AO657" s="90">
        <f>'codeis €'!AC657</f>
        <v>0</v>
      </c>
      <c r="AP657" s="91">
        <f>'codeis €'!AI657</f>
        <v>0</v>
      </c>
      <c r="AR657" s="12">
        <f t="shared" si="248"/>
        <v>67260956.159999996</v>
      </c>
      <c r="AS657" s="118">
        <f t="shared" si="249"/>
        <v>0.02</v>
      </c>
      <c r="AT657" s="118">
        <f t="shared" si="250"/>
        <v>2.0428995474183843E-2</v>
      </c>
      <c r="AU657" s="12">
        <f t="shared" si="251"/>
        <v>3816.871580505328</v>
      </c>
      <c r="AV657" s="12">
        <f t="shared" si="252"/>
        <v>547.24176717199384</v>
      </c>
      <c r="AW657" s="19"/>
    </row>
    <row r="658" spans="2:49" x14ac:dyDescent="0.25">
      <c r="B658" s="9" t="str">
        <f t="shared" si="235"/>
        <v>10 2026</v>
      </c>
      <c r="C658" s="88">
        <f t="shared" si="236"/>
        <v>46307</v>
      </c>
      <c r="D658" s="88">
        <f t="shared" si="265"/>
        <v>46308</v>
      </c>
      <c r="E658" s="89">
        <f t="shared" si="237"/>
        <v>1</v>
      </c>
      <c r="G658" s="11" t="s">
        <v>7</v>
      </c>
      <c r="H658" s="12">
        <f t="shared" si="267"/>
        <v>34250000</v>
      </c>
      <c r="I658" s="14">
        <f t="shared" si="267"/>
        <v>1.7500000000000002E-2</v>
      </c>
      <c r="J658" s="13">
        <f t="shared" si="238"/>
        <v>1664.9305555555557</v>
      </c>
      <c r="K658" s="13">
        <f t="shared" si="239"/>
        <v>385051.52777777897</v>
      </c>
      <c r="M658" s="11" t="s">
        <v>7</v>
      </c>
      <c r="N658" s="12">
        <f t="shared" si="270"/>
        <v>12000000</v>
      </c>
      <c r="O658" s="97">
        <f t="shared" si="270"/>
        <v>2.1698630136986304E-2</v>
      </c>
      <c r="P658" s="112">
        <f t="shared" si="240"/>
        <v>723.28767123287685</v>
      </c>
      <c r="Q658" s="13">
        <f t="shared" si="241"/>
        <v>206860.27397260358</v>
      </c>
      <c r="R658" s="13">
        <f t="shared" si="242"/>
        <v>139.95433789954348</v>
      </c>
      <c r="T658" s="11" t="str">
        <f t="shared" si="268"/>
        <v>SG</v>
      </c>
      <c r="U658" s="12">
        <f t="shared" si="268"/>
        <v>6010956.1600000001</v>
      </c>
      <c r="V658" s="97">
        <f t="shared" si="268"/>
        <v>2.1205479452054792E-2</v>
      </c>
      <c r="W658" s="13">
        <f t="shared" si="243"/>
        <v>354.0700203835616</v>
      </c>
      <c r="X658" s="13">
        <f t="shared" si="263"/>
        <v>101256.9268383556</v>
      </c>
      <c r="Y658" s="13">
        <f t="shared" si="244"/>
        <v>61.870762605783796</v>
      </c>
      <c r="AA658" s="11" t="s">
        <v>189</v>
      </c>
      <c r="AB658" s="98">
        <f t="shared" si="269"/>
        <v>15000000</v>
      </c>
      <c r="AC658" s="97">
        <f t="shared" si="269"/>
        <v>2.579E-2</v>
      </c>
      <c r="AD658" s="13">
        <f t="shared" si="245"/>
        <v>1074.5833333333333</v>
      </c>
      <c r="AE658" s="13">
        <f t="shared" si="246"/>
        <v>307330.83333333343</v>
      </c>
      <c r="AF658" s="13">
        <f t="shared" si="247"/>
        <v>345.41666666666663</v>
      </c>
      <c r="AH658" s="235">
        <f>'CT- € Ellipsis BNP'!X658</f>
        <v>0</v>
      </c>
      <c r="AI658" s="236">
        <f>'CT- € Ellipsis BNP'!AA658</f>
        <v>0</v>
      </c>
      <c r="AJ658" s="90">
        <f>'CT- € Ellipsis BNP'!W658</f>
        <v>0</v>
      </c>
      <c r="AK658" s="91">
        <f>'CT- € Ellipsis BNP'!AC658</f>
        <v>0</v>
      </c>
      <c r="AM658" s="235">
        <f>'codeis €'!Z658</f>
        <v>0</v>
      </c>
      <c r="AN658" s="236">
        <f>'codeis €'!AF658</f>
        <v>0</v>
      </c>
      <c r="AO658" s="90">
        <f>'codeis €'!AC658</f>
        <v>0</v>
      </c>
      <c r="AP658" s="91">
        <f>'codeis €'!AI658</f>
        <v>0</v>
      </c>
      <c r="AR658" s="12">
        <f t="shared" si="248"/>
        <v>67260956.159999996</v>
      </c>
      <c r="AS658" s="118">
        <f t="shared" si="249"/>
        <v>0.02</v>
      </c>
      <c r="AT658" s="118">
        <f t="shared" si="250"/>
        <v>2.0428995474183843E-2</v>
      </c>
      <c r="AU658" s="12">
        <f t="shared" si="251"/>
        <v>3816.871580505328</v>
      </c>
      <c r="AV658" s="12">
        <f t="shared" si="252"/>
        <v>547.24176717199384</v>
      </c>
      <c r="AW658" s="19"/>
    </row>
    <row r="659" spans="2:49" x14ac:dyDescent="0.25">
      <c r="B659" s="9" t="str">
        <f t="shared" si="235"/>
        <v>10 2026</v>
      </c>
      <c r="C659" s="88">
        <f t="shared" si="236"/>
        <v>46308</v>
      </c>
      <c r="D659" s="88">
        <f t="shared" si="265"/>
        <v>46309</v>
      </c>
      <c r="E659" s="89">
        <f t="shared" si="237"/>
        <v>1</v>
      </c>
      <c r="G659" s="11" t="s">
        <v>7</v>
      </c>
      <c r="H659" s="12">
        <f t="shared" si="267"/>
        <v>34250000</v>
      </c>
      <c r="I659" s="14">
        <f t="shared" si="267"/>
        <v>1.7500000000000002E-2</v>
      </c>
      <c r="J659" s="13">
        <f t="shared" si="238"/>
        <v>1664.9305555555557</v>
      </c>
      <c r="K659" s="13">
        <f t="shared" si="239"/>
        <v>386716.45833333454</v>
      </c>
      <c r="M659" s="11" t="s">
        <v>7</v>
      </c>
      <c r="N659" s="12">
        <f t="shared" si="270"/>
        <v>12000000</v>
      </c>
      <c r="O659" s="97">
        <f t="shared" si="270"/>
        <v>2.1698630136986304E-2</v>
      </c>
      <c r="P659" s="112">
        <f t="shared" si="240"/>
        <v>723.28767123287685</v>
      </c>
      <c r="Q659" s="13">
        <f t="shared" si="241"/>
        <v>207583.56164383647</v>
      </c>
      <c r="R659" s="13">
        <f t="shared" si="242"/>
        <v>139.95433789954348</v>
      </c>
      <c r="T659" s="11" t="str">
        <f t="shared" si="268"/>
        <v>SG</v>
      </c>
      <c r="U659" s="12">
        <f t="shared" si="268"/>
        <v>6010956.1600000001</v>
      </c>
      <c r="V659" s="97">
        <f t="shared" si="268"/>
        <v>2.1205479452054792E-2</v>
      </c>
      <c r="W659" s="13">
        <f t="shared" si="243"/>
        <v>354.0700203835616</v>
      </c>
      <c r="X659" s="13">
        <f t="shared" si="263"/>
        <v>101610.99685873916</v>
      </c>
      <c r="Y659" s="13">
        <f t="shared" si="244"/>
        <v>61.870762605783796</v>
      </c>
      <c r="AA659" s="11" t="s">
        <v>189</v>
      </c>
      <c r="AB659" s="98">
        <f t="shared" si="269"/>
        <v>15000000</v>
      </c>
      <c r="AC659" s="97">
        <f t="shared" si="269"/>
        <v>2.579E-2</v>
      </c>
      <c r="AD659" s="13">
        <f t="shared" si="245"/>
        <v>1074.5833333333333</v>
      </c>
      <c r="AE659" s="13">
        <f t="shared" si="246"/>
        <v>308405.41666666674</v>
      </c>
      <c r="AF659" s="13">
        <f t="shared" si="247"/>
        <v>345.41666666666663</v>
      </c>
      <c r="AH659" s="235">
        <f>'CT- € Ellipsis BNP'!X659</f>
        <v>0</v>
      </c>
      <c r="AI659" s="236">
        <f>'CT- € Ellipsis BNP'!AA659</f>
        <v>0</v>
      </c>
      <c r="AJ659" s="90">
        <f>'CT- € Ellipsis BNP'!W659</f>
        <v>0</v>
      </c>
      <c r="AK659" s="91">
        <f>'CT- € Ellipsis BNP'!AC659</f>
        <v>0</v>
      </c>
      <c r="AM659" s="235">
        <f>'codeis €'!Z659</f>
        <v>0</v>
      </c>
      <c r="AN659" s="236">
        <f>'codeis €'!AF659</f>
        <v>0</v>
      </c>
      <c r="AO659" s="90">
        <f>'codeis €'!AC659</f>
        <v>0</v>
      </c>
      <c r="AP659" s="91">
        <f>'codeis €'!AI659</f>
        <v>0</v>
      </c>
      <c r="AR659" s="12">
        <f t="shared" si="248"/>
        <v>67260956.159999996</v>
      </c>
      <c r="AS659" s="118">
        <f t="shared" si="249"/>
        <v>0.02</v>
      </c>
      <c r="AT659" s="118">
        <f t="shared" si="250"/>
        <v>2.0428995474183843E-2</v>
      </c>
      <c r="AU659" s="12">
        <f t="shared" si="251"/>
        <v>3816.871580505328</v>
      </c>
      <c r="AV659" s="12">
        <f t="shared" si="252"/>
        <v>547.24176717199384</v>
      </c>
      <c r="AW659" s="19"/>
    </row>
    <row r="660" spans="2:49" x14ac:dyDescent="0.25">
      <c r="B660" s="9" t="str">
        <f t="shared" si="235"/>
        <v>10 2026</v>
      </c>
      <c r="C660" s="88">
        <f t="shared" si="236"/>
        <v>46309</v>
      </c>
      <c r="D660" s="88">
        <f t="shared" si="265"/>
        <v>46310</v>
      </c>
      <c r="E660" s="89">
        <f t="shared" si="237"/>
        <v>1</v>
      </c>
      <c r="G660" s="11" t="s">
        <v>7</v>
      </c>
      <c r="H660" s="12">
        <f t="shared" si="267"/>
        <v>34250000</v>
      </c>
      <c r="I660" s="14">
        <f t="shared" si="267"/>
        <v>1.7500000000000002E-2</v>
      </c>
      <c r="J660" s="13">
        <f t="shared" si="238"/>
        <v>1664.9305555555557</v>
      </c>
      <c r="K660" s="13">
        <f t="shared" si="239"/>
        <v>388381.3888888901</v>
      </c>
      <c r="M660" s="11" t="s">
        <v>7</v>
      </c>
      <c r="N660" s="12">
        <f t="shared" si="270"/>
        <v>12000000</v>
      </c>
      <c r="O660" s="97">
        <f t="shared" si="270"/>
        <v>2.1698630136986304E-2</v>
      </c>
      <c r="P660" s="112">
        <f t="shared" si="240"/>
        <v>723.28767123287685</v>
      </c>
      <c r="Q660" s="13">
        <f t="shared" si="241"/>
        <v>208306.84931506935</v>
      </c>
      <c r="R660" s="13">
        <f t="shared" si="242"/>
        <v>139.95433789954348</v>
      </c>
      <c r="T660" s="11" t="str">
        <f t="shared" si="268"/>
        <v>SG</v>
      </c>
      <c r="U660" s="12">
        <f t="shared" si="268"/>
        <v>6010956.1600000001</v>
      </c>
      <c r="V660" s="97">
        <f t="shared" si="268"/>
        <v>2.1205479452054792E-2</v>
      </c>
      <c r="W660" s="13">
        <f t="shared" si="243"/>
        <v>354.0700203835616</v>
      </c>
      <c r="X660" s="13">
        <f t="shared" si="263"/>
        <v>101965.06687912272</v>
      </c>
      <c r="Y660" s="13">
        <f t="shared" si="244"/>
        <v>61.870762605783796</v>
      </c>
      <c r="AA660" s="11" t="s">
        <v>189</v>
      </c>
      <c r="AB660" s="98">
        <f t="shared" si="269"/>
        <v>15000000</v>
      </c>
      <c r="AC660" s="97">
        <f t="shared" si="269"/>
        <v>2.579E-2</v>
      </c>
      <c r="AD660" s="13">
        <f t="shared" si="245"/>
        <v>1074.5833333333333</v>
      </c>
      <c r="AE660" s="13">
        <f t="shared" si="246"/>
        <v>309480.00000000006</v>
      </c>
      <c r="AF660" s="13">
        <f t="shared" si="247"/>
        <v>345.41666666666663</v>
      </c>
      <c r="AH660" s="235">
        <f>'CT- € Ellipsis BNP'!X660</f>
        <v>0</v>
      </c>
      <c r="AI660" s="236">
        <f>'CT- € Ellipsis BNP'!AA660</f>
        <v>0</v>
      </c>
      <c r="AJ660" s="90">
        <f>'CT- € Ellipsis BNP'!W660</f>
        <v>0</v>
      </c>
      <c r="AK660" s="91">
        <f>'CT- € Ellipsis BNP'!AC660</f>
        <v>0</v>
      </c>
      <c r="AM660" s="235">
        <f>'codeis €'!Z660</f>
        <v>0</v>
      </c>
      <c r="AN660" s="236">
        <f>'codeis €'!AF660</f>
        <v>0</v>
      </c>
      <c r="AO660" s="90">
        <f>'codeis €'!AC660</f>
        <v>0</v>
      </c>
      <c r="AP660" s="91">
        <f>'codeis €'!AI660</f>
        <v>0</v>
      </c>
      <c r="AR660" s="12">
        <f t="shared" si="248"/>
        <v>67260956.159999996</v>
      </c>
      <c r="AS660" s="118">
        <f t="shared" si="249"/>
        <v>0.02</v>
      </c>
      <c r="AT660" s="118">
        <f t="shared" si="250"/>
        <v>2.0428995474183843E-2</v>
      </c>
      <c r="AU660" s="12">
        <f t="shared" si="251"/>
        <v>3816.871580505328</v>
      </c>
      <c r="AV660" s="12">
        <f t="shared" si="252"/>
        <v>547.24176717199384</v>
      </c>
      <c r="AW660" s="19"/>
    </row>
    <row r="661" spans="2:49" x14ac:dyDescent="0.25">
      <c r="B661" s="9" t="str">
        <f t="shared" ref="B661:B724" si="271">CONCATENATE(MONTH(D661)," ",YEAR(D661))</f>
        <v>10 2026</v>
      </c>
      <c r="C661" s="88">
        <f t="shared" ref="C661:C724" si="272">D660</f>
        <v>46310</v>
      </c>
      <c r="D661" s="88">
        <f t="shared" si="265"/>
        <v>46311</v>
      </c>
      <c r="E661" s="89">
        <f t="shared" ref="E661:E724" si="273">D661-C661</f>
        <v>1</v>
      </c>
      <c r="G661" s="11" t="s">
        <v>7</v>
      </c>
      <c r="H661" s="12">
        <f t="shared" si="267"/>
        <v>34250000</v>
      </c>
      <c r="I661" s="14">
        <f t="shared" si="267"/>
        <v>1.7500000000000002E-2</v>
      </c>
      <c r="J661" s="13">
        <f t="shared" ref="J661:J724" si="274">+H661*I661*E661/360</f>
        <v>1664.9305555555557</v>
      </c>
      <c r="K661" s="13">
        <f t="shared" ref="K661:K724" si="275">K660+J661</f>
        <v>390046.31944444566</v>
      </c>
      <c r="M661" s="11" t="s">
        <v>7</v>
      </c>
      <c r="N661" s="12">
        <f t="shared" si="270"/>
        <v>12000000</v>
      </c>
      <c r="O661" s="97">
        <f t="shared" si="270"/>
        <v>2.1698630136986304E-2</v>
      </c>
      <c r="P661" s="112">
        <f t="shared" ref="P661:P724" si="276">+N661*O661*$E661/360</f>
        <v>723.28767123287685</v>
      </c>
      <c r="Q661" s="13">
        <f t="shared" ref="Q661:Q724" si="277">Q660+P661</f>
        <v>209030.13698630224</v>
      </c>
      <c r="R661" s="13">
        <f t="shared" ref="R661:R724" si="278">P661-(+N661*I661*$E661/360)</f>
        <v>139.95433789954348</v>
      </c>
      <c r="T661" s="11" t="str">
        <f t="shared" si="268"/>
        <v>SG</v>
      </c>
      <c r="U661" s="12">
        <f t="shared" si="268"/>
        <v>6010956.1600000001</v>
      </c>
      <c r="V661" s="97">
        <f t="shared" si="268"/>
        <v>2.1205479452054792E-2</v>
      </c>
      <c r="W661" s="13">
        <f t="shared" ref="W661:W724" si="279">V661*U661*E661/360</f>
        <v>354.0700203835616</v>
      </c>
      <c r="X661" s="13">
        <f t="shared" si="263"/>
        <v>102319.13689950628</v>
      </c>
      <c r="Y661" s="13">
        <f t="shared" ref="Y661:Y724" si="280">W661-(+U661*$I661*$E661/360)</f>
        <v>61.870762605783796</v>
      </c>
      <c r="AA661" s="11" t="s">
        <v>189</v>
      </c>
      <c r="AB661" s="98">
        <f t="shared" si="269"/>
        <v>15000000</v>
      </c>
      <c r="AC661" s="97">
        <f t="shared" si="269"/>
        <v>2.579E-2</v>
      </c>
      <c r="AD661" s="13">
        <f t="shared" ref="AD661:AD682" si="281">+AB661*AC661*$E661/360</f>
        <v>1074.5833333333333</v>
      </c>
      <c r="AE661" s="13">
        <f t="shared" ref="AE661:AE724" si="282">AE660+AD661</f>
        <v>310554.58333333337</v>
      </c>
      <c r="AF661" s="13">
        <f t="shared" ref="AF661:AF724" si="283">AD661-((+AB661*$I661*$E661/360))</f>
        <v>345.41666666666663</v>
      </c>
      <c r="AH661" s="235">
        <f>'CT- € Ellipsis BNP'!X661</f>
        <v>0</v>
      </c>
      <c r="AI661" s="236">
        <f>'CT- € Ellipsis BNP'!AA661</f>
        <v>0</v>
      </c>
      <c r="AJ661" s="90">
        <f>'CT- € Ellipsis BNP'!W661</f>
        <v>0</v>
      </c>
      <c r="AK661" s="91">
        <f>'CT- € Ellipsis BNP'!AC661</f>
        <v>0</v>
      </c>
      <c r="AM661" s="235">
        <f>'codeis €'!Z661</f>
        <v>0</v>
      </c>
      <c r="AN661" s="236">
        <f>'codeis €'!AF661</f>
        <v>0</v>
      </c>
      <c r="AO661" s="90">
        <f>'codeis €'!AC661</f>
        <v>0</v>
      </c>
      <c r="AP661" s="91">
        <f>'codeis €'!AI661</f>
        <v>0</v>
      </c>
      <c r="AR661" s="12">
        <f t="shared" ref="AR661:AR724" si="284">+N661+H661++AH661+AM661+AB661+U661</f>
        <v>67260956.159999996</v>
      </c>
      <c r="AS661" s="118">
        <f t="shared" ref="AS661:AS724" si="285">AS660</f>
        <v>0.02</v>
      </c>
      <c r="AT661" s="118">
        <f t="shared" ref="AT661:AT724" si="286">SUM((I661*H661),(O661*N661),(U661*V661),(AB661*AC661),(AH661*AI661),(AM661*AN661))/AR661</f>
        <v>2.0428995474183843E-2</v>
      </c>
      <c r="AU661" s="12">
        <f t="shared" ref="AU661:AU724" si="287">+P661++J661+W661+AD661+AJ661+AO661</f>
        <v>3816.871580505328</v>
      </c>
      <c r="AV661" s="12">
        <f t="shared" ref="AV661:AV724" si="288">+R661+Y661+AF661+AK661+AP661</f>
        <v>547.24176717199384</v>
      </c>
      <c r="AW661" s="19"/>
    </row>
    <row r="662" spans="2:49" x14ac:dyDescent="0.25">
      <c r="B662" s="9" t="str">
        <f t="shared" si="271"/>
        <v>10 2026</v>
      </c>
      <c r="C662" s="88">
        <f t="shared" si="272"/>
        <v>46311</v>
      </c>
      <c r="D662" s="88">
        <f t="shared" si="265"/>
        <v>46312</v>
      </c>
      <c r="E662" s="89">
        <f t="shared" si="273"/>
        <v>1</v>
      </c>
      <c r="G662" s="11" t="s">
        <v>7</v>
      </c>
      <c r="H662" s="12">
        <f t="shared" si="267"/>
        <v>34250000</v>
      </c>
      <c r="I662" s="14">
        <f t="shared" si="267"/>
        <v>1.7500000000000002E-2</v>
      </c>
      <c r="J662" s="13">
        <f t="shared" si="274"/>
        <v>1664.9305555555557</v>
      </c>
      <c r="K662" s="13">
        <f t="shared" si="275"/>
        <v>391711.25000000122</v>
      </c>
      <c r="M662" s="11" t="s">
        <v>7</v>
      </c>
      <c r="N662" s="12">
        <f t="shared" si="270"/>
        <v>12000000</v>
      </c>
      <c r="O662" s="97">
        <f t="shared" si="270"/>
        <v>2.1698630136986304E-2</v>
      </c>
      <c r="P662" s="112">
        <f t="shared" si="276"/>
        <v>723.28767123287685</v>
      </c>
      <c r="Q662" s="13">
        <f t="shared" si="277"/>
        <v>209753.42465753513</v>
      </c>
      <c r="R662" s="13">
        <f t="shared" si="278"/>
        <v>139.95433789954348</v>
      </c>
      <c r="T662" s="11" t="str">
        <f t="shared" si="268"/>
        <v>SG</v>
      </c>
      <c r="U662" s="12">
        <f t="shared" si="268"/>
        <v>6010956.1600000001</v>
      </c>
      <c r="V662" s="97">
        <f t="shared" si="268"/>
        <v>2.1205479452054792E-2</v>
      </c>
      <c r="W662" s="13">
        <f t="shared" si="279"/>
        <v>354.0700203835616</v>
      </c>
      <c r="X662" s="13">
        <f t="shared" si="263"/>
        <v>102673.20691988984</v>
      </c>
      <c r="Y662" s="13">
        <f t="shared" si="280"/>
        <v>61.870762605783796</v>
      </c>
      <c r="AA662" s="11" t="s">
        <v>189</v>
      </c>
      <c r="AB662" s="98">
        <f t="shared" si="269"/>
        <v>15000000</v>
      </c>
      <c r="AC662" s="97">
        <f t="shared" si="269"/>
        <v>2.579E-2</v>
      </c>
      <c r="AD662" s="13">
        <f t="shared" si="281"/>
        <v>1074.5833333333333</v>
      </c>
      <c r="AE662" s="13">
        <f t="shared" si="282"/>
        <v>311629.16666666669</v>
      </c>
      <c r="AF662" s="13">
        <f t="shared" si="283"/>
        <v>345.41666666666663</v>
      </c>
      <c r="AH662" s="235">
        <f>'CT- € Ellipsis BNP'!X662</f>
        <v>0</v>
      </c>
      <c r="AI662" s="236">
        <f>'CT- € Ellipsis BNP'!AA662</f>
        <v>0</v>
      </c>
      <c r="AJ662" s="90">
        <f>'CT- € Ellipsis BNP'!W662</f>
        <v>0</v>
      </c>
      <c r="AK662" s="91">
        <f>'CT- € Ellipsis BNP'!AC662</f>
        <v>0</v>
      </c>
      <c r="AM662" s="235">
        <f>'codeis €'!Z662</f>
        <v>0</v>
      </c>
      <c r="AN662" s="236">
        <f>'codeis €'!AF662</f>
        <v>0</v>
      </c>
      <c r="AO662" s="90">
        <f>'codeis €'!AC662</f>
        <v>0</v>
      </c>
      <c r="AP662" s="91">
        <f>'codeis €'!AI662</f>
        <v>0</v>
      </c>
      <c r="AR662" s="12">
        <f t="shared" si="284"/>
        <v>67260956.159999996</v>
      </c>
      <c r="AS662" s="118">
        <f t="shared" si="285"/>
        <v>0.02</v>
      </c>
      <c r="AT662" s="118">
        <f t="shared" si="286"/>
        <v>2.0428995474183843E-2</v>
      </c>
      <c r="AU662" s="12">
        <f t="shared" si="287"/>
        <v>3816.871580505328</v>
      </c>
      <c r="AV662" s="12">
        <f t="shared" si="288"/>
        <v>547.24176717199384</v>
      </c>
      <c r="AW662" s="19"/>
    </row>
    <row r="663" spans="2:49" x14ac:dyDescent="0.25">
      <c r="B663" s="9" t="str">
        <f t="shared" si="271"/>
        <v>10 2026</v>
      </c>
      <c r="C663" s="88">
        <f t="shared" si="272"/>
        <v>46312</v>
      </c>
      <c r="D663" s="88">
        <f t="shared" si="265"/>
        <v>46313</v>
      </c>
      <c r="E663" s="89">
        <f t="shared" si="273"/>
        <v>1</v>
      </c>
      <c r="G663" s="11" t="s">
        <v>7</v>
      </c>
      <c r="H663" s="12">
        <f t="shared" ref="H663:I678" si="289">H662</f>
        <v>34250000</v>
      </c>
      <c r="I663" s="14">
        <f t="shared" si="289"/>
        <v>1.7500000000000002E-2</v>
      </c>
      <c r="J663" s="13">
        <f t="shared" si="274"/>
        <v>1664.9305555555557</v>
      </c>
      <c r="K663" s="13">
        <f t="shared" si="275"/>
        <v>393376.18055555678</v>
      </c>
      <c r="M663" s="11" t="s">
        <v>7</v>
      </c>
      <c r="N663" s="12">
        <f t="shared" si="270"/>
        <v>12000000</v>
      </c>
      <c r="O663" s="97">
        <f t="shared" si="270"/>
        <v>2.1698630136986304E-2</v>
      </c>
      <c r="P663" s="112">
        <f t="shared" si="276"/>
        <v>723.28767123287685</v>
      </c>
      <c r="Q663" s="13">
        <f t="shared" si="277"/>
        <v>210476.71232876802</v>
      </c>
      <c r="R663" s="13">
        <f t="shared" si="278"/>
        <v>139.95433789954348</v>
      </c>
      <c r="T663" s="11" t="str">
        <f t="shared" ref="T663:V678" si="290">T662</f>
        <v>SG</v>
      </c>
      <c r="U663" s="12">
        <f t="shared" si="290"/>
        <v>6010956.1600000001</v>
      </c>
      <c r="V663" s="97">
        <f t="shared" si="290"/>
        <v>2.1205479452054792E-2</v>
      </c>
      <c r="W663" s="13">
        <f t="shared" si="279"/>
        <v>354.0700203835616</v>
      </c>
      <c r="X663" s="13">
        <f t="shared" si="263"/>
        <v>103027.2769402734</v>
      </c>
      <c r="Y663" s="13">
        <f t="shared" si="280"/>
        <v>61.870762605783796</v>
      </c>
      <c r="AA663" s="11" t="s">
        <v>189</v>
      </c>
      <c r="AB663" s="98">
        <f t="shared" ref="AB663:AC678" si="291">AB662</f>
        <v>15000000</v>
      </c>
      <c r="AC663" s="97">
        <f t="shared" si="291"/>
        <v>2.579E-2</v>
      </c>
      <c r="AD663" s="13">
        <f t="shared" si="281"/>
        <v>1074.5833333333333</v>
      </c>
      <c r="AE663" s="13">
        <f t="shared" si="282"/>
        <v>312703.75</v>
      </c>
      <c r="AF663" s="13">
        <f t="shared" si="283"/>
        <v>345.41666666666663</v>
      </c>
      <c r="AH663" s="235">
        <f>'CT- € Ellipsis BNP'!X663</f>
        <v>0</v>
      </c>
      <c r="AI663" s="236">
        <f>'CT- € Ellipsis BNP'!AA663</f>
        <v>0</v>
      </c>
      <c r="AJ663" s="90">
        <f>'CT- € Ellipsis BNP'!W663</f>
        <v>0</v>
      </c>
      <c r="AK663" s="91">
        <f>'CT- € Ellipsis BNP'!AC663</f>
        <v>0</v>
      </c>
      <c r="AM663" s="235">
        <f>'codeis €'!Z663</f>
        <v>0</v>
      </c>
      <c r="AN663" s="236">
        <f>'codeis €'!AF663</f>
        <v>0</v>
      </c>
      <c r="AO663" s="90">
        <f>'codeis €'!AC663</f>
        <v>0</v>
      </c>
      <c r="AP663" s="91">
        <f>'codeis €'!AI663</f>
        <v>0</v>
      </c>
      <c r="AR663" s="12">
        <f t="shared" si="284"/>
        <v>67260956.159999996</v>
      </c>
      <c r="AS663" s="118">
        <f t="shared" si="285"/>
        <v>0.02</v>
      </c>
      <c r="AT663" s="118">
        <f t="shared" si="286"/>
        <v>2.0428995474183843E-2</v>
      </c>
      <c r="AU663" s="12">
        <f t="shared" si="287"/>
        <v>3816.871580505328</v>
      </c>
      <c r="AV663" s="12">
        <f t="shared" si="288"/>
        <v>547.24176717199384</v>
      </c>
      <c r="AW663" s="19"/>
    </row>
    <row r="664" spans="2:49" x14ac:dyDescent="0.25">
      <c r="B664" s="9" t="str">
        <f t="shared" si="271"/>
        <v>10 2026</v>
      </c>
      <c r="C664" s="88">
        <f t="shared" si="272"/>
        <v>46313</v>
      </c>
      <c r="D664" s="88">
        <f t="shared" si="265"/>
        <v>46314</v>
      </c>
      <c r="E664" s="89">
        <f t="shared" si="273"/>
        <v>1</v>
      </c>
      <c r="G664" s="11" t="s">
        <v>7</v>
      </c>
      <c r="H664" s="12">
        <f t="shared" si="289"/>
        <v>34250000</v>
      </c>
      <c r="I664" s="14">
        <f t="shared" si="289"/>
        <v>1.7500000000000002E-2</v>
      </c>
      <c r="J664" s="13">
        <f t="shared" si="274"/>
        <v>1664.9305555555557</v>
      </c>
      <c r="K664" s="13">
        <f t="shared" si="275"/>
        <v>395041.11111111235</v>
      </c>
      <c r="M664" s="11" t="s">
        <v>7</v>
      </c>
      <c r="N664" s="12">
        <f t="shared" ref="N664:O679" si="292">N663</f>
        <v>12000000</v>
      </c>
      <c r="O664" s="97">
        <f t="shared" si="292"/>
        <v>2.1698630136986304E-2</v>
      </c>
      <c r="P664" s="112">
        <f t="shared" si="276"/>
        <v>723.28767123287685</v>
      </c>
      <c r="Q664" s="13">
        <f t="shared" si="277"/>
        <v>211200.0000000009</v>
      </c>
      <c r="R664" s="13">
        <f t="shared" si="278"/>
        <v>139.95433789954348</v>
      </c>
      <c r="T664" s="11" t="str">
        <f t="shared" si="290"/>
        <v>SG</v>
      </c>
      <c r="U664" s="12">
        <f t="shared" si="290"/>
        <v>6010956.1600000001</v>
      </c>
      <c r="V664" s="97">
        <f t="shared" si="290"/>
        <v>2.1205479452054792E-2</v>
      </c>
      <c r="W664" s="13">
        <f t="shared" si="279"/>
        <v>354.0700203835616</v>
      </c>
      <c r="X664" s="13">
        <f t="shared" si="263"/>
        <v>103381.34696065696</v>
      </c>
      <c r="Y664" s="13">
        <f t="shared" si="280"/>
        <v>61.870762605783796</v>
      </c>
      <c r="AA664" s="11" t="s">
        <v>189</v>
      </c>
      <c r="AB664" s="98">
        <f t="shared" si="291"/>
        <v>15000000</v>
      </c>
      <c r="AC664" s="97">
        <f t="shared" si="291"/>
        <v>2.579E-2</v>
      </c>
      <c r="AD664" s="13">
        <f t="shared" si="281"/>
        <v>1074.5833333333333</v>
      </c>
      <c r="AE664" s="13">
        <f t="shared" si="282"/>
        <v>313778.33333333331</v>
      </c>
      <c r="AF664" s="13">
        <f t="shared" si="283"/>
        <v>345.41666666666663</v>
      </c>
      <c r="AH664" s="235">
        <f>'CT- € Ellipsis BNP'!X664</f>
        <v>0</v>
      </c>
      <c r="AI664" s="236">
        <f>'CT- € Ellipsis BNP'!AA664</f>
        <v>0</v>
      </c>
      <c r="AJ664" s="90">
        <f>'CT- € Ellipsis BNP'!W664</f>
        <v>0</v>
      </c>
      <c r="AK664" s="91">
        <f>'CT- € Ellipsis BNP'!AC664</f>
        <v>0</v>
      </c>
      <c r="AM664" s="235">
        <f>'codeis €'!Z664</f>
        <v>0</v>
      </c>
      <c r="AN664" s="236">
        <f>'codeis €'!AF664</f>
        <v>0</v>
      </c>
      <c r="AO664" s="90">
        <f>'codeis €'!AC664</f>
        <v>0</v>
      </c>
      <c r="AP664" s="91">
        <f>'codeis €'!AI664</f>
        <v>0</v>
      </c>
      <c r="AR664" s="12">
        <f t="shared" si="284"/>
        <v>67260956.159999996</v>
      </c>
      <c r="AS664" s="118">
        <f t="shared" si="285"/>
        <v>0.02</v>
      </c>
      <c r="AT664" s="118">
        <f t="shared" si="286"/>
        <v>2.0428995474183843E-2</v>
      </c>
      <c r="AU664" s="12">
        <f t="shared" si="287"/>
        <v>3816.871580505328</v>
      </c>
      <c r="AV664" s="12">
        <f t="shared" si="288"/>
        <v>547.24176717199384</v>
      </c>
      <c r="AW664" s="19"/>
    </row>
    <row r="665" spans="2:49" x14ac:dyDescent="0.25">
      <c r="B665" s="9" t="str">
        <f t="shared" si="271"/>
        <v>10 2026</v>
      </c>
      <c r="C665" s="88">
        <f t="shared" si="272"/>
        <v>46314</v>
      </c>
      <c r="D665" s="88">
        <f t="shared" si="265"/>
        <v>46315</v>
      </c>
      <c r="E665" s="89">
        <f t="shared" si="273"/>
        <v>1</v>
      </c>
      <c r="G665" s="11" t="s">
        <v>7</v>
      </c>
      <c r="H665" s="12">
        <f t="shared" si="289"/>
        <v>34250000</v>
      </c>
      <c r="I665" s="14">
        <f t="shared" si="289"/>
        <v>1.7500000000000002E-2</v>
      </c>
      <c r="J665" s="13">
        <f t="shared" si="274"/>
        <v>1664.9305555555557</v>
      </c>
      <c r="K665" s="13">
        <f t="shared" si="275"/>
        <v>396706.04166666791</v>
      </c>
      <c r="M665" s="11" t="s">
        <v>7</v>
      </c>
      <c r="N665" s="12">
        <f t="shared" si="292"/>
        <v>12000000</v>
      </c>
      <c r="O665" s="97">
        <f t="shared" si="292"/>
        <v>2.1698630136986304E-2</v>
      </c>
      <c r="P665" s="112">
        <f t="shared" si="276"/>
        <v>723.28767123287685</v>
      </c>
      <c r="Q665" s="13">
        <f t="shared" si="277"/>
        <v>211923.28767123379</v>
      </c>
      <c r="R665" s="13">
        <f t="shared" si="278"/>
        <v>139.95433789954348</v>
      </c>
      <c r="T665" s="11" t="str">
        <f t="shared" si="290"/>
        <v>SG</v>
      </c>
      <c r="U665" s="12">
        <f t="shared" si="290"/>
        <v>6010956.1600000001</v>
      </c>
      <c r="V665" s="97">
        <f t="shared" si="290"/>
        <v>2.1205479452054792E-2</v>
      </c>
      <c r="W665" s="13">
        <f t="shared" si="279"/>
        <v>354.0700203835616</v>
      </c>
      <c r="X665" s="13">
        <f t="shared" si="263"/>
        <v>103735.41698104051</v>
      </c>
      <c r="Y665" s="13">
        <f t="shared" si="280"/>
        <v>61.870762605783796</v>
      </c>
      <c r="AA665" s="11" t="s">
        <v>189</v>
      </c>
      <c r="AB665" s="98">
        <f t="shared" si="291"/>
        <v>15000000</v>
      </c>
      <c r="AC665" s="97">
        <f t="shared" si="291"/>
        <v>2.579E-2</v>
      </c>
      <c r="AD665" s="13">
        <f t="shared" si="281"/>
        <v>1074.5833333333333</v>
      </c>
      <c r="AE665" s="13">
        <f t="shared" si="282"/>
        <v>314852.91666666663</v>
      </c>
      <c r="AF665" s="13">
        <f t="shared" si="283"/>
        <v>345.41666666666663</v>
      </c>
      <c r="AH665" s="235">
        <f>'CT- € Ellipsis BNP'!X665</f>
        <v>0</v>
      </c>
      <c r="AI665" s="236">
        <f>'CT- € Ellipsis BNP'!AA665</f>
        <v>0</v>
      </c>
      <c r="AJ665" s="90">
        <f>'CT- € Ellipsis BNP'!W665</f>
        <v>0</v>
      </c>
      <c r="AK665" s="91">
        <f>'CT- € Ellipsis BNP'!AC665</f>
        <v>0</v>
      </c>
      <c r="AM665" s="235">
        <f>'codeis €'!Z665</f>
        <v>0</v>
      </c>
      <c r="AN665" s="236">
        <f>'codeis €'!AF665</f>
        <v>0</v>
      </c>
      <c r="AO665" s="90">
        <f>'codeis €'!AC665</f>
        <v>0</v>
      </c>
      <c r="AP665" s="91">
        <f>'codeis €'!AI665</f>
        <v>0</v>
      </c>
      <c r="AR665" s="12">
        <f t="shared" si="284"/>
        <v>67260956.159999996</v>
      </c>
      <c r="AS665" s="118">
        <f t="shared" si="285"/>
        <v>0.02</v>
      </c>
      <c r="AT665" s="118">
        <f t="shared" si="286"/>
        <v>2.0428995474183843E-2</v>
      </c>
      <c r="AU665" s="12">
        <f t="shared" si="287"/>
        <v>3816.871580505328</v>
      </c>
      <c r="AV665" s="12">
        <f t="shared" si="288"/>
        <v>547.24176717199384</v>
      </c>
      <c r="AW665" s="19"/>
    </row>
    <row r="666" spans="2:49" x14ac:dyDescent="0.25">
      <c r="B666" s="9" t="str">
        <f t="shared" si="271"/>
        <v>10 2026</v>
      </c>
      <c r="C666" s="88">
        <f t="shared" si="272"/>
        <v>46315</v>
      </c>
      <c r="D666" s="88">
        <f t="shared" si="265"/>
        <v>46316</v>
      </c>
      <c r="E666" s="89">
        <f t="shared" si="273"/>
        <v>1</v>
      </c>
      <c r="G666" s="11" t="s">
        <v>7</v>
      </c>
      <c r="H666" s="12">
        <f t="shared" si="289"/>
        <v>34250000</v>
      </c>
      <c r="I666" s="14">
        <f t="shared" si="289"/>
        <v>1.7500000000000002E-2</v>
      </c>
      <c r="J666" s="13">
        <f t="shared" si="274"/>
        <v>1664.9305555555557</v>
      </c>
      <c r="K666" s="13">
        <f t="shared" si="275"/>
        <v>398370.97222222347</v>
      </c>
      <c r="M666" s="11" t="s">
        <v>7</v>
      </c>
      <c r="N666" s="12">
        <f t="shared" si="292"/>
        <v>12000000</v>
      </c>
      <c r="O666" s="97">
        <f t="shared" si="292"/>
        <v>2.1698630136986304E-2</v>
      </c>
      <c r="P666" s="112">
        <f t="shared" si="276"/>
        <v>723.28767123287685</v>
      </c>
      <c r="Q666" s="13">
        <f t="shared" si="277"/>
        <v>212646.57534246668</v>
      </c>
      <c r="R666" s="13">
        <f t="shared" si="278"/>
        <v>139.95433789954348</v>
      </c>
      <c r="T666" s="11" t="str">
        <f t="shared" si="290"/>
        <v>SG</v>
      </c>
      <c r="U666" s="12">
        <f t="shared" si="290"/>
        <v>6010956.1600000001</v>
      </c>
      <c r="V666" s="97">
        <f t="shared" si="290"/>
        <v>2.1205479452054792E-2</v>
      </c>
      <c r="W666" s="13">
        <f t="shared" si="279"/>
        <v>354.0700203835616</v>
      </c>
      <c r="X666" s="13">
        <f t="shared" si="263"/>
        <v>104089.48700142407</v>
      </c>
      <c r="Y666" s="13">
        <f t="shared" si="280"/>
        <v>61.870762605783796</v>
      </c>
      <c r="AA666" s="11" t="s">
        <v>189</v>
      </c>
      <c r="AB666" s="98">
        <f t="shared" si="291"/>
        <v>15000000</v>
      </c>
      <c r="AC666" s="97">
        <f t="shared" si="291"/>
        <v>2.579E-2</v>
      </c>
      <c r="AD666" s="13">
        <f t="shared" si="281"/>
        <v>1074.5833333333333</v>
      </c>
      <c r="AE666" s="13">
        <f t="shared" si="282"/>
        <v>315927.49999999994</v>
      </c>
      <c r="AF666" s="13">
        <f t="shared" si="283"/>
        <v>345.41666666666663</v>
      </c>
      <c r="AH666" s="235">
        <f>'CT- € Ellipsis BNP'!X666</f>
        <v>0</v>
      </c>
      <c r="AI666" s="236">
        <f>'CT- € Ellipsis BNP'!AA666</f>
        <v>0</v>
      </c>
      <c r="AJ666" s="90">
        <f>'CT- € Ellipsis BNP'!W666</f>
        <v>0</v>
      </c>
      <c r="AK666" s="91">
        <f>'CT- € Ellipsis BNP'!AC666</f>
        <v>0</v>
      </c>
      <c r="AM666" s="235">
        <f>'codeis €'!Z666</f>
        <v>0</v>
      </c>
      <c r="AN666" s="236">
        <f>'codeis €'!AF666</f>
        <v>0</v>
      </c>
      <c r="AO666" s="90">
        <f>'codeis €'!AC666</f>
        <v>0</v>
      </c>
      <c r="AP666" s="91">
        <f>'codeis €'!AI666</f>
        <v>0</v>
      </c>
      <c r="AR666" s="12">
        <f t="shared" si="284"/>
        <v>67260956.159999996</v>
      </c>
      <c r="AS666" s="118">
        <f t="shared" si="285"/>
        <v>0.02</v>
      </c>
      <c r="AT666" s="118">
        <f t="shared" si="286"/>
        <v>2.0428995474183843E-2</v>
      </c>
      <c r="AU666" s="12">
        <f t="shared" si="287"/>
        <v>3816.871580505328</v>
      </c>
      <c r="AV666" s="12">
        <f t="shared" si="288"/>
        <v>547.24176717199384</v>
      </c>
      <c r="AW666" s="19"/>
    </row>
    <row r="667" spans="2:49" x14ac:dyDescent="0.25">
      <c r="B667" s="9" t="str">
        <f t="shared" si="271"/>
        <v>10 2026</v>
      </c>
      <c r="C667" s="88">
        <f t="shared" si="272"/>
        <v>46316</v>
      </c>
      <c r="D667" s="88">
        <f t="shared" si="265"/>
        <v>46317</v>
      </c>
      <c r="E667" s="89">
        <f t="shared" si="273"/>
        <v>1</v>
      </c>
      <c r="G667" s="11" t="s">
        <v>7</v>
      </c>
      <c r="H667" s="12">
        <f t="shared" si="289"/>
        <v>34250000</v>
      </c>
      <c r="I667" s="14">
        <f t="shared" si="289"/>
        <v>1.7500000000000002E-2</v>
      </c>
      <c r="J667" s="13">
        <f t="shared" si="274"/>
        <v>1664.9305555555557</v>
      </c>
      <c r="K667" s="13">
        <f t="shared" si="275"/>
        <v>400035.90277777903</v>
      </c>
      <c r="M667" s="11" t="s">
        <v>7</v>
      </c>
      <c r="N667" s="12">
        <f t="shared" si="292"/>
        <v>12000000</v>
      </c>
      <c r="O667" s="97">
        <f t="shared" si="292"/>
        <v>2.1698630136986304E-2</v>
      </c>
      <c r="P667" s="112">
        <f t="shared" si="276"/>
        <v>723.28767123287685</v>
      </c>
      <c r="Q667" s="13">
        <f t="shared" si="277"/>
        <v>213369.86301369956</v>
      </c>
      <c r="R667" s="13">
        <f t="shared" si="278"/>
        <v>139.95433789954348</v>
      </c>
      <c r="T667" s="11" t="str">
        <f t="shared" si="290"/>
        <v>SG</v>
      </c>
      <c r="U667" s="12">
        <f t="shared" si="290"/>
        <v>6010956.1600000001</v>
      </c>
      <c r="V667" s="97">
        <f t="shared" si="290"/>
        <v>2.1205479452054792E-2</v>
      </c>
      <c r="W667" s="13">
        <f t="shared" si="279"/>
        <v>354.0700203835616</v>
      </c>
      <c r="X667" s="13">
        <f t="shared" si="263"/>
        <v>104443.55702180763</v>
      </c>
      <c r="Y667" s="13">
        <f t="shared" si="280"/>
        <v>61.870762605783796</v>
      </c>
      <c r="AA667" s="11" t="s">
        <v>189</v>
      </c>
      <c r="AB667" s="98">
        <f t="shared" si="291"/>
        <v>15000000</v>
      </c>
      <c r="AC667" s="97">
        <f t="shared" si="291"/>
        <v>2.579E-2</v>
      </c>
      <c r="AD667" s="13">
        <f t="shared" si="281"/>
        <v>1074.5833333333333</v>
      </c>
      <c r="AE667" s="13">
        <f t="shared" si="282"/>
        <v>317002.08333333326</v>
      </c>
      <c r="AF667" s="13">
        <f t="shared" si="283"/>
        <v>345.41666666666663</v>
      </c>
      <c r="AH667" s="235">
        <f>'CT- € Ellipsis BNP'!X667</f>
        <v>0</v>
      </c>
      <c r="AI667" s="236">
        <f>'CT- € Ellipsis BNP'!AA667</f>
        <v>0</v>
      </c>
      <c r="AJ667" s="90">
        <f>'CT- € Ellipsis BNP'!W667</f>
        <v>0</v>
      </c>
      <c r="AK667" s="91">
        <f>'CT- € Ellipsis BNP'!AC667</f>
        <v>0</v>
      </c>
      <c r="AM667" s="235">
        <f>'codeis €'!Z667</f>
        <v>0</v>
      </c>
      <c r="AN667" s="236">
        <f>'codeis €'!AF667</f>
        <v>0</v>
      </c>
      <c r="AO667" s="90">
        <f>'codeis €'!AC667</f>
        <v>0</v>
      </c>
      <c r="AP667" s="91">
        <f>'codeis €'!AI667</f>
        <v>0</v>
      </c>
      <c r="AR667" s="12">
        <f t="shared" si="284"/>
        <v>67260956.159999996</v>
      </c>
      <c r="AS667" s="118">
        <f t="shared" si="285"/>
        <v>0.02</v>
      </c>
      <c r="AT667" s="118">
        <f t="shared" si="286"/>
        <v>2.0428995474183843E-2</v>
      </c>
      <c r="AU667" s="12">
        <f t="shared" si="287"/>
        <v>3816.871580505328</v>
      </c>
      <c r="AV667" s="12">
        <f t="shared" si="288"/>
        <v>547.24176717199384</v>
      </c>
      <c r="AW667" s="19"/>
    </row>
    <row r="668" spans="2:49" x14ac:dyDescent="0.25">
      <c r="B668" s="9" t="str">
        <f t="shared" si="271"/>
        <v>10 2026</v>
      </c>
      <c r="C668" s="88">
        <f t="shared" si="272"/>
        <v>46317</v>
      </c>
      <c r="D668" s="88">
        <f t="shared" si="265"/>
        <v>46318</v>
      </c>
      <c r="E668" s="89">
        <f t="shared" si="273"/>
        <v>1</v>
      </c>
      <c r="G668" s="11" t="s">
        <v>7</v>
      </c>
      <c r="H668" s="12">
        <f t="shared" si="289"/>
        <v>34250000</v>
      </c>
      <c r="I668" s="14">
        <f t="shared" si="289"/>
        <v>1.7500000000000002E-2</v>
      </c>
      <c r="J668" s="13">
        <f t="shared" si="274"/>
        <v>1664.9305555555557</v>
      </c>
      <c r="K668" s="13">
        <f t="shared" si="275"/>
        <v>401700.83333333459</v>
      </c>
      <c r="M668" s="11" t="s">
        <v>7</v>
      </c>
      <c r="N668" s="12">
        <f t="shared" si="292"/>
        <v>12000000</v>
      </c>
      <c r="O668" s="97">
        <f t="shared" si="292"/>
        <v>2.1698630136986304E-2</v>
      </c>
      <c r="P668" s="112">
        <f t="shared" si="276"/>
        <v>723.28767123287685</v>
      </c>
      <c r="Q668" s="13">
        <f t="shared" si="277"/>
        <v>214093.15068493245</v>
      </c>
      <c r="R668" s="13">
        <f t="shared" si="278"/>
        <v>139.95433789954348</v>
      </c>
      <c r="T668" s="11" t="str">
        <f t="shared" si="290"/>
        <v>SG</v>
      </c>
      <c r="U668" s="12">
        <f t="shared" si="290"/>
        <v>6010956.1600000001</v>
      </c>
      <c r="V668" s="97">
        <f t="shared" si="290"/>
        <v>2.1205479452054792E-2</v>
      </c>
      <c r="W668" s="13">
        <f t="shared" si="279"/>
        <v>354.0700203835616</v>
      </c>
      <c r="X668" s="13">
        <f t="shared" si="263"/>
        <v>104797.62704219119</v>
      </c>
      <c r="Y668" s="13">
        <f t="shared" si="280"/>
        <v>61.870762605783796</v>
      </c>
      <c r="AA668" s="11" t="s">
        <v>189</v>
      </c>
      <c r="AB668" s="98">
        <f t="shared" si="291"/>
        <v>15000000</v>
      </c>
      <c r="AC668" s="97">
        <f t="shared" si="291"/>
        <v>2.579E-2</v>
      </c>
      <c r="AD668" s="13">
        <f t="shared" si="281"/>
        <v>1074.5833333333333</v>
      </c>
      <c r="AE668" s="13">
        <f t="shared" si="282"/>
        <v>318076.66666666657</v>
      </c>
      <c r="AF668" s="13">
        <f t="shared" si="283"/>
        <v>345.41666666666663</v>
      </c>
      <c r="AH668" s="235">
        <f>'CT- € Ellipsis BNP'!X668</f>
        <v>0</v>
      </c>
      <c r="AI668" s="236">
        <f>'CT- € Ellipsis BNP'!AA668</f>
        <v>0</v>
      </c>
      <c r="AJ668" s="90">
        <f>'CT- € Ellipsis BNP'!W668</f>
        <v>0</v>
      </c>
      <c r="AK668" s="91">
        <f>'CT- € Ellipsis BNP'!AC668</f>
        <v>0</v>
      </c>
      <c r="AM668" s="235">
        <f>'codeis €'!Z668</f>
        <v>0</v>
      </c>
      <c r="AN668" s="236">
        <f>'codeis €'!AF668</f>
        <v>0</v>
      </c>
      <c r="AO668" s="90">
        <f>'codeis €'!AC668</f>
        <v>0</v>
      </c>
      <c r="AP668" s="91">
        <f>'codeis €'!AI668</f>
        <v>0</v>
      </c>
      <c r="AR668" s="12">
        <f t="shared" si="284"/>
        <v>67260956.159999996</v>
      </c>
      <c r="AS668" s="118">
        <f t="shared" si="285"/>
        <v>0.02</v>
      </c>
      <c r="AT668" s="118">
        <f t="shared" si="286"/>
        <v>2.0428995474183843E-2</v>
      </c>
      <c r="AU668" s="12">
        <f t="shared" si="287"/>
        <v>3816.871580505328</v>
      </c>
      <c r="AV668" s="12">
        <f t="shared" si="288"/>
        <v>547.24176717199384</v>
      </c>
      <c r="AW668" s="19"/>
    </row>
    <row r="669" spans="2:49" x14ac:dyDescent="0.25">
      <c r="B669" s="9" t="str">
        <f t="shared" si="271"/>
        <v>10 2026</v>
      </c>
      <c r="C669" s="88">
        <f t="shared" si="272"/>
        <v>46318</v>
      </c>
      <c r="D669" s="88">
        <f t="shared" si="265"/>
        <v>46319</v>
      </c>
      <c r="E669" s="89">
        <f t="shared" si="273"/>
        <v>1</v>
      </c>
      <c r="G669" s="11" t="s">
        <v>7</v>
      </c>
      <c r="H669" s="12">
        <f t="shared" si="289"/>
        <v>34250000</v>
      </c>
      <c r="I669" s="14">
        <f t="shared" si="289"/>
        <v>1.7500000000000002E-2</v>
      </c>
      <c r="J669" s="13">
        <f t="shared" si="274"/>
        <v>1664.9305555555557</v>
      </c>
      <c r="K669" s="13">
        <f t="shared" si="275"/>
        <v>403365.76388889016</v>
      </c>
      <c r="M669" s="11" t="s">
        <v>7</v>
      </c>
      <c r="N669" s="12">
        <f t="shared" si="292"/>
        <v>12000000</v>
      </c>
      <c r="O669" s="97">
        <f t="shared" si="292"/>
        <v>2.1698630136986304E-2</v>
      </c>
      <c r="P669" s="112">
        <f t="shared" si="276"/>
        <v>723.28767123287685</v>
      </c>
      <c r="Q669" s="13">
        <f t="shared" si="277"/>
        <v>214816.43835616534</v>
      </c>
      <c r="R669" s="13">
        <f t="shared" si="278"/>
        <v>139.95433789954348</v>
      </c>
      <c r="T669" s="11" t="str">
        <f t="shared" si="290"/>
        <v>SG</v>
      </c>
      <c r="U669" s="12">
        <f t="shared" si="290"/>
        <v>6010956.1600000001</v>
      </c>
      <c r="V669" s="97">
        <f t="shared" si="290"/>
        <v>2.1205479452054792E-2</v>
      </c>
      <c r="W669" s="13">
        <f t="shared" si="279"/>
        <v>354.0700203835616</v>
      </c>
      <c r="X669" s="13">
        <f t="shared" si="263"/>
        <v>105151.69706257475</v>
      </c>
      <c r="Y669" s="13">
        <f t="shared" si="280"/>
        <v>61.870762605783796</v>
      </c>
      <c r="AA669" s="11" t="s">
        <v>189</v>
      </c>
      <c r="AB669" s="98">
        <f t="shared" si="291"/>
        <v>15000000</v>
      </c>
      <c r="AC669" s="97">
        <f t="shared" si="291"/>
        <v>2.579E-2</v>
      </c>
      <c r="AD669" s="13">
        <f t="shared" si="281"/>
        <v>1074.5833333333333</v>
      </c>
      <c r="AE669" s="13">
        <f t="shared" si="282"/>
        <v>319151.24999999988</v>
      </c>
      <c r="AF669" s="13">
        <f t="shared" si="283"/>
        <v>345.41666666666663</v>
      </c>
      <c r="AH669" s="235">
        <f>'CT- € Ellipsis BNP'!X669</f>
        <v>0</v>
      </c>
      <c r="AI669" s="236">
        <f>'CT- € Ellipsis BNP'!AA669</f>
        <v>0</v>
      </c>
      <c r="AJ669" s="90">
        <f>'CT- € Ellipsis BNP'!W669</f>
        <v>0</v>
      </c>
      <c r="AK669" s="91">
        <f>'CT- € Ellipsis BNP'!AC669</f>
        <v>0</v>
      </c>
      <c r="AM669" s="235">
        <f>'codeis €'!Z669</f>
        <v>0</v>
      </c>
      <c r="AN669" s="236">
        <f>'codeis €'!AF669</f>
        <v>0</v>
      </c>
      <c r="AO669" s="90">
        <f>'codeis €'!AC669</f>
        <v>0</v>
      </c>
      <c r="AP669" s="91">
        <f>'codeis €'!AI669</f>
        <v>0</v>
      </c>
      <c r="AR669" s="12">
        <f t="shared" si="284"/>
        <v>67260956.159999996</v>
      </c>
      <c r="AS669" s="118">
        <f t="shared" si="285"/>
        <v>0.02</v>
      </c>
      <c r="AT669" s="118">
        <f t="shared" si="286"/>
        <v>2.0428995474183843E-2</v>
      </c>
      <c r="AU669" s="12">
        <f t="shared" si="287"/>
        <v>3816.871580505328</v>
      </c>
      <c r="AV669" s="12">
        <f t="shared" si="288"/>
        <v>547.24176717199384</v>
      </c>
      <c r="AW669" s="19"/>
    </row>
    <row r="670" spans="2:49" x14ac:dyDescent="0.25">
      <c r="B670" s="9" t="str">
        <f t="shared" si="271"/>
        <v>10 2026</v>
      </c>
      <c r="C670" s="88">
        <f t="shared" si="272"/>
        <v>46319</v>
      </c>
      <c r="D670" s="88">
        <f t="shared" si="265"/>
        <v>46320</v>
      </c>
      <c r="E670" s="89">
        <f t="shared" si="273"/>
        <v>1</v>
      </c>
      <c r="G670" s="11" t="s">
        <v>7</v>
      </c>
      <c r="H670" s="12">
        <f t="shared" si="289"/>
        <v>34250000</v>
      </c>
      <c r="I670" s="14">
        <f t="shared" si="289"/>
        <v>1.7500000000000002E-2</v>
      </c>
      <c r="J670" s="13">
        <f t="shared" si="274"/>
        <v>1664.9305555555557</v>
      </c>
      <c r="K670" s="13">
        <f t="shared" si="275"/>
        <v>405030.69444444572</v>
      </c>
      <c r="M670" s="11" t="s">
        <v>7</v>
      </c>
      <c r="N670" s="12">
        <f t="shared" si="292"/>
        <v>12000000</v>
      </c>
      <c r="O670" s="97">
        <f t="shared" si="292"/>
        <v>2.1698630136986304E-2</v>
      </c>
      <c r="P670" s="112">
        <f t="shared" si="276"/>
        <v>723.28767123287685</v>
      </c>
      <c r="Q670" s="13">
        <f t="shared" si="277"/>
        <v>215539.72602739822</v>
      </c>
      <c r="R670" s="13">
        <f t="shared" si="278"/>
        <v>139.95433789954348</v>
      </c>
      <c r="T670" s="11" t="str">
        <f t="shared" si="290"/>
        <v>SG</v>
      </c>
      <c r="U670" s="12">
        <f t="shared" si="290"/>
        <v>6010956.1600000001</v>
      </c>
      <c r="V670" s="97">
        <f t="shared" si="290"/>
        <v>2.1205479452054792E-2</v>
      </c>
      <c r="W670" s="13">
        <f t="shared" si="279"/>
        <v>354.0700203835616</v>
      </c>
      <c r="X670" s="13">
        <f t="shared" si="263"/>
        <v>105505.76708295831</v>
      </c>
      <c r="Y670" s="13">
        <f t="shared" si="280"/>
        <v>61.870762605783796</v>
      </c>
      <c r="AA670" s="11" t="s">
        <v>189</v>
      </c>
      <c r="AB670" s="98">
        <f t="shared" si="291"/>
        <v>15000000</v>
      </c>
      <c r="AC670" s="97">
        <f t="shared" si="291"/>
        <v>2.579E-2</v>
      </c>
      <c r="AD670" s="13">
        <f t="shared" si="281"/>
        <v>1074.5833333333333</v>
      </c>
      <c r="AE670" s="13">
        <f t="shared" si="282"/>
        <v>320225.8333333332</v>
      </c>
      <c r="AF670" s="13">
        <f t="shared" si="283"/>
        <v>345.41666666666663</v>
      </c>
      <c r="AH670" s="235">
        <f>'CT- € Ellipsis BNP'!X670</f>
        <v>0</v>
      </c>
      <c r="AI670" s="236">
        <f>'CT- € Ellipsis BNP'!AA670</f>
        <v>0</v>
      </c>
      <c r="AJ670" s="90">
        <f>'CT- € Ellipsis BNP'!W670</f>
        <v>0</v>
      </c>
      <c r="AK670" s="91">
        <f>'CT- € Ellipsis BNP'!AC670</f>
        <v>0</v>
      </c>
      <c r="AM670" s="235">
        <f>'codeis €'!Z670</f>
        <v>0</v>
      </c>
      <c r="AN670" s="236">
        <f>'codeis €'!AF670</f>
        <v>0</v>
      </c>
      <c r="AO670" s="90">
        <f>'codeis €'!AC670</f>
        <v>0</v>
      </c>
      <c r="AP670" s="91">
        <f>'codeis €'!AI670</f>
        <v>0</v>
      </c>
      <c r="AR670" s="12">
        <f t="shared" si="284"/>
        <v>67260956.159999996</v>
      </c>
      <c r="AS670" s="118">
        <f t="shared" si="285"/>
        <v>0.02</v>
      </c>
      <c r="AT670" s="118">
        <f t="shared" si="286"/>
        <v>2.0428995474183843E-2</v>
      </c>
      <c r="AU670" s="12">
        <f t="shared" si="287"/>
        <v>3816.871580505328</v>
      </c>
      <c r="AV670" s="12">
        <f t="shared" si="288"/>
        <v>547.24176717199384</v>
      </c>
      <c r="AW670" s="19"/>
    </row>
    <row r="671" spans="2:49" x14ac:dyDescent="0.25">
      <c r="B671" s="9" t="str">
        <f t="shared" si="271"/>
        <v>10 2026</v>
      </c>
      <c r="C671" s="88">
        <f t="shared" si="272"/>
        <v>46320</v>
      </c>
      <c r="D671" s="88">
        <f t="shared" si="265"/>
        <v>46321</v>
      </c>
      <c r="E671" s="89">
        <f t="shared" si="273"/>
        <v>1</v>
      </c>
      <c r="G671" s="11" t="s">
        <v>7</v>
      </c>
      <c r="H671" s="12">
        <f t="shared" si="289"/>
        <v>34250000</v>
      </c>
      <c r="I671" s="14">
        <f t="shared" si="289"/>
        <v>1.7500000000000002E-2</v>
      </c>
      <c r="J671" s="13">
        <f t="shared" si="274"/>
        <v>1664.9305555555557</v>
      </c>
      <c r="K671" s="13">
        <f t="shared" si="275"/>
        <v>406695.62500000128</v>
      </c>
      <c r="M671" s="11" t="s">
        <v>7</v>
      </c>
      <c r="N671" s="12">
        <f t="shared" si="292"/>
        <v>12000000</v>
      </c>
      <c r="O671" s="97">
        <f t="shared" si="292"/>
        <v>2.1698630136986304E-2</v>
      </c>
      <c r="P671" s="112">
        <f t="shared" si="276"/>
        <v>723.28767123287685</v>
      </c>
      <c r="Q671" s="13">
        <f t="shared" si="277"/>
        <v>216263.01369863111</v>
      </c>
      <c r="R671" s="13">
        <f t="shared" si="278"/>
        <v>139.95433789954348</v>
      </c>
      <c r="T671" s="11" t="str">
        <f t="shared" si="290"/>
        <v>SG</v>
      </c>
      <c r="U671" s="12">
        <f t="shared" si="290"/>
        <v>6010956.1600000001</v>
      </c>
      <c r="V671" s="97">
        <f t="shared" si="290"/>
        <v>2.1205479452054792E-2</v>
      </c>
      <c r="W671" s="13">
        <f t="shared" si="279"/>
        <v>354.0700203835616</v>
      </c>
      <c r="X671" s="13">
        <f t="shared" si="263"/>
        <v>105859.83710334187</v>
      </c>
      <c r="Y671" s="13">
        <f t="shared" si="280"/>
        <v>61.870762605783796</v>
      </c>
      <c r="AA671" s="11" t="s">
        <v>189</v>
      </c>
      <c r="AB671" s="98">
        <f t="shared" si="291"/>
        <v>15000000</v>
      </c>
      <c r="AC671" s="97">
        <f t="shared" si="291"/>
        <v>2.579E-2</v>
      </c>
      <c r="AD671" s="13">
        <f t="shared" si="281"/>
        <v>1074.5833333333333</v>
      </c>
      <c r="AE671" s="13">
        <f t="shared" si="282"/>
        <v>321300.41666666651</v>
      </c>
      <c r="AF671" s="13">
        <f t="shared" si="283"/>
        <v>345.41666666666663</v>
      </c>
      <c r="AH671" s="235">
        <f>'CT- € Ellipsis BNP'!X671</f>
        <v>0</v>
      </c>
      <c r="AI671" s="236">
        <f>'CT- € Ellipsis BNP'!AA671</f>
        <v>0</v>
      </c>
      <c r="AJ671" s="90">
        <f>'CT- € Ellipsis BNP'!W671</f>
        <v>0</v>
      </c>
      <c r="AK671" s="91">
        <f>'CT- € Ellipsis BNP'!AC671</f>
        <v>0</v>
      </c>
      <c r="AM671" s="235">
        <f>'codeis €'!Z671</f>
        <v>0</v>
      </c>
      <c r="AN671" s="236">
        <f>'codeis €'!AF671</f>
        <v>0</v>
      </c>
      <c r="AO671" s="90">
        <f>'codeis €'!AC671</f>
        <v>0</v>
      </c>
      <c r="AP671" s="91">
        <f>'codeis €'!AI671</f>
        <v>0</v>
      </c>
      <c r="AR671" s="12">
        <f t="shared" si="284"/>
        <v>67260956.159999996</v>
      </c>
      <c r="AS671" s="118">
        <f t="shared" si="285"/>
        <v>0.02</v>
      </c>
      <c r="AT671" s="118">
        <f t="shared" si="286"/>
        <v>2.0428995474183843E-2</v>
      </c>
      <c r="AU671" s="12">
        <f t="shared" si="287"/>
        <v>3816.871580505328</v>
      </c>
      <c r="AV671" s="12">
        <f t="shared" si="288"/>
        <v>547.24176717199384</v>
      </c>
      <c r="AW671" s="19"/>
    </row>
    <row r="672" spans="2:49" x14ac:dyDescent="0.25">
      <c r="B672" s="9" t="str">
        <f t="shared" si="271"/>
        <v>10 2026</v>
      </c>
      <c r="C672" s="88">
        <f t="shared" si="272"/>
        <v>46321</v>
      </c>
      <c r="D672" s="88">
        <f t="shared" si="265"/>
        <v>46322</v>
      </c>
      <c r="E672" s="89">
        <f t="shared" si="273"/>
        <v>1</v>
      </c>
      <c r="G672" s="11" t="s">
        <v>7</v>
      </c>
      <c r="H672" s="12">
        <f t="shared" si="289"/>
        <v>34250000</v>
      </c>
      <c r="I672" s="14">
        <f t="shared" si="289"/>
        <v>1.7500000000000002E-2</v>
      </c>
      <c r="J672" s="13">
        <f t="shared" si="274"/>
        <v>1664.9305555555557</v>
      </c>
      <c r="K672" s="13">
        <f t="shared" si="275"/>
        <v>408360.55555555684</v>
      </c>
      <c r="M672" s="11" t="s">
        <v>7</v>
      </c>
      <c r="N672" s="12">
        <f t="shared" si="292"/>
        <v>12000000</v>
      </c>
      <c r="O672" s="97">
        <f t="shared" si="292"/>
        <v>2.1698630136986304E-2</v>
      </c>
      <c r="P672" s="112">
        <f t="shared" si="276"/>
        <v>723.28767123287685</v>
      </c>
      <c r="Q672" s="13">
        <f t="shared" si="277"/>
        <v>216986.301369864</v>
      </c>
      <c r="R672" s="13">
        <f t="shared" si="278"/>
        <v>139.95433789954348</v>
      </c>
      <c r="T672" s="11" t="str">
        <f t="shared" si="290"/>
        <v>SG</v>
      </c>
      <c r="U672" s="12">
        <f t="shared" si="290"/>
        <v>6010956.1600000001</v>
      </c>
      <c r="V672" s="97">
        <f t="shared" si="290"/>
        <v>2.1205479452054792E-2</v>
      </c>
      <c r="W672" s="13">
        <f t="shared" si="279"/>
        <v>354.0700203835616</v>
      </c>
      <c r="X672" s="13">
        <f t="shared" si="263"/>
        <v>106213.90712372542</v>
      </c>
      <c r="Y672" s="13">
        <f t="shared" si="280"/>
        <v>61.870762605783796</v>
      </c>
      <c r="AA672" s="11" t="s">
        <v>189</v>
      </c>
      <c r="AB672" s="98">
        <f t="shared" si="291"/>
        <v>15000000</v>
      </c>
      <c r="AC672" s="97">
        <f t="shared" si="291"/>
        <v>2.579E-2</v>
      </c>
      <c r="AD672" s="13">
        <f t="shared" si="281"/>
        <v>1074.5833333333333</v>
      </c>
      <c r="AE672" s="13">
        <f t="shared" si="282"/>
        <v>322374.99999999983</v>
      </c>
      <c r="AF672" s="13">
        <f t="shared" si="283"/>
        <v>345.41666666666663</v>
      </c>
      <c r="AH672" s="235">
        <f>'CT- € Ellipsis BNP'!X672</f>
        <v>0</v>
      </c>
      <c r="AI672" s="236">
        <f>'CT- € Ellipsis BNP'!AA672</f>
        <v>0</v>
      </c>
      <c r="AJ672" s="90">
        <f>'CT- € Ellipsis BNP'!W672</f>
        <v>0</v>
      </c>
      <c r="AK672" s="91">
        <f>'CT- € Ellipsis BNP'!AC672</f>
        <v>0</v>
      </c>
      <c r="AM672" s="235">
        <f>'codeis €'!Z672</f>
        <v>0</v>
      </c>
      <c r="AN672" s="236">
        <f>'codeis €'!AF672</f>
        <v>0</v>
      </c>
      <c r="AO672" s="90">
        <f>'codeis €'!AC672</f>
        <v>0</v>
      </c>
      <c r="AP672" s="91">
        <f>'codeis €'!AI672</f>
        <v>0</v>
      </c>
      <c r="AR672" s="12">
        <f t="shared" si="284"/>
        <v>67260956.159999996</v>
      </c>
      <c r="AS672" s="118">
        <f t="shared" si="285"/>
        <v>0.02</v>
      </c>
      <c r="AT672" s="118">
        <f t="shared" si="286"/>
        <v>2.0428995474183843E-2</v>
      </c>
      <c r="AU672" s="12">
        <f t="shared" si="287"/>
        <v>3816.871580505328</v>
      </c>
      <c r="AV672" s="12">
        <f t="shared" si="288"/>
        <v>547.24176717199384</v>
      </c>
      <c r="AW672" s="19"/>
    </row>
    <row r="673" spans="2:49" x14ac:dyDescent="0.25">
      <c r="B673" s="9" t="str">
        <f t="shared" si="271"/>
        <v>10 2026</v>
      </c>
      <c r="C673" s="88">
        <f t="shared" si="272"/>
        <v>46322</v>
      </c>
      <c r="D673" s="88">
        <f t="shared" si="265"/>
        <v>46323</v>
      </c>
      <c r="E673" s="89">
        <f t="shared" si="273"/>
        <v>1</v>
      </c>
      <c r="G673" s="11" t="s">
        <v>7</v>
      </c>
      <c r="H673" s="12">
        <f t="shared" si="289"/>
        <v>34250000</v>
      </c>
      <c r="I673" s="14">
        <f t="shared" si="289"/>
        <v>1.7500000000000002E-2</v>
      </c>
      <c r="J673" s="13">
        <f t="shared" si="274"/>
        <v>1664.9305555555557</v>
      </c>
      <c r="K673" s="13">
        <f t="shared" si="275"/>
        <v>410025.4861111124</v>
      </c>
      <c r="M673" s="11" t="s">
        <v>7</v>
      </c>
      <c r="N673" s="12">
        <f t="shared" si="292"/>
        <v>12000000</v>
      </c>
      <c r="O673" s="97">
        <f t="shared" si="292"/>
        <v>2.1698630136986304E-2</v>
      </c>
      <c r="P673" s="112">
        <f t="shared" si="276"/>
        <v>723.28767123287685</v>
      </c>
      <c r="Q673" s="13">
        <f t="shared" si="277"/>
        <v>217709.58904109689</v>
      </c>
      <c r="R673" s="13">
        <f t="shared" si="278"/>
        <v>139.95433789954348</v>
      </c>
      <c r="T673" s="11" t="str">
        <f t="shared" si="290"/>
        <v>SG</v>
      </c>
      <c r="U673" s="12">
        <f t="shared" si="290"/>
        <v>6010956.1600000001</v>
      </c>
      <c r="V673" s="97">
        <f t="shared" si="290"/>
        <v>2.1205479452054792E-2</v>
      </c>
      <c r="W673" s="13">
        <f t="shared" si="279"/>
        <v>354.0700203835616</v>
      </c>
      <c r="X673" s="13">
        <f t="shared" si="263"/>
        <v>106567.97714410898</v>
      </c>
      <c r="Y673" s="13">
        <f t="shared" si="280"/>
        <v>61.870762605783796</v>
      </c>
      <c r="AA673" s="11" t="s">
        <v>189</v>
      </c>
      <c r="AB673" s="98">
        <f t="shared" si="291"/>
        <v>15000000</v>
      </c>
      <c r="AC673" s="97">
        <f t="shared" si="291"/>
        <v>2.579E-2</v>
      </c>
      <c r="AD673" s="13">
        <f t="shared" si="281"/>
        <v>1074.5833333333333</v>
      </c>
      <c r="AE673" s="13">
        <f t="shared" si="282"/>
        <v>323449.58333333314</v>
      </c>
      <c r="AF673" s="13">
        <f t="shared" si="283"/>
        <v>345.41666666666663</v>
      </c>
      <c r="AH673" s="235">
        <f>'CT- € Ellipsis BNP'!X673</f>
        <v>0</v>
      </c>
      <c r="AI673" s="236">
        <f>'CT- € Ellipsis BNP'!AA673</f>
        <v>0</v>
      </c>
      <c r="AJ673" s="90">
        <f>'CT- € Ellipsis BNP'!W673</f>
        <v>0</v>
      </c>
      <c r="AK673" s="91">
        <f>'CT- € Ellipsis BNP'!AC673</f>
        <v>0</v>
      </c>
      <c r="AM673" s="235">
        <f>'codeis €'!Z673</f>
        <v>0</v>
      </c>
      <c r="AN673" s="236">
        <f>'codeis €'!AF673</f>
        <v>0</v>
      </c>
      <c r="AO673" s="90">
        <f>'codeis €'!AC673</f>
        <v>0</v>
      </c>
      <c r="AP673" s="91">
        <f>'codeis €'!AI673</f>
        <v>0</v>
      </c>
      <c r="AR673" s="12">
        <f t="shared" si="284"/>
        <v>67260956.159999996</v>
      </c>
      <c r="AS673" s="118">
        <f t="shared" si="285"/>
        <v>0.02</v>
      </c>
      <c r="AT673" s="118">
        <f t="shared" si="286"/>
        <v>2.0428995474183843E-2</v>
      </c>
      <c r="AU673" s="12">
        <f t="shared" si="287"/>
        <v>3816.871580505328</v>
      </c>
      <c r="AV673" s="12">
        <f t="shared" si="288"/>
        <v>547.24176717199384</v>
      </c>
      <c r="AW673" s="19"/>
    </row>
    <row r="674" spans="2:49" x14ac:dyDescent="0.25">
      <c r="B674" s="9" t="str">
        <f t="shared" si="271"/>
        <v>10 2026</v>
      </c>
      <c r="C674" s="88">
        <f t="shared" si="272"/>
        <v>46323</v>
      </c>
      <c r="D674" s="88">
        <f t="shared" si="265"/>
        <v>46324</v>
      </c>
      <c r="E674" s="89">
        <f t="shared" si="273"/>
        <v>1</v>
      </c>
      <c r="G674" s="11" t="s">
        <v>7</v>
      </c>
      <c r="H674" s="12">
        <f t="shared" si="289"/>
        <v>34250000</v>
      </c>
      <c r="I674" s="14">
        <f t="shared" si="289"/>
        <v>1.7500000000000002E-2</v>
      </c>
      <c r="J674" s="13">
        <f t="shared" si="274"/>
        <v>1664.9305555555557</v>
      </c>
      <c r="K674" s="13">
        <f t="shared" si="275"/>
        <v>411690.41666666797</v>
      </c>
      <c r="M674" s="11" t="s">
        <v>7</v>
      </c>
      <c r="N674" s="12">
        <f t="shared" si="292"/>
        <v>12000000</v>
      </c>
      <c r="O674" s="97">
        <f t="shared" si="292"/>
        <v>2.1698630136986304E-2</v>
      </c>
      <c r="P674" s="112">
        <f t="shared" si="276"/>
        <v>723.28767123287685</v>
      </c>
      <c r="Q674" s="13">
        <f t="shared" si="277"/>
        <v>218432.87671232977</v>
      </c>
      <c r="R674" s="13">
        <f t="shared" si="278"/>
        <v>139.95433789954348</v>
      </c>
      <c r="T674" s="11" t="str">
        <f t="shared" si="290"/>
        <v>SG</v>
      </c>
      <c r="U674" s="12">
        <f t="shared" si="290"/>
        <v>6010956.1600000001</v>
      </c>
      <c r="V674" s="97">
        <f t="shared" si="290"/>
        <v>2.1205479452054792E-2</v>
      </c>
      <c r="W674" s="13">
        <f t="shared" si="279"/>
        <v>354.0700203835616</v>
      </c>
      <c r="X674" s="13">
        <f t="shared" si="263"/>
        <v>106922.04716449254</v>
      </c>
      <c r="Y674" s="13">
        <f t="shared" si="280"/>
        <v>61.870762605783796</v>
      </c>
      <c r="AA674" s="11" t="s">
        <v>189</v>
      </c>
      <c r="AB674" s="98">
        <f t="shared" si="291"/>
        <v>15000000</v>
      </c>
      <c r="AC674" s="97">
        <f t="shared" si="291"/>
        <v>2.579E-2</v>
      </c>
      <c r="AD674" s="13">
        <f t="shared" si="281"/>
        <v>1074.5833333333333</v>
      </c>
      <c r="AE674" s="13">
        <f t="shared" si="282"/>
        <v>324524.16666666645</v>
      </c>
      <c r="AF674" s="13">
        <f t="shared" si="283"/>
        <v>345.41666666666663</v>
      </c>
      <c r="AH674" s="235">
        <f>'CT- € Ellipsis BNP'!X674</f>
        <v>0</v>
      </c>
      <c r="AI674" s="236">
        <f>'CT- € Ellipsis BNP'!AA674</f>
        <v>0</v>
      </c>
      <c r="AJ674" s="90">
        <f>'CT- € Ellipsis BNP'!W674</f>
        <v>0</v>
      </c>
      <c r="AK674" s="91">
        <f>'CT- € Ellipsis BNP'!AC674</f>
        <v>0</v>
      </c>
      <c r="AM674" s="235">
        <f>'codeis €'!Z674</f>
        <v>0</v>
      </c>
      <c r="AN674" s="236">
        <f>'codeis €'!AF674</f>
        <v>0</v>
      </c>
      <c r="AO674" s="90">
        <f>'codeis €'!AC674</f>
        <v>0</v>
      </c>
      <c r="AP674" s="91">
        <f>'codeis €'!AI674</f>
        <v>0</v>
      </c>
      <c r="AR674" s="12">
        <f t="shared" si="284"/>
        <v>67260956.159999996</v>
      </c>
      <c r="AS674" s="118">
        <f t="shared" si="285"/>
        <v>0.02</v>
      </c>
      <c r="AT674" s="118">
        <f t="shared" si="286"/>
        <v>2.0428995474183843E-2</v>
      </c>
      <c r="AU674" s="12">
        <f t="shared" si="287"/>
        <v>3816.871580505328</v>
      </c>
      <c r="AV674" s="12">
        <f t="shared" si="288"/>
        <v>547.24176717199384</v>
      </c>
      <c r="AW674" s="19"/>
    </row>
    <row r="675" spans="2:49" x14ac:dyDescent="0.25">
      <c r="B675" s="9" t="str">
        <f t="shared" si="271"/>
        <v>10 2026</v>
      </c>
      <c r="C675" s="88">
        <f t="shared" si="272"/>
        <v>46324</v>
      </c>
      <c r="D675" s="88">
        <f t="shared" si="265"/>
        <v>46325</v>
      </c>
      <c r="E675" s="89">
        <f t="shared" si="273"/>
        <v>1</v>
      </c>
      <c r="G675" s="11" t="s">
        <v>7</v>
      </c>
      <c r="H675" s="12">
        <f t="shared" si="289"/>
        <v>34250000</v>
      </c>
      <c r="I675" s="14">
        <f t="shared" si="289"/>
        <v>1.7500000000000002E-2</v>
      </c>
      <c r="J675" s="13">
        <f t="shared" si="274"/>
        <v>1664.9305555555557</v>
      </c>
      <c r="K675" s="13">
        <f t="shared" si="275"/>
        <v>413355.34722222353</v>
      </c>
      <c r="M675" s="11" t="s">
        <v>7</v>
      </c>
      <c r="N675" s="12">
        <f t="shared" si="292"/>
        <v>12000000</v>
      </c>
      <c r="O675" s="97">
        <f t="shared" si="292"/>
        <v>2.1698630136986304E-2</v>
      </c>
      <c r="P675" s="112">
        <f t="shared" si="276"/>
        <v>723.28767123287685</v>
      </c>
      <c r="Q675" s="13">
        <f t="shared" si="277"/>
        <v>219156.16438356266</v>
      </c>
      <c r="R675" s="13">
        <f t="shared" si="278"/>
        <v>139.95433789954348</v>
      </c>
      <c r="T675" s="11" t="str">
        <f t="shared" si="290"/>
        <v>SG</v>
      </c>
      <c r="U675" s="12">
        <f t="shared" si="290"/>
        <v>6010956.1600000001</v>
      </c>
      <c r="V675" s="97">
        <f t="shared" si="290"/>
        <v>2.1205479452054792E-2</v>
      </c>
      <c r="W675" s="13">
        <f t="shared" si="279"/>
        <v>354.0700203835616</v>
      </c>
      <c r="X675" s="13">
        <f t="shared" si="263"/>
        <v>107276.1171848761</v>
      </c>
      <c r="Y675" s="13">
        <f t="shared" si="280"/>
        <v>61.870762605783796</v>
      </c>
      <c r="AA675" s="11" t="s">
        <v>189</v>
      </c>
      <c r="AB675" s="98">
        <f t="shared" si="291"/>
        <v>15000000</v>
      </c>
      <c r="AC675" s="97">
        <f t="shared" si="291"/>
        <v>2.579E-2</v>
      </c>
      <c r="AD675" s="13">
        <f t="shared" si="281"/>
        <v>1074.5833333333333</v>
      </c>
      <c r="AE675" s="13">
        <f t="shared" si="282"/>
        <v>325598.74999999977</v>
      </c>
      <c r="AF675" s="13">
        <f t="shared" si="283"/>
        <v>345.41666666666663</v>
      </c>
      <c r="AH675" s="235">
        <f>'CT- € Ellipsis BNP'!X675</f>
        <v>0</v>
      </c>
      <c r="AI675" s="236">
        <f>'CT- € Ellipsis BNP'!AA675</f>
        <v>0</v>
      </c>
      <c r="AJ675" s="90">
        <f>'CT- € Ellipsis BNP'!W675</f>
        <v>0</v>
      </c>
      <c r="AK675" s="91">
        <f>'CT- € Ellipsis BNP'!AC675</f>
        <v>0</v>
      </c>
      <c r="AM675" s="235">
        <f>'codeis €'!Z675</f>
        <v>0</v>
      </c>
      <c r="AN675" s="236">
        <f>'codeis €'!AF675</f>
        <v>0</v>
      </c>
      <c r="AO675" s="90">
        <f>'codeis €'!AC675</f>
        <v>0</v>
      </c>
      <c r="AP675" s="91">
        <f>'codeis €'!AI675</f>
        <v>0</v>
      </c>
      <c r="AR675" s="12">
        <f t="shared" si="284"/>
        <v>67260956.159999996</v>
      </c>
      <c r="AS675" s="118">
        <f t="shared" si="285"/>
        <v>0.02</v>
      </c>
      <c r="AT675" s="118">
        <f t="shared" si="286"/>
        <v>2.0428995474183843E-2</v>
      </c>
      <c r="AU675" s="12">
        <f t="shared" si="287"/>
        <v>3816.871580505328</v>
      </c>
      <c r="AV675" s="12">
        <f t="shared" si="288"/>
        <v>547.24176717199384</v>
      </c>
      <c r="AW675" s="19"/>
    </row>
    <row r="676" spans="2:49" x14ac:dyDescent="0.25">
      <c r="B676" s="9" t="str">
        <f t="shared" si="271"/>
        <v>10 2026</v>
      </c>
      <c r="C676" s="88">
        <f t="shared" si="272"/>
        <v>46325</v>
      </c>
      <c r="D676" s="88">
        <f t="shared" si="265"/>
        <v>46326</v>
      </c>
      <c r="E676" s="89">
        <f t="shared" si="273"/>
        <v>1</v>
      </c>
      <c r="G676" s="11" t="s">
        <v>7</v>
      </c>
      <c r="H676" s="12">
        <f t="shared" si="289"/>
        <v>34250000</v>
      </c>
      <c r="I676" s="14">
        <f t="shared" si="289"/>
        <v>1.7500000000000002E-2</v>
      </c>
      <c r="J676" s="13">
        <f t="shared" si="274"/>
        <v>1664.9305555555557</v>
      </c>
      <c r="K676" s="13">
        <f t="shared" si="275"/>
        <v>415020.27777777909</v>
      </c>
      <c r="M676" s="11" t="s">
        <v>7</v>
      </c>
      <c r="N676" s="12">
        <f t="shared" si="292"/>
        <v>12000000</v>
      </c>
      <c r="O676" s="97">
        <f t="shared" si="292"/>
        <v>2.1698630136986304E-2</v>
      </c>
      <c r="P676" s="112">
        <f t="shared" si="276"/>
        <v>723.28767123287685</v>
      </c>
      <c r="Q676" s="13">
        <f t="shared" si="277"/>
        <v>219879.45205479555</v>
      </c>
      <c r="R676" s="13">
        <f t="shared" si="278"/>
        <v>139.95433789954348</v>
      </c>
      <c r="T676" s="11" t="str">
        <f t="shared" si="290"/>
        <v>SG</v>
      </c>
      <c r="U676" s="12">
        <f t="shared" si="290"/>
        <v>6010956.1600000001</v>
      </c>
      <c r="V676" s="97">
        <f t="shared" si="290"/>
        <v>2.1205479452054792E-2</v>
      </c>
      <c r="W676" s="13">
        <f t="shared" si="279"/>
        <v>354.0700203835616</v>
      </c>
      <c r="X676" s="13">
        <f t="shared" si="263"/>
        <v>107630.18720525966</v>
      </c>
      <c r="Y676" s="13">
        <f t="shared" si="280"/>
        <v>61.870762605783796</v>
      </c>
      <c r="AA676" s="11" t="s">
        <v>189</v>
      </c>
      <c r="AB676" s="98">
        <f t="shared" si="291"/>
        <v>15000000</v>
      </c>
      <c r="AC676" s="97">
        <f t="shared" si="291"/>
        <v>2.579E-2</v>
      </c>
      <c r="AD676" s="13">
        <f t="shared" si="281"/>
        <v>1074.5833333333333</v>
      </c>
      <c r="AE676" s="13">
        <f t="shared" si="282"/>
        <v>326673.33333333308</v>
      </c>
      <c r="AF676" s="13">
        <f t="shared" si="283"/>
        <v>345.41666666666663</v>
      </c>
      <c r="AH676" s="235">
        <f>'CT- € Ellipsis BNP'!X676</f>
        <v>0</v>
      </c>
      <c r="AI676" s="236">
        <f>'CT- € Ellipsis BNP'!AA676</f>
        <v>0</v>
      </c>
      <c r="AJ676" s="90">
        <f>'CT- € Ellipsis BNP'!W676</f>
        <v>0</v>
      </c>
      <c r="AK676" s="91">
        <f>'CT- € Ellipsis BNP'!AC676</f>
        <v>0</v>
      </c>
      <c r="AM676" s="235">
        <f>'codeis €'!Z676</f>
        <v>0</v>
      </c>
      <c r="AN676" s="236">
        <f>'codeis €'!AF676</f>
        <v>0</v>
      </c>
      <c r="AO676" s="90">
        <f>'codeis €'!AC676</f>
        <v>0</v>
      </c>
      <c r="AP676" s="91">
        <f>'codeis €'!AI676</f>
        <v>0</v>
      </c>
      <c r="AR676" s="12">
        <f t="shared" si="284"/>
        <v>67260956.159999996</v>
      </c>
      <c r="AS676" s="118">
        <f t="shared" si="285"/>
        <v>0.02</v>
      </c>
      <c r="AT676" s="118">
        <f t="shared" si="286"/>
        <v>2.0428995474183843E-2</v>
      </c>
      <c r="AU676" s="12">
        <f t="shared" si="287"/>
        <v>3816.871580505328</v>
      </c>
      <c r="AV676" s="12">
        <f t="shared" si="288"/>
        <v>547.24176717199384</v>
      </c>
      <c r="AW676" s="19"/>
    </row>
    <row r="677" spans="2:49" x14ac:dyDescent="0.25">
      <c r="B677" s="9" t="str">
        <f t="shared" si="271"/>
        <v>11 2026</v>
      </c>
      <c r="C677" s="88">
        <f t="shared" si="272"/>
        <v>46326</v>
      </c>
      <c r="D677" s="88">
        <f t="shared" si="265"/>
        <v>46327</v>
      </c>
      <c r="E677" s="89">
        <f t="shared" si="273"/>
        <v>1</v>
      </c>
      <c r="G677" s="11" t="s">
        <v>7</v>
      </c>
      <c r="H677" s="12">
        <f t="shared" si="289"/>
        <v>34250000</v>
      </c>
      <c r="I677" s="14">
        <f t="shared" si="289"/>
        <v>1.7500000000000002E-2</v>
      </c>
      <c r="J677" s="13">
        <f t="shared" si="274"/>
        <v>1664.9305555555557</v>
      </c>
      <c r="K677" s="13">
        <f t="shared" si="275"/>
        <v>416685.20833333465</v>
      </c>
      <c r="M677" s="11" t="s">
        <v>7</v>
      </c>
      <c r="N677" s="12">
        <f t="shared" si="292"/>
        <v>12000000</v>
      </c>
      <c r="O677" s="97">
        <f t="shared" si="292"/>
        <v>2.1698630136986304E-2</v>
      </c>
      <c r="P677" s="112">
        <f t="shared" si="276"/>
        <v>723.28767123287685</v>
      </c>
      <c r="Q677" s="13">
        <f t="shared" si="277"/>
        <v>220602.73972602843</v>
      </c>
      <c r="R677" s="13">
        <f t="shared" si="278"/>
        <v>139.95433789954348</v>
      </c>
      <c r="T677" s="11" t="str">
        <f t="shared" si="290"/>
        <v>SG</v>
      </c>
      <c r="U677" s="12">
        <f t="shared" si="290"/>
        <v>6010956.1600000001</v>
      </c>
      <c r="V677" s="97">
        <f t="shared" si="290"/>
        <v>2.1205479452054792E-2</v>
      </c>
      <c r="W677" s="13">
        <f t="shared" si="279"/>
        <v>354.0700203835616</v>
      </c>
      <c r="X677" s="13">
        <f t="shared" si="263"/>
        <v>107984.25722564322</v>
      </c>
      <c r="Y677" s="13">
        <f t="shared" si="280"/>
        <v>61.870762605783796</v>
      </c>
      <c r="AA677" s="11" t="s">
        <v>189</v>
      </c>
      <c r="AB677" s="98">
        <f t="shared" si="291"/>
        <v>15000000</v>
      </c>
      <c r="AC677" s="97">
        <f t="shared" si="291"/>
        <v>2.579E-2</v>
      </c>
      <c r="AD677" s="13">
        <f t="shared" si="281"/>
        <v>1074.5833333333333</v>
      </c>
      <c r="AE677" s="13">
        <f t="shared" si="282"/>
        <v>327747.9166666664</v>
      </c>
      <c r="AF677" s="13">
        <f t="shared" si="283"/>
        <v>345.41666666666663</v>
      </c>
      <c r="AH677" s="235">
        <f>'CT- € Ellipsis BNP'!X677</f>
        <v>0</v>
      </c>
      <c r="AI677" s="236">
        <f>'CT- € Ellipsis BNP'!AA677</f>
        <v>0</v>
      </c>
      <c r="AJ677" s="90">
        <f>'CT- € Ellipsis BNP'!W677</f>
        <v>0</v>
      </c>
      <c r="AK677" s="91">
        <f>'CT- € Ellipsis BNP'!AC677</f>
        <v>0</v>
      </c>
      <c r="AM677" s="235">
        <f>'codeis €'!Z677</f>
        <v>0</v>
      </c>
      <c r="AN677" s="236">
        <f>'codeis €'!AF677</f>
        <v>0</v>
      </c>
      <c r="AO677" s="90">
        <f>'codeis €'!AC677</f>
        <v>0</v>
      </c>
      <c r="AP677" s="91">
        <f>'codeis €'!AI677</f>
        <v>0</v>
      </c>
      <c r="AR677" s="12">
        <f t="shared" si="284"/>
        <v>67260956.159999996</v>
      </c>
      <c r="AS677" s="118">
        <f t="shared" si="285"/>
        <v>0.02</v>
      </c>
      <c r="AT677" s="118">
        <f t="shared" si="286"/>
        <v>2.0428995474183843E-2</v>
      </c>
      <c r="AU677" s="12">
        <f t="shared" si="287"/>
        <v>3816.871580505328</v>
      </c>
      <c r="AV677" s="12">
        <f t="shared" si="288"/>
        <v>547.24176717199384</v>
      </c>
      <c r="AW677" s="19"/>
    </row>
    <row r="678" spans="2:49" x14ac:dyDescent="0.25">
      <c r="B678" s="9" t="str">
        <f t="shared" si="271"/>
        <v>11 2026</v>
      </c>
      <c r="C678" s="88">
        <f t="shared" si="272"/>
        <v>46327</v>
      </c>
      <c r="D678" s="88">
        <f t="shared" si="265"/>
        <v>46328</v>
      </c>
      <c r="E678" s="89">
        <f t="shared" si="273"/>
        <v>1</v>
      </c>
      <c r="G678" s="11" t="s">
        <v>7</v>
      </c>
      <c r="H678" s="12">
        <f t="shared" si="289"/>
        <v>34250000</v>
      </c>
      <c r="I678" s="14">
        <f t="shared" si="289"/>
        <v>1.7500000000000002E-2</v>
      </c>
      <c r="J678" s="13">
        <f t="shared" si="274"/>
        <v>1664.9305555555557</v>
      </c>
      <c r="K678" s="13">
        <f t="shared" si="275"/>
        <v>418350.13888889021</v>
      </c>
      <c r="M678" s="11" t="s">
        <v>7</v>
      </c>
      <c r="N678" s="12">
        <f t="shared" si="292"/>
        <v>12000000</v>
      </c>
      <c r="O678" s="97">
        <f t="shared" si="292"/>
        <v>2.1698630136986304E-2</v>
      </c>
      <c r="P678" s="112">
        <f t="shared" si="276"/>
        <v>723.28767123287685</v>
      </c>
      <c r="Q678" s="13">
        <f t="shared" si="277"/>
        <v>221326.02739726132</v>
      </c>
      <c r="R678" s="13">
        <f t="shared" si="278"/>
        <v>139.95433789954348</v>
      </c>
      <c r="T678" s="11" t="str">
        <f t="shared" si="290"/>
        <v>SG</v>
      </c>
      <c r="U678" s="12">
        <f t="shared" si="290"/>
        <v>6010956.1600000001</v>
      </c>
      <c r="V678" s="97">
        <f t="shared" si="290"/>
        <v>2.1205479452054792E-2</v>
      </c>
      <c r="W678" s="13">
        <f t="shared" si="279"/>
        <v>354.0700203835616</v>
      </c>
      <c r="X678" s="13">
        <f t="shared" si="263"/>
        <v>108338.32724602678</v>
      </c>
      <c r="Y678" s="13">
        <f t="shared" si="280"/>
        <v>61.870762605783796</v>
      </c>
      <c r="AA678" s="11" t="s">
        <v>189</v>
      </c>
      <c r="AB678" s="98">
        <f t="shared" si="291"/>
        <v>15000000</v>
      </c>
      <c r="AC678" s="97">
        <f t="shared" si="291"/>
        <v>2.579E-2</v>
      </c>
      <c r="AD678" s="13">
        <f t="shared" si="281"/>
        <v>1074.5833333333333</v>
      </c>
      <c r="AE678" s="13">
        <f t="shared" si="282"/>
        <v>328822.49999999971</v>
      </c>
      <c r="AF678" s="13">
        <f t="shared" si="283"/>
        <v>345.41666666666663</v>
      </c>
      <c r="AH678" s="235">
        <f>'CT- € Ellipsis BNP'!X678</f>
        <v>0</v>
      </c>
      <c r="AI678" s="236">
        <f>'CT- € Ellipsis BNP'!AA678</f>
        <v>0</v>
      </c>
      <c r="AJ678" s="90">
        <f>'CT- € Ellipsis BNP'!W678</f>
        <v>0</v>
      </c>
      <c r="AK678" s="91">
        <f>'CT- € Ellipsis BNP'!AC678</f>
        <v>0</v>
      </c>
      <c r="AM678" s="235">
        <f>'codeis €'!Z678</f>
        <v>0</v>
      </c>
      <c r="AN678" s="236">
        <f>'codeis €'!AF678</f>
        <v>0</v>
      </c>
      <c r="AO678" s="90">
        <f>'codeis €'!AC678</f>
        <v>0</v>
      </c>
      <c r="AP678" s="91">
        <f>'codeis €'!AI678</f>
        <v>0</v>
      </c>
      <c r="AR678" s="12">
        <f t="shared" si="284"/>
        <v>67260956.159999996</v>
      </c>
      <c r="AS678" s="118">
        <f t="shared" si="285"/>
        <v>0.02</v>
      </c>
      <c r="AT678" s="118">
        <f t="shared" si="286"/>
        <v>2.0428995474183843E-2</v>
      </c>
      <c r="AU678" s="12">
        <f t="shared" si="287"/>
        <v>3816.871580505328</v>
      </c>
      <c r="AV678" s="12">
        <f t="shared" si="288"/>
        <v>547.24176717199384</v>
      </c>
      <c r="AW678" s="19"/>
    </row>
    <row r="679" spans="2:49" x14ac:dyDescent="0.25">
      <c r="B679" s="9" t="str">
        <f t="shared" si="271"/>
        <v>11 2026</v>
      </c>
      <c r="C679" s="88">
        <f t="shared" si="272"/>
        <v>46328</v>
      </c>
      <c r="D679" s="88">
        <f t="shared" si="265"/>
        <v>46329</v>
      </c>
      <c r="E679" s="89">
        <f t="shared" si="273"/>
        <v>1</v>
      </c>
      <c r="G679" s="11" t="s">
        <v>7</v>
      </c>
      <c r="H679" s="12">
        <f t="shared" ref="H679:I694" si="293">H678</f>
        <v>34250000</v>
      </c>
      <c r="I679" s="14">
        <f t="shared" si="293"/>
        <v>1.7500000000000002E-2</v>
      </c>
      <c r="J679" s="13">
        <f t="shared" si="274"/>
        <v>1664.9305555555557</v>
      </c>
      <c r="K679" s="13">
        <f t="shared" si="275"/>
        <v>420015.06944444578</v>
      </c>
      <c r="M679" s="11" t="s">
        <v>7</v>
      </c>
      <c r="N679" s="12">
        <f t="shared" si="292"/>
        <v>12000000</v>
      </c>
      <c r="O679" s="97">
        <f t="shared" si="292"/>
        <v>2.1698630136986304E-2</v>
      </c>
      <c r="P679" s="112">
        <f t="shared" si="276"/>
        <v>723.28767123287685</v>
      </c>
      <c r="Q679" s="13">
        <f t="shared" si="277"/>
        <v>222049.31506849421</v>
      </c>
      <c r="R679" s="13">
        <f t="shared" si="278"/>
        <v>139.95433789954348</v>
      </c>
      <c r="T679" s="11" t="str">
        <f t="shared" ref="T679:V694" si="294">T678</f>
        <v>SG</v>
      </c>
      <c r="U679" s="12">
        <f t="shared" si="294"/>
        <v>6010956.1600000001</v>
      </c>
      <c r="V679" s="97">
        <f t="shared" si="294"/>
        <v>2.1205479452054792E-2</v>
      </c>
      <c r="W679" s="13">
        <f t="shared" si="279"/>
        <v>354.0700203835616</v>
      </c>
      <c r="X679" s="13">
        <f t="shared" si="263"/>
        <v>108692.39726641033</v>
      </c>
      <c r="Y679" s="13">
        <f t="shared" si="280"/>
        <v>61.870762605783796</v>
      </c>
      <c r="AA679" s="11" t="s">
        <v>189</v>
      </c>
      <c r="AB679" s="98">
        <f t="shared" ref="AB679:AC682" si="295">AB678</f>
        <v>15000000</v>
      </c>
      <c r="AC679" s="97">
        <f t="shared" si="295"/>
        <v>2.579E-2</v>
      </c>
      <c r="AD679" s="13">
        <f t="shared" si="281"/>
        <v>1074.5833333333333</v>
      </c>
      <c r="AE679" s="13">
        <f t="shared" si="282"/>
        <v>329897.08333333302</v>
      </c>
      <c r="AF679" s="13">
        <f t="shared" si="283"/>
        <v>345.41666666666663</v>
      </c>
      <c r="AH679" s="235">
        <f>'CT- € Ellipsis BNP'!X679</f>
        <v>0</v>
      </c>
      <c r="AI679" s="236">
        <f>'CT- € Ellipsis BNP'!AA679</f>
        <v>0</v>
      </c>
      <c r="AJ679" s="90">
        <f>'CT- € Ellipsis BNP'!W679</f>
        <v>0</v>
      </c>
      <c r="AK679" s="91">
        <f>'CT- € Ellipsis BNP'!AC679</f>
        <v>0</v>
      </c>
      <c r="AM679" s="235">
        <f>'codeis €'!Z679</f>
        <v>0</v>
      </c>
      <c r="AN679" s="236">
        <f>'codeis €'!AF679</f>
        <v>0</v>
      </c>
      <c r="AO679" s="90">
        <f>'codeis €'!AC679</f>
        <v>0</v>
      </c>
      <c r="AP679" s="91">
        <f>'codeis €'!AI679</f>
        <v>0</v>
      </c>
      <c r="AR679" s="12">
        <f t="shared" si="284"/>
        <v>67260956.159999996</v>
      </c>
      <c r="AS679" s="118">
        <f t="shared" si="285"/>
        <v>0.02</v>
      </c>
      <c r="AT679" s="118">
        <f t="shared" si="286"/>
        <v>2.0428995474183843E-2</v>
      </c>
      <c r="AU679" s="12">
        <f t="shared" si="287"/>
        <v>3816.871580505328</v>
      </c>
      <c r="AV679" s="12">
        <f t="shared" si="288"/>
        <v>547.24176717199384</v>
      </c>
      <c r="AW679" s="19"/>
    </row>
    <row r="680" spans="2:49" x14ac:dyDescent="0.25">
      <c r="B680" s="9" t="str">
        <f t="shared" si="271"/>
        <v>11 2026</v>
      </c>
      <c r="C680" s="88">
        <f t="shared" si="272"/>
        <v>46329</v>
      </c>
      <c r="D680" s="88">
        <f t="shared" si="265"/>
        <v>46330</v>
      </c>
      <c r="E680" s="89">
        <f t="shared" si="273"/>
        <v>1</v>
      </c>
      <c r="G680" s="11" t="s">
        <v>7</v>
      </c>
      <c r="H680" s="12">
        <f t="shared" si="293"/>
        <v>34250000</v>
      </c>
      <c r="I680" s="14">
        <f t="shared" si="293"/>
        <v>1.7500000000000002E-2</v>
      </c>
      <c r="J680" s="13">
        <f t="shared" si="274"/>
        <v>1664.9305555555557</v>
      </c>
      <c r="K680" s="13">
        <f t="shared" si="275"/>
        <v>421680.00000000134</v>
      </c>
      <c r="M680" s="11" t="s">
        <v>7</v>
      </c>
      <c r="N680" s="12">
        <f t="shared" ref="N680:O695" si="296">N679</f>
        <v>12000000</v>
      </c>
      <c r="O680" s="97">
        <f t="shared" si="296"/>
        <v>2.1698630136986304E-2</v>
      </c>
      <c r="P680" s="112">
        <f t="shared" si="276"/>
        <v>723.28767123287685</v>
      </c>
      <c r="Q680" s="13">
        <f t="shared" si="277"/>
        <v>222772.6027397271</v>
      </c>
      <c r="R680" s="13">
        <f t="shared" si="278"/>
        <v>139.95433789954348</v>
      </c>
      <c r="T680" s="11" t="str">
        <f t="shared" si="294"/>
        <v>SG</v>
      </c>
      <c r="U680" s="12">
        <f t="shared" si="294"/>
        <v>6010956.1600000001</v>
      </c>
      <c r="V680" s="97">
        <f t="shared" si="294"/>
        <v>2.1205479452054792E-2</v>
      </c>
      <c r="W680" s="13">
        <f t="shared" si="279"/>
        <v>354.0700203835616</v>
      </c>
      <c r="X680" s="13">
        <f t="shared" si="263"/>
        <v>109046.46728679389</v>
      </c>
      <c r="Y680" s="13">
        <f t="shared" si="280"/>
        <v>61.870762605783796</v>
      </c>
      <c r="AA680" s="11" t="s">
        <v>189</v>
      </c>
      <c r="AB680" s="98">
        <f t="shared" si="295"/>
        <v>15000000</v>
      </c>
      <c r="AC680" s="97">
        <f t="shared" si="295"/>
        <v>2.579E-2</v>
      </c>
      <c r="AD680" s="13">
        <f t="shared" si="281"/>
        <v>1074.5833333333333</v>
      </c>
      <c r="AE680" s="13">
        <f t="shared" si="282"/>
        <v>330971.66666666634</v>
      </c>
      <c r="AF680" s="13">
        <f t="shared" si="283"/>
        <v>345.41666666666663</v>
      </c>
      <c r="AH680" s="235">
        <f>'CT- € Ellipsis BNP'!X680</f>
        <v>0</v>
      </c>
      <c r="AI680" s="236">
        <f>'CT- € Ellipsis BNP'!AA680</f>
        <v>0</v>
      </c>
      <c r="AJ680" s="90">
        <f>'CT- € Ellipsis BNP'!W680</f>
        <v>0</v>
      </c>
      <c r="AK680" s="91">
        <f>'CT- € Ellipsis BNP'!AC680</f>
        <v>0</v>
      </c>
      <c r="AM680" s="235">
        <f>'codeis €'!Z680</f>
        <v>0</v>
      </c>
      <c r="AN680" s="236">
        <f>'codeis €'!AF680</f>
        <v>0</v>
      </c>
      <c r="AO680" s="90">
        <f>'codeis €'!AC680</f>
        <v>0</v>
      </c>
      <c r="AP680" s="91">
        <f>'codeis €'!AI680</f>
        <v>0</v>
      </c>
      <c r="AR680" s="12">
        <f t="shared" si="284"/>
        <v>67260956.159999996</v>
      </c>
      <c r="AS680" s="118">
        <f t="shared" si="285"/>
        <v>0.02</v>
      </c>
      <c r="AT680" s="118">
        <f t="shared" si="286"/>
        <v>2.0428995474183843E-2</v>
      </c>
      <c r="AU680" s="12">
        <f t="shared" si="287"/>
        <v>3816.871580505328</v>
      </c>
      <c r="AV680" s="12">
        <f t="shared" si="288"/>
        <v>547.24176717199384</v>
      </c>
      <c r="AW680" s="19"/>
    </row>
    <row r="681" spans="2:49" x14ac:dyDescent="0.25">
      <c r="B681" s="9" t="str">
        <f t="shared" si="271"/>
        <v>11 2026</v>
      </c>
      <c r="C681" s="88">
        <f t="shared" si="272"/>
        <v>46330</v>
      </c>
      <c r="D681" s="88">
        <f t="shared" si="265"/>
        <v>46331</v>
      </c>
      <c r="E681" s="89">
        <f t="shared" si="273"/>
        <v>1</v>
      </c>
      <c r="G681" s="11" t="s">
        <v>7</v>
      </c>
      <c r="H681" s="12">
        <f t="shared" si="293"/>
        <v>34250000</v>
      </c>
      <c r="I681" s="14">
        <f t="shared" si="293"/>
        <v>1.7500000000000002E-2</v>
      </c>
      <c r="J681" s="13">
        <f t="shared" si="274"/>
        <v>1664.9305555555557</v>
      </c>
      <c r="K681" s="13">
        <f t="shared" si="275"/>
        <v>423344.9305555569</v>
      </c>
      <c r="M681" s="11" t="s">
        <v>7</v>
      </c>
      <c r="N681" s="12">
        <f t="shared" si="296"/>
        <v>12000000</v>
      </c>
      <c r="O681" s="97">
        <f t="shared" si="296"/>
        <v>2.1698630136986304E-2</v>
      </c>
      <c r="P681" s="112">
        <f t="shared" si="276"/>
        <v>723.28767123287685</v>
      </c>
      <c r="Q681" s="13">
        <f t="shared" si="277"/>
        <v>223495.89041095998</v>
      </c>
      <c r="R681" s="13">
        <f t="shared" si="278"/>
        <v>139.95433789954348</v>
      </c>
      <c r="T681" s="11" t="str">
        <f t="shared" si="294"/>
        <v>SG</v>
      </c>
      <c r="U681" s="12">
        <f t="shared" si="294"/>
        <v>6010956.1600000001</v>
      </c>
      <c r="V681" s="97">
        <f t="shared" si="294"/>
        <v>2.1205479452054792E-2</v>
      </c>
      <c r="W681" s="13">
        <f t="shared" si="279"/>
        <v>354.0700203835616</v>
      </c>
      <c r="X681" s="13">
        <f t="shared" si="263"/>
        <v>109400.53730717745</v>
      </c>
      <c r="Y681" s="13">
        <f t="shared" si="280"/>
        <v>61.870762605783796</v>
      </c>
      <c r="AA681" s="11" t="s">
        <v>189</v>
      </c>
      <c r="AB681" s="98">
        <f t="shared" si="295"/>
        <v>15000000</v>
      </c>
      <c r="AC681" s="97">
        <f t="shared" si="295"/>
        <v>2.579E-2</v>
      </c>
      <c r="AD681" s="13">
        <f t="shared" si="281"/>
        <v>1074.5833333333333</v>
      </c>
      <c r="AE681" s="13">
        <f t="shared" si="282"/>
        <v>332046.24999999965</v>
      </c>
      <c r="AF681" s="13">
        <f t="shared" si="283"/>
        <v>345.41666666666663</v>
      </c>
      <c r="AH681" s="235">
        <f>'CT- € Ellipsis BNP'!X681</f>
        <v>0</v>
      </c>
      <c r="AI681" s="236">
        <f>'CT- € Ellipsis BNP'!AA681</f>
        <v>0</v>
      </c>
      <c r="AJ681" s="90">
        <f>'CT- € Ellipsis BNP'!W681</f>
        <v>0</v>
      </c>
      <c r="AK681" s="91">
        <f>'CT- € Ellipsis BNP'!AC681</f>
        <v>0</v>
      </c>
      <c r="AM681" s="235">
        <f>'codeis €'!Z681</f>
        <v>0</v>
      </c>
      <c r="AN681" s="236">
        <f>'codeis €'!AF681</f>
        <v>0</v>
      </c>
      <c r="AO681" s="90">
        <f>'codeis €'!AC681</f>
        <v>0</v>
      </c>
      <c r="AP681" s="91">
        <f>'codeis €'!AI681</f>
        <v>0</v>
      </c>
      <c r="AR681" s="12">
        <f t="shared" si="284"/>
        <v>67260956.159999996</v>
      </c>
      <c r="AS681" s="118">
        <f t="shared" si="285"/>
        <v>0.02</v>
      </c>
      <c r="AT681" s="118">
        <f t="shared" si="286"/>
        <v>2.0428995474183843E-2</v>
      </c>
      <c r="AU681" s="12">
        <f t="shared" si="287"/>
        <v>3816.871580505328</v>
      </c>
      <c r="AV681" s="12">
        <f t="shared" si="288"/>
        <v>547.24176717199384</v>
      </c>
      <c r="AW681" s="19"/>
    </row>
    <row r="682" spans="2:49" x14ac:dyDescent="0.25">
      <c r="B682" s="9" t="str">
        <f t="shared" si="271"/>
        <v>11 2026</v>
      </c>
      <c r="C682" s="88">
        <f t="shared" si="272"/>
        <v>46331</v>
      </c>
      <c r="D682" s="88">
        <f t="shared" si="265"/>
        <v>46332</v>
      </c>
      <c r="E682" s="89">
        <f t="shared" si="273"/>
        <v>1</v>
      </c>
      <c r="G682" s="11" t="s">
        <v>7</v>
      </c>
      <c r="H682" s="12">
        <f t="shared" si="293"/>
        <v>34250000</v>
      </c>
      <c r="I682" s="14">
        <f t="shared" si="293"/>
        <v>1.7500000000000002E-2</v>
      </c>
      <c r="J682" s="13">
        <f t="shared" si="274"/>
        <v>1664.9305555555557</v>
      </c>
      <c r="K682" s="13">
        <f t="shared" si="275"/>
        <v>425009.86111111246</v>
      </c>
      <c r="M682" s="11" t="s">
        <v>7</v>
      </c>
      <c r="N682" s="12">
        <f t="shared" si="296"/>
        <v>12000000</v>
      </c>
      <c r="O682" s="97">
        <f t="shared" si="296"/>
        <v>2.1698630136986304E-2</v>
      </c>
      <c r="P682" s="112">
        <f t="shared" si="276"/>
        <v>723.28767123287685</v>
      </c>
      <c r="Q682" s="13">
        <f t="shared" si="277"/>
        <v>224219.17808219287</v>
      </c>
      <c r="R682" s="13">
        <f t="shared" si="278"/>
        <v>139.95433789954348</v>
      </c>
      <c r="T682" s="11" t="str">
        <f t="shared" si="294"/>
        <v>SG</v>
      </c>
      <c r="U682" s="12">
        <f t="shared" si="294"/>
        <v>6010956.1600000001</v>
      </c>
      <c r="V682" s="97">
        <f t="shared" si="294"/>
        <v>2.1205479452054792E-2</v>
      </c>
      <c r="W682" s="13">
        <f t="shared" si="279"/>
        <v>354.0700203835616</v>
      </c>
      <c r="X682" s="13">
        <f t="shared" si="263"/>
        <v>109754.60732756101</v>
      </c>
      <c r="Y682" s="13">
        <f t="shared" si="280"/>
        <v>61.870762605783796</v>
      </c>
      <c r="AA682" s="11" t="s">
        <v>189</v>
      </c>
      <c r="AB682" s="98">
        <f t="shared" si="295"/>
        <v>15000000</v>
      </c>
      <c r="AC682" s="97">
        <f t="shared" si="295"/>
        <v>2.579E-2</v>
      </c>
      <c r="AD682" s="13">
        <f t="shared" si="281"/>
        <v>1074.5833333333333</v>
      </c>
      <c r="AE682" s="13">
        <f t="shared" si="282"/>
        <v>333120.83333333296</v>
      </c>
      <c r="AF682" s="13">
        <f t="shared" si="283"/>
        <v>345.41666666666663</v>
      </c>
      <c r="AH682" s="235">
        <f>'CT- € Ellipsis BNP'!X682</f>
        <v>0</v>
      </c>
      <c r="AI682" s="236">
        <f>'CT- € Ellipsis BNP'!AA682</f>
        <v>0</v>
      </c>
      <c r="AJ682" s="90">
        <f>'CT- € Ellipsis BNP'!W682</f>
        <v>0</v>
      </c>
      <c r="AK682" s="91">
        <f>'CT- € Ellipsis BNP'!AC682</f>
        <v>0</v>
      </c>
      <c r="AM682" s="235">
        <f>'codeis €'!Z682</f>
        <v>0</v>
      </c>
      <c r="AN682" s="236">
        <f>'codeis €'!AF682</f>
        <v>0</v>
      </c>
      <c r="AO682" s="90">
        <f>'codeis €'!AC682</f>
        <v>0</v>
      </c>
      <c r="AP682" s="91">
        <f>'codeis €'!AI682</f>
        <v>0</v>
      </c>
      <c r="AR682" s="12">
        <f t="shared" si="284"/>
        <v>67260956.159999996</v>
      </c>
      <c r="AS682" s="118">
        <f t="shared" si="285"/>
        <v>0.02</v>
      </c>
      <c r="AT682" s="118">
        <f t="shared" si="286"/>
        <v>2.0428995474183843E-2</v>
      </c>
      <c r="AU682" s="12">
        <f t="shared" si="287"/>
        <v>3816.871580505328</v>
      </c>
      <c r="AV682" s="12">
        <f t="shared" si="288"/>
        <v>547.24176717199384</v>
      </c>
      <c r="AW682" s="19"/>
    </row>
    <row r="683" spans="2:49" x14ac:dyDescent="0.25">
      <c r="B683" s="9" t="str">
        <f t="shared" si="271"/>
        <v>11 2026</v>
      </c>
      <c r="C683" s="88">
        <f t="shared" si="272"/>
        <v>46332</v>
      </c>
      <c r="D683" s="88">
        <f t="shared" si="265"/>
        <v>46333</v>
      </c>
      <c r="E683" s="89">
        <f t="shared" si="273"/>
        <v>1</v>
      </c>
      <c r="G683" s="11" t="s">
        <v>7</v>
      </c>
      <c r="H683" s="12">
        <f t="shared" si="293"/>
        <v>34250000</v>
      </c>
      <c r="I683" s="14">
        <f t="shared" si="293"/>
        <v>1.7500000000000002E-2</v>
      </c>
      <c r="J683" s="13">
        <f t="shared" si="274"/>
        <v>1664.9305555555557</v>
      </c>
      <c r="K683" s="13">
        <f t="shared" si="275"/>
        <v>426674.79166666802</v>
      </c>
      <c r="M683" s="11" t="s">
        <v>7</v>
      </c>
      <c r="N683" s="12">
        <f t="shared" si="296"/>
        <v>12000000</v>
      </c>
      <c r="O683" s="97">
        <f t="shared" si="296"/>
        <v>2.1698630136986304E-2</v>
      </c>
      <c r="P683" s="112">
        <f t="shared" si="276"/>
        <v>723.28767123287685</v>
      </c>
      <c r="Q683" s="13">
        <f t="shared" si="277"/>
        <v>224942.46575342576</v>
      </c>
      <c r="R683" s="13">
        <f t="shared" si="278"/>
        <v>139.95433789954348</v>
      </c>
      <c r="T683" s="11" t="str">
        <f t="shared" si="294"/>
        <v>SG</v>
      </c>
      <c r="U683" s="12">
        <f t="shared" si="294"/>
        <v>6010956.1600000001</v>
      </c>
      <c r="V683" s="97">
        <f t="shared" si="294"/>
        <v>2.1205479452054792E-2</v>
      </c>
      <c r="W683" s="13">
        <f t="shared" si="279"/>
        <v>354.0700203835616</v>
      </c>
      <c r="X683" s="13">
        <f t="shared" si="263"/>
        <v>110108.67734794457</v>
      </c>
      <c r="Y683" s="13">
        <f t="shared" si="280"/>
        <v>61.870762605783796</v>
      </c>
      <c r="AA683" s="11" t="s">
        <v>189</v>
      </c>
      <c r="AB683" s="98"/>
      <c r="AC683" s="97"/>
      <c r="AD683" s="13"/>
      <c r="AE683" s="13">
        <f t="shared" si="282"/>
        <v>333120.83333333296</v>
      </c>
      <c r="AF683" s="13">
        <f t="shared" si="283"/>
        <v>0</v>
      </c>
      <c r="AH683" s="235">
        <f>'CT- € Ellipsis BNP'!X683</f>
        <v>0</v>
      </c>
      <c r="AI683" s="236">
        <f>'CT- € Ellipsis BNP'!AA683</f>
        <v>0</v>
      </c>
      <c r="AJ683" s="90">
        <f>'CT- € Ellipsis BNP'!W683</f>
        <v>0</v>
      </c>
      <c r="AK683" s="91">
        <f>'CT- € Ellipsis BNP'!AC683</f>
        <v>0</v>
      </c>
      <c r="AM683" s="235">
        <f>'codeis €'!Z683</f>
        <v>0</v>
      </c>
      <c r="AN683" s="236">
        <f>'codeis €'!AF683</f>
        <v>0</v>
      </c>
      <c r="AO683" s="90">
        <f>'codeis €'!AC683</f>
        <v>0</v>
      </c>
      <c r="AP683" s="91">
        <f>'codeis €'!AI683</f>
        <v>0</v>
      </c>
      <c r="AR683" s="12">
        <f t="shared" si="284"/>
        <v>52260956.159999996</v>
      </c>
      <c r="AS683" s="118">
        <f t="shared" si="285"/>
        <v>0.02</v>
      </c>
      <c r="AT683" s="118">
        <f t="shared" si="286"/>
        <v>1.8890273763064611E-2</v>
      </c>
      <c r="AU683" s="12">
        <f t="shared" si="287"/>
        <v>2742.2882471719945</v>
      </c>
      <c r="AV683" s="12">
        <f t="shared" si="288"/>
        <v>201.82510050532727</v>
      </c>
      <c r="AW683" s="19"/>
    </row>
    <row r="684" spans="2:49" x14ac:dyDescent="0.25">
      <c r="B684" s="9" t="str">
        <f t="shared" si="271"/>
        <v>11 2026</v>
      </c>
      <c r="C684" s="88">
        <f t="shared" si="272"/>
        <v>46333</v>
      </c>
      <c r="D684" s="88">
        <f t="shared" si="265"/>
        <v>46334</v>
      </c>
      <c r="E684" s="89">
        <f t="shared" si="273"/>
        <v>1</v>
      </c>
      <c r="G684" s="11" t="s">
        <v>7</v>
      </c>
      <c r="H684" s="12">
        <f t="shared" si="293"/>
        <v>34250000</v>
      </c>
      <c r="I684" s="14">
        <f t="shared" si="293"/>
        <v>1.7500000000000002E-2</v>
      </c>
      <c r="J684" s="13">
        <f t="shared" si="274"/>
        <v>1664.9305555555557</v>
      </c>
      <c r="K684" s="13">
        <f t="shared" si="275"/>
        <v>428339.72222222359</v>
      </c>
      <c r="M684" s="11" t="s">
        <v>7</v>
      </c>
      <c r="N684" s="12">
        <f t="shared" si="296"/>
        <v>12000000</v>
      </c>
      <c r="O684" s="97">
        <f t="shared" si="296"/>
        <v>2.1698630136986304E-2</v>
      </c>
      <c r="P684" s="112">
        <f t="shared" si="276"/>
        <v>723.28767123287685</v>
      </c>
      <c r="Q684" s="13">
        <f t="shared" si="277"/>
        <v>225665.75342465864</v>
      </c>
      <c r="R684" s="13">
        <f t="shared" si="278"/>
        <v>139.95433789954348</v>
      </c>
      <c r="T684" s="11" t="str">
        <f t="shared" si="294"/>
        <v>SG</v>
      </c>
      <c r="U684" s="12">
        <f t="shared" si="294"/>
        <v>6010956.1600000001</v>
      </c>
      <c r="V684" s="97">
        <f t="shared" si="294"/>
        <v>2.1205479452054792E-2</v>
      </c>
      <c r="W684" s="13">
        <f t="shared" si="279"/>
        <v>354.0700203835616</v>
      </c>
      <c r="X684" s="13">
        <f t="shared" si="263"/>
        <v>110462.74736832813</v>
      </c>
      <c r="Y684" s="13">
        <f t="shared" si="280"/>
        <v>61.870762605783796</v>
      </c>
      <c r="AA684" s="11" t="s">
        <v>189</v>
      </c>
      <c r="AB684" s="98"/>
      <c r="AC684" s="97"/>
      <c r="AD684" s="13"/>
      <c r="AE684" s="13">
        <f t="shared" si="282"/>
        <v>333120.83333333296</v>
      </c>
      <c r="AF684" s="13">
        <f t="shared" si="283"/>
        <v>0</v>
      </c>
      <c r="AH684" s="235">
        <f>'CT- € Ellipsis BNP'!X684</f>
        <v>0</v>
      </c>
      <c r="AI684" s="236">
        <f>'CT- € Ellipsis BNP'!AA684</f>
        <v>0</v>
      </c>
      <c r="AJ684" s="90">
        <f>'CT- € Ellipsis BNP'!W684</f>
        <v>0</v>
      </c>
      <c r="AK684" s="91">
        <f>'CT- € Ellipsis BNP'!AC684</f>
        <v>0</v>
      </c>
      <c r="AM684" s="235">
        <f>'codeis €'!Z684</f>
        <v>0</v>
      </c>
      <c r="AN684" s="236">
        <f>'codeis €'!AF684</f>
        <v>0</v>
      </c>
      <c r="AO684" s="90">
        <f>'codeis €'!AC684</f>
        <v>0</v>
      </c>
      <c r="AP684" s="91">
        <f>'codeis €'!AI684</f>
        <v>0</v>
      </c>
      <c r="AR684" s="12">
        <f t="shared" si="284"/>
        <v>52260956.159999996</v>
      </c>
      <c r="AS684" s="118">
        <f t="shared" si="285"/>
        <v>0.02</v>
      </c>
      <c r="AT684" s="118">
        <f t="shared" si="286"/>
        <v>1.8890273763064611E-2</v>
      </c>
      <c r="AU684" s="12">
        <f t="shared" si="287"/>
        <v>2742.2882471719945</v>
      </c>
      <c r="AV684" s="12">
        <f t="shared" si="288"/>
        <v>201.82510050532727</v>
      </c>
      <c r="AW684" s="19"/>
    </row>
    <row r="685" spans="2:49" x14ac:dyDescent="0.25">
      <c r="B685" s="9" t="str">
        <f t="shared" si="271"/>
        <v>11 2026</v>
      </c>
      <c r="C685" s="88">
        <f t="shared" si="272"/>
        <v>46334</v>
      </c>
      <c r="D685" s="88">
        <f t="shared" si="265"/>
        <v>46335</v>
      </c>
      <c r="E685" s="89">
        <f t="shared" si="273"/>
        <v>1</v>
      </c>
      <c r="G685" s="11" t="s">
        <v>7</v>
      </c>
      <c r="H685" s="12">
        <f t="shared" si="293"/>
        <v>34250000</v>
      </c>
      <c r="I685" s="14">
        <f t="shared" si="293"/>
        <v>1.7500000000000002E-2</v>
      </c>
      <c r="J685" s="13">
        <f t="shared" si="274"/>
        <v>1664.9305555555557</v>
      </c>
      <c r="K685" s="13">
        <f t="shared" si="275"/>
        <v>430004.65277777915</v>
      </c>
      <c r="M685" s="11" t="s">
        <v>7</v>
      </c>
      <c r="N685" s="12">
        <f t="shared" si="296"/>
        <v>12000000</v>
      </c>
      <c r="O685" s="97">
        <f t="shared" si="296"/>
        <v>2.1698630136986304E-2</v>
      </c>
      <c r="P685" s="112">
        <f t="shared" si="276"/>
        <v>723.28767123287685</v>
      </c>
      <c r="Q685" s="13">
        <f t="shared" si="277"/>
        <v>226389.04109589153</v>
      </c>
      <c r="R685" s="13">
        <f t="shared" si="278"/>
        <v>139.95433789954348</v>
      </c>
      <c r="T685" s="11" t="str">
        <f t="shared" si="294"/>
        <v>SG</v>
      </c>
      <c r="U685" s="12">
        <f t="shared" si="294"/>
        <v>6010956.1600000001</v>
      </c>
      <c r="V685" s="97">
        <f t="shared" si="294"/>
        <v>2.1205479452054792E-2</v>
      </c>
      <c r="W685" s="13">
        <f t="shared" si="279"/>
        <v>354.0700203835616</v>
      </c>
      <c r="X685" s="13">
        <f t="shared" si="263"/>
        <v>110816.81738871169</v>
      </c>
      <c r="Y685" s="13">
        <f t="shared" si="280"/>
        <v>61.870762605783796</v>
      </c>
      <c r="AA685" s="11" t="s">
        <v>189</v>
      </c>
      <c r="AB685" s="98"/>
      <c r="AC685" s="97"/>
      <c r="AD685" s="13"/>
      <c r="AE685" s="13">
        <f t="shared" si="282"/>
        <v>333120.83333333296</v>
      </c>
      <c r="AF685" s="13">
        <f t="shared" si="283"/>
        <v>0</v>
      </c>
      <c r="AH685" s="235">
        <f>'CT- € Ellipsis BNP'!X685</f>
        <v>0</v>
      </c>
      <c r="AI685" s="236">
        <f>'CT- € Ellipsis BNP'!AA685</f>
        <v>0</v>
      </c>
      <c r="AJ685" s="90">
        <f>'CT- € Ellipsis BNP'!W685</f>
        <v>0</v>
      </c>
      <c r="AK685" s="91">
        <f>'CT- € Ellipsis BNP'!AC685</f>
        <v>0</v>
      </c>
      <c r="AM685" s="235">
        <f>'codeis €'!Z685</f>
        <v>0</v>
      </c>
      <c r="AN685" s="236">
        <f>'codeis €'!AF685</f>
        <v>0</v>
      </c>
      <c r="AO685" s="90">
        <f>'codeis €'!AC685</f>
        <v>0</v>
      </c>
      <c r="AP685" s="91">
        <f>'codeis €'!AI685</f>
        <v>0</v>
      </c>
      <c r="AR685" s="12">
        <f t="shared" si="284"/>
        <v>52260956.159999996</v>
      </c>
      <c r="AS685" s="118">
        <f t="shared" si="285"/>
        <v>0.02</v>
      </c>
      <c r="AT685" s="118">
        <f t="shared" si="286"/>
        <v>1.8890273763064611E-2</v>
      </c>
      <c r="AU685" s="12">
        <f t="shared" si="287"/>
        <v>2742.2882471719945</v>
      </c>
      <c r="AV685" s="12">
        <f t="shared" si="288"/>
        <v>201.82510050532727</v>
      </c>
      <c r="AW685" s="19"/>
    </row>
    <row r="686" spans="2:49" x14ac:dyDescent="0.25">
      <c r="B686" s="9" t="str">
        <f t="shared" si="271"/>
        <v>11 2026</v>
      </c>
      <c r="C686" s="88">
        <f t="shared" si="272"/>
        <v>46335</v>
      </c>
      <c r="D686" s="88">
        <f t="shared" si="265"/>
        <v>46336</v>
      </c>
      <c r="E686" s="89">
        <f t="shared" si="273"/>
        <v>1</v>
      </c>
      <c r="G686" s="11" t="s">
        <v>7</v>
      </c>
      <c r="H686" s="12">
        <f t="shared" si="293"/>
        <v>34250000</v>
      </c>
      <c r="I686" s="14">
        <f t="shared" si="293"/>
        <v>1.7500000000000002E-2</v>
      </c>
      <c r="J686" s="13">
        <f t="shared" si="274"/>
        <v>1664.9305555555557</v>
      </c>
      <c r="K686" s="13">
        <f t="shared" si="275"/>
        <v>431669.58333333471</v>
      </c>
      <c r="M686" s="11" t="s">
        <v>7</v>
      </c>
      <c r="N686" s="12">
        <f t="shared" si="296"/>
        <v>12000000</v>
      </c>
      <c r="O686" s="97">
        <f t="shared" si="296"/>
        <v>2.1698630136986304E-2</v>
      </c>
      <c r="P686" s="112">
        <f t="shared" si="276"/>
        <v>723.28767123287685</v>
      </c>
      <c r="Q686" s="13">
        <f t="shared" si="277"/>
        <v>227112.32876712442</v>
      </c>
      <c r="R686" s="13">
        <f t="shared" si="278"/>
        <v>139.95433789954348</v>
      </c>
      <c r="T686" s="11" t="str">
        <f t="shared" si="294"/>
        <v>SG</v>
      </c>
      <c r="U686" s="12">
        <f t="shared" si="294"/>
        <v>6010956.1600000001</v>
      </c>
      <c r="V686" s="97">
        <f t="shared" si="294"/>
        <v>2.1205479452054792E-2</v>
      </c>
      <c r="W686" s="13">
        <f t="shared" si="279"/>
        <v>354.0700203835616</v>
      </c>
      <c r="X686" s="13">
        <f t="shared" si="263"/>
        <v>111170.88740909524</v>
      </c>
      <c r="Y686" s="13">
        <f t="shared" si="280"/>
        <v>61.870762605783796</v>
      </c>
      <c r="AA686" s="11" t="s">
        <v>189</v>
      </c>
      <c r="AB686" s="98"/>
      <c r="AC686" s="97"/>
      <c r="AD686" s="13"/>
      <c r="AE686" s="13">
        <f t="shared" si="282"/>
        <v>333120.83333333296</v>
      </c>
      <c r="AF686" s="13">
        <f t="shared" si="283"/>
        <v>0</v>
      </c>
      <c r="AH686" s="235">
        <f>'CT- € Ellipsis BNP'!X686</f>
        <v>0</v>
      </c>
      <c r="AI686" s="236">
        <f>'CT- € Ellipsis BNP'!AA686</f>
        <v>0</v>
      </c>
      <c r="AJ686" s="90">
        <f>'CT- € Ellipsis BNP'!W686</f>
        <v>0</v>
      </c>
      <c r="AK686" s="91">
        <f>'CT- € Ellipsis BNP'!AC686</f>
        <v>0</v>
      </c>
      <c r="AM686" s="235">
        <f>'codeis €'!Z686</f>
        <v>0</v>
      </c>
      <c r="AN686" s="236">
        <f>'codeis €'!AF686</f>
        <v>0</v>
      </c>
      <c r="AO686" s="90">
        <f>'codeis €'!AC686</f>
        <v>0</v>
      </c>
      <c r="AP686" s="91">
        <f>'codeis €'!AI686</f>
        <v>0</v>
      </c>
      <c r="AR686" s="12">
        <f t="shared" si="284"/>
        <v>52260956.159999996</v>
      </c>
      <c r="AS686" s="118">
        <f t="shared" si="285"/>
        <v>0.02</v>
      </c>
      <c r="AT686" s="118">
        <f t="shared" si="286"/>
        <v>1.8890273763064611E-2</v>
      </c>
      <c r="AU686" s="12">
        <f t="shared" si="287"/>
        <v>2742.2882471719945</v>
      </c>
      <c r="AV686" s="12">
        <f t="shared" si="288"/>
        <v>201.82510050532727</v>
      </c>
      <c r="AW686" s="19"/>
    </row>
    <row r="687" spans="2:49" x14ac:dyDescent="0.25">
      <c r="B687" s="9" t="str">
        <f t="shared" si="271"/>
        <v>11 2026</v>
      </c>
      <c r="C687" s="88">
        <f t="shared" si="272"/>
        <v>46336</v>
      </c>
      <c r="D687" s="88">
        <f t="shared" si="265"/>
        <v>46337</v>
      </c>
      <c r="E687" s="89">
        <f t="shared" si="273"/>
        <v>1</v>
      </c>
      <c r="G687" s="11" t="s">
        <v>7</v>
      </c>
      <c r="H687" s="12">
        <f t="shared" si="293"/>
        <v>34250000</v>
      </c>
      <c r="I687" s="14">
        <f t="shared" si="293"/>
        <v>1.7500000000000002E-2</v>
      </c>
      <c r="J687" s="13">
        <f t="shared" si="274"/>
        <v>1664.9305555555557</v>
      </c>
      <c r="K687" s="13">
        <f t="shared" si="275"/>
        <v>433334.51388889027</v>
      </c>
      <c r="M687" s="11" t="s">
        <v>7</v>
      </c>
      <c r="N687" s="12">
        <f t="shared" si="296"/>
        <v>12000000</v>
      </c>
      <c r="O687" s="97">
        <f t="shared" si="296"/>
        <v>2.1698630136986304E-2</v>
      </c>
      <c r="P687" s="112">
        <f t="shared" si="276"/>
        <v>723.28767123287685</v>
      </c>
      <c r="Q687" s="13">
        <f t="shared" si="277"/>
        <v>227835.61643835731</v>
      </c>
      <c r="R687" s="13">
        <f t="shared" si="278"/>
        <v>139.95433789954348</v>
      </c>
      <c r="T687" s="11" t="str">
        <f t="shared" si="294"/>
        <v>SG</v>
      </c>
      <c r="U687" s="12">
        <f t="shared" si="294"/>
        <v>6010956.1600000001</v>
      </c>
      <c r="V687" s="97">
        <f t="shared" si="294"/>
        <v>2.1205479452054792E-2</v>
      </c>
      <c r="W687" s="13">
        <f t="shared" si="279"/>
        <v>354.0700203835616</v>
      </c>
      <c r="X687" s="13">
        <f t="shared" si="263"/>
        <v>111524.9574294788</v>
      </c>
      <c r="Y687" s="13">
        <f t="shared" si="280"/>
        <v>61.870762605783796</v>
      </c>
      <c r="AA687" s="11" t="s">
        <v>189</v>
      </c>
      <c r="AB687" s="98"/>
      <c r="AC687" s="97"/>
      <c r="AD687" s="13"/>
      <c r="AE687" s="13">
        <f t="shared" si="282"/>
        <v>333120.83333333296</v>
      </c>
      <c r="AF687" s="13">
        <f t="shared" si="283"/>
        <v>0</v>
      </c>
      <c r="AH687" s="235">
        <f>'CT- € Ellipsis BNP'!X687</f>
        <v>0</v>
      </c>
      <c r="AI687" s="236">
        <f>'CT- € Ellipsis BNP'!AA687</f>
        <v>0</v>
      </c>
      <c r="AJ687" s="90">
        <f>'CT- € Ellipsis BNP'!W687</f>
        <v>0</v>
      </c>
      <c r="AK687" s="91">
        <f>'CT- € Ellipsis BNP'!AC687</f>
        <v>0</v>
      </c>
      <c r="AM687" s="235">
        <f>'codeis €'!Z687</f>
        <v>0</v>
      </c>
      <c r="AN687" s="236">
        <f>'codeis €'!AF687</f>
        <v>0</v>
      </c>
      <c r="AO687" s="90">
        <f>'codeis €'!AC687</f>
        <v>0</v>
      </c>
      <c r="AP687" s="91">
        <f>'codeis €'!AI687</f>
        <v>0</v>
      </c>
      <c r="AR687" s="12">
        <f t="shared" si="284"/>
        <v>52260956.159999996</v>
      </c>
      <c r="AS687" s="118">
        <f t="shared" si="285"/>
        <v>0.02</v>
      </c>
      <c r="AT687" s="118">
        <f t="shared" si="286"/>
        <v>1.8890273763064611E-2</v>
      </c>
      <c r="AU687" s="12">
        <f t="shared" si="287"/>
        <v>2742.2882471719945</v>
      </c>
      <c r="AV687" s="12">
        <f t="shared" si="288"/>
        <v>201.82510050532727</v>
      </c>
      <c r="AW687" s="19"/>
    </row>
    <row r="688" spans="2:49" x14ac:dyDescent="0.25">
      <c r="B688" s="9" t="str">
        <f t="shared" si="271"/>
        <v>11 2026</v>
      </c>
      <c r="C688" s="88">
        <f t="shared" si="272"/>
        <v>46337</v>
      </c>
      <c r="D688" s="88">
        <f t="shared" si="265"/>
        <v>46338</v>
      </c>
      <c r="E688" s="89">
        <f t="shared" si="273"/>
        <v>1</v>
      </c>
      <c r="G688" s="11" t="s">
        <v>7</v>
      </c>
      <c r="H688" s="12">
        <f t="shared" si="293"/>
        <v>34250000</v>
      </c>
      <c r="I688" s="14">
        <f t="shared" si="293"/>
        <v>1.7500000000000002E-2</v>
      </c>
      <c r="J688" s="13">
        <f t="shared" si="274"/>
        <v>1664.9305555555557</v>
      </c>
      <c r="K688" s="13">
        <f t="shared" si="275"/>
        <v>434999.44444444583</v>
      </c>
      <c r="M688" s="11" t="s">
        <v>7</v>
      </c>
      <c r="N688" s="12">
        <f t="shared" si="296"/>
        <v>12000000</v>
      </c>
      <c r="O688" s="97">
        <f t="shared" si="296"/>
        <v>2.1698630136986304E-2</v>
      </c>
      <c r="P688" s="112">
        <f t="shared" si="276"/>
        <v>723.28767123287685</v>
      </c>
      <c r="Q688" s="13">
        <f t="shared" si="277"/>
        <v>228558.90410959019</v>
      </c>
      <c r="R688" s="13">
        <f t="shared" si="278"/>
        <v>139.95433789954348</v>
      </c>
      <c r="T688" s="11" t="str">
        <f t="shared" si="294"/>
        <v>SG</v>
      </c>
      <c r="U688" s="12">
        <f t="shared" si="294"/>
        <v>6010956.1600000001</v>
      </c>
      <c r="V688" s="97">
        <f t="shared" si="294"/>
        <v>2.1205479452054792E-2</v>
      </c>
      <c r="W688" s="13">
        <f t="shared" si="279"/>
        <v>354.0700203835616</v>
      </c>
      <c r="X688" s="13">
        <f t="shared" si="263"/>
        <v>111879.02744986236</v>
      </c>
      <c r="Y688" s="13">
        <f t="shared" si="280"/>
        <v>61.870762605783796</v>
      </c>
      <c r="AA688" s="11" t="s">
        <v>189</v>
      </c>
      <c r="AB688" s="98"/>
      <c r="AC688" s="97"/>
      <c r="AD688" s="13"/>
      <c r="AE688" s="13">
        <f t="shared" si="282"/>
        <v>333120.83333333296</v>
      </c>
      <c r="AF688" s="13">
        <f t="shared" si="283"/>
        <v>0</v>
      </c>
      <c r="AH688" s="235">
        <f>'CT- € Ellipsis BNP'!X688</f>
        <v>0</v>
      </c>
      <c r="AI688" s="236">
        <f>'CT- € Ellipsis BNP'!AA688</f>
        <v>0</v>
      </c>
      <c r="AJ688" s="90">
        <f>'CT- € Ellipsis BNP'!W688</f>
        <v>0</v>
      </c>
      <c r="AK688" s="91">
        <f>'CT- € Ellipsis BNP'!AC688</f>
        <v>0</v>
      </c>
      <c r="AM688" s="235">
        <f>'codeis €'!Z688</f>
        <v>0</v>
      </c>
      <c r="AN688" s="236">
        <f>'codeis €'!AF688</f>
        <v>0</v>
      </c>
      <c r="AO688" s="90">
        <f>'codeis €'!AC688</f>
        <v>0</v>
      </c>
      <c r="AP688" s="91">
        <f>'codeis €'!AI688</f>
        <v>0</v>
      </c>
      <c r="AR688" s="12">
        <f t="shared" si="284"/>
        <v>52260956.159999996</v>
      </c>
      <c r="AS688" s="118">
        <f t="shared" si="285"/>
        <v>0.02</v>
      </c>
      <c r="AT688" s="118">
        <f t="shared" si="286"/>
        <v>1.8890273763064611E-2</v>
      </c>
      <c r="AU688" s="12">
        <f t="shared" si="287"/>
        <v>2742.2882471719945</v>
      </c>
      <c r="AV688" s="12">
        <f t="shared" si="288"/>
        <v>201.82510050532727</v>
      </c>
      <c r="AW688" s="19"/>
    </row>
    <row r="689" spans="2:49" x14ac:dyDescent="0.25">
      <c r="B689" s="9" t="str">
        <f t="shared" si="271"/>
        <v>11 2026</v>
      </c>
      <c r="C689" s="88">
        <f t="shared" si="272"/>
        <v>46338</v>
      </c>
      <c r="D689" s="88">
        <f t="shared" si="265"/>
        <v>46339</v>
      </c>
      <c r="E689" s="89">
        <f t="shared" si="273"/>
        <v>1</v>
      </c>
      <c r="G689" s="11" t="s">
        <v>7</v>
      </c>
      <c r="H689" s="12">
        <f t="shared" si="293"/>
        <v>34250000</v>
      </c>
      <c r="I689" s="14">
        <f t="shared" si="293"/>
        <v>1.7500000000000002E-2</v>
      </c>
      <c r="J689" s="13">
        <f t="shared" si="274"/>
        <v>1664.9305555555557</v>
      </c>
      <c r="K689" s="13">
        <f t="shared" si="275"/>
        <v>436664.3750000014</v>
      </c>
      <c r="M689" s="11" t="s">
        <v>7</v>
      </c>
      <c r="N689" s="12">
        <f t="shared" si="296"/>
        <v>12000000</v>
      </c>
      <c r="O689" s="97">
        <f t="shared" si="296"/>
        <v>2.1698630136986304E-2</v>
      </c>
      <c r="P689" s="112">
        <f t="shared" si="276"/>
        <v>723.28767123287685</v>
      </c>
      <c r="Q689" s="13">
        <f t="shared" si="277"/>
        <v>229282.19178082308</v>
      </c>
      <c r="R689" s="13">
        <f t="shared" si="278"/>
        <v>139.95433789954348</v>
      </c>
      <c r="T689" s="11" t="str">
        <f t="shared" si="294"/>
        <v>SG</v>
      </c>
      <c r="U689" s="12">
        <f t="shared" si="294"/>
        <v>6010956.1600000001</v>
      </c>
      <c r="V689" s="97">
        <f t="shared" si="294"/>
        <v>2.1205479452054792E-2</v>
      </c>
      <c r="W689" s="13">
        <f t="shared" si="279"/>
        <v>354.0700203835616</v>
      </c>
      <c r="X689" s="13">
        <f t="shared" si="263"/>
        <v>112233.09747024592</v>
      </c>
      <c r="Y689" s="13">
        <f t="shared" si="280"/>
        <v>61.870762605783796</v>
      </c>
      <c r="AA689" s="11" t="s">
        <v>189</v>
      </c>
      <c r="AB689" s="98"/>
      <c r="AC689" s="97"/>
      <c r="AD689" s="13"/>
      <c r="AE689" s="13">
        <f t="shared" si="282"/>
        <v>333120.83333333296</v>
      </c>
      <c r="AF689" s="13">
        <f t="shared" si="283"/>
        <v>0</v>
      </c>
      <c r="AH689" s="235">
        <f>'CT- € Ellipsis BNP'!X689</f>
        <v>0</v>
      </c>
      <c r="AI689" s="236">
        <f>'CT- € Ellipsis BNP'!AA689</f>
        <v>0</v>
      </c>
      <c r="AJ689" s="90">
        <f>'CT- € Ellipsis BNP'!W689</f>
        <v>0</v>
      </c>
      <c r="AK689" s="91">
        <f>'CT- € Ellipsis BNP'!AC689</f>
        <v>0</v>
      </c>
      <c r="AM689" s="235">
        <f>'codeis €'!Z689</f>
        <v>0</v>
      </c>
      <c r="AN689" s="236">
        <f>'codeis €'!AF689</f>
        <v>0</v>
      </c>
      <c r="AO689" s="90">
        <f>'codeis €'!AC689</f>
        <v>0</v>
      </c>
      <c r="AP689" s="91">
        <f>'codeis €'!AI689</f>
        <v>0</v>
      </c>
      <c r="AR689" s="12">
        <f t="shared" si="284"/>
        <v>52260956.159999996</v>
      </c>
      <c r="AS689" s="118">
        <f t="shared" si="285"/>
        <v>0.02</v>
      </c>
      <c r="AT689" s="118">
        <f t="shared" si="286"/>
        <v>1.8890273763064611E-2</v>
      </c>
      <c r="AU689" s="12">
        <f t="shared" si="287"/>
        <v>2742.2882471719945</v>
      </c>
      <c r="AV689" s="12">
        <f t="shared" si="288"/>
        <v>201.82510050532727</v>
      </c>
      <c r="AW689" s="19"/>
    </row>
    <row r="690" spans="2:49" x14ac:dyDescent="0.25">
      <c r="B690" s="9" t="str">
        <f t="shared" si="271"/>
        <v>11 2026</v>
      </c>
      <c r="C690" s="88">
        <f t="shared" si="272"/>
        <v>46339</v>
      </c>
      <c r="D690" s="88">
        <f t="shared" si="265"/>
        <v>46340</v>
      </c>
      <c r="E690" s="89">
        <f t="shared" si="273"/>
        <v>1</v>
      </c>
      <c r="G690" s="11" t="s">
        <v>7</v>
      </c>
      <c r="H690" s="12">
        <f t="shared" si="293"/>
        <v>34250000</v>
      </c>
      <c r="I690" s="14">
        <f t="shared" si="293"/>
        <v>1.7500000000000002E-2</v>
      </c>
      <c r="J690" s="13">
        <f t="shared" si="274"/>
        <v>1664.9305555555557</v>
      </c>
      <c r="K690" s="13">
        <f t="shared" si="275"/>
        <v>438329.30555555696</v>
      </c>
      <c r="M690" s="11" t="s">
        <v>7</v>
      </c>
      <c r="N690" s="12">
        <f t="shared" si="296"/>
        <v>12000000</v>
      </c>
      <c r="O690" s="97">
        <f t="shared" si="296"/>
        <v>2.1698630136986304E-2</v>
      </c>
      <c r="P690" s="112">
        <f t="shared" si="276"/>
        <v>723.28767123287685</v>
      </c>
      <c r="Q690" s="13">
        <f t="shared" si="277"/>
        <v>230005.47945205597</v>
      </c>
      <c r="R690" s="13">
        <f t="shared" si="278"/>
        <v>139.95433789954348</v>
      </c>
      <c r="T690" s="11" t="str">
        <f t="shared" si="294"/>
        <v>SG</v>
      </c>
      <c r="U690" s="12">
        <f t="shared" si="294"/>
        <v>6010956.1600000001</v>
      </c>
      <c r="V690" s="97">
        <f t="shared" si="294"/>
        <v>2.1205479452054792E-2</v>
      </c>
      <c r="W690" s="13">
        <f t="shared" si="279"/>
        <v>354.0700203835616</v>
      </c>
      <c r="X690" s="13">
        <f t="shared" si="263"/>
        <v>112587.16749062948</v>
      </c>
      <c r="Y690" s="13">
        <f t="shared" si="280"/>
        <v>61.870762605783796</v>
      </c>
      <c r="AA690" s="11" t="s">
        <v>189</v>
      </c>
      <c r="AB690" s="98"/>
      <c r="AC690" s="97"/>
      <c r="AD690" s="13"/>
      <c r="AE690" s="13">
        <f t="shared" si="282"/>
        <v>333120.83333333296</v>
      </c>
      <c r="AF690" s="13">
        <f t="shared" si="283"/>
        <v>0</v>
      </c>
      <c r="AH690" s="235">
        <f>'CT- € Ellipsis BNP'!X690</f>
        <v>0</v>
      </c>
      <c r="AI690" s="236">
        <f>'CT- € Ellipsis BNP'!AA690</f>
        <v>0</v>
      </c>
      <c r="AJ690" s="90">
        <f>'CT- € Ellipsis BNP'!W690</f>
        <v>0</v>
      </c>
      <c r="AK690" s="91">
        <f>'CT- € Ellipsis BNP'!AC690</f>
        <v>0</v>
      </c>
      <c r="AM690" s="235">
        <f>'codeis €'!Z690</f>
        <v>0</v>
      </c>
      <c r="AN690" s="236">
        <f>'codeis €'!AF690</f>
        <v>0</v>
      </c>
      <c r="AO690" s="90">
        <f>'codeis €'!AC690</f>
        <v>0</v>
      </c>
      <c r="AP690" s="91">
        <f>'codeis €'!AI690</f>
        <v>0</v>
      </c>
      <c r="AR690" s="12">
        <f t="shared" si="284"/>
        <v>52260956.159999996</v>
      </c>
      <c r="AS690" s="118">
        <f t="shared" si="285"/>
        <v>0.02</v>
      </c>
      <c r="AT690" s="118">
        <f t="shared" si="286"/>
        <v>1.8890273763064611E-2</v>
      </c>
      <c r="AU690" s="12">
        <f t="shared" si="287"/>
        <v>2742.2882471719945</v>
      </c>
      <c r="AV690" s="12">
        <f t="shared" si="288"/>
        <v>201.82510050532727</v>
      </c>
      <c r="AW690" s="19"/>
    </row>
    <row r="691" spans="2:49" x14ac:dyDescent="0.25">
      <c r="B691" s="9" t="str">
        <f t="shared" si="271"/>
        <v>11 2026</v>
      </c>
      <c r="C691" s="88">
        <f t="shared" si="272"/>
        <v>46340</v>
      </c>
      <c r="D691" s="88">
        <f t="shared" si="265"/>
        <v>46341</v>
      </c>
      <c r="E691" s="89">
        <f t="shared" si="273"/>
        <v>1</v>
      </c>
      <c r="G691" s="11" t="s">
        <v>7</v>
      </c>
      <c r="H691" s="12">
        <f t="shared" si="293"/>
        <v>34250000</v>
      </c>
      <c r="I691" s="14">
        <f t="shared" si="293"/>
        <v>1.7500000000000002E-2</v>
      </c>
      <c r="J691" s="13">
        <f t="shared" si="274"/>
        <v>1664.9305555555557</v>
      </c>
      <c r="K691" s="13">
        <f t="shared" si="275"/>
        <v>439994.23611111252</v>
      </c>
      <c r="M691" s="11" t="s">
        <v>7</v>
      </c>
      <c r="N691" s="12">
        <f t="shared" si="296"/>
        <v>12000000</v>
      </c>
      <c r="O691" s="97">
        <f t="shared" si="296"/>
        <v>2.1698630136986304E-2</v>
      </c>
      <c r="P691" s="112">
        <f t="shared" si="276"/>
        <v>723.28767123287685</v>
      </c>
      <c r="Q691" s="13">
        <f t="shared" si="277"/>
        <v>230728.76712328885</v>
      </c>
      <c r="R691" s="13">
        <f t="shared" si="278"/>
        <v>139.95433789954348</v>
      </c>
      <c r="T691" s="11" t="str">
        <f t="shared" si="294"/>
        <v>SG</v>
      </c>
      <c r="U691" s="12">
        <f t="shared" si="294"/>
        <v>6010956.1600000001</v>
      </c>
      <c r="V691" s="97">
        <f t="shared" si="294"/>
        <v>2.1205479452054792E-2</v>
      </c>
      <c r="W691" s="13">
        <f t="shared" si="279"/>
        <v>354.0700203835616</v>
      </c>
      <c r="X691" s="13">
        <f t="shared" si="263"/>
        <v>112941.23751101304</v>
      </c>
      <c r="Y691" s="13">
        <f t="shared" si="280"/>
        <v>61.870762605783796</v>
      </c>
      <c r="AA691" s="11" t="s">
        <v>189</v>
      </c>
      <c r="AB691" s="98"/>
      <c r="AC691" s="97"/>
      <c r="AD691" s="13"/>
      <c r="AE691" s="13">
        <f t="shared" si="282"/>
        <v>333120.83333333296</v>
      </c>
      <c r="AF691" s="13">
        <f t="shared" si="283"/>
        <v>0</v>
      </c>
      <c r="AH691" s="235">
        <f>'CT- € Ellipsis BNP'!X691</f>
        <v>0</v>
      </c>
      <c r="AI691" s="236">
        <f>'CT- € Ellipsis BNP'!AA691</f>
        <v>0</v>
      </c>
      <c r="AJ691" s="90">
        <f>'CT- € Ellipsis BNP'!W691</f>
        <v>0</v>
      </c>
      <c r="AK691" s="91">
        <f>'CT- € Ellipsis BNP'!AC691</f>
        <v>0</v>
      </c>
      <c r="AM691" s="235">
        <f>'codeis €'!Z691</f>
        <v>0</v>
      </c>
      <c r="AN691" s="236">
        <f>'codeis €'!AF691</f>
        <v>0</v>
      </c>
      <c r="AO691" s="90">
        <f>'codeis €'!AC691</f>
        <v>0</v>
      </c>
      <c r="AP691" s="91">
        <f>'codeis €'!AI691</f>
        <v>0</v>
      </c>
      <c r="AR691" s="12">
        <f t="shared" si="284"/>
        <v>52260956.159999996</v>
      </c>
      <c r="AS691" s="118">
        <f t="shared" si="285"/>
        <v>0.02</v>
      </c>
      <c r="AT691" s="118">
        <f t="shared" si="286"/>
        <v>1.8890273763064611E-2</v>
      </c>
      <c r="AU691" s="12">
        <f t="shared" si="287"/>
        <v>2742.2882471719945</v>
      </c>
      <c r="AV691" s="12">
        <f t="shared" si="288"/>
        <v>201.82510050532727</v>
      </c>
      <c r="AW691" s="19"/>
    </row>
    <row r="692" spans="2:49" x14ac:dyDescent="0.25">
      <c r="B692" s="9" t="str">
        <f t="shared" si="271"/>
        <v>11 2026</v>
      </c>
      <c r="C692" s="88">
        <f t="shared" si="272"/>
        <v>46341</v>
      </c>
      <c r="D692" s="88">
        <f t="shared" si="265"/>
        <v>46342</v>
      </c>
      <c r="E692" s="89">
        <f t="shared" si="273"/>
        <v>1</v>
      </c>
      <c r="G692" s="11" t="s">
        <v>7</v>
      </c>
      <c r="H692" s="12">
        <f t="shared" si="293"/>
        <v>34250000</v>
      </c>
      <c r="I692" s="14">
        <f t="shared" si="293"/>
        <v>1.7500000000000002E-2</v>
      </c>
      <c r="J692" s="13">
        <f t="shared" si="274"/>
        <v>1664.9305555555557</v>
      </c>
      <c r="K692" s="13">
        <f t="shared" si="275"/>
        <v>441659.16666666808</v>
      </c>
      <c r="M692" s="11" t="s">
        <v>7</v>
      </c>
      <c r="N692" s="12">
        <f t="shared" si="296"/>
        <v>12000000</v>
      </c>
      <c r="O692" s="97">
        <f t="shared" si="296"/>
        <v>2.1698630136986304E-2</v>
      </c>
      <c r="P692" s="112">
        <f t="shared" si="276"/>
        <v>723.28767123287685</v>
      </c>
      <c r="Q692" s="13">
        <f t="shared" si="277"/>
        <v>231452.05479452174</v>
      </c>
      <c r="R692" s="13">
        <f t="shared" si="278"/>
        <v>139.95433789954348</v>
      </c>
      <c r="T692" s="11" t="str">
        <f t="shared" si="294"/>
        <v>SG</v>
      </c>
      <c r="U692" s="12">
        <f t="shared" si="294"/>
        <v>6010956.1600000001</v>
      </c>
      <c r="V692" s="97">
        <f t="shared" si="294"/>
        <v>2.1205479452054792E-2</v>
      </c>
      <c r="W692" s="13">
        <f t="shared" si="279"/>
        <v>354.0700203835616</v>
      </c>
      <c r="X692" s="13">
        <f t="shared" si="263"/>
        <v>113295.3075313966</v>
      </c>
      <c r="Y692" s="13">
        <f t="shared" si="280"/>
        <v>61.870762605783796</v>
      </c>
      <c r="AA692" s="11" t="s">
        <v>189</v>
      </c>
      <c r="AB692" s="98"/>
      <c r="AC692" s="97"/>
      <c r="AD692" s="13"/>
      <c r="AE692" s="13">
        <f t="shared" si="282"/>
        <v>333120.83333333296</v>
      </c>
      <c r="AF692" s="13">
        <f t="shared" si="283"/>
        <v>0</v>
      </c>
      <c r="AH692" s="235">
        <f>'CT- € Ellipsis BNP'!X692</f>
        <v>0</v>
      </c>
      <c r="AI692" s="236">
        <f>'CT- € Ellipsis BNP'!AA692</f>
        <v>0</v>
      </c>
      <c r="AJ692" s="90">
        <f>'CT- € Ellipsis BNP'!W692</f>
        <v>0</v>
      </c>
      <c r="AK692" s="91">
        <f>'CT- € Ellipsis BNP'!AC692</f>
        <v>0</v>
      </c>
      <c r="AM692" s="235">
        <f>'codeis €'!Z692</f>
        <v>0</v>
      </c>
      <c r="AN692" s="236">
        <f>'codeis €'!AF692</f>
        <v>0</v>
      </c>
      <c r="AO692" s="90">
        <f>'codeis €'!AC692</f>
        <v>0</v>
      </c>
      <c r="AP692" s="91">
        <f>'codeis €'!AI692</f>
        <v>0</v>
      </c>
      <c r="AR692" s="12">
        <f t="shared" si="284"/>
        <v>52260956.159999996</v>
      </c>
      <c r="AS692" s="118">
        <f t="shared" si="285"/>
        <v>0.02</v>
      </c>
      <c r="AT692" s="118">
        <f t="shared" si="286"/>
        <v>1.8890273763064611E-2</v>
      </c>
      <c r="AU692" s="12">
        <f t="shared" si="287"/>
        <v>2742.2882471719945</v>
      </c>
      <c r="AV692" s="12">
        <f t="shared" si="288"/>
        <v>201.82510050532727</v>
      </c>
      <c r="AW692" s="19"/>
    </row>
    <row r="693" spans="2:49" x14ac:dyDescent="0.25">
      <c r="B693" s="9" t="str">
        <f t="shared" si="271"/>
        <v>11 2026</v>
      </c>
      <c r="C693" s="88">
        <f t="shared" si="272"/>
        <v>46342</v>
      </c>
      <c r="D693" s="88">
        <f t="shared" si="265"/>
        <v>46343</v>
      </c>
      <c r="E693" s="89">
        <f t="shared" si="273"/>
        <v>1</v>
      </c>
      <c r="G693" s="11" t="s">
        <v>7</v>
      </c>
      <c r="H693" s="12">
        <f t="shared" si="293"/>
        <v>34250000</v>
      </c>
      <c r="I693" s="14">
        <f t="shared" si="293"/>
        <v>1.7500000000000002E-2</v>
      </c>
      <c r="J693" s="13">
        <f t="shared" si="274"/>
        <v>1664.9305555555557</v>
      </c>
      <c r="K693" s="13">
        <f t="shared" si="275"/>
        <v>443324.09722222365</v>
      </c>
      <c r="M693" s="11" t="s">
        <v>7</v>
      </c>
      <c r="N693" s="12">
        <f t="shared" si="296"/>
        <v>12000000</v>
      </c>
      <c r="O693" s="97">
        <f t="shared" si="296"/>
        <v>2.1698630136986304E-2</v>
      </c>
      <c r="P693" s="112">
        <f t="shared" si="276"/>
        <v>723.28767123287685</v>
      </c>
      <c r="Q693" s="13">
        <f t="shared" si="277"/>
        <v>232175.34246575463</v>
      </c>
      <c r="R693" s="13">
        <f t="shared" si="278"/>
        <v>139.95433789954348</v>
      </c>
      <c r="T693" s="11" t="str">
        <f t="shared" si="294"/>
        <v>SG</v>
      </c>
      <c r="U693" s="12">
        <f t="shared" si="294"/>
        <v>6010956.1600000001</v>
      </c>
      <c r="V693" s="97">
        <f t="shared" si="294"/>
        <v>2.1205479452054792E-2</v>
      </c>
      <c r="W693" s="13">
        <f t="shared" si="279"/>
        <v>354.0700203835616</v>
      </c>
      <c r="X693" s="13">
        <f t="shared" si="263"/>
        <v>113649.37755178016</v>
      </c>
      <c r="Y693" s="13">
        <f t="shared" si="280"/>
        <v>61.870762605783796</v>
      </c>
      <c r="AA693" s="11" t="s">
        <v>189</v>
      </c>
      <c r="AB693" s="98"/>
      <c r="AC693" s="97"/>
      <c r="AD693" s="13"/>
      <c r="AE693" s="13">
        <f t="shared" si="282"/>
        <v>333120.83333333296</v>
      </c>
      <c r="AF693" s="13">
        <f t="shared" si="283"/>
        <v>0</v>
      </c>
      <c r="AH693" s="235">
        <f>'CT- € Ellipsis BNP'!X693</f>
        <v>0</v>
      </c>
      <c r="AI693" s="236">
        <f>'CT- € Ellipsis BNP'!AA693</f>
        <v>0</v>
      </c>
      <c r="AJ693" s="90">
        <f>'CT- € Ellipsis BNP'!W693</f>
        <v>0</v>
      </c>
      <c r="AK693" s="91">
        <f>'CT- € Ellipsis BNP'!AC693</f>
        <v>0</v>
      </c>
      <c r="AM693" s="235">
        <f>'codeis €'!Z693</f>
        <v>0</v>
      </c>
      <c r="AN693" s="236">
        <f>'codeis €'!AF693</f>
        <v>0</v>
      </c>
      <c r="AO693" s="90">
        <f>'codeis €'!AC693</f>
        <v>0</v>
      </c>
      <c r="AP693" s="91">
        <f>'codeis €'!AI693</f>
        <v>0</v>
      </c>
      <c r="AR693" s="12">
        <f t="shared" si="284"/>
        <v>52260956.159999996</v>
      </c>
      <c r="AS693" s="118">
        <f t="shared" si="285"/>
        <v>0.02</v>
      </c>
      <c r="AT693" s="118">
        <f t="shared" si="286"/>
        <v>1.8890273763064611E-2</v>
      </c>
      <c r="AU693" s="12">
        <f t="shared" si="287"/>
        <v>2742.2882471719945</v>
      </c>
      <c r="AV693" s="12">
        <f t="shared" si="288"/>
        <v>201.82510050532727</v>
      </c>
      <c r="AW693" s="19"/>
    </row>
    <row r="694" spans="2:49" x14ac:dyDescent="0.25">
      <c r="B694" s="9" t="str">
        <f t="shared" si="271"/>
        <v>11 2026</v>
      </c>
      <c r="C694" s="88">
        <f t="shared" si="272"/>
        <v>46343</v>
      </c>
      <c r="D694" s="88">
        <f t="shared" si="265"/>
        <v>46344</v>
      </c>
      <c r="E694" s="89">
        <f t="shared" si="273"/>
        <v>1</v>
      </c>
      <c r="G694" s="11" t="s">
        <v>7</v>
      </c>
      <c r="H694" s="12">
        <f t="shared" si="293"/>
        <v>34250000</v>
      </c>
      <c r="I694" s="14">
        <f t="shared" si="293"/>
        <v>1.7500000000000002E-2</v>
      </c>
      <c r="J694" s="13">
        <f t="shared" si="274"/>
        <v>1664.9305555555557</v>
      </c>
      <c r="K694" s="13">
        <f t="shared" si="275"/>
        <v>444989.02777777921</v>
      </c>
      <c r="M694" s="11" t="s">
        <v>7</v>
      </c>
      <c r="N694" s="12">
        <f t="shared" si="296"/>
        <v>12000000</v>
      </c>
      <c r="O694" s="97">
        <f t="shared" si="296"/>
        <v>2.1698630136986304E-2</v>
      </c>
      <c r="P694" s="112">
        <f t="shared" si="276"/>
        <v>723.28767123287685</v>
      </c>
      <c r="Q694" s="13">
        <f t="shared" si="277"/>
        <v>232898.63013698751</v>
      </c>
      <c r="R694" s="13">
        <f t="shared" si="278"/>
        <v>139.95433789954348</v>
      </c>
      <c r="T694" s="11" t="str">
        <f t="shared" si="294"/>
        <v>SG</v>
      </c>
      <c r="U694" s="12">
        <f t="shared" si="294"/>
        <v>6010956.1600000001</v>
      </c>
      <c r="V694" s="97">
        <f t="shared" si="294"/>
        <v>2.1205479452054792E-2</v>
      </c>
      <c r="W694" s="13">
        <f t="shared" si="279"/>
        <v>354.0700203835616</v>
      </c>
      <c r="X694" s="13">
        <f t="shared" si="263"/>
        <v>114003.44757216371</v>
      </c>
      <c r="Y694" s="13">
        <f t="shared" si="280"/>
        <v>61.870762605783796</v>
      </c>
      <c r="AA694" s="11" t="s">
        <v>189</v>
      </c>
      <c r="AB694" s="98"/>
      <c r="AC694" s="97"/>
      <c r="AD694" s="13"/>
      <c r="AE694" s="13">
        <f t="shared" si="282"/>
        <v>333120.83333333296</v>
      </c>
      <c r="AF694" s="13">
        <f t="shared" si="283"/>
        <v>0</v>
      </c>
      <c r="AH694" s="235">
        <f>'CT- € Ellipsis BNP'!X694</f>
        <v>0</v>
      </c>
      <c r="AI694" s="236">
        <f>'CT- € Ellipsis BNP'!AA694</f>
        <v>0</v>
      </c>
      <c r="AJ694" s="90">
        <f>'CT- € Ellipsis BNP'!W694</f>
        <v>0</v>
      </c>
      <c r="AK694" s="91">
        <f>'CT- € Ellipsis BNP'!AC694</f>
        <v>0</v>
      </c>
      <c r="AM694" s="235">
        <f>'codeis €'!Z694</f>
        <v>0</v>
      </c>
      <c r="AN694" s="236">
        <f>'codeis €'!AF694</f>
        <v>0</v>
      </c>
      <c r="AO694" s="90">
        <f>'codeis €'!AC694</f>
        <v>0</v>
      </c>
      <c r="AP694" s="91">
        <f>'codeis €'!AI694</f>
        <v>0</v>
      </c>
      <c r="AR694" s="12">
        <f t="shared" si="284"/>
        <v>52260956.159999996</v>
      </c>
      <c r="AS694" s="118">
        <f t="shared" si="285"/>
        <v>0.02</v>
      </c>
      <c r="AT694" s="118">
        <f t="shared" si="286"/>
        <v>1.8890273763064611E-2</v>
      </c>
      <c r="AU694" s="12">
        <f t="shared" si="287"/>
        <v>2742.2882471719945</v>
      </c>
      <c r="AV694" s="12">
        <f t="shared" si="288"/>
        <v>201.82510050532727</v>
      </c>
      <c r="AW694" s="19"/>
    </row>
    <row r="695" spans="2:49" x14ac:dyDescent="0.25">
      <c r="B695" s="9" t="str">
        <f t="shared" si="271"/>
        <v>11 2026</v>
      </c>
      <c r="C695" s="88">
        <f t="shared" si="272"/>
        <v>46344</v>
      </c>
      <c r="D695" s="88">
        <f t="shared" si="265"/>
        <v>46345</v>
      </c>
      <c r="E695" s="89">
        <f t="shared" si="273"/>
        <v>1</v>
      </c>
      <c r="G695" s="11" t="s">
        <v>7</v>
      </c>
      <c r="H695" s="12">
        <f t="shared" ref="H695:I710" si="297">H694</f>
        <v>34250000</v>
      </c>
      <c r="I695" s="14">
        <f t="shared" si="297"/>
        <v>1.7500000000000002E-2</v>
      </c>
      <c r="J695" s="13">
        <f t="shared" si="274"/>
        <v>1664.9305555555557</v>
      </c>
      <c r="K695" s="13">
        <f t="shared" si="275"/>
        <v>446653.95833333477</v>
      </c>
      <c r="M695" s="11" t="s">
        <v>7</v>
      </c>
      <c r="N695" s="12">
        <f t="shared" si="296"/>
        <v>12000000</v>
      </c>
      <c r="O695" s="97">
        <f t="shared" si="296"/>
        <v>2.1698630136986304E-2</v>
      </c>
      <c r="P695" s="112">
        <f t="shared" si="276"/>
        <v>723.28767123287685</v>
      </c>
      <c r="Q695" s="13">
        <f t="shared" si="277"/>
        <v>233621.9178082204</v>
      </c>
      <c r="R695" s="13">
        <f t="shared" si="278"/>
        <v>139.95433789954348</v>
      </c>
      <c r="T695" s="11" t="str">
        <f t="shared" ref="T695:V710" si="298">T694</f>
        <v>SG</v>
      </c>
      <c r="U695" s="12">
        <f t="shared" si="298"/>
        <v>6010956.1600000001</v>
      </c>
      <c r="V695" s="97">
        <f t="shared" si="298"/>
        <v>2.1205479452054792E-2</v>
      </c>
      <c r="W695" s="13">
        <f t="shared" si="279"/>
        <v>354.0700203835616</v>
      </c>
      <c r="X695" s="13">
        <f t="shared" ref="X695:X737" si="299">X694+W695</f>
        <v>114357.51759254727</v>
      </c>
      <c r="Y695" s="13">
        <f t="shared" si="280"/>
        <v>61.870762605783796</v>
      </c>
      <c r="AA695" s="11" t="s">
        <v>189</v>
      </c>
      <c r="AB695" s="98"/>
      <c r="AC695" s="97"/>
      <c r="AD695" s="13"/>
      <c r="AE695" s="13">
        <f t="shared" si="282"/>
        <v>333120.83333333296</v>
      </c>
      <c r="AF695" s="13">
        <f t="shared" si="283"/>
        <v>0</v>
      </c>
      <c r="AH695" s="235">
        <f>'CT- € Ellipsis BNP'!X695</f>
        <v>0</v>
      </c>
      <c r="AI695" s="236">
        <f>'CT- € Ellipsis BNP'!AA695</f>
        <v>0</v>
      </c>
      <c r="AJ695" s="90">
        <f>'CT- € Ellipsis BNP'!W695</f>
        <v>0</v>
      </c>
      <c r="AK695" s="91">
        <f>'CT- € Ellipsis BNP'!AC695</f>
        <v>0</v>
      </c>
      <c r="AM695" s="235">
        <f>'codeis €'!Z695</f>
        <v>0</v>
      </c>
      <c r="AN695" s="236">
        <f>'codeis €'!AF695</f>
        <v>0</v>
      </c>
      <c r="AO695" s="90">
        <f>'codeis €'!AC695</f>
        <v>0</v>
      </c>
      <c r="AP695" s="91">
        <f>'codeis €'!AI695</f>
        <v>0</v>
      </c>
      <c r="AR695" s="12">
        <f t="shared" si="284"/>
        <v>52260956.159999996</v>
      </c>
      <c r="AS695" s="118">
        <f t="shared" si="285"/>
        <v>0.02</v>
      </c>
      <c r="AT695" s="118">
        <f t="shared" si="286"/>
        <v>1.8890273763064611E-2</v>
      </c>
      <c r="AU695" s="12">
        <f t="shared" si="287"/>
        <v>2742.2882471719945</v>
      </c>
      <c r="AV695" s="12">
        <f t="shared" si="288"/>
        <v>201.82510050532727</v>
      </c>
      <c r="AW695" s="19"/>
    </row>
    <row r="696" spans="2:49" x14ac:dyDescent="0.25">
      <c r="B696" s="9" t="str">
        <f t="shared" si="271"/>
        <v>11 2026</v>
      </c>
      <c r="C696" s="88">
        <f t="shared" si="272"/>
        <v>46345</v>
      </c>
      <c r="D696" s="88">
        <f t="shared" ref="D696:D737" si="300">D695+1</f>
        <v>46346</v>
      </c>
      <c r="E696" s="89">
        <f t="shared" si="273"/>
        <v>1</v>
      </c>
      <c r="G696" s="11" t="s">
        <v>7</v>
      </c>
      <c r="H696" s="12">
        <f t="shared" si="297"/>
        <v>34250000</v>
      </c>
      <c r="I696" s="14">
        <f t="shared" si="297"/>
        <v>1.7500000000000002E-2</v>
      </c>
      <c r="J696" s="13">
        <f t="shared" si="274"/>
        <v>1664.9305555555557</v>
      </c>
      <c r="K696" s="13">
        <f t="shared" si="275"/>
        <v>448318.88888889033</v>
      </c>
      <c r="M696" s="11" t="s">
        <v>7</v>
      </c>
      <c r="N696" s="12">
        <f t="shared" ref="N696:O711" si="301">N695</f>
        <v>12000000</v>
      </c>
      <c r="O696" s="97">
        <f t="shared" si="301"/>
        <v>2.1698630136986304E-2</v>
      </c>
      <c r="P696" s="112">
        <f t="shared" si="276"/>
        <v>723.28767123287685</v>
      </c>
      <c r="Q696" s="13">
        <f t="shared" si="277"/>
        <v>234345.20547945329</v>
      </c>
      <c r="R696" s="13">
        <f t="shared" si="278"/>
        <v>139.95433789954348</v>
      </c>
      <c r="T696" s="11" t="str">
        <f t="shared" si="298"/>
        <v>SG</v>
      </c>
      <c r="U696" s="12">
        <f t="shared" si="298"/>
        <v>6010956.1600000001</v>
      </c>
      <c r="V696" s="97">
        <f t="shared" si="298"/>
        <v>2.1205479452054792E-2</v>
      </c>
      <c r="W696" s="13">
        <f t="shared" si="279"/>
        <v>354.0700203835616</v>
      </c>
      <c r="X696" s="13">
        <f t="shared" si="299"/>
        <v>114711.58761293083</v>
      </c>
      <c r="Y696" s="13">
        <f t="shared" si="280"/>
        <v>61.870762605783796</v>
      </c>
      <c r="AA696" s="11" t="s">
        <v>189</v>
      </c>
      <c r="AB696" s="98"/>
      <c r="AC696" s="97"/>
      <c r="AD696" s="13"/>
      <c r="AE696" s="13">
        <f t="shared" si="282"/>
        <v>333120.83333333296</v>
      </c>
      <c r="AF696" s="13">
        <f t="shared" si="283"/>
        <v>0</v>
      </c>
      <c r="AH696" s="235">
        <f>'CT- € Ellipsis BNP'!X696</f>
        <v>0</v>
      </c>
      <c r="AI696" s="236">
        <f>'CT- € Ellipsis BNP'!AA696</f>
        <v>0</v>
      </c>
      <c r="AJ696" s="90">
        <f>'CT- € Ellipsis BNP'!W696</f>
        <v>0</v>
      </c>
      <c r="AK696" s="91">
        <f>'CT- € Ellipsis BNP'!AC696</f>
        <v>0</v>
      </c>
      <c r="AM696" s="235">
        <f>'codeis €'!Z696</f>
        <v>0</v>
      </c>
      <c r="AN696" s="236">
        <f>'codeis €'!AF696</f>
        <v>0</v>
      </c>
      <c r="AO696" s="90">
        <f>'codeis €'!AC696</f>
        <v>0</v>
      </c>
      <c r="AP696" s="91">
        <f>'codeis €'!AI696</f>
        <v>0</v>
      </c>
      <c r="AR696" s="12">
        <f t="shared" si="284"/>
        <v>52260956.159999996</v>
      </c>
      <c r="AS696" s="118">
        <f t="shared" si="285"/>
        <v>0.02</v>
      </c>
      <c r="AT696" s="118">
        <f t="shared" si="286"/>
        <v>1.8890273763064611E-2</v>
      </c>
      <c r="AU696" s="12">
        <f t="shared" si="287"/>
        <v>2742.2882471719945</v>
      </c>
      <c r="AV696" s="12">
        <f t="shared" si="288"/>
        <v>201.82510050532727</v>
      </c>
      <c r="AW696" s="19"/>
    </row>
    <row r="697" spans="2:49" x14ac:dyDescent="0.25">
      <c r="B697" s="9" t="str">
        <f t="shared" si="271"/>
        <v>11 2026</v>
      </c>
      <c r="C697" s="88">
        <f t="shared" si="272"/>
        <v>46346</v>
      </c>
      <c r="D697" s="88">
        <f t="shared" si="300"/>
        <v>46347</v>
      </c>
      <c r="E697" s="89">
        <f t="shared" si="273"/>
        <v>1</v>
      </c>
      <c r="G697" s="11" t="s">
        <v>7</v>
      </c>
      <c r="H697" s="12">
        <f t="shared" si="297"/>
        <v>34250000</v>
      </c>
      <c r="I697" s="14">
        <f t="shared" si="297"/>
        <v>1.7500000000000002E-2</v>
      </c>
      <c r="J697" s="13">
        <f t="shared" si="274"/>
        <v>1664.9305555555557</v>
      </c>
      <c r="K697" s="13">
        <f t="shared" si="275"/>
        <v>449983.81944444589</v>
      </c>
      <c r="M697" s="11" t="s">
        <v>7</v>
      </c>
      <c r="N697" s="12">
        <f t="shared" si="301"/>
        <v>12000000</v>
      </c>
      <c r="O697" s="97">
        <f t="shared" si="301"/>
        <v>2.1698630136986304E-2</v>
      </c>
      <c r="P697" s="112">
        <f t="shared" si="276"/>
        <v>723.28767123287685</v>
      </c>
      <c r="Q697" s="13">
        <f t="shared" si="277"/>
        <v>235068.49315068618</v>
      </c>
      <c r="R697" s="13">
        <f t="shared" si="278"/>
        <v>139.95433789954348</v>
      </c>
      <c r="T697" s="11" t="str">
        <f t="shared" si="298"/>
        <v>SG</v>
      </c>
      <c r="U697" s="12">
        <f t="shared" si="298"/>
        <v>6010956.1600000001</v>
      </c>
      <c r="V697" s="97">
        <f t="shared" si="298"/>
        <v>2.1205479452054792E-2</v>
      </c>
      <c r="W697" s="13">
        <f t="shared" si="279"/>
        <v>354.0700203835616</v>
      </c>
      <c r="X697" s="13">
        <f t="shared" si="299"/>
        <v>115065.65763331439</v>
      </c>
      <c r="Y697" s="13">
        <f t="shared" si="280"/>
        <v>61.870762605783796</v>
      </c>
      <c r="AA697" s="11" t="s">
        <v>189</v>
      </c>
      <c r="AB697" s="98"/>
      <c r="AC697" s="97"/>
      <c r="AD697" s="13"/>
      <c r="AE697" s="13">
        <f t="shared" si="282"/>
        <v>333120.83333333296</v>
      </c>
      <c r="AF697" s="13">
        <f t="shared" si="283"/>
        <v>0</v>
      </c>
      <c r="AH697" s="235">
        <f>'CT- € Ellipsis BNP'!X697</f>
        <v>0</v>
      </c>
      <c r="AI697" s="236">
        <f>'CT- € Ellipsis BNP'!AA697</f>
        <v>0</v>
      </c>
      <c r="AJ697" s="90">
        <f>'CT- € Ellipsis BNP'!W697</f>
        <v>0</v>
      </c>
      <c r="AK697" s="91">
        <f>'CT- € Ellipsis BNP'!AC697</f>
        <v>0</v>
      </c>
      <c r="AM697" s="235">
        <f>'codeis €'!Z697</f>
        <v>0</v>
      </c>
      <c r="AN697" s="236">
        <f>'codeis €'!AF697</f>
        <v>0</v>
      </c>
      <c r="AO697" s="90">
        <f>'codeis €'!AC697</f>
        <v>0</v>
      </c>
      <c r="AP697" s="91">
        <f>'codeis €'!AI697</f>
        <v>0</v>
      </c>
      <c r="AR697" s="12">
        <f t="shared" si="284"/>
        <v>52260956.159999996</v>
      </c>
      <c r="AS697" s="118">
        <f t="shared" si="285"/>
        <v>0.02</v>
      </c>
      <c r="AT697" s="118">
        <f t="shared" si="286"/>
        <v>1.8890273763064611E-2</v>
      </c>
      <c r="AU697" s="12">
        <f t="shared" si="287"/>
        <v>2742.2882471719945</v>
      </c>
      <c r="AV697" s="12">
        <f t="shared" si="288"/>
        <v>201.82510050532727</v>
      </c>
      <c r="AW697" s="19"/>
    </row>
    <row r="698" spans="2:49" x14ac:dyDescent="0.25">
      <c r="B698" s="9" t="str">
        <f t="shared" si="271"/>
        <v>11 2026</v>
      </c>
      <c r="C698" s="88">
        <f t="shared" si="272"/>
        <v>46347</v>
      </c>
      <c r="D698" s="88">
        <f t="shared" si="300"/>
        <v>46348</v>
      </c>
      <c r="E698" s="89">
        <f t="shared" si="273"/>
        <v>1</v>
      </c>
      <c r="G698" s="11" t="s">
        <v>7</v>
      </c>
      <c r="H698" s="12">
        <f t="shared" si="297"/>
        <v>34250000</v>
      </c>
      <c r="I698" s="14">
        <f t="shared" si="297"/>
        <v>1.7500000000000002E-2</v>
      </c>
      <c r="J698" s="13">
        <f t="shared" si="274"/>
        <v>1664.9305555555557</v>
      </c>
      <c r="K698" s="13">
        <f t="shared" si="275"/>
        <v>451648.75000000146</v>
      </c>
      <c r="M698" s="11" t="s">
        <v>7</v>
      </c>
      <c r="N698" s="12">
        <f t="shared" si="301"/>
        <v>12000000</v>
      </c>
      <c r="O698" s="97">
        <f t="shared" si="301"/>
        <v>2.1698630136986304E-2</v>
      </c>
      <c r="P698" s="112">
        <f t="shared" si="276"/>
        <v>723.28767123287685</v>
      </c>
      <c r="Q698" s="13">
        <f t="shared" si="277"/>
        <v>235791.78082191906</v>
      </c>
      <c r="R698" s="13">
        <f t="shared" si="278"/>
        <v>139.95433789954348</v>
      </c>
      <c r="T698" s="11" t="str">
        <f t="shared" si="298"/>
        <v>SG</v>
      </c>
      <c r="U698" s="12">
        <f t="shared" si="298"/>
        <v>6010956.1600000001</v>
      </c>
      <c r="V698" s="97">
        <f t="shared" si="298"/>
        <v>2.1205479452054792E-2</v>
      </c>
      <c r="W698" s="13">
        <f t="shared" si="279"/>
        <v>354.0700203835616</v>
      </c>
      <c r="X698" s="13">
        <f t="shared" si="299"/>
        <v>115419.72765369795</v>
      </c>
      <c r="Y698" s="13">
        <f t="shared" si="280"/>
        <v>61.870762605783796</v>
      </c>
      <c r="AA698" s="11" t="s">
        <v>189</v>
      </c>
      <c r="AB698" s="98"/>
      <c r="AC698" s="97"/>
      <c r="AD698" s="13"/>
      <c r="AE698" s="13">
        <f t="shared" si="282"/>
        <v>333120.83333333296</v>
      </c>
      <c r="AF698" s="13">
        <f t="shared" si="283"/>
        <v>0</v>
      </c>
      <c r="AH698" s="235">
        <f>'CT- € Ellipsis BNP'!X698</f>
        <v>0</v>
      </c>
      <c r="AI698" s="236">
        <f>'CT- € Ellipsis BNP'!AA698</f>
        <v>0</v>
      </c>
      <c r="AJ698" s="90">
        <f>'CT- € Ellipsis BNP'!W698</f>
        <v>0</v>
      </c>
      <c r="AK698" s="91">
        <f>'CT- € Ellipsis BNP'!AC698</f>
        <v>0</v>
      </c>
      <c r="AM698" s="235">
        <f>'codeis €'!Z698</f>
        <v>0</v>
      </c>
      <c r="AN698" s="236">
        <f>'codeis €'!AF698</f>
        <v>0</v>
      </c>
      <c r="AO698" s="90">
        <f>'codeis €'!AC698</f>
        <v>0</v>
      </c>
      <c r="AP698" s="91">
        <f>'codeis €'!AI698</f>
        <v>0</v>
      </c>
      <c r="AR698" s="12">
        <f t="shared" si="284"/>
        <v>52260956.159999996</v>
      </c>
      <c r="AS698" s="118">
        <f t="shared" si="285"/>
        <v>0.02</v>
      </c>
      <c r="AT698" s="118">
        <f t="shared" si="286"/>
        <v>1.8890273763064611E-2</v>
      </c>
      <c r="AU698" s="12">
        <f t="shared" si="287"/>
        <v>2742.2882471719945</v>
      </c>
      <c r="AV698" s="12">
        <f t="shared" si="288"/>
        <v>201.82510050532727</v>
      </c>
      <c r="AW698" s="19"/>
    </row>
    <row r="699" spans="2:49" x14ac:dyDescent="0.25">
      <c r="B699" s="9" t="str">
        <f t="shared" si="271"/>
        <v>11 2026</v>
      </c>
      <c r="C699" s="88">
        <f t="shared" si="272"/>
        <v>46348</v>
      </c>
      <c r="D699" s="88">
        <f t="shared" si="300"/>
        <v>46349</v>
      </c>
      <c r="E699" s="89">
        <f t="shared" si="273"/>
        <v>1</v>
      </c>
      <c r="G699" s="11" t="s">
        <v>7</v>
      </c>
      <c r="H699" s="12">
        <f t="shared" si="297"/>
        <v>34250000</v>
      </c>
      <c r="I699" s="14">
        <f t="shared" si="297"/>
        <v>1.7500000000000002E-2</v>
      </c>
      <c r="J699" s="13">
        <f t="shared" si="274"/>
        <v>1664.9305555555557</v>
      </c>
      <c r="K699" s="13">
        <f t="shared" si="275"/>
        <v>453313.68055555702</v>
      </c>
      <c r="M699" s="11" t="s">
        <v>7</v>
      </c>
      <c r="N699" s="12">
        <f t="shared" si="301"/>
        <v>12000000</v>
      </c>
      <c r="O699" s="97">
        <f t="shared" si="301"/>
        <v>2.1698630136986304E-2</v>
      </c>
      <c r="P699" s="112">
        <f t="shared" si="276"/>
        <v>723.28767123287685</v>
      </c>
      <c r="Q699" s="13">
        <f t="shared" si="277"/>
        <v>236515.06849315195</v>
      </c>
      <c r="R699" s="13">
        <f t="shared" si="278"/>
        <v>139.95433789954348</v>
      </c>
      <c r="T699" s="11" t="str">
        <f t="shared" si="298"/>
        <v>SG</v>
      </c>
      <c r="U699" s="12">
        <f t="shared" si="298"/>
        <v>6010956.1600000001</v>
      </c>
      <c r="V699" s="97">
        <f t="shared" si="298"/>
        <v>2.1205479452054792E-2</v>
      </c>
      <c r="W699" s="13">
        <f t="shared" si="279"/>
        <v>354.0700203835616</v>
      </c>
      <c r="X699" s="13">
        <f t="shared" si="299"/>
        <v>115773.79767408151</v>
      </c>
      <c r="Y699" s="13">
        <f t="shared" si="280"/>
        <v>61.870762605783796</v>
      </c>
      <c r="AA699" s="11" t="s">
        <v>189</v>
      </c>
      <c r="AB699" s="98"/>
      <c r="AC699" s="97"/>
      <c r="AD699" s="13"/>
      <c r="AE699" s="13">
        <f t="shared" si="282"/>
        <v>333120.83333333296</v>
      </c>
      <c r="AF699" s="13">
        <f t="shared" si="283"/>
        <v>0</v>
      </c>
      <c r="AH699" s="235">
        <f>'CT- € Ellipsis BNP'!X699</f>
        <v>0</v>
      </c>
      <c r="AI699" s="236">
        <f>'CT- € Ellipsis BNP'!AA699</f>
        <v>0</v>
      </c>
      <c r="AJ699" s="90">
        <f>'CT- € Ellipsis BNP'!W699</f>
        <v>0</v>
      </c>
      <c r="AK699" s="91">
        <f>'CT- € Ellipsis BNP'!AC699</f>
        <v>0</v>
      </c>
      <c r="AM699" s="235">
        <f>'codeis €'!Z699</f>
        <v>0</v>
      </c>
      <c r="AN699" s="236">
        <f>'codeis €'!AF699</f>
        <v>0</v>
      </c>
      <c r="AO699" s="90">
        <f>'codeis €'!AC699</f>
        <v>0</v>
      </c>
      <c r="AP699" s="91">
        <f>'codeis €'!AI699</f>
        <v>0</v>
      </c>
      <c r="AR699" s="12">
        <f t="shared" si="284"/>
        <v>52260956.159999996</v>
      </c>
      <c r="AS699" s="118">
        <f t="shared" si="285"/>
        <v>0.02</v>
      </c>
      <c r="AT699" s="118">
        <f t="shared" si="286"/>
        <v>1.8890273763064611E-2</v>
      </c>
      <c r="AU699" s="12">
        <f t="shared" si="287"/>
        <v>2742.2882471719945</v>
      </c>
      <c r="AV699" s="12">
        <f t="shared" si="288"/>
        <v>201.82510050532727</v>
      </c>
      <c r="AW699" s="19"/>
    </row>
    <row r="700" spans="2:49" x14ac:dyDescent="0.25">
      <c r="B700" s="9" t="str">
        <f t="shared" si="271"/>
        <v>11 2026</v>
      </c>
      <c r="C700" s="88">
        <f t="shared" si="272"/>
        <v>46349</v>
      </c>
      <c r="D700" s="88">
        <f t="shared" si="300"/>
        <v>46350</v>
      </c>
      <c r="E700" s="89">
        <f t="shared" si="273"/>
        <v>1</v>
      </c>
      <c r="G700" s="11" t="s">
        <v>7</v>
      </c>
      <c r="H700" s="12">
        <f t="shared" si="297"/>
        <v>34250000</v>
      </c>
      <c r="I700" s="14">
        <f t="shared" si="297"/>
        <v>1.7500000000000002E-2</v>
      </c>
      <c r="J700" s="13">
        <f t="shared" si="274"/>
        <v>1664.9305555555557</v>
      </c>
      <c r="K700" s="13">
        <f t="shared" si="275"/>
        <v>454978.61111111258</v>
      </c>
      <c r="M700" s="11" t="s">
        <v>7</v>
      </c>
      <c r="N700" s="12">
        <f t="shared" si="301"/>
        <v>12000000</v>
      </c>
      <c r="O700" s="97">
        <f t="shared" si="301"/>
        <v>2.1698630136986304E-2</v>
      </c>
      <c r="P700" s="112">
        <f t="shared" si="276"/>
        <v>723.28767123287685</v>
      </c>
      <c r="Q700" s="13">
        <f t="shared" si="277"/>
        <v>237238.35616438484</v>
      </c>
      <c r="R700" s="13">
        <f t="shared" si="278"/>
        <v>139.95433789954348</v>
      </c>
      <c r="T700" s="11" t="str">
        <f t="shared" si="298"/>
        <v>SG</v>
      </c>
      <c r="U700" s="12">
        <f t="shared" si="298"/>
        <v>6010956.1600000001</v>
      </c>
      <c r="V700" s="97">
        <f t="shared" si="298"/>
        <v>2.1205479452054792E-2</v>
      </c>
      <c r="W700" s="13">
        <f t="shared" si="279"/>
        <v>354.0700203835616</v>
      </c>
      <c r="X700" s="13">
        <f t="shared" si="299"/>
        <v>116127.86769446507</v>
      </c>
      <c r="Y700" s="13">
        <f t="shared" si="280"/>
        <v>61.870762605783796</v>
      </c>
      <c r="AA700" s="11" t="s">
        <v>189</v>
      </c>
      <c r="AB700" s="98"/>
      <c r="AC700" s="97"/>
      <c r="AD700" s="13"/>
      <c r="AE700" s="13">
        <f t="shared" si="282"/>
        <v>333120.83333333296</v>
      </c>
      <c r="AF700" s="13">
        <f t="shared" si="283"/>
        <v>0</v>
      </c>
      <c r="AH700" s="235">
        <f>'CT- € Ellipsis BNP'!X700</f>
        <v>0</v>
      </c>
      <c r="AI700" s="236">
        <f>'CT- € Ellipsis BNP'!AA700</f>
        <v>0</v>
      </c>
      <c r="AJ700" s="90">
        <f>'CT- € Ellipsis BNP'!W700</f>
        <v>0</v>
      </c>
      <c r="AK700" s="91">
        <f>'CT- € Ellipsis BNP'!AC700</f>
        <v>0</v>
      </c>
      <c r="AM700" s="235">
        <f>'codeis €'!Z700</f>
        <v>0</v>
      </c>
      <c r="AN700" s="236">
        <f>'codeis €'!AF700</f>
        <v>0</v>
      </c>
      <c r="AO700" s="90">
        <f>'codeis €'!AC700</f>
        <v>0</v>
      </c>
      <c r="AP700" s="91">
        <f>'codeis €'!AI700</f>
        <v>0</v>
      </c>
      <c r="AR700" s="12">
        <f t="shared" si="284"/>
        <v>52260956.159999996</v>
      </c>
      <c r="AS700" s="118">
        <f t="shared" si="285"/>
        <v>0.02</v>
      </c>
      <c r="AT700" s="118">
        <f t="shared" si="286"/>
        <v>1.8890273763064611E-2</v>
      </c>
      <c r="AU700" s="12">
        <f t="shared" si="287"/>
        <v>2742.2882471719945</v>
      </c>
      <c r="AV700" s="12">
        <f t="shared" si="288"/>
        <v>201.82510050532727</v>
      </c>
      <c r="AW700" s="19"/>
    </row>
    <row r="701" spans="2:49" x14ac:dyDescent="0.25">
      <c r="B701" s="9" t="str">
        <f t="shared" si="271"/>
        <v>11 2026</v>
      </c>
      <c r="C701" s="88">
        <f t="shared" si="272"/>
        <v>46350</v>
      </c>
      <c r="D701" s="88">
        <f t="shared" si="300"/>
        <v>46351</v>
      </c>
      <c r="E701" s="89">
        <f t="shared" si="273"/>
        <v>1</v>
      </c>
      <c r="G701" s="11" t="s">
        <v>7</v>
      </c>
      <c r="H701" s="12">
        <f t="shared" si="297"/>
        <v>34250000</v>
      </c>
      <c r="I701" s="14">
        <f t="shared" si="297"/>
        <v>1.7500000000000002E-2</v>
      </c>
      <c r="J701" s="13">
        <f t="shared" si="274"/>
        <v>1664.9305555555557</v>
      </c>
      <c r="K701" s="13">
        <f t="shared" si="275"/>
        <v>456643.54166666814</v>
      </c>
      <c r="M701" s="11" t="s">
        <v>7</v>
      </c>
      <c r="N701" s="12">
        <f t="shared" si="301"/>
        <v>12000000</v>
      </c>
      <c r="O701" s="97">
        <f t="shared" si="301"/>
        <v>2.1698630136986304E-2</v>
      </c>
      <c r="P701" s="112">
        <f t="shared" si="276"/>
        <v>723.28767123287685</v>
      </c>
      <c r="Q701" s="13">
        <f t="shared" si="277"/>
        <v>237961.64383561772</v>
      </c>
      <c r="R701" s="13">
        <f t="shared" si="278"/>
        <v>139.95433789954348</v>
      </c>
      <c r="T701" s="11" t="str">
        <f t="shared" si="298"/>
        <v>SG</v>
      </c>
      <c r="U701" s="12">
        <f t="shared" si="298"/>
        <v>6010956.1600000001</v>
      </c>
      <c r="V701" s="97">
        <f t="shared" si="298"/>
        <v>2.1205479452054792E-2</v>
      </c>
      <c r="W701" s="13">
        <f t="shared" si="279"/>
        <v>354.0700203835616</v>
      </c>
      <c r="X701" s="13">
        <f t="shared" si="299"/>
        <v>116481.93771484862</v>
      </c>
      <c r="Y701" s="13">
        <f t="shared" si="280"/>
        <v>61.870762605783796</v>
      </c>
      <c r="AA701" s="11" t="s">
        <v>189</v>
      </c>
      <c r="AB701" s="98"/>
      <c r="AC701" s="97"/>
      <c r="AD701" s="13"/>
      <c r="AE701" s="13">
        <f t="shared" si="282"/>
        <v>333120.83333333296</v>
      </c>
      <c r="AF701" s="13">
        <f t="shared" si="283"/>
        <v>0</v>
      </c>
      <c r="AH701" s="235">
        <f>'CT- € Ellipsis BNP'!X701</f>
        <v>0</v>
      </c>
      <c r="AI701" s="236">
        <f>'CT- € Ellipsis BNP'!AA701</f>
        <v>0</v>
      </c>
      <c r="AJ701" s="90">
        <f>'CT- € Ellipsis BNP'!W701</f>
        <v>0</v>
      </c>
      <c r="AK701" s="91">
        <f>'CT- € Ellipsis BNP'!AC701</f>
        <v>0</v>
      </c>
      <c r="AM701" s="235">
        <f>'codeis €'!Z701</f>
        <v>0</v>
      </c>
      <c r="AN701" s="236">
        <f>'codeis €'!AF701</f>
        <v>0</v>
      </c>
      <c r="AO701" s="90">
        <f>'codeis €'!AC701</f>
        <v>0</v>
      </c>
      <c r="AP701" s="91">
        <f>'codeis €'!AI701</f>
        <v>0</v>
      </c>
      <c r="AR701" s="12">
        <f t="shared" si="284"/>
        <v>52260956.159999996</v>
      </c>
      <c r="AS701" s="118">
        <f t="shared" si="285"/>
        <v>0.02</v>
      </c>
      <c r="AT701" s="118">
        <f t="shared" si="286"/>
        <v>1.8890273763064611E-2</v>
      </c>
      <c r="AU701" s="12">
        <f t="shared" si="287"/>
        <v>2742.2882471719945</v>
      </c>
      <c r="AV701" s="12">
        <f t="shared" si="288"/>
        <v>201.82510050532727</v>
      </c>
      <c r="AW701" s="19"/>
    </row>
    <row r="702" spans="2:49" x14ac:dyDescent="0.25">
      <c r="B702" s="9" t="str">
        <f t="shared" si="271"/>
        <v>11 2026</v>
      </c>
      <c r="C702" s="88">
        <f t="shared" si="272"/>
        <v>46351</v>
      </c>
      <c r="D702" s="88">
        <f t="shared" si="300"/>
        <v>46352</v>
      </c>
      <c r="E702" s="89">
        <f t="shared" si="273"/>
        <v>1</v>
      </c>
      <c r="G702" s="11" t="s">
        <v>7</v>
      </c>
      <c r="H702" s="12">
        <f t="shared" si="297"/>
        <v>34250000</v>
      </c>
      <c r="I702" s="14">
        <f t="shared" si="297"/>
        <v>1.7500000000000002E-2</v>
      </c>
      <c r="J702" s="13">
        <f t="shared" si="274"/>
        <v>1664.9305555555557</v>
      </c>
      <c r="K702" s="13">
        <f t="shared" si="275"/>
        <v>458308.4722222237</v>
      </c>
      <c r="M702" s="11" t="s">
        <v>7</v>
      </c>
      <c r="N702" s="12">
        <f t="shared" si="301"/>
        <v>12000000</v>
      </c>
      <c r="O702" s="97">
        <f t="shared" si="301"/>
        <v>2.1698630136986304E-2</v>
      </c>
      <c r="P702" s="112">
        <f t="shared" si="276"/>
        <v>723.28767123287685</v>
      </c>
      <c r="Q702" s="13">
        <f t="shared" si="277"/>
        <v>238684.93150685061</v>
      </c>
      <c r="R702" s="13">
        <f t="shared" si="278"/>
        <v>139.95433789954348</v>
      </c>
      <c r="T702" s="11" t="str">
        <f t="shared" si="298"/>
        <v>SG</v>
      </c>
      <c r="U702" s="12">
        <f t="shared" si="298"/>
        <v>6010956.1600000001</v>
      </c>
      <c r="V702" s="97">
        <f t="shared" si="298"/>
        <v>2.1205479452054792E-2</v>
      </c>
      <c r="W702" s="13">
        <f t="shared" si="279"/>
        <v>354.0700203835616</v>
      </c>
      <c r="X702" s="13">
        <f t="shared" si="299"/>
        <v>116836.00773523218</v>
      </c>
      <c r="Y702" s="13">
        <f t="shared" si="280"/>
        <v>61.870762605783796</v>
      </c>
      <c r="AA702" s="11" t="s">
        <v>189</v>
      </c>
      <c r="AB702" s="98"/>
      <c r="AC702" s="97"/>
      <c r="AD702" s="13"/>
      <c r="AE702" s="13">
        <f t="shared" si="282"/>
        <v>333120.83333333296</v>
      </c>
      <c r="AF702" s="13">
        <f t="shared" si="283"/>
        <v>0</v>
      </c>
      <c r="AH702" s="235">
        <f>'CT- € Ellipsis BNP'!X702</f>
        <v>0</v>
      </c>
      <c r="AI702" s="236">
        <f>'CT- € Ellipsis BNP'!AA702</f>
        <v>0</v>
      </c>
      <c r="AJ702" s="90">
        <f>'CT- € Ellipsis BNP'!W702</f>
        <v>0</v>
      </c>
      <c r="AK702" s="91">
        <f>'CT- € Ellipsis BNP'!AC702</f>
        <v>0</v>
      </c>
      <c r="AM702" s="235">
        <f>'codeis €'!Z702</f>
        <v>0</v>
      </c>
      <c r="AN702" s="236">
        <f>'codeis €'!AF702</f>
        <v>0</v>
      </c>
      <c r="AO702" s="90">
        <f>'codeis €'!AC702</f>
        <v>0</v>
      </c>
      <c r="AP702" s="91">
        <f>'codeis €'!AI702</f>
        <v>0</v>
      </c>
      <c r="AR702" s="12">
        <f t="shared" si="284"/>
        <v>52260956.159999996</v>
      </c>
      <c r="AS702" s="118">
        <f t="shared" si="285"/>
        <v>0.02</v>
      </c>
      <c r="AT702" s="118">
        <f t="shared" si="286"/>
        <v>1.8890273763064611E-2</v>
      </c>
      <c r="AU702" s="12">
        <f t="shared" si="287"/>
        <v>2742.2882471719945</v>
      </c>
      <c r="AV702" s="12">
        <f t="shared" si="288"/>
        <v>201.82510050532727</v>
      </c>
      <c r="AW702" s="19"/>
    </row>
    <row r="703" spans="2:49" x14ac:dyDescent="0.25">
      <c r="B703" s="9" t="str">
        <f t="shared" si="271"/>
        <v>11 2026</v>
      </c>
      <c r="C703" s="88">
        <f t="shared" si="272"/>
        <v>46352</v>
      </c>
      <c r="D703" s="88">
        <f t="shared" si="300"/>
        <v>46353</v>
      </c>
      <c r="E703" s="89">
        <f t="shared" si="273"/>
        <v>1</v>
      </c>
      <c r="G703" s="11" t="s">
        <v>7</v>
      </c>
      <c r="H703" s="12">
        <f t="shared" si="297"/>
        <v>34250000</v>
      </c>
      <c r="I703" s="14">
        <f t="shared" si="297"/>
        <v>1.7500000000000002E-2</v>
      </c>
      <c r="J703" s="13">
        <f t="shared" si="274"/>
        <v>1664.9305555555557</v>
      </c>
      <c r="K703" s="13">
        <f t="shared" si="275"/>
        <v>459973.40277777927</v>
      </c>
      <c r="M703" s="11" t="s">
        <v>7</v>
      </c>
      <c r="N703" s="12">
        <f t="shared" si="301"/>
        <v>12000000</v>
      </c>
      <c r="O703" s="97">
        <f t="shared" si="301"/>
        <v>2.1698630136986304E-2</v>
      </c>
      <c r="P703" s="112">
        <f t="shared" si="276"/>
        <v>723.28767123287685</v>
      </c>
      <c r="Q703" s="13">
        <f t="shared" si="277"/>
        <v>239408.2191780835</v>
      </c>
      <c r="R703" s="13">
        <f t="shared" si="278"/>
        <v>139.95433789954348</v>
      </c>
      <c r="T703" s="11" t="str">
        <f t="shared" si="298"/>
        <v>SG</v>
      </c>
      <c r="U703" s="12">
        <f t="shared" si="298"/>
        <v>6010956.1600000001</v>
      </c>
      <c r="V703" s="97">
        <f t="shared" si="298"/>
        <v>2.1205479452054792E-2</v>
      </c>
      <c r="W703" s="13">
        <f t="shared" si="279"/>
        <v>354.0700203835616</v>
      </c>
      <c r="X703" s="13">
        <f t="shared" si="299"/>
        <v>117190.07775561574</v>
      </c>
      <c r="Y703" s="13">
        <f t="shared" si="280"/>
        <v>61.870762605783796</v>
      </c>
      <c r="AA703" s="11" t="s">
        <v>189</v>
      </c>
      <c r="AB703" s="98"/>
      <c r="AC703" s="97"/>
      <c r="AD703" s="13"/>
      <c r="AE703" s="13">
        <f t="shared" si="282"/>
        <v>333120.83333333296</v>
      </c>
      <c r="AF703" s="13">
        <f t="shared" si="283"/>
        <v>0</v>
      </c>
      <c r="AH703" s="235">
        <f>'CT- € Ellipsis BNP'!X703</f>
        <v>0</v>
      </c>
      <c r="AI703" s="236">
        <f>'CT- € Ellipsis BNP'!AA703</f>
        <v>0</v>
      </c>
      <c r="AJ703" s="90">
        <f>'CT- € Ellipsis BNP'!W703</f>
        <v>0</v>
      </c>
      <c r="AK703" s="91">
        <f>'CT- € Ellipsis BNP'!AC703</f>
        <v>0</v>
      </c>
      <c r="AM703" s="235">
        <f>'codeis €'!Z703</f>
        <v>0</v>
      </c>
      <c r="AN703" s="236">
        <f>'codeis €'!AF703</f>
        <v>0</v>
      </c>
      <c r="AO703" s="90">
        <f>'codeis €'!AC703</f>
        <v>0</v>
      </c>
      <c r="AP703" s="91">
        <f>'codeis €'!AI703</f>
        <v>0</v>
      </c>
      <c r="AR703" s="12">
        <f t="shared" si="284"/>
        <v>52260956.159999996</v>
      </c>
      <c r="AS703" s="118">
        <f t="shared" si="285"/>
        <v>0.02</v>
      </c>
      <c r="AT703" s="118">
        <f t="shared" si="286"/>
        <v>1.8890273763064611E-2</v>
      </c>
      <c r="AU703" s="12">
        <f t="shared" si="287"/>
        <v>2742.2882471719945</v>
      </c>
      <c r="AV703" s="12">
        <f t="shared" si="288"/>
        <v>201.82510050532727</v>
      </c>
      <c r="AW703" s="19"/>
    </row>
    <row r="704" spans="2:49" x14ac:dyDescent="0.25">
      <c r="B704" s="9" t="str">
        <f t="shared" si="271"/>
        <v>11 2026</v>
      </c>
      <c r="C704" s="88">
        <f t="shared" si="272"/>
        <v>46353</v>
      </c>
      <c r="D704" s="88">
        <f t="shared" si="300"/>
        <v>46354</v>
      </c>
      <c r="E704" s="89">
        <f t="shared" si="273"/>
        <v>1</v>
      </c>
      <c r="G704" s="11" t="s">
        <v>7</v>
      </c>
      <c r="H704" s="12">
        <f t="shared" si="297"/>
        <v>34250000</v>
      </c>
      <c r="I704" s="14">
        <f t="shared" si="297"/>
        <v>1.7500000000000002E-2</v>
      </c>
      <c r="J704" s="13">
        <f t="shared" si="274"/>
        <v>1664.9305555555557</v>
      </c>
      <c r="K704" s="13">
        <f t="shared" si="275"/>
        <v>461638.33333333483</v>
      </c>
      <c r="M704" s="11" t="s">
        <v>7</v>
      </c>
      <c r="N704" s="12">
        <f t="shared" si="301"/>
        <v>12000000</v>
      </c>
      <c r="O704" s="97">
        <f t="shared" si="301"/>
        <v>2.1698630136986304E-2</v>
      </c>
      <c r="P704" s="112">
        <f t="shared" si="276"/>
        <v>723.28767123287685</v>
      </c>
      <c r="Q704" s="13">
        <f t="shared" si="277"/>
        <v>240131.50684931639</v>
      </c>
      <c r="R704" s="13">
        <f t="shared" si="278"/>
        <v>139.95433789954348</v>
      </c>
      <c r="T704" s="11" t="str">
        <f t="shared" si="298"/>
        <v>SG</v>
      </c>
      <c r="U704" s="12">
        <f t="shared" si="298"/>
        <v>6010956.1600000001</v>
      </c>
      <c r="V704" s="97">
        <f t="shared" si="298"/>
        <v>2.1205479452054792E-2</v>
      </c>
      <c r="W704" s="13">
        <f t="shared" si="279"/>
        <v>354.0700203835616</v>
      </c>
      <c r="X704" s="13">
        <f t="shared" si="299"/>
        <v>117544.1477759993</v>
      </c>
      <c r="Y704" s="13">
        <f t="shared" si="280"/>
        <v>61.870762605783796</v>
      </c>
      <c r="AA704" s="11" t="s">
        <v>189</v>
      </c>
      <c r="AB704" s="98"/>
      <c r="AC704" s="97"/>
      <c r="AD704" s="13"/>
      <c r="AE704" s="13">
        <f t="shared" si="282"/>
        <v>333120.83333333296</v>
      </c>
      <c r="AF704" s="13">
        <f t="shared" si="283"/>
        <v>0</v>
      </c>
      <c r="AH704" s="235">
        <f>'CT- € Ellipsis BNP'!X704</f>
        <v>0</v>
      </c>
      <c r="AI704" s="236">
        <f>'CT- € Ellipsis BNP'!AA704</f>
        <v>0</v>
      </c>
      <c r="AJ704" s="90">
        <f>'CT- € Ellipsis BNP'!W704</f>
        <v>0</v>
      </c>
      <c r="AK704" s="91">
        <f>'CT- € Ellipsis BNP'!AC704</f>
        <v>0</v>
      </c>
      <c r="AM704" s="235">
        <f>'codeis €'!Z704</f>
        <v>0</v>
      </c>
      <c r="AN704" s="236">
        <f>'codeis €'!AF704</f>
        <v>0</v>
      </c>
      <c r="AO704" s="90">
        <f>'codeis €'!AC704</f>
        <v>0</v>
      </c>
      <c r="AP704" s="91">
        <f>'codeis €'!AI704</f>
        <v>0</v>
      </c>
      <c r="AR704" s="12">
        <f t="shared" si="284"/>
        <v>52260956.159999996</v>
      </c>
      <c r="AS704" s="118">
        <f t="shared" si="285"/>
        <v>0.02</v>
      </c>
      <c r="AT704" s="118">
        <f t="shared" si="286"/>
        <v>1.8890273763064611E-2</v>
      </c>
      <c r="AU704" s="12">
        <f t="shared" si="287"/>
        <v>2742.2882471719945</v>
      </c>
      <c r="AV704" s="12">
        <f t="shared" si="288"/>
        <v>201.82510050532727</v>
      </c>
      <c r="AW704" s="19"/>
    </row>
    <row r="705" spans="2:49" x14ac:dyDescent="0.25">
      <c r="B705" s="9" t="str">
        <f t="shared" si="271"/>
        <v>11 2026</v>
      </c>
      <c r="C705" s="88">
        <f t="shared" si="272"/>
        <v>46354</v>
      </c>
      <c r="D705" s="88">
        <f t="shared" si="300"/>
        <v>46355</v>
      </c>
      <c r="E705" s="89">
        <f t="shared" si="273"/>
        <v>1</v>
      </c>
      <c r="G705" s="11" t="s">
        <v>7</v>
      </c>
      <c r="H705" s="12">
        <f t="shared" si="297"/>
        <v>34250000</v>
      </c>
      <c r="I705" s="14">
        <f t="shared" si="297"/>
        <v>1.7500000000000002E-2</v>
      </c>
      <c r="J705" s="13">
        <f t="shared" si="274"/>
        <v>1664.9305555555557</v>
      </c>
      <c r="K705" s="13">
        <f t="shared" si="275"/>
        <v>463303.26388889039</v>
      </c>
      <c r="M705" s="11" t="s">
        <v>7</v>
      </c>
      <c r="N705" s="12">
        <f t="shared" si="301"/>
        <v>12000000</v>
      </c>
      <c r="O705" s="97">
        <f t="shared" si="301"/>
        <v>2.1698630136986304E-2</v>
      </c>
      <c r="P705" s="112">
        <f t="shared" si="276"/>
        <v>723.28767123287685</v>
      </c>
      <c r="Q705" s="13">
        <f t="shared" si="277"/>
        <v>240854.79452054927</v>
      </c>
      <c r="R705" s="13">
        <f t="shared" si="278"/>
        <v>139.95433789954348</v>
      </c>
      <c r="T705" s="11" t="str">
        <f t="shared" si="298"/>
        <v>SG</v>
      </c>
      <c r="U705" s="12">
        <f t="shared" si="298"/>
        <v>6010956.1600000001</v>
      </c>
      <c r="V705" s="97">
        <f t="shared" si="298"/>
        <v>2.1205479452054792E-2</v>
      </c>
      <c r="W705" s="13">
        <f t="shared" si="279"/>
        <v>354.0700203835616</v>
      </c>
      <c r="X705" s="13">
        <f t="shared" si="299"/>
        <v>117898.21779638286</v>
      </c>
      <c r="Y705" s="13">
        <f t="shared" si="280"/>
        <v>61.870762605783796</v>
      </c>
      <c r="AA705" s="11" t="s">
        <v>189</v>
      </c>
      <c r="AB705" s="98"/>
      <c r="AC705" s="97"/>
      <c r="AD705" s="13"/>
      <c r="AE705" s="13">
        <f t="shared" si="282"/>
        <v>333120.83333333296</v>
      </c>
      <c r="AF705" s="13">
        <f t="shared" si="283"/>
        <v>0</v>
      </c>
      <c r="AH705" s="235">
        <f>'CT- € Ellipsis BNP'!X705</f>
        <v>0</v>
      </c>
      <c r="AI705" s="236">
        <f>'CT- € Ellipsis BNP'!AA705</f>
        <v>0</v>
      </c>
      <c r="AJ705" s="90">
        <f>'CT- € Ellipsis BNP'!W705</f>
        <v>0</v>
      </c>
      <c r="AK705" s="91">
        <f>'CT- € Ellipsis BNP'!AC705</f>
        <v>0</v>
      </c>
      <c r="AM705" s="235">
        <f>'codeis €'!Z705</f>
        <v>0</v>
      </c>
      <c r="AN705" s="236">
        <f>'codeis €'!AF705</f>
        <v>0</v>
      </c>
      <c r="AO705" s="90">
        <f>'codeis €'!AC705</f>
        <v>0</v>
      </c>
      <c r="AP705" s="91">
        <f>'codeis €'!AI705</f>
        <v>0</v>
      </c>
      <c r="AR705" s="12">
        <f t="shared" si="284"/>
        <v>52260956.159999996</v>
      </c>
      <c r="AS705" s="118">
        <f t="shared" si="285"/>
        <v>0.02</v>
      </c>
      <c r="AT705" s="118">
        <f t="shared" si="286"/>
        <v>1.8890273763064611E-2</v>
      </c>
      <c r="AU705" s="12">
        <f t="shared" si="287"/>
        <v>2742.2882471719945</v>
      </c>
      <c r="AV705" s="12">
        <f t="shared" si="288"/>
        <v>201.82510050532727</v>
      </c>
      <c r="AW705" s="19"/>
    </row>
    <row r="706" spans="2:49" x14ac:dyDescent="0.25">
      <c r="B706" s="9" t="str">
        <f t="shared" si="271"/>
        <v>11 2026</v>
      </c>
      <c r="C706" s="88">
        <f t="shared" si="272"/>
        <v>46355</v>
      </c>
      <c r="D706" s="88">
        <f t="shared" si="300"/>
        <v>46356</v>
      </c>
      <c r="E706" s="89">
        <f t="shared" si="273"/>
        <v>1</v>
      </c>
      <c r="G706" s="11" t="s">
        <v>7</v>
      </c>
      <c r="H706" s="12">
        <f t="shared" si="297"/>
        <v>34250000</v>
      </c>
      <c r="I706" s="14">
        <f t="shared" si="297"/>
        <v>1.7500000000000002E-2</v>
      </c>
      <c r="J706" s="13">
        <f t="shared" si="274"/>
        <v>1664.9305555555557</v>
      </c>
      <c r="K706" s="13">
        <f t="shared" si="275"/>
        <v>464968.19444444595</v>
      </c>
      <c r="M706" s="11" t="s">
        <v>7</v>
      </c>
      <c r="N706" s="12">
        <f t="shared" si="301"/>
        <v>12000000</v>
      </c>
      <c r="O706" s="97">
        <f t="shared" si="301"/>
        <v>2.1698630136986304E-2</v>
      </c>
      <c r="P706" s="112">
        <f t="shared" si="276"/>
        <v>723.28767123287685</v>
      </c>
      <c r="Q706" s="13">
        <f t="shared" si="277"/>
        <v>241578.08219178216</v>
      </c>
      <c r="R706" s="13">
        <f t="shared" si="278"/>
        <v>139.95433789954348</v>
      </c>
      <c r="T706" s="11" t="str">
        <f t="shared" si="298"/>
        <v>SG</v>
      </c>
      <c r="U706" s="12">
        <f t="shared" si="298"/>
        <v>6010956.1600000001</v>
      </c>
      <c r="V706" s="97">
        <f t="shared" si="298"/>
        <v>2.1205479452054792E-2</v>
      </c>
      <c r="W706" s="13">
        <f t="shared" si="279"/>
        <v>354.0700203835616</v>
      </c>
      <c r="X706" s="13">
        <f t="shared" si="299"/>
        <v>118252.28781676642</v>
      </c>
      <c r="Y706" s="13">
        <f t="shared" si="280"/>
        <v>61.870762605783796</v>
      </c>
      <c r="AA706" s="11" t="s">
        <v>189</v>
      </c>
      <c r="AB706" s="98"/>
      <c r="AC706" s="97"/>
      <c r="AD706" s="13"/>
      <c r="AE706" s="13">
        <f t="shared" si="282"/>
        <v>333120.83333333296</v>
      </c>
      <c r="AF706" s="13">
        <f t="shared" si="283"/>
        <v>0</v>
      </c>
      <c r="AH706" s="235">
        <f>'CT- € Ellipsis BNP'!X706</f>
        <v>0</v>
      </c>
      <c r="AI706" s="236">
        <f>'CT- € Ellipsis BNP'!AA706</f>
        <v>0</v>
      </c>
      <c r="AJ706" s="90">
        <f>'CT- € Ellipsis BNP'!W706</f>
        <v>0</v>
      </c>
      <c r="AK706" s="91">
        <f>'CT- € Ellipsis BNP'!AC706</f>
        <v>0</v>
      </c>
      <c r="AM706" s="235">
        <f>'codeis €'!Z706</f>
        <v>0</v>
      </c>
      <c r="AN706" s="236">
        <f>'codeis €'!AF706</f>
        <v>0</v>
      </c>
      <c r="AO706" s="90">
        <f>'codeis €'!AC706</f>
        <v>0</v>
      </c>
      <c r="AP706" s="91">
        <f>'codeis €'!AI706</f>
        <v>0</v>
      </c>
      <c r="AR706" s="12">
        <f t="shared" si="284"/>
        <v>52260956.159999996</v>
      </c>
      <c r="AS706" s="118">
        <f t="shared" si="285"/>
        <v>0.02</v>
      </c>
      <c r="AT706" s="118">
        <f t="shared" si="286"/>
        <v>1.8890273763064611E-2</v>
      </c>
      <c r="AU706" s="12">
        <f t="shared" si="287"/>
        <v>2742.2882471719945</v>
      </c>
      <c r="AV706" s="12">
        <f t="shared" si="288"/>
        <v>201.82510050532727</v>
      </c>
      <c r="AW706" s="19"/>
    </row>
    <row r="707" spans="2:49" x14ac:dyDescent="0.25">
      <c r="B707" s="9" t="str">
        <f t="shared" si="271"/>
        <v>12 2026</v>
      </c>
      <c r="C707" s="88">
        <f t="shared" si="272"/>
        <v>46356</v>
      </c>
      <c r="D707" s="88">
        <f t="shared" si="300"/>
        <v>46357</v>
      </c>
      <c r="E707" s="89">
        <f t="shared" si="273"/>
        <v>1</v>
      </c>
      <c r="G707" s="11" t="s">
        <v>7</v>
      </c>
      <c r="H707" s="12">
        <f t="shared" si="297"/>
        <v>34250000</v>
      </c>
      <c r="I707" s="14">
        <f t="shared" si="297"/>
        <v>1.7500000000000002E-2</v>
      </c>
      <c r="J707" s="13">
        <f t="shared" si="274"/>
        <v>1664.9305555555557</v>
      </c>
      <c r="K707" s="13">
        <f t="shared" si="275"/>
        <v>466633.12500000151</v>
      </c>
      <c r="M707" s="11" t="s">
        <v>7</v>
      </c>
      <c r="N707" s="12">
        <f t="shared" si="301"/>
        <v>12000000</v>
      </c>
      <c r="O707" s="97">
        <f t="shared" si="301"/>
        <v>2.1698630136986304E-2</v>
      </c>
      <c r="P707" s="112">
        <f t="shared" si="276"/>
        <v>723.28767123287685</v>
      </c>
      <c r="Q707" s="13">
        <f t="shared" si="277"/>
        <v>242301.36986301505</v>
      </c>
      <c r="R707" s="13">
        <f t="shared" si="278"/>
        <v>139.95433789954348</v>
      </c>
      <c r="T707" s="11" t="str">
        <f t="shared" si="298"/>
        <v>SG</v>
      </c>
      <c r="U707" s="12">
        <f t="shared" si="298"/>
        <v>6010956.1600000001</v>
      </c>
      <c r="V707" s="97">
        <f t="shared" si="298"/>
        <v>2.1205479452054792E-2</v>
      </c>
      <c r="W707" s="13">
        <f t="shared" si="279"/>
        <v>354.0700203835616</v>
      </c>
      <c r="X707" s="13">
        <f t="shared" si="299"/>
        <v>118606.35783714998</v>
      </c>
      <c r="Y707" s="13">
        <f t="shared" si="280"/>
        <v>61.870762605783796</v>
      </c>
      <c r="AA707" s="11" t="s">
        <v>189</v>
      </c>
      <c r="AB707" s="98"/>
      <c r="AC707" s="97"/>
      <c r="AD707" s="13"/>
      <c r="AE707" s="13">
        <f t="shared" si="282"/>
        <v>333120.83333333296</v>
      </c>
      <c r="AF707" s="13">
        <f t="shared" si="283"/>
        <v>0</v>
      </c>
      <c r="AH707" s="235">
        <f>'CT- € Ellipsis BNP'!X707</f>
        <v>0</v>
      </c>
      <c r="AI707" s="236">
        <f>'CT- € Ellipsis BNP'!AA707</f>
        <v>0</v>
      </c>
      <c r="AJ707" s="90">
        <f>'CT- € Ellipsis BNP'!W707</f>
        <v>0</v>
      </c>
      <c r="AK707" s="91">
        <f>'CT- € Ellipsis BNP'!AC707</f>
        <v>0</v>
      </c>
      <c r="AM707" s="235">
        <f>'codeis €'!Z707</f>
        <v>0</v>
      </c>
      <c r="AN707" s="236">
        <f>'codeis €'!AF707</f>
        <v>0</v>
      </c>
      <c r="AO707" s="90">
        <f>'codeis €'!AC707</f>
        <v>0</v>
      </c>
      <c r="AP707" s="91">
        <f>'codeis €'!AI707</f>
        <v>0</v>
      </c>
      <c r="AR707" s="12">
        <f t="shared" si="284"/>
        <v>52260956.159999996</v>
      </c>
      <c r="AS707" s="118">
        <f t="shared" si="285"/>
        <v>0.02</v>
      </c>
      <c r="AT707" s="118">
        <f t="shared" si="286"/>
        <v>1.8890273763064611E-2</v>
      </c>
      <c r="AU707" s="12">
        <f t="shared" si="287"/>
        <v>2742.2882471719945</v>
      </c>
      <c r="AV707" s="12">
        <f t="shared" si="288"/>
        <v>201.82510050532727</v>
      </c>
      <c r="AW707" s="19"/>
    </row>
    <row r="708" spans="2:49" x14ac:dyDescent="0.25">
      <c r="B708" s="9" t="str">
        <f t="shared" si="271"/>
        <v>12 2026</v>
      </c>
      <c r="C708" s="88">
        <f t="shared" si="272"/>
        <v>46357</v>
      </c>
      <c r="D708" s="88">
        <f t="shared" si="300"/>
        <v>46358</v>
      </c>
      <c r="E708" s="89">
        <f t="shared" si="273"/>
        <v>1</v>
      </c>
      <c r="G708" s="11" t="s">
        <v>7</v>
      </c>
      <c r="H708" s="12">
        <f t="shared" si="297"/>
        <v>34250000</v>
      </c>
      <c r="I708" s="14">
        <f t="shared" si="297"/>
        <v>1.7500000000000002E-2</v>
      </c>
      <c r="J708" s="13">
        <f t="shared" si="274"/>
        <v>1664.9305555555557</v>
      </c>
      <c r="K708" s="13">
        <f t="shared" si="275"/>
        <v>468298.05555555708</v>
      </c>
      <c r="M708" s="11" t="s">
        <v>7</v>
      </c>
      <c r="N708" s="12">
        <f t="shared" si="301"/>
        <v>12000000</v>
      </c>
      <c r="O708" s="97">
        <f t="shared" si="301"/>
        <v>2.1698630136986304E-2</v>
      </c>
      <c r="P708" s="112">
        <f t="shared" si="276"/>
        <v>723.28767123287685</v>
      </c>
      <c r="Q708" s="13">
        <f t="shared" si="277"/>
        <v>243024.65753424793</v>
      </c>
      <c r="R708" s="13">
        <f t="shared" si="278"/>
        <v>139.95433789954348</v>
      </c>
      <c r="T708" s="11" t="str">
        <f t="shared" si="298"/>
        <v>SG</v>
      </c>
      <c r="U708" s="12">
        <f t="shared" si="298"/>
        <v>6010956.1600000001</v>
      </c>
      <c r="V708" s="97">
        <f t="shared" si="298"/>
        <v>2.1205479452054792E-2</v>
      </c>
      <c r="W708" s="13">
        <f t="shared" si="279"/>
        <v>354.0700203835616</v>
      </c>
      <c r="X708" s="13">
        <f t="shared" si="299"/>
        <v>118960.42785753353</v>
      </c>
      <c r="Y708" s="13">
        <f t="shared" si="280"/>
        <v>61.870762605783796</v>
      </c>
      <c r="AA708" s="11" t="s">
        <v>189</v>
      </c>
      <c r="AB708" s="98"/>
      <c r="AC708" s="97"/>
      <c r="AD708" s="13"/>
      <c r="AE708" s="13">
        <f t="shared" si="282"/>
        <v>333120.83333333296</v>
      </c>
      <c r="AF708" s="13">
        <f t="shared" si="283"/>
        <v>0</v>
      </c>
      <c r="AH708" s="235">
        <f>'CT- € Ellipsis BNP'!X708</f>
        <v>0</v>
      </c>
      <c r="AI708" s="236">
        <f>'CT- € Ellipsis BNP'!AA708</f>
        <v>0</v>
      </c>
      <c r="AJ708" s="90">
        <f>'CT- € Ellipsis BNP'!W708</f>
        <v>0</v>
      </c>
      <c r="AK708" s="91">
        <f>'CT- € Ellipsis BNP'!AC708</f>
        <v>0</v>
      </c>
      <c r="AM708" s="235">
        <f>'codeis €'!Z708</f>
        <v>0</v>
      </c>
      <c r="AN708" s="236">
        <f>'codeis €'!AF708</f>
        <v>0</v>
      </c>
      <c r="AO708" s="90">
        <f>'codeis €'!AC708</f>
        <v>0</v>
      </c>
      <c r="AP708" s="91">
        <f>'codeis €'!AI708</f>
        <v>0</v>
      </c>
      <c r="AR708" s="12">
        <f t="shared" si="284"/>
        <v>52260956.159999996</v>
      </c>
      <c r="AS708" s="118">
        <f t="shared" si="285"/>
        <v>0.02</v>
      </c>
      <c r="AT708" s="118">
        <f t="shared" si="286"/>
        <v>1.8890273763064611E-2</v>
      </c>
      <c r="AU708" s="12">
        <f t="shared" si="287"/>
        <v>2742.2882471719945</v>
      </c>
      <c r="AV708" s="12">
        <f t="shared" si="288"/>
        <v>201.82510050532727</v>
      </c>
      <c r="AW708" s="19"/>
    </row>
    <row r="709" spans="2:49" x14ac:dyDescent="0.25">
      <c r="B709" s="9" t="str">
        <f t="shared" si="271"/>
        <v>12 2026</v>
      </c>
      <c r="C709" s="88">
        <f t="shared" si="272"/>
        <v>46358</v>
      </c>
      <c r="D709" s="88">
        <f t="shared" si="300"/>
        <v>46359</v>
      </c>
      <c r="E709" s="89">
        <f t="shared" si="273"/>
        <v>1</v>
      </c>
      <c r="G709" s="11" t="s">
        <v>7</v>
      </c>
      <c r="H709" s="12">
        <f t="shared" si="297"/>
        <v>34250000</v>
      </c>
      <c r="I709" s="14">
        <f t="shared" si="297"/>
        <v>1.7500000000000002E-2</v>
      </c>
      <c r="J709" s="13">
        <f t="shared" si="274"/>
        <v>1664.9305555555557</v>
      </c>
      <c r="K709" s="13">
        <f t="shared" si="275"/>
        <v>469962.98611111264</v>
      </c>
      <c r="M709" s="11" t="s">
        <v>7</v>
      </c>
      <c r="N709" s="12">
        <f t="shared" si="301"/>
        <v>12000000</v>
      </c>
      <c r="O709" s="97">
        <f t="shared" si="301"/>
        <v>2.1698630136986304E-2</v>
      </c>
      <c r="P709" s="112">
        <f t="shared" si="276"/>
        <v>723.28767123287685</v>
      </c>
      <c r="Q709" s="13">
        <f t="shared" si="277"/>
        <v>243747.94520548082</v>
      </c>
      <c r="R709" s="13">
        <f t="shared" si="278"/>
        <v>139.95433789954348</v>
      </c>
      <c r="T709" s="11" t="str">
        <f t="shared" si="298"/>
        <v>SG</v>
      </c>
      <c r="U709" s="12">
        <f t="shared" si="298"/>
        <v>6010956.1600000001</v>
      </c>
      <c r="V709" s="97">
        <f t="shared" si="298"/>
        <v>2.1205479452054792E-2</v>
      </c>
      <c r="W709" s="13">
        <f t="shared" si="279"/>
        <v>354.0700203835616</v>
      </c>
      <c r="X709" s="13">
        <f t="shared" si="299"/>
        <v>119314.49787791709</v>
      </c>
      <c r="Y709" s="13">
        <f t="shared" si="280"/>
        <v>61.870762605783796</v>
      </c>
      <c r="AA709" s="11" t="s">
        <v>189</v>
      </c>
      <c r="AB709" s="98"/>
      <c r="AC709" s="97"/>
      <c r="AD709" s="13"/>
      <c r="AE709" s="13">
        <f t="shared" si="282"/>
        <v>333120.83333333296</v>
      </c>
      <c r="AF709" s="13">
        <f t="shared" si="283"/>
        <v>0</v>
      </c>
      <c r="AH709" s="235">
        <f>'CT- € Ellipsis BNP'!X709</f>
        <v>0</v>
      </c>
      <c r="AI709" s="236">
        <f>'CT- € Ellipsis BNP'!AA709</f>
        <v>0</v>
      </c>
      <c r="AJ709" s="90">
        <f>'CT- € Ellipsis BNP'!W709</f>
        <v>0</v>
      </c>
      <c r="AK709" s="91">
        <f>'CT- € Ellipsis BNP'!AC709</f>
        <v>0</v>
      </c>
      <c r="AM709" s="235">
        <f>'codeis €'!Z709</f>
        <v>0</v>
      </c>
      <c r="AN709" s="236">
        <f>'codeis €'!AF709</f>
        <v>0</v>
      </c>
      <c r="AO709" s="90">
        <f>'codeis €'!AC709</f>
        <v>0</v>
      </c>
      <c r="AP709" s="91">
        <f>'codeis €'!AI709</f>
        <v>0</v>
      </c>
      <c r="AR709" s="12">
        <f t="shared" si="284"/>
        <v>52260956.159999996</v>
      </c>
      <c r="AS709" s="118">
        <f t="shared" si="285"/>
        <v>0.02</v>
      </c>
      <c r="AT709" s="118">
        <f t="shared" si="286"/>
        <v>1.8890273763064611E-2</v>
      </c>
      <c r="AU709" s="12">
        <f t="shared" si="287"/>
        <v>2742.2882471719945</v>
      </c>
      <c r="AV709" s="12">
        <f t="shared" si="288"/>
        <v>201.82510050532727</v>
      </c>
      <c r="AW709" s="19"/>
    </row>
    <row r="710" spans="2:49" x14ac:dyDescent="0.25">
      <c r="B710" s="9" t="str">
        <f t="shared" si="271"/>
        <v>12 2026</v>
      </c>
      <c r="C710" s="88">
        <f t="shared" si="272"/>
        <v>46359</v>
      </c>
      <c r="D710" s="88">
        <f t="shared" si="300"/>
        <v>46360</v>
      </c>
      <c r="E710" s="89">
        <f t="shared" si="273"/>
        <v>1</v>
      </c>
      <c r="G710" s="11" t="s">
        <v>7</v>
      </c>
      <c r="H710" s="12">
        <f t="shared" si="297"/>
        <v>34250000</v>
      </c>
      <c r="I710" s="14">
        <f t="shared" si="297"/>
        <v>1.7500000000000002E-2</v>
      </c>
      <c r="J710" s="13">
        <f t="shared" si="274"/>
        <v>1664.9305555555557</v>
      </c>
      <c r="K710" s="13">
        <f t="shared" si="275"/>
        <v>471627.9166666682</v>
      </c>
      <c r="M710" s="11" t="s">
        <v>7</v>
      </c>
      <c r="N710" s="12">
        <f t="shared" si="301"/>
        <v>12000000</v>
      </c>
      <c r="O710" s="97">
        <f t="shared" si="301"/>
        <v>2.1698630136986304E-2</v>
      </c>
      <c r="P710" s="112">
        <f t="shared" si="276"/>
        <v>723.28767123287685</v>
      </c>
      <c r="Q710" s="13">
        <f t="shared" si="277"/>
        <v>244471.23287671371</v>
      </c>
      <c r="R710" s="13">
        <f t="shared" si="278"/>
        <v>139.95433789954348</v>
      </c>
      <c r="T710" s="11" t="str">
        <f t="shared" si="298"/>
        <v>SG</v>
      </c>
      <c r="U710" s="12">
        <f t="shared" si="298"/>
        <v>6010956.1600000001</v>
      </c>
      <c r="V710" s="97">
        <f t="shared" si="298"/>
        <v>2.1205479452054792E-2</v>
      </c>
      <c r="W710" s="13">
        <f t="shared" si="279"/>
        <v>354.0700203835616</v>
      </c>
      <c r="X710" s="13">
        <f t="shared" si="299"/>
        <v>119668.56789830065</v>
      </c>
      <c r="Y710" s="13">
        <f t="shared" si="280"/>
        <v>61.870762605783796</v>
      </c>
      <c r="AA710" s="11" t="s">
        <v>189</v>
      </c>
      <c r="AB710" s="98"/>
      <c r="AC710" s="97"/>
      <c r="AD710" s="13"/>
      <c r="AE710" s="13">
        <f t="shared" si="282"/>
        <v>333120.83333333296</v>
      </c>
      <c r="AF710" s="13">
        <f t="shared" si="283"/>
        <v>0</v>
      </c>
      <c r="AH710" s="235">
        <f>'CT- € Ellipsis BNP'!X710</f>
        <v>0</v>
      </c>
      <c r="AI710" s="236">
        <f>'CT- € Ellipsis BNP'!AA710</f>
        <v>0</v>
      </c>
      <c r="AJ710" s="90">
        <f>'CT- € Ellipsis BNP'!W710</f>
        <v>0</v>
      </c>
      <c r="AK710" s="91">
        <f>'CT- € Ellipsis BNP'!AC710</f>
        <v>0</v>
      </c>
      <c r="AM710" s="235">
        <f>'codeis €'!Z710</f>
        <v>0</v>
      </c>
      <c r="AN710" s="236">
        <f>'codeis €'!AF710</f>
        <v>0</v>
      </c>
      <c r="AO710" s="90">
        <f>'codeis €'!AC710</f>
        <v>0</v>
      </c>
      <c r="AP710" s="91">
        <f>'codeis €'!AI710</f>
        <v>0</v>
      </c>
      <c r="AR710" s="12">
        <f t="shared" si="284"/>
        <v>52260956.159999996</v>
      </c>
      <c r="AS710" s="118">
        <f t="shared" si="285"/>
        <v>0.02</v>
      </c>
      <c r="AT710" s="118">
        <f t="shared" si="286"/>
        <v>1.8890273763064611E-2</v>
      </c>
      <c r="AU710" s="12">
        <f t="shared" si="287"/>
        <v>2742.2882471719945</v>
      </c>
      <c r="AV710" s="12">
        <f t="shared" si="288"/>
        <v>201.82510050532727</v>
      </c>
      <c r="AW710" s="19"/>
    </row>
    <row r="711" spans="2:49" x14ac:dyDescent="0.25">
      <c r="B711" s="9" t="str">
        <f t="shared" si="271"/>
        <v>12 2026</v>
      </c>
      <c r="C711" s="88">
        <f t="shared" si="272"/>
        <v>46360</v>
      </c>
      <c r="D711" s="88">
        <f t="shared" si="300"/>
        <v>46361</v>
      </c>
      <c r="E711" s="89">
        <f t="shared" si="273"/>
        <v>1</v>
      </c>
      <c r="G711" s="11" t="s">
        <v>7</v>
      </c>
      <c r="H711" s="12">
        <f t="shared" ref="H711:I726" si="302">H710</f>
        <v>34250000</v>
      </c>
      <c r="I711" s="14">
        <f t="shared" si="302"/>
        <v>1.7500000000000002E-2</v>
      </c>
      <c r="J711" s="13">
        <f t="shared" si="274"/>
        <v>1664.9305555555557</v>
      </c>
      <c r="K711" s="13">
        <f t="shared" si="275"/>
        <v>473292.84722222376</v>
      </c>
      <c r="M711" s="11" t="s">
        <v>7</v>
      </c>
      <c r="N711" s="12">
        <f t="shared" si="301"/>
        <v>12000000</v>
      </c>
      <c r="O711" s="97">
        <f t="shared" si="301"/>
        <v>2.1698630136986304E-2</v>
      </c>
      <c r="P711" s="112">
        <f t="shared" si="276"/>
        <v>723.28767123287685</v>
      </c>
      <c r="Q711" s="13">
        <f t="shared" si="277"/>
        <v>245194.52054794659</v>
      </c>
      <c r="R711" s="13">
        <f t="shared" si="278"/>
        <v>139.95433789954348</v>
      </c>
      <c r="T711" s="11" t="str">
        <f t="shared" ref="T711:V726" si="303">T710</f>
        <v>SG</v>
      </c>
      <c r="U711" s="12">
        <f t="shared" si="303"/>
        <v>6010956.1600000001</v>
      </c>
      <c r="V711" s="97">
        <f t="shared" si="303"/>
        <v>2.1205479452054792E-2</v>
      </c>
      <c r="W711" s="13">
        <f t="shared" si="279"/>
        <v>354.0700203835616</v>
      </c>
      <c r="X711" s="13">
        <f t="shared" si="299"/>
        <v>120022.63791868421</v>
      </c>
      <c r="Y711" s="13">
        <f t="shared" si="280"/>
        <v>61.870762605783796</v>
      </c>
      <c r="AA711" s="11" t="s">
        <v>189</v>
      </c>
      <c r="AB711" s="98"/>
      <c r="AC711" s="97"/>
      <c r="AD711" s="13"/>
      <c r="AE711" s="13">
        <f t="shared" si="282"/>
        <v>333120.83333333296</v>
      </c>
      <c r="AF711" s="13">
        <f t="shared" si="283"/>
        <v>0</v>
      </c>
      <c r="AH711" s="235">
        <f>'CT- € Ellipsis BNP'!X711</f>
        <v>0</v>
      </c>
      <c r="AI711" s="236">
        <f>'CT- € Ellipsis BNP'!AA711</f>
        <v>0</v>
      </c>
      <c r="AJ711" s="90">
        <f>'CT- € Ellipsis BNP'!W711</f>
        <v>0</v>
      </c>
      <c r="AK711" s="91">
        <f>'CT- € Ellipsis BNP'!AC711</f>
        <v>0</v>
      </c>
      <c r="AM711" s="235">
        <f>'codeis €'!Z711</f>
        <v>0</v>
      </c>
      <c r="AN711" s="236">
        <f>'codeis €'!AF711</f>
        <v>0</v>
      </c>
      <c r="AO711" s="90">
        <f>'codeis €'!AC711</f>
        <v>0</v>
      </c>
      <c r="AP711" s="91">
        <f>'codeis €'!AI711</f>
        <v>0</v>
      </c>
      <c r="AR711" s="12">
        <f t="shared" si="284"/>
        <v>52260956.159999996</v>
      </c>
      <c r="AS711" s="118">
        <f t="shared" si="285"/>
        <v>0.02</v>
      </c>
      <c r="AT711" s="118">
        <f t="shared" si="286"/>
        <v>1.8890273763064611E-2</v>
      </c>
      <c r="AU711" s="12">
        <f t="shared" si="287"/>
        <v>2742.2882471719945</v>
      </c>
      <c r="AV711" s="12">
        <f t="shared" si="288"/>
        <v>201.82510050532727</v>
      </c>
      <c r="AW711" s="19"/>
    </row>
    <row r="712" spans="2:49" x14ac:dyDescent="0.25">
      <c r="B712" s="9" t="str">
        <f t="shared" si="271"/>
        <v>12 2026</v>
      </c>
      <c r="C712" s="88">
        <f t="shared" si="272"/>
        <v>46361</v>
      </c>
      <c r="D712" s="88">
        <f t="shared" si="300"/>
        <v>46362</v>
      </c>
      <c r="E712" s="89">
        <f t="shared" si="273"/>
        <v>1</v>
      </c>
      <c r="G712" s="11" t="s">
        <v>7</v>
      </c>
      <c r="H712" s="12">
        <f t="shared" si="302"/>
        <v>34250000</v>
      </c>
      <c r="I712" s="14">
        <f t="shared" si="302"/>
        <v>1.7500000000000002E-2</v>
      </c>
      <c r="J712" s="13">
        <f t="shared" si="274"/>
        <v>1664.9305555555557</v>
      </c>
      <c r="K712" s="13">
        <f t="shared" si="275"/>
        <v>474957.77777777932</v>
      </c>
      <c r="M712" s="11" t="s">
        <v>7</v>
      </c>
      <c r="N712" s="12">
        <f t="shared" ref="N712:O727" si="304">N711</f>
        <v>12000000</v>
      </c>
      <c r="O712" s="97">
        <f t="shared" si="304"/>
        <v>2.1698630136986304E-2</v>
      </c>
      <c r="P712" s="112">
        <f t="shared" si="276"/>
        <v>723.28767123287685</v>
      </c>
      <c r="Q712" s="13">
        <f t="shared" si="277"/>
        <v>245917.80821917948</v>
      </c>
      <c r="R712" s="13">
        <f t="shared" si="278"/>
        <v>139.95433789954348</v>
      </c>
      <c r="T712" s="11" t="str">
        <f t="shared" si="303"/>
        <v>SG</v>
      </c>
      <c r="U712" s="12">
        <f t="shared" si="303"/>
        <v>6010956.1600000001</v>
      </c>
      <c r="V712" s="97">
        <f t="shared" si="303"/>
        <v>2.1205479452054792E-2</v>
      </c>
      <c r="W712" s="13">
        <f t="shared" si="279"/>
        <v>354.0700203835616</v>
      </c>
      <c r="X712" s="13">
        <f t="shared" si="299"/>
        <v>120376.70793906777</v>
      </c>
      <c r="Y712" s="13">
        <f t="shared" si="280"/>
        <v>61.870762605783796</v>
      </c>
      <c r="AA712" s="11" t="s">
        <v>189</v>
      </c>
      <c r="AB712" s="98"/>
      <c r="AC712" s="97"/>
      <c r="AD712" s="13"/>
      <c r="AE712" s="13">
        <f t="shared" si="282"/>
        <v>333120.83333333296</v>
      </c>
      <c r="AF712" s="13">
        <f t="shared" si="283"/>
        <v>0</v>
      </c>
      <c r="AH712" s="235">
        <f>'CT- € Ellipsis BNP'!X712</f>
        <v>0</v>
      </c>
      <c r="AI712" s="236">
        <f>'CT- € Ellipsis BNP'!AA712</f>
        <v>0</v>
      </c>
      <c r="AJ712" s="90">
        <f>'CT- € Ellipsis BNP'!W712</f>
        <v>0</v>
      </c>
      <c r="AK712" s="91">
        <f>'CT- € Ellipsis BNP'!AC712</f>
        <v>0</v>
      </c>
      <c r="AM712" s="235">
        <f>'codeis €'!Z712</f>
        <v>0</v>
      </c>
      <c r="AN712" s="236">
        <f>'codeis €'!AF712</f>
        <v>0</v>
      </c>
      <c r="AO712" s="90">
        <f>'codeis €'!AC712</f>
        <v>0</v>
      </c>
      <c r="AP712" s="91">
        <f>'codeis €'!AI712</f>
        <v>0</v>
      </c>
      <c r="AR712" s="12">
        <f t="shared" si="284"/>
        <v>52260956.159999996</v>
      </c>
      <c r="AS712" s="118">
        <f t="shared" si="285"/>
        <v>0.02</v>
      </c>
      <c r="AT712" s="118">
        <f t="shared" si="286"/>
        <v>1.8890273763064611E-2</v>
      </c>
      <c r="AU712" s="12">
        <f t="shared" si="287"/>
        <v>2742.2882471719945</v>
      </c>
      <c r="AV712" s="12">
        <f t="shared" si="288"/>
        <v>201.82510050532727</v>
      </c>
      <c r="AW712" s="19"/>
    </row>
    <row r="713" spans="2:49" x14ac:dyDescent="0.25">
      <c r="B713" s="9" t="str">
        <f t="shared" si="271"/>
        <v>12 2026</v>
      </c>
      <c r="C713" s="88">
        <f t="shared" si="272"/>
        <v>46362</v>
      </c>
      <c r="D713" s="88">
        <f t="shared" si="300"/>
        <v>46363</v>
      </c>
      <c r="E713" s="89">
        <f t="shared" si="273"/>
        <v>1</v>
      </c>
      <c r="G713" s="11" t="s">
        <v>7</v>
      </c>
      <c r="H713" s="12">
        <f t="shared" si="302"/>
        <v>34250000</v>
      </c>
      <c r="I713" s="14">
        <f t="shared" si="302"/>
        <v>1.7500000000000002E-2</v>
      </c>
      <c r="J713" s="13">
        <f t="shared" si="274"/>
        <v>1664.9305555555557</v>
      </c>
      <c r="K713" s="13">
        <f t="shared" si="275"/>
        <v>476622.70833333489</v>
      </c>
      <c r="M713" s="11" t="s">
        <v>7</v>
      </c>
      <c r="N713" s="12">
        <f t="shared" si="304"/>
        <v>12000000</v>
      </c>
      <c r="O713" s="97">
        <f t="shared" si="304"/>
        <v>2.1698630136986304E-2</v>
      </c>
      <c r="P713" s="112">
        <f t="shared" si="276"/>
        <v>723.28767123287685</v>
      </c>
      <c r="Q713" s="13">
        <f t="shared" si="277"/>
        <v>246641.09589041237</v>
      </c>
      <c r="R713" s="13">
        <f t="shared" si="278"/>
        <v>139.95433789954348</v>
      </c>
      <c r="T713" s="11" t="str">
        <f t="shared" si="303"/>
        <v>SG</v>
      </c>
      <c r="U713" s="12">
        <f t="shared" si="303"/>
        <v>6010956.1600000001</v>
      </c>
      <c r="V713" s="97">
        <f t="shared" si="303"/>
        <v>2.1205479452054792E-2</v>
      </c>
      <c r="W713" s="13">
        <f t="shared" si="279"/>
        <v>354.0700203835616</v>
      </c>
      <c r="X713" s="13">
        <f t="shared" si="299"/>
        <v>120730.77795945133</v>
      </c>
      <c r="Y713" s="13">
        <f t="shared" si="280"/>
        <v>61.870762605783796</v>
      </c>
      <c r="AA713" s="11" t="s">
        <v>189</v>
      </c>
      <c r="AB713" s="98"/>
      <c r="AC713" s="97"/>
      <c r="AD713" s="13"/>
      <c r="AE713" s="13">
        <f t="shared" si="282"/>
        <v>333120.83333333296</v>
      </c>
      <c r="AF713" s="13">
        <f t="shared" si="283"/>
        <v>0</v>
      </c>
      <c r="AH713" s="235">
        <f>'CT- € Ellipsis BNP'!X713</f>
        <v>0</v>
      </c>
      <c r="AI713" s="236">
        <f>'CT- € Ellipsis BNP'!AA713</f>
        <v>0</v>
      </c>
      <c r="AJ713" s="90">
        <f>'CT- € Ellipsis BNP'!W713</f>
        <v>0</v>
      </c>
      <c r="AK713" s="91">
        <f>'CT- € Ellipsis BNP'!AC713</f>
        <v>0</v>
      </c>
      <c r="AM713" s="235">
        <f>'codeis €'!Z713</f>
        <v>0</v>
      </c>
      <c r="AN713" s="236">
        <f>'codeis €'!AF713</f>
        <v>0</v>
      </c>
      <c r="AO713" s="90">
        <f>'codeis €'!AC713</f>
        <v>0</v>
      </c>
      <c r="AP713" s="91">
        <f>'codeis €'!AI713</f>
        <v>0</v>
      </c>
      <c r="AR713" s="12">
        <f t="shared" si="284"/>
        <v>52260956.159999996</v>
      </c>
      <c r="AS713" s="118">
        <f t="shared" si="285"/>
        <v>0.02</v>
      </c>
      <c r="AT713" s="118">
        <f t="shared" si="286"/>
        <v>1.8890273763064611E-2</v>
      </c>
      <c r="AU713" s="12">
        <f t="shared" si="287"/>
        <v>2742.2882471719945</v>
      </c>
      <c r="AV713" s="12">
        <f t="shared" si="288"/>
        <v>201.82510050532727</v>
      </c>
      <c r="AW713" s="19"/>
    </row>
    <row r="714" spans="2:49" x14ac:dyDescent="0.25">
      <c r="B714" s="9" t="str">
        <f t="shared" si="271"/>
        <v>12 2026</v>
      </c>
      <c r="C714" s="88">
        <f t="shared" si="272"/>
        <v>46363</v>
      </c>
      <c r="D714" s="88">
        <f t="shared" si="300"/>
        <v>46364</v>
      </c>
      <c r="E714" s="89">
        <f t="shared" si="273"/>
        <v>1</v>
      </c>
      <c r="G714" s="11" t="s">
        <v>7</v>
      </c>
      <c r="H714" s="12">
        <f t="shared" si="302"/>
        <v>34250000</v>
      </c>
      <c r="I714" s="14">
        <f t="shared" si="302"/>
        <v>1.7500000000000002E-2</v>
      </c>
      <c r="J714" s="13">
        <f t="shared" si="274"/>
        <v>1664.9305555555557</v>
      </c>
      <c r="K714" s="13">
        <f t="shared" si="275"/>
        <v>478287.63888889045</v>
      </c>
      <c r="M714" s="11" t="s">
        <v>7</v>
      </c>
      <c r="N714" s="12">
        <f t="shared" si="304"/>
        <v>12000000</v>
      </c>
      <c r="O714" s="97">
        <f t="shared" si="304"/>
        <v>2.1698630136986304E-2</v>
      </c>
      <c r="P714" s="112">
        <f t="shared" si="276"/>
        <v>723.28767123287685</v>
      </c>
      <c r="Q714" s="13">
        <f t="shared" si="277"/>
        <v>247364.38356164526</v>
      </c>
      <c r="R714" s="13">
        <f t="shared" si="278"/>
        <v>139.95433789954348</v>
      </c>
      <c r="T714" s="11" t="str">
        <f t="shared" si="303"/>
        <v>SG</v>
      </c>
      <c r="U714" s="12">
        <f t="shared" si="303"/>
        <v>6010956.1600000001</v>
      </c>
      <c r="V714" s="97">
        <f t="shared" si="303"/>
        <v>2.1205479452054792E-2</v>
      </c>
      <c r="W714" s="13">
        <f t="shared" si="279"/>
        <v>354.0700203835616</v>
      </c>
      <c r="X714" s="13">
        <f t="shared" si="299"/>
        <v>121084.84797983489</v>
      </c>
      <c r="Y714" s="13">
        <f t="shared" si="280"/>
        <v>61.870762605783796</v>
      </c>
      <c r="AA714" s="11" t="s">
        <v>189</v>
      </c>
      <c r="AB714" s="98"/>
      <c r="AC714" s="97"/>
      <c r="AD714" s="13"/>
      <c r="AE714" s="13">
        <f t="shared" si="282"/>
        <v>333120.83333333296</v>
      </c>
      <c r="AF714" s="13">
        <f t="shared" si="283"/>
        <v>0</v>
      </c>
      <c r="AH714" s="235">
        <f>'CT- € Ellipsis BNP'!X714</f>
        <v>0</v>
      </c>
      <c r="AI714" s="236">
        <f>'CT- € Ellipsis BNP'!AA714</f>
        <v>0</v>
      </c>
      <c r="AJ714" s="90">
        <f>'CT- € Ellipsis BNP'!W714</f>
        <v>0</v>
      </c>
      <c r="AK714" s="91">
        <f>'CT- € Ellipsis BNP'!AC714</f>
        <v>0</v>
      </c>
      <c r="AM714" s="235">
        <f>'codeis €'!Z714</f>
        <v>0</v>
      </c>
      <c r="AN714" s="236">
        <f>'codeis €'!AF714</f>
        <v>0</v>
      </c>
      <c r="AO714" s="90">
        <f>'codeis €'!AC714</f>
        <v>0</v>
      </c>
      <c r="AP714" s="91">
        <f>'codeis €'!AI714</f>
        <v>0</v>
      </c>
      <c r="AR714" s="12">
        <f t="shared" si="284"/>
        <v>52260956.159999996</v>
      </c>
      <c r="AS714" s="118">
        <f t="shared" si="285"/>
        <v>0.02</v>
      </c>
      <c r="AT714" s="118">
        <f t="shared" si="286"/>
        <v>1.8890273763064611E-2</v>
      </c>
      <c r="AU714" s="12">
        <f t="shared" si="287"/>
        <v>2742.2882471719945</v>
      </c>
      <c r="AV714" s="12">
        <f t="shared" si="288"/>
        <v>201.82510050532727</v>
      </c>
      <c r="AW714" s="19"/>
    </row>
    <row r="715" spans="2:49" x14ac:dyDescent="0.25">
      <c r="B715" s="9" t="str">
        <f t="shared" si="271"/>
        <v>12 2026</v>
      </c>
      <c r="C715" s="88">
        <f t="shared" si="272"/>
        <v>46364</v>
      </c>
      <c r="D715" s="88">
        <f t="shared" si="300"/>
        <v>46365</v>
      </c>
      <c r="E715" s="89">
        <f t="shared" si="273"/>
        <v>1</v>
      </c>
      <c r="G715" s="11" t="s">
        <v>7</v>
      </c>
      <c r="H715" s="12">
        <f t="shared" si="302"/>
        <v>34250000</v>
      </c>
      <c r="I715" s="14">
        <f t="shared" si="302"/>
        <v>1.7500000000000002E-2</v>
      </c>
      <c r="J715" s="13">
        <f t="shared" si="274"/>
        <v>1664.9305555555557</v>
      </c>
      <c r="K715" s="13">
        <f t="shared" si="275"/>
        <v>479952.56944444601</v>
      </c>
      <c r="M715" s="11" t="s">
        <v>7</v>
      </c>
      <c r="N715" s="12">
        <f t="shared" si="304"/>
        <v>12000000</v>
      </c>
      <c r="O715" s="97">
        <f t="shared" si="304"/>
        <v>2.1698630136986304E-2</v>
      </c>
      <c r="P715" s="112">
        <f t="shared" si="276"/>
        <v>723.28767123287685</v>
      </c>
      <c r="Q715" s="13">
        <f t="shared" si="277"/>
        <v>248087.67123287814</v>
      </c>
      <c r="R715" s="13">
        <f t="shared" si="278"/>
        <v>139.95433789954348</v>
      </c>
      <c r="T715" s="11" t="str">
        <f t="shared" si="303"/>
        <v>SG</v>
      </c>
      <c r="U715" s="12">
        <f t="shared" si="303"/>
        <v>6010956.1600000001</v>
      </c>
      <c r="V715" s="97">
        <f t="shared" si="303"/>
        <v>2.1205479452054792E-2</v>
      </c>
      <c r="W715" s="13">
        <f t="shared" si="279"/>
        <v>354.0700203835616</v>
      </c>
      <c r="X715" s="13">
        <f t="shared" si="299"/>
        <v>121438.91800021844</v>
      </c>
      <c r="Y715" s="13">
        <f t="shared" si="280"/>
        <v>61.870762605783796</v>
      </c>
      <c r="AA715" s="11" t="s">
        <v>189</v>
      </c>
      <c r="AB715" s="98"/>
      <c r="AC715" s="97"/>
      <c r="AD715" s="13"/>
      <c r="AE715" s="13">
        <f t="shared" si="282"/>
        <v>333120.83333333296</v>
      </c>
      <c r="AF715" s="13">
        <f t="shared" si="283"/>
        <v>0</v>
      </c>
      <c r="AH715" s="235">
        <f>'CT- € Ellipsis BNP'!X715</f>
        <v>0</v>
      </c>
      <c r="AI715" s="236">
        <f>'CT- € Ellipsis BNP'!AA715</f>
        <v>0</v>
      </c>
      <c r="AJ715" s="90">
        <f>'CT- € Ellipsis BNP'!W715</f>
        <v>0</v>
      </c>
      <c r="AK715" s="91">
        <f>'CT- € Ellipsis BNP'!AC715</f>
        <v>0</v>
      </c>
      <c r="AM715" s="235">
        <f>'codeis €'!Z715</f>
        <v>0</v>
      </c>
      <c r="AN715" s="236">
        <f>'codeis €'!AF715</f>
        <v>0</v>
      </c>
      <c r="AO715" s="90">
        <f>'codeis €'!AC715</f>
        <v>0</v>
      </c>
      <c r="AP715" s="91">
        <f>'codeis €'!AI715</f>
        <v>0</v>
      </c>
      <c r="AR715" s="12">
        <f t="shared" si="284"/>
        <v>52260956.159999996</v>
      </c>
      <c r="AS715" s="118">
        <f t="shared" si="285"/>
        <v>0.02</v>
      </c>
      <c r="AT715" s="118">
        <f t="shared" si="286"/>
        <v>1.8890273763064611E-2</v>
      </c>
      <c r="AU715" s="12">
        <f t="shared" si="287"/>
        <v>2742.2882471719945</v>
      </c>
      <c r="AV715" s="12">
        <f t="shared" si="288"/>
        <v>201.82510050532727</v>
      </c>
      <c r="AW715" s="19"/>
    </row>
    <row r="716" spans="2:49" x14ac:dyDescent="0.25">
      <c r="B716" s="9" t="str">
        <f t="shared" si="271"/>
        <v>12 2026</v>
      </c>
      <c r="C716" s="88">
        <f t="shared" si="272"/>
        <v>46365</v>
      </c>
      <c r="D716" s="88">
        <f t="shared" si="300"/>
        <v>46366</v>
      </c>
      <c r="E716" s="89">
        <f t="shared" si="273"/>
        <v>1</v>
      </c>
      <c r="G716" s="11" t="s">
        <v>7</v>
      </c>
      <c r="H716" s="12">
        <f t="shared" si="302"/>
        <v>34250000</v>
      </c>
      <c r="I716" s="14">
        <f t="shared" si="302"/>
        <v>1.7500000000000002E-2</v>
      </c>
      <c r="J716" s="13">
        <f t="shared" si="274"/>
        <v>1664.9305555555557</v>
      </c>
      <c r="K716" s="13">
        <f t="shared" si="275"/>
        <v>481617.50000000157</v>
      </c>
      <c r="M716" s="11" t="s">
        <v>7</v>
      </c>
      <c r="N716" s="12">
        <f t="shared" si="304"/>
        <v>12000000</v>
      </c>
      <c r="O716" s="97">
        <f t="shared" si="304"/>
        <v>2.1698630136986304E-2</v>
      </c>
      <c r="P716" s="112">
        <f t="shared" si="276"/>
        <v>723.28767123287685</v>
      </c>
      <c r="Q716" s="13">
        <f t="shared" si="277"/>
        <v>248810.95890411103</v>
      </c>
      <c r="R716" s="13">
        <f t="shared" si="278"/>
        <v>139.95433789954348</v>
      </c>
      <c r="T716" s="11" t="str">
        <f t="shared" si="303"/>
        <v>SG</v>
      </c>
      <c r="U716" s="12">
        <f t="shared" si="303"/>
        <v>6010956.1600000001</v>
      </c>
      <c r="V716" s="97">
        <f t="shared" si="303"/>
        <v>2.1205479452054792E-2</v>
      </c>
      <c r="W716" s="13">
        <f t="shared" si="279"/>
        <v>354.0700203835616</v>
      </c>
      <c r="X716" s="13">
        <f t="shared" si="299"/>
        <v>121792.988020602</v>
      </c>
      <c r="Y716" s="13">
        <f t="shared" si="280"/>
        <v>61.870762605783796</v>
      </c>
      <c r="AA716" s="11" t="s">
        <v>189</v>
      </c>
      <c r="AB716" s="98"/>
      <c r="AC716" s="97"/>
      <c r="AD716" s="13"/>
      <c r="AE716" s="13">
        <f t="shared" si="282"/>
        <v>333120.83333333296</v>
      </c>
      <c r="AF716" s="13">
        <f t="shared" si="283"/>
        <v>0</v>
      </c>
      <c r="AH716" s="235">
        <f>'CT- € Ellipsis BNP'!X716</f>
        <v>0</v>
      </c>
      <c r="AI716" s="236">
        <f>'CT- € Ellipsis BNP'!AA716</f>
        <v>0</v>
      </c>
      <c r="AJ716" s="90">
        <f>'CT- € Ellipsis BNP'!W716</f>
        <v>0</v>
      </c>
      <c r="AK716" s="91">
        <f>'CT- € Ellipsis BNP'!AC716</f>
        <v>0</v>
      </c>
      <c r="AM716" s="235">
        <f>'codeis €'!Z716</f>
        <v>0</v>
      </c>
      <c r="AN716" s="236">
        <f>'codeis €'!AF716</f>
        <v>0</v>
      </c>
      <c r="AO716" s="90">
        <f>'codeis €'!AC716</f>
        <v>0</v>
      </c>
      <c r="AP716" s="91">
        <f>'codeis €'!AI716</f>
        <v>0</v>
      </c>
      <c r="AR716" s="12">
        <f t="shared" si="284"/>
        <v>52260956.159999996</v>
      </c>
      <c r="AS716" s="118">
        <f t="shared" si="285"/>
        <v>0.02</v>
      </c>
      <c r="AT716" s="118">
        <f t="shared" si="286"/>
        <v>1.8890273763064611E-2</v>
      </c>
      <c r="AU716" s="12">
        <f t="shared" si="287"/>
        <v>2742.2882471719945</v>
      </c>
      <c r="AV716" s="12">
        <f t="shared" si="288"/>
        <v>201.82510050532727</v>
      </c>
      <c r="AW716" s="19"/>
    </row>
    <row r="717" spans="2:49" x14ac:dyDescent="0.25">
      <c r="B717" s="9" t="str">
        <f t="shared" si="271"/>
        <v>12 2026</v>
      </c>
      <c r="C717" s="88">
        <f t="shared" si="272"/>
        <v>46366</v>
      </c>
      <c r="D717" s="88">
        <f t="shared" si="300"/>
        <v>46367</v>
      </c>
      <c r="E717" s="89">
        <f t="shared" si="273"/>
        <v>1</v>
      </c>
      <c r="G717" s="11" t="s">
        <v>7</v>
      </c>
      <c r="H717" s="12">
        <f t="shared" si="302"/>
        <v>34250000</v>
      </c>
      <c r="I717" s="14">
        <f t="shared" si="302"/>
        <v>1.7500000000000002E-2</v>
      </c>
      <c r="J717" s="13">
        <f t="shared" si="274"/>
        <v>1664.9305555555557</v>
      </c>
      <c r="K717" s="13">
        <f t="shared" si="275"/>
        <v>483282.43055555713</v>
      </c>
      <c r="M717" s="11" t="s">
        <v>7</v>
      </c>
      <c r="N717" s="12">
        <f t="shared" si="304"/>
        <v>12000000</v>
      </c>
      <c r="O717" s="97">
        <f t="shared" si="304"/>
        <v>2.1698630136986304E-2</v>
      </c>
      <c r="P717" s="112">
        <f t="shared" si="276"/>
        <v>723.28767123287685</v>
      </c>
      <c r="Q717" s="13">
        <f t="shared" si="277"/>
        <v>249534.24657534392</v>
      </c>
      <c r="R717" s="13">
        <f t="shared" si="278"/>
        <v>139.95433789954348</v>
      </c>
      <c r="T717" s="11" t="str">
        <f t="shared" si="303"/>
        <v>SG</v>
      </c>
      <c r="U717" s="12">
        <f t="shared" si="303"/>
        <v>6010956.1600000001</v>
      </c>
      <c r="V717" s="97">
        <f t="shared" si="303"/>
        <v>2.1205479452054792E-2</v>
      </c>
      <c r="W717" s="13">
        <f t="shared" si="279"/>
        <v>354.0700203835616</v>
      </c>
      <c r="X717" s="13">
        <f t="shared" si="299"/>
        <v>122147.05804098556</v>
      </c>
      <c r="Y717" s="13">
        <f t="shared" si="280"/>
        <v>61.870762605783796</v>
      </c>
      <c r="AA717" s="11" t="s">
        <v>189</v>
      </c>
      <c r="AB717" s="98"/>
      <c r="AC717" s="97"/>
      <c r="AD717" s="13"/>
      <c r="AE717" s="13">
        <f t="shared" si="282"/>
        <v>333120.83333333296</v>
      </c>
      <c r="AF717" s="13">
        <f t="shared" si="283"/>
        <v>0</v>
      </c>
      <c r="AH717" s="235">
        <f>'CT- € Ellipsis BNP'!X717</f>
        <v>0</v>
      </c>
      <c r="AI717" s="236">
        <f>'CT- € Ellipsis BNP'!AA717</f>
        <v>0</v>
      </c>
      <c r="AJ717" s="90">
        <f>'CT- € Ellipsis BNP'!W717</f>
        <v>0</v>
      </c>
      <c r="AK717" s="91">
        <f>'CT- € Ellipsis BNP'!AC717</f>
        <v>0</v>
      </c>
      <c r="AM717" s="235">
        <f>'codeis €'!Z717</f>
        <v>0</v>
      </c>
      <c r="AN717" s="236">
        <f>'codeis €'!AF717</f>
        <v>0</v>
      </c>
      <c r="AO717" s="90">
        <f>'codeis €'!AC717</f>
        <v>0</v>
      </c>
      <c r="AP717" s="91">
        <f>'codeis €'!AI717</f>
        <v>0</v>
      </c>
      <c r="AR717" s="12">
        <f t="shared" si="284"/>
        <v>52260956.159999996</v>
      </c>
      <c r="AS717" s="118">
        <f t="shared" si="285"/>
        <v>0.02</v>
      </c>
      <c r="AT717" s="118">
        <f t="shared" si="286"/>
        <v>1.8890273763064611E-2</v>
      </c>
      <c r="AU717" s="12">
        <f t="shared" si="287"/>
        <v>2742.2882471719945</v>
      </c>
      <c r="AV717" s="12">
        <f t="shared" si="288"/>
        <v>201.82510050532727</v>
      </c>
      <c r="AW717" s="19"/>
    </row>
    <row r="718" spans="2:49" x14ac:dyDescent="0.25">
      <c r="B718" s="9" t="str">
        <f t="shared" si="271"/>
        <v>12 2026</v>
      </c>
      <c r="C718" s="88">
        <f t="shared" si="272"/>
        <v>46367</v>
      </c>
      <c r="D718" s="88">
        <f t="shared" si="300"/>
        <v>46368</v>
      </c>
      <c r="E718" s="89">
        <f t="shared" si="273"/>
        <v>1</v>
      </c>
      <c r="G718" s="11" t="s">
        <v>7</v>
      </c>
      <c r="H718" s="12">
        <f t="shared" si="302"/>
        <v>34250000</v>
      </c>
      <c r="I718" s="14">
        <f t="shared" si="302"/>
        <v>1.7500000000000002E-2</v>
      </c>
      <c r="J718" s="13">
        <f t="shared" si="274"/>
        <v>1664.9305555555557</v>
      </c>
      <c r="K718" s="13">
        <f t="shared" si="275"/>
        <v>484947.3611111127</v>
      </c>
      <c r="M718" s="11" t="s">
        <v>7</v>
      </c>
      <c r="N718" s="12">
        <f t="shared" si="304"/>
        <v>12000000</v>
      </c>
      <c r="O718" s="97">
        <f t="shared" si="304"/>
        <v>2.1698630136986304E-2</v>
      </c>
      <c r="P718" s="112">
        <f t="shared" si="276"/>
        <v>723.28767123287685</v>
      </c>
      <c r="Q718" s="13">
        <f t="shared" si="277"/>
        <v>250257.5342465768</v>
      </c>
      <c r="R718" s="13">
        <f t="shared" si="278"/>
        <v>139.95433789954348</v>
      </c>
      <c r="T718" s="11" t="str">
        <f t="shared" si="303"/>
        <v>SG</v>
      </c>
      <c r="U718" s="12">
        <f t="shared" si="303"/>
        <v>6010956.1600000001</v>
      </c>
      <c r="V718" s="97">
        <f t="shared" si="303"/>
        <v>2.1205479452054792E-2</v>
      </c>
      <c r="W718" s="13">
        <f t="shared" si="279"/>
        <v>354.0700203835616</v>
      </c>
      <c r="X718" s="13">
        <f t="shared" si="299"/>
        <v>122501.12806136912</v>
      </c>
      <c r="Y718" s="13">
        <f t="shared" si="280"/>
        <v>61.870762605783796</v>
      </c>
      <c r="AA718" s="11" t="s">
        <v>189</v>
      </c>
      <c r="AB718" s="98"/>
      <c r="AC718" s="97"/>
      <c r="AD718" s="13"/>
      <c r="AE718" s="13">
        <f t="shared" si="282"/>
        <v>333120.83333333296</v>
      </c>
      <c r="AF718" s="13">
        <f t="shared" si="283"/>
        <v>0</v>
      </c>
      <c r="AH718" s="235">
        <f>'CT- € Ellipsis BNP'!X718</f>
        <v>0</v>
      </c>
      <c r="AI718" s="236">
        <f>'CT- € Ellipsis BNP'!AA718</f>
        <v>0</v>
      </c>
      <c r="AJ718" s="90">
        <f>'CT- € Ellipsis BNP'!W718</f>
        <v>0</v>
      </c>
      <c r="AK718" s="91">
        <f>'CT- € Ellipsis BNP'!AC718</f>
        <v>0</v>
      </c>
      <c r="AM718" s="235">
        <f>'codeis €'!Z718</f>
        <v>0</v>
      </c>
      <c r="AN718" s="236">
        <f>'codeis €'!AF718</f>
        <v>0</v>
      </c>
      <c r="AO718" s="90">
        <f>'codeis €'!AC718</f>
        <v>0</v>
      </c>
      <c r="AP718" s="91">
        <f>'codeis €'!AI718</f>
        <v>0</v>
      </c>
      <c r="AR718" s="12">
        <f t="shared" si="284"/>
        <v>52260956.159999996</v>
      </c>
      <c r="AS718" s="118">
        <f t="shared" si="285"/>
        <v>0.02</v>
      </c>
      <c r="AT718" s="118">
        <f t="shared" si="286"/>
        <v>1.8890273763064611E-2</v>
      </c>
      <c r="AU718" s="12">
        <f t="shared" si="287"/>
        <v>2742.2882471719945</v>
      </c>
      <c r="AV718" s="12">
        <f t="shared" si="288"/>
        <v>201.82510050532727</v>
      </c>
      <c r="AW718" s="19"/>
    </row>
    <row r="719" spans="2:49" x14ac:dyDescent="0.25">
      <c r="B719" s="9" t="str">
        <f t="shared" si="271"/>
        <v>12 2026</v>
      </c>
      <c r="C719" s="88">
        <f t="shared" si="272"/>
        <v>46368</v>
      </c>
      <c r="D719" s="88">
        <f t="shared" si="300"/>
        <v>46369</v>
      </c>
      <c r="E719" s="89">
        <f t="shared" si="273"/>
        <v>1</v>
      </c>
      <c r="G719" s="11" t="s">
        <v>7</v>
      </c>
      <c r="H719" s="12">
        <f t="shared" si="302"/>
        <v>34250000</v>
      </c>
      <c r="I719" s="14">
        <f t="shared" si="302"/>
        <v>1.7500000000000002E-2</v>
      </c>
      <c r="J719" s="13">
        <f t="shared" si="274"/>
        <v>1664.9305555555557</v>
      </c>
      <c r="K719" s="13">
        <f t="shared" si="275"/>
        <v>486612.29166666826</v>
      </c>
      <c r="M719" s="11" t="s">
        <v>7</v>
      </c>
      <c r="N719" s="12">
        <f t="shared" si="304"/>
        <v>12000000</v>
      </c>
      <c r="O719" s="97">
        <f t="shared" si="304"/>
        <v>2.1698630136986304E-2</v>
      </c>
      <c r="P719" s="112">
        <f t="shared" si="276"/>
        <v>723.28767123287685</v>
      </c>
      <c r="Q719" s="13">
        <f t="shared" si="277"/>
        <v>250980.82191780969</v>
      </c>
      <c r="R719" s="13">
        <f t="shared" si="278"/>
        <v>139.95433789954348</v>
      </c>
      <c r="T719" s="11" t="str">
        <f t="shared" si="303"/>
        <v>SG</v>
      </c>
      <c r="U719" s="12">
        <f t="shared" si="303"/>
        <v>6010956.1600000001</v>
      </c>
      <c r="V719" s="97">
        <f t="shared" si="303"/>
        <v>2.1205479452054792E-2</v>
      </c>
      <c r="W719" s="13">
        <f t="shared" si="279"/>
        <v>354.0700203835616</v>
      </c>
      <c r="X719" s="13">
        <f t="shared" si="299"/>
        <v>122855.19808175268</v>
      </c>
      <c r="Y719" s="13">
        <f t="shared" si="280"/>
        <v>61.870762605783796</v>
      </c>
      <c r="AA719" s="11" t="s">
        <v>189</v>
      </c>
      <c r="AB719" s="98"/>
      <c r="AC719" s="97"/>
      <c r="AD719" s="13"/>
      <c r="AE719" s="13">
        <f t="shared" si="282"/>
        <v>333120.83333333296</v>
      </c>
      <c r="AF719" s="13">
        <f t="shared" si="283"/>
        <v>0</v>
      </c>
      <c r="AH719" s="235">
        <f>'CT- € Ellipsis BNP'!X719</f>
        <v>0</v>
      </c>
      <c r="AI719" s="236">
        <f>'CT- € Ellipsis BNP'!AA719</f>
        <v>0</v>
      </c>
      <c r="AJ719" s="90">
        <f>'CT- € Ellipsis BNP'!W719</f>
        <v>0</v>
      </c>
      <c r="AK719" s="91">
        <f>'CT- € Ellipsis BNP'!AC719</f>
        <v>0</v>
      </c>
      <c r="AM719" s="235">
        <f>'codeis €'!Z719</f>
        <v>0</v>
      </c>
      <c r="AN719" s="236">
        <f>'codeis €'!AF719</f>
        <v>0</v>
      </c>
      <c r="AO719" s="90">
        <f>'codeis €'!AC719</f>
        <v>0</v>
      </c>
      <c r="AP719" s="91">
        <f>'codeis €'!AI719</f>
        <v>0</v>
      </c>
      <c r="AR719" s="12">
        <f t="shared" si="284"/>
        <v>52260956.159999996</v>
      </c>
      <c r="AS719" s="118">
        <f t="shared" si="285"/>
        <v>0.02</v>
      </c>
      <c r="AT719" s="118">
        <f t="shared" si="286"/>
        <v>1.8890273763064611E-2</v>
      </c>
      <c r="AU719" s="12">
        <f t="shared" si="287"/>
        <v>2742.2882471719945</v>
      </c>
      <c r="AV719" s="12">
        <f t="shared" si="288"/>
        <v>201.82510050532727</v>
      </c>
      <c r="AW719" s="19"/>
    </row>
    <row r="720" spans="2:49" x14ac:dyDescent="0.25">
      <c r="B720" s="9" t="str">
        <f t="shared" si="271"/>
        <v>12 2026</v>
      </c>
      <c r="C720" s="88">
        <f t="shared" si="272"/>
        <v>46369</v>
      </c>
      <c r="D720" s="88">
        <f t="shared" si="300"/>
        <v>46370</v>
      </c>
      <c r="E720" s="89">
        <f t="shared" si="273"/>
        <v>1</v>
      </c>
      <c r="G720" s="11" t="s">
        <v>7</v>
      </c>
      <c r="H720" s="12">
        <f t="shared" si="302"/>
        <v>34250000</v>
      </c>
      <c r="I720" s="14">
        <f t="shared" si="302"/>
        <v>1.7500000000000002E-2</v>
      </c>
      <c r="J720" s="13">
        <f t="shared" si="274"/>
        <v>1664.9305555555557</v>
      </c>
      <c r="K720" s="13">
        <f t="shared" si="275"/>
        <v>488277.22222222382</v>
      </c>
      <c r="M720" s="11" t="s">
        <v>7</v>
      </c>
      <c r="N720" s="12">
        <f t="shared" si="304"/>
        <v>12000000</v>
      </c>
      <c r="O720" s="97">
        <f t="shared" si="304"/>
        <v>2.1698630136986304E-2</v>
      </c>
      <c r="P720" s="112">
        <f t="shared" si="276"/>
        <v>723.28767123287685</v>
      </c>
      <c r="Q720" s="13">
        <f t="shared" si="277"/>
        <v>251704.10958904258</v>
      </c>
      <c r="R720" s="13">
        <f t="shared" si="278"/>
        <v>139.95433789954348</v>
      </c>
      <c r="T720" s="11" t="str">
        <f t="shared" si="303"/>
        <v>SG</v>
      </c>
      <c r="U720" s="12">
        <f t="shared" si="303"/>
        <v>6010956.1600000001</v>
      </c>
      <c r="V720" s="97">
        <f t="shared" si="303"/>
        <v>2.1205479452054792E-2</v>
      </c>
      <c r="W720" s="13">
        <f t="shared" si="279"/>
        <v>354.0700203835616</v>
      </c>
      <c r="X720" s="13">
        <f t="shared" si="299"/>
        <v>123209.26810213624</v>
      </c>
      <c r="Y720" s="13">
        <f t="shared" si="280"/>
        <v>61.870762605783796</v>
      </c>
      <c r="AA720" s="11" t="s">
        <v>189</v>
      </c>
      <c r="AB720" s="98"/>
      <c r="AC720" s="97"/>
      <c r="AD720" s="13"/>
      <c r="AE720" s="13">
        <f t="shared" si="282"/>
        <v>333120.83333333296</v>
      </c>
      <c r="AF720" s="13">
        <f t="shared" si="283"/>
        <v>0</v>
      </c>
      <c r="AH720" s="235">
        <f>'CT- € Ellipsis BNP'!X720</f>
        <v>0</v>
      </c>
      <c r="AI720" s="236">
        <f>'CT- € Ellipsis BNP'!AA720</f>
        <v>0</v>
      </c>
      <c r="AJ720" s="90">
        <f>'CT- € Ellipsis BNP'!W720</f>
        <v>0</v>
      </c>
      <c r="AK720" s="91">
        <f>'CT- € Ellipsis BNP'!AC720</f>
        <v>0</v>
      </c>
      <c r="AM720" s="235">
        <f>'codeis €'!Z720</f>
        <v>0</v>
      </c>
      <c r="AN720" s="236">
        <f>'codeis €'!AF720</f>
        <v>0</v>
      </c>
      <c r="AO720" s="90">
        <f>'codeis €'!AC720</f>
        <v>0</v>
      </c>
      <c r="AP720" s="91">
        <f>'codeis €'!AI720</f>
        <v>0</v>
      </c>
      <c r="AR720" s="12">
        <f t="shared" si="284"/>
        <v>52260956.159999996</v>
      </c>
      <c r="AS720" s="118">
        <f t="shared" si="285"/>
        <v>0.02</v>
      </c>
      <c r="AT720" s="118">
        <f t="shared" si="286"/>
        <v>1.8890273763064611E-2</v>
      </c>
      <c r="AU720" s="12">
        <f t="shared" si="287"/>
        <v>2742.2882471719945</v>
      </c>
      <c r="AV720" s="12">
        <f t="shared" si="288"/>
        <v>201.82510050532727</v>
      </c>
      <c r="AW720" s="19"/>
    </row>
    <row r="721" spans="2:49" x14ac:dyDescent="0.25">
      <c r="B721" s="9" t="str">
        <f t="shared" si="271"/>
        <v>12 2026</v>
      </c>
      <c r="C721" s="88">
        <f t="shared" si="272"/>
        <v>46370</v>
      </c>
      <c r="D721" s="88">
        <f t="shared" si="300"/>
        <v>46371</v>
      </c>
      <c r="E721" s="89">
        <f t="shared" si="273"/>
        <v>1</v>
      </c>
      <c r="G721" s="11" t="s">
        <v>7</v>
      </c>
      <c r="H721" s="12">
        <f t="shared" si="302"/>
        <v>34250000</v>
      </c>
      <c r="I721" s="14">
        <f t="shared" si="302"/>
        <v>1.7500000000000002E-2</v>
      </c>
      <c r="J721" s="13">
        <f t="shared" si="274"/>
        <v>1664.9305555555557</v>
      </c>
      <c r="K721" s="13">
        <f t="shared" si="275"/>
        <v>489942.15277777938</v>
      </c>
      <c r="M721" s="11" t="s">
        <v>7</v>
      </c>
      <c r="N721" s="12">
        <f t="shared" si="304"/>
        <v>12000000</v>
      </c>
      <c r="O721" s="97">
        <f t="shared" si="304"/>
        <v>2.1698630136986304E-2</v>
      </c>
      <c r="P721" s="112">
        <f t="shared" si="276"/>
        <v>723.28767123287685</v>
      </c>
      <c r="Q721" s="13">
        <f t="shared" si="277"/>
        <v>252427.39726027547</v>
      </c>
      <c r="R721" s="13">
        <f t="shared" si="278"/>
        <v>139.95433789954348</v>
      </c>
      <c r="T721" s="11" t="str">
        <f t="shared" si="303"/>
        <v>SG</v>
      </c>
      <c r="U721" s="12">
        <f t="shared" si="303"/>
        <v>6010956.1600000001</v>
      </c>
      <c r="V721" s="97">
        <f t="shared" si="303"/>
        <v>2.1205479452054792E-2</v>
      </c>
      <c r="W721" s="13">
        <f t="shared" si="279"/>
        <v>354.0700203835616</v>
      </c>
      <c r="X721" s="13">
        <f t="shared" si="299"/>
        <v>123563.3381225198</v>
      </c>
      <c r="Y721" s="13">
        <f t="shared" si="280"/>
        <v>61.870762605783796</v>
      </c>
      <c r="AA721" s="11" t="s">
        <v>189</v>
      </c>
      <c r="AB721" s="98"/>
      <c r="AC721" s="97"/>
      <c r="AD721" s="13"/>
      <c r="AE721" s="13">
        <f t="shared" si="282"/>
        <v>333120.83333333296</v>
      </c>
      <c r="AF721" s="13">
        <f t="shared" si="283"/>
        <v>0</v>
      </c>
      <c r="AH721" s="235">
        <f>'CT- € Ellipsis BNP'!X721</f>
        <v>0</v>
      </c>
      <c r="AI721" s="236">
        <f>'CT- € Ellipsis BNP'!AA721</f>
        <v>0</v>
      </c>
      <c r="AJ721" s="90">
        <f>'CT- € Ellipsis BNP'!W721</f>
        <v>0</v>
      </c>
      <c r="AK721" s="91">
        <f>'CT- € Ellipsis BNP'!AC721</f>
        <v>0</v>
      </c>
      <c r="AM721" s="235">
        <f>'codeis €'!Z721</f>
        <v>0</v>
      </c>
      <c r="AN721" s="236">
        <f>'codeis €'!AF721</f>
        <v>0</v>
      </c>
      <c r="AO721" s="90">
        <f>'codeis €'!AC721</f>
        <v>0</v>
      </c>
      <c r="AP721" s="91">
        <f>'codeis €'!AI721</f>
        <v>0</v>
      </c>
      <c r="AR721" s="12">
        <f t="shared" si="284"/>
        <v>52260956.159999996</v>
      </c>
      <c r="AS721" s="118">
        <f t="shared" si="285"/>
        <v>0.02</v>
      </c>
      <c r="AT721" s="118">
        <f t="shared" si="286"/>
        <v>1.8890273763064611E-2</v>
      </c>
      <c r="AU721" s="12">
        <f t="shared" si="287"/>
        <v>2742.2882471719945</v>
      </c>
      <c r="AV721" s="12">
        <f t="shared" si="288"/>
        <v>201.82510050532727</v>
      </c>
      <c r="AW721" s="19"/>
    </row>
    <row r="722" spans="2:49" x14ac:dyDescent="0.25">
      <c r="B722" s="9" t="str">
        <f t="shared" si="271"/>
        <v>12 2026</v>
      </c>
      <c r="C722" s="88">
        <f t="shared" si="272"/>
        <v>46371</v>
      </c>
      <c r="D722" s="88">
        <f t="shared" si="300"/>
        <v>46372</v>
      </c>
      <c r="E722" s="89">
        <f t="shared" si="273"/>
        <v>1</v>
      </c>
      <c r="G722" s="11" t="s">
        <v>7</v>
      </c>
      <c r="H722" s="12">
        <f t="shared" si="302"/>
        <v>34250000</v>
      </c>
      <c r="I722" s="14">
        <f t="shared" si="302"/>
        <v>1.7500000000000002E-2</v>
      </c>
      <c r="J722" s="13">
        <f t="shared" si="274"/>
        <v>1664.9305555555557</v>
      </c>
      <c r="K722" s="13">
        <f t="shared" si="275"/>
        <v>491607.08333333494</v>
      </c>
      <c r="M722" s="11" t="s">
        <v>7</v>
      </c>
      <c r="N722" s="12">
        <f t="shared" si="304"/>
        <v>12000000</v>
      </c>
      <c r="O722" s="97">
        <f t="shared" si="304"/>
        <v>2.1698630136986304E-2</v>
      </c>
      <c r="P722" s="112">
        <f t="shared" si="276"/>
        <v>723.28767123287685</v>
      </c>
      <c r="Q722" s="13">
        <f t="shared" si="277"/>
        <v>253150.68493150835</v>
      </c>
      <c r="R722" s="13">
        <f t="shared" si="278"/>
        <v>139.95433789954348</v>
      </c>
      <c r="T722" s="11" t="str">
        <f t="shared" si="303"/>
        <v>SG</v>
      </c>
      <c r="U722" s="12">
        <f t="shared" si="303"/>
        <v>6010956.1600000001</v>
      </c>
      <c r="V722" s="97">
        <f t="shared" si="303"/>
        <v>2.1205479452054792E-2</v>
      </c>
      <c r="W722" s="13">
        <f t="shared" si="279"/>
        <v>354.0700203835616</v>
      </c>
      <c r="X722" s="13">
        <f t="shared" si="299"/>
        <v>123917.40814290335</v>
      </c>
      <c r="Y722" s="13">
        <f t="shared" si="280"/>
        <v>61.870762605783796</v>
      </c>
      <c r="AA722" s="11" t="s">
        <v>189</v>
      </c>
      <c r="AB722" s="98"/>
      <c r="AC722" s="97"/>
      <c r="AD722" s="13"/>
      <c r="AE722" s="13">
        <f t="shared" si="282"/>
        <v>333120.83333333296</v>
      </c>
      <c r="AF722" s="13">
        <f t="shared" si="283"/>
        <v>0</v>
      </c>
      <c r="AH722" s="235">
        <f>'CT- € Ellipsis BNP'!X722</f>
        <v>0</v>
      </c>
      <c r="AI722" s="236">
        <f>'CT- € Ellipsis BNP'!AA722</f>
        <v>0</v>
      </c>
      <c r="AJ722" s="90">
        <f>'CT- € Ellipsis BNP'!W722</f>
        <v>0</v>
      </c>
      <c r="AK722" s="91">
        <f>'CT- € Ellipsis BNP'!AC722</f>
        <v>0</v>
      </c>
      <c r="AM722" s="235">
        <f>'codeis €'!Z722</f>
        <v>0</v>
      </c>
      <c r="AN722" s="236">
        <f>'codeis €'!AF722</f>
        <v>0</v>
      </c>
      <c r="AO722" s="90">
        <f>'codeis €'!AC722</f>
        <v>0</v>
      </c>
      <c r="AP722" s="91">
        <f>'codeis €'!AI722</f>
        <v>0</v>
      </c>
      <c r="AR722" s="12">
        <f t="shared" si="284"/>
        <v>52260956.159999996</v>
      </c>
      <c r="AS722" s="118">
        <f t="shared" si="285"/>
        <v>0.02</v>
      </c>
      <c r="AT722" s="118">
        <f t="shared" si="286"/>
        <v>1.8890273763064611E-2</v>
      </c>
      <c r="AU722" s="12">
        <f t="shared" si="287"/>
        <v>2742.2882471719945</v>
      </c>
      <c r="AV722" s="12">
        <f t="shared" si="288"/>
        <v>201.82510050532727</v>
      </c>
      <c r="AW722" s="19"/>
    </row>
    <row r="723" spans="2:49" x14ac:dyDescent="0.25">
      <c r="B723" s="9" t="str">
        <f t="shared" si="271"/>
        <v>12 2026</v>
      </c>
      <c r="C723" s="88">
        <f t="shared" si="272"/>
        <v>46372</v>
      </c>
      <c r="D723" s="88">
        <f t="shared" si="300"/>
        <v>46373</v>
      </c>
      <c r="E723" s="89">
        <f t="shared" si="273"/>
        <v>1</v>
      </c>
      <c r="G723" s="11" t="s">
        <v>7</v>
      </c>
      <c r="H723" s="12">
        <f t="shared" si="302"/>
        <v>34250000</v>
      </c>
      <c r="I723" s="14">
        <f t="shared" si="302"/>
        <v>1.7500000000000002E-2</v>
      </c>
      <c r="J723" s="13">
        <f t="shared" si="274"/>
        <v>1664.9305555555557</v>
      </c>
      <c r="K723" s="13">
        <f t="shared" si="275"/>
        <v>493272.01388889051</v>
      </c>
      <c r="M723" s="11" t="s">
        <v>7</v>
      </c>
      <c r="N723" s="12">
        <f t="shared" si="304"/>
        <v>12000000</v>
      </c>
      <c r="O723" s="97">
        <f t="shared" si="304"/>
        <v>2.1698630136986304E-2</v>
      </c>
      <c r="P723" s="112">
        <f t="shared" si="276"/>
        <v>723.28767123287685</v>
      </c>
      <c r="Q723" s="13">
        <f t="shared" si="277"/>
        <v>253873.97260274124</v>
      </c>
      <c r="R723" s="13">
        <f t="shared" si="278"/>
        <v>139.95433789954348</v>
      </c>
      <c r="T723" s="11" t="str">
        <f t="shared" si="303"/>
        <v>SG</v>
      </c>
      <c r="U723" s="12">
        <f t="shared" si="303"/>
        <v>6010956.1600000001</v>
      </c>
      <c r="V723" s="97">
        <f t="shared" si="303"/>
        <v>2.1205479452054792E-2</v>
      </c>
      <c r="W723" s="13">
        <f t="shared" si="279"/>
        <v>354.0700203835616</v>
      </c>
      <c r="X723" s="13">
        <f t="shared" si="299"/>
        <v>124271.47816328691</v>
      </c>
      <c r="Y723" s="13">
        <f t="shared" si="280"/>
        <v>61.870762605783796</v>
      </c>
      <c r="AA723" s="11" t="s">
        <v>189</v>
      </c>
      <c r="AB723" s="98"/>
      <c r="AC723" s="97"/>
      <c r="AD723" s="13"/>
      <c r="AE723" s="13">
        <f t="shared" si="282"/>
        <v>333120.83333333296</v>
      </c>
      <c r="AF723" s="13">
        <f t="shared" si="283"/>
        <v>0</v>
      </c>
      <c r="AH723" s="235">
        <f>'CT- € Ellipsis BNP'!X723</f>
        <v>0</v>
      </c>
      <c r="AI723" s="236">
        <f>'CT- € Ellipsis BNP'!AA723</f>
        <v>0</v>
      </c>
      <c r="AJ723" s="90">
        <f>'CT- € Ellipsis BNP'!W723</f>
        <v>0</v>
      </c>
      <c r="AK723" s="91">
        <f>'CT- € Ellipsis BNP'!AC723</f>
        <v>0</v>
      </c>
      <c r="AM723" s="235">
        <f>'codeis €'!Z723</f>
        <v>0</v>
      </c>
      <c r="AN723" s="236">
        <f>'codeis €'!AF723</f>
        <v>0</v>
      </c>
      <c r="AO723" s="90">
        <f>'codeis €'!AC723</f>
        <v>0</v>
      </c>
      <c r="AP723" s="91">
        <f>'codeis €'!AI723</f>
        <v>0</v>
      </c>
      <c r="AR723" s="12">
        <f t="shared" si="284"/>
        <v>52260956.159999996</v>
      </c>
      <c r="AS723" s="118">
        <f t="shared" si="285"/>
        <v>0.02</v>
      </c>
      <c r="AT723" s="118">
        <f t="shared" si="286"/>
        <v>1.8890273763064611E-2</v>
      </c>
      <c r="AU723" s="12">
        <f t="shared" si="287"/>
        <v>2742.2882471719945</v>
      </c>
      <c r="AV723" s="12">
        <f t="shared" si="288"/>
        <v>201.82510050532727</v>
      </c>
      <c r="AW723" s="19"/>
    </row>
    <row r="724" spans="2:49" x14ac:dyDescent="0.25">
      <c r="B724" s="9" t="str">
        <f t="shared" si="271"/>
        <v>12 2026</v>
      </c>
      <c r="C724" s="88">
        <f t="shared" si="272"/>
        <v>46373</v>
      </c>
      <c r="D724" s="88">
        <f t="shared" si="300"/>
        <v>46374</v>
      </c>
      <c r="E724" s="89">
        <f t="shared" si="273"/>
        <v>1</v>
      </c>
      <c r="G724" s="11" t="s">
        <v>7</v>
      </c>
      <c r="H724" s="12">
        <f t="shared" si="302"/>
        <v>34250000</v>
      </c>
      <c r="I724" s="14">
        <f t="shared" si="302"/>
        <v>1.7500000000000002E-2</v>
      </c>
      <c r="J724" s="13">
        <f t="shared" si="274"/>
        <v>1664.9305555555557</v>
      </c>
      <c r="K724" s="13">
        <f t="shared" si="275"/>
        <v>494936.94444444607</v>
      </c>
      <c r="M724" s="11" t="s">
        <v>7</v>
      </c>
      <c r="N724" s="12">
        <f t="shared" si="304"/>
        <v>12000000</v>
      </c>
      <c r="O724" s="97">
        <f t="shared" si="304"/>
        <v>2.1698630136986304E-2</v>
      </c>
      <c r="P724" s="112">
        <f t="shared" si="276"/>
        <v>723.28767123287685</v>
      </c>
      <c r="Q724" s="13">
        <f t="shared" si="277"/>
        <v>254597.26027397413</v>
      </c>
      <c r="R724" s="13">
        <f t="shared" si="278"/>
        <v>139.95433789954348</v>
      </c>
      <c r="T724" s="11" t="str">
        <f t="shared" si="303"/>
        <v>SG</v>
      </c>
      <c r="U724" s="12">
        <f t="shared" si="303"/>
        <v>6010956.1600000001</v>
      </c>
      <c r="V724" s="97">
        <f t="shared" si="303"/>
        <v>2.1205479452054792E-2</v>
      </c>
      <c r="W724" s="13">
        <f t="shared" si="279"/>
        <v>354.0700203835616</v>
      </c>
      <c r="X724" s="13">
        <f t="shared" si="299"/>
        <v>124625.54818367047</v>
      </c>
      <c r="Y724" s="13">
        <f t="shared" si="280"/>
        <v>61.870762605783796</v>
      </c>
      <c r="AA724" s="11" t="s">
        <v>189</v>
      </c>
      <c r="AB724" s="98"/>
      <c r="AC724" s="97"/>
      <c r="AD724" s="13"/>
      <c r="AE724" s="13">
        <f t="shared" si="282"/>
        <v>333120.83333333296</v>
      </c>
      <c r="AF724" s="13">
        <f t="shared" si="283"/>
        <v>0</v>
      </c>
      <c r="AH724" s="235">
        <f>'CT- € Ellipsis BNP'!X724</f>
        <v>0</v>
      </c>
      <c r="AI724" s="236">
        <f>'CT- € Ellipsis BNP'!AA724</f>
        <v>0</v>
      </c>
      <c r="AJ724" s="90">
        <f>'CT- € Ellipsis BNP'!W724</f>
        <v>0</v>
      </c>
      <c r="AK724" s="91">
        <f>'CT- € Ellipsis BNP'!AC724</f>
        <v>0</v>
      </c>
      <c r="AM724" s="235">
        <f>'codeis €'!Z724</f>
        <v>0</v>
      </c>
      <c r="AN724" s="236">
        <f>'codeis €'!AF724</f>
        <v>0</v>
      </c>
      <c r="AO724" s="90">
        <f>'codeis €'!AC724</f>
        <v>0</v>
      </c>
      <c r="AP724" s="91">
        <f>'codeis €'!AI724</f>
        <v>0</v>
      </c>
      <c r="AR724" s="12">
        <f t="shared" si="284"/>
        <v>52260956.159999996</v>
      </c>
      <c r="AS724" s="118">
        <f t="shared" si="285"/>
        <v>0.02</v>
      </c>
      <c r="AT724" s="118">
        <f t="shared" si="286"/>
        <v>1.8890273763064611E-2</v>
      </c>
      <c r="AU724" s="12">
        <f t="shared" si="287"/>
        <v>2742.2882471719945</v>
      </c>
      <c r="AV724" s="12">
        <f t="shared" si="288"/>
        <v>201.82510050532727</v>
      </c>
      <c r="AW724" s="19"/>
    </row>
    <row r="725" spans="2:49" x14ac:dyDescent="0.25">
      <c r="B725" s="9" t="str">
        <f t="shared" ref="B725:B737" si="305">CONCATENATE(MONTH(D725)," ",YEAR(D725))</f>
        <v>12 2026</v>
      </c>
      <c r="C725" s="88">
        <f t="shared" ref="C725:C737" si="306">D724</f>
        <v>46374</v>
      </c>
      <c r="D725" s="88">
        <f t="shared" si="300"/>
        <v>46375</v>
      </c>
      <c r="E725" s="89">
        <f t="shared" ref="E725:E737" si="307">D725-C725</f>
        <v>1</v>
      </c>
      <c r="G725" s="11" t="s">
        <v>7</v>
      </c>
      <c r="H725" s="12">
        <f t="shared" si="302"/>
        <v>34250000</v>
      </c>
      <c r="I725" s="14">
        <f t="shared" si="302"/>
        <v>1.7500000000000002E-2</v>
      </c>
      <c r="J725" s="13">
        <f t="shared" ref="J725:J737" si="308">+H725*I725*E725/360</f>
        <v>1664.9305555555557</v>
      </c>
      <c r="K725" s="13">
        <f t="shared" ref="K725:K737" si="309">K724+J725</f>
        <v>496601.87500000163</v>
      </c>
      <c r="M725" s="11" t="s">
        <v>7</v>
      </c>
      <c r="N725" s="12">
        <f t="shared" si="304"/>
        <v>12000000</v>
      </c>
      <c r="O725" s="97">
        <f t="shared" si="304"/>
        <v>2.1698630136986304E-2</v>
      </c>
      <c r="P725" s="112">
        <f t="shared" ref="P725:P737" si="310">+N725*O725*$E725/360</f>
        <v>723.28767123287685</v>
      </c>
      <c r="Q725" s="13">
        <f t="shared" ref="Q725:Q737" si="311">Q724+P725</f>
        <v>255320.54794520701</v>
      </c>
      <c r="R725" s="13">
        <f t="shared" ref="R725:R737" si="312">P725-(+N725*I725*$E725/360)</f>
        <v>139.95433789954348</v>
      </c>
      <c r="T725" s="11" t="str">
        <f t="shared" si="303"/>
        <v>SG</v>
      </c>
      <c r="U725" s="12">
        <f t="shared" si="303"/>
        <v>6010956.1600000001</v>
      </c>
      <c r="V725" s="97">
        <f t="shared" si="303"/>
        <v>2.1205479452054792E-2</v>
      </c>
      <c r="W725" s="13">
        <f t="shared" ref="W725:W737" si="313">V725*U725*E725/360</f>
        <v>354.0700203835616</v>
      </c>
      <c r="X725" s="13">
        <f t="shared" si="299"/>
        <v>124979.61820405403</v>
      </c>
      <c r="Y725" s="13">
        <f t="shared" ref="Y725:Y737" si="314">W725-(+U725*$I725*$E725/360)</f>
        <v>61.870762605783796</v>
      </c>
      <c r="AA725" s="11" t="s">
        <v>189</v>
      </c>
      <c r="AB725" s="98"/>
      <c r="AC725" s="97"/>
      <c r="AD725" s="13"/>
      <c r="AE725" s="13">
        <f t="shared" ref="AE725:AE737" si="315">AE724+AD725</f>
        <v>333120.83333333296</v>
      </c>
      <c r="AF725" s="13">
        <f t="shared" ref="AF725:AF737" si="316">AD725-((+AB725*$I725*$E725/360))</f>
        <v>0</v>
      </c>
      <c r="AH725" s="235">
        <f>'CT- € Ellipsis BNP'!X725</f>
        <v>0</v>
      </c>
      <c r="AI725" s="236">
        <f>'CT- € Ellipsis BNP'!AA725</f>
        <v>0</v>
      </c>
      <c r="AJ725" s="90">
        <f>'CT- € Ellipsis BNP'!W725</f>
        <v>0</v>
      </c>
      <c r="AK725" s="91">
        <f>'CT- € Ellipsis BNP'!AC725</f>
        <v>0</v>
      </c>
      <c r="AM725" s="235">
        <f>'codeis €'!Z725</f>
        <v>0</v>
      </c>
      <c r="AN725" s="236">
        <f>'codeis €'!AF725</f>
        <v>0</v>
      </c>
      <c r="AO725" s="90">
        <f>'codeis €'!AC725</f>
        <v>0</v>
      </c>
      <c r="AP725" s="91">
        <f>'codeis €'!AI725</f>
        <v>0</v>
      </c>
      <c r="AR725" s="12">
        <f t="shared" ref="AR725:AR737" si="317">+N725+H725++AH725+AM725+AB725+U725</f>
        <v>52260956.159999996</v>
      </c>
      <c r="AS725" s="118">
        <f t="shared" ref="AS725:AS737" si="318">AS724</f>
        <v>0.02</v>
      </c>
      <c r="AT725" s="118">
        <f t="shared" ref="AT725:AT737" si="319">SUM((I725*H725),(O725*N725),(U725*V725),(AB725*AC725),(AH725*AI725),(AM725*AN725))/AR725</f>
        <v>1.8890273763064611E-2</v>
      </c>
      <c r="AU725" s="12">
        <f t="shared" ref="AU725:AU737" si="320">+P725++J725+W725+AD725+AJ725+AO725</f>
        <v>2742.2882471719945</v>
      </c>
      <c r="AV725" s="12">
        <f t="shared" ref="AV725:AV737" si="321">+R725+Y725+AF725+AK725+AP725</f>
        <v>201.82510050532727</v>
      </c>
      <c r="AW725" s="19"/>
    </row>
    <row r="726" spans="2:49" x14ac:dyDescent="0.25">
      <c r="B726" s="9" t="str">
        <f t="shared" si="305"/>
        <v>12 2026</v>
      </c>
      <c r="C726" s="88">
        <f t="shared" si="306"/>
        <v>46375</v>
      </c>
      <c r="D726" s="88">
        <f t="shared" si="300"/>
        <v>46376</v>
      </c>
      <c r="E726" s="89">
        <f t="shared" si="307"/>
        <v>1</v>
      </c>
      <c r="G726" s="11" t="s">
        <v>7</v>
      </c>
      <c r="H726" s="12">
        <f t="shared" si="302"/>
        <v>34250000</v>
      </c>
      <c r="I726" s="14">
        <f t="shared" si="302"/>
        <v>1.7500000000000002E-2</v>
      </c>
      <c r="J726" s="13">
        <f t="shared" si="308"/>
        <v>1664.9305555555557</v>
      </c>
      <c r="K726" s="13">
        <f t="shared" si="309"/>
        <v>498266.80555555719</v>
      </c>
      <c r="M726" s="11" t="s">
        <v>7</v>
      </c>
      <c r="N726" s="12">
        <f t="shared" si="304"/>
        <v>12000000</v>
      </c>
      <c r="O726" s="97">
        <f t="shared" si="304"/>
        <v>2.1698630136986304E-2</v>
      </c>
      <c r="P726" s="112">
        <f t="shared" si="310"/>
        <v>723.28767123287685</v>
      </c>
      <c r="Q726" s="13">
        <f t="shared" si="311"/>
        <v>256043.8356164399</v>
      </c>
      <c r="R726" s="13">
        <f t="shared" si="312"/>
        <v>139.95433789954348</v>
      </c>
      <c r="T726" s="11" t="str">
        <f t="shared" si="303"/>
        <v>SG</v>
      </c>
      <c r="U726" s="12">
        <f t="shared" si="303"/>
        <v>6010956.1600000001</v>
      </c>
      <c r="V726" s="97">
        <f t="shared" si="303"/>
        <v>2.1205479452054792E-2</v>
      </c>
      <c r="W726" s="13">
        <f t="shared" si="313"/>
        <v>354.0700203835616</v>
      </c>
      <c r="X726" s="13">
        <f t="shared" si="299"/>
        <v>125333.68822443759</v>
      </c>
      <c r="Y726" s="13">
        <f t="shared" si="314"/>
        <v>61.870762605783796</v>
      </c>
      <c r="AA726" s="11" t="s">
        <v>189</v>
      </c>
      <c r="AB726" s="98"/>
      <c r="AC726" s="97"/>
      <c r="AD726" s="13"/>
      <c r="AE726" s="13">
        <f t="shared" si="315"/>
        <v>333120.83333333296</v>
      </c>
      <c r="AF726" s="13">
        <f t="shared" si="316"/>
        <v>0</v>
      </c>
      <c r="AH726" s="235">
        <f>'CT- € Ellipsis BNP'!X726</f>
        <v>0</v>
      </c>
      <c r="AI726" s="236">
        <f>'CT- € Ellipsis BNP'!AA726</f>
        <v>0</v>
      </c>
      <c r="AJ726" s="90">
        <f>'CT- € Ellipsis BNP'!W726</f>
        <v>0</v>
      </c>
      <c r="AK726" s="91">
        <f>'CT- € Ellipsis BNP'!AC726</f>
        <v>0</v>
      </c>
      <c r="AM726" s="235">
        <f>'codeis €'!Z726</f>
        <v>0</v>
      </c>
      <c r="AN726" s="236">
        <f>'codeis €'!AF726</f>
        <v>0</v>
      </c>
      <c r="AO726" s="90">
        <f>'codeis €'!AC726</f>
        <v>0</v>
      </c>
      <c r="AP726" s="91">
        <f>'codeis €'!AI726</f>
        <v>0</v>
      </c>
      <c r="AR726" s="12">
        <f t="shared" si="317"/>
        <v>52260956.159999996</v>
      </c>
      <c r="AS726" s="118">
        <f t="shared" si="318"/>
        <v>0.02</v>
      </c>
      <c r="AT726" s="118">
        <f t="shared" si="319"/>
        <v>1.8890273763064611E-2</v>
      </c>
      <c r="AU726" s="12">
        <f t="shared" si="320"/>
        <v>2742.2882471719945</v>
      </c>
      <c r="AV726" s="12">
        <f t="shared" si="321"/>
        <v>201.82510050532727</v>
      </c>
      <c r="AW726" s="19"/>
    </row>
    <row r="727" spans="2:49" x14ac:dyDescent="0.25">
      <c r="B727" s="9" t="str">
        <f t="shared" si="305"/>
        <v>12 2026</v>
      </c>
      <c r="C727" s="88">
        <f t="shared" si="306"/>
        <v>46376</v>
      </c>
      <c r="D727" s="88">
        <f t="shared" si="300"/>
        <v>46377</v>
      </c>
      <c r="E727" s="89">
        <f t="shared" si="307"/>
        <v>1</v>
      </c>
      <c r="G727" s="11" t="s">
        <v>7</v>
      </c>
      <c r="H727" s="12">
        <f t="shared" ref="H727:I737" si="322">H726</f>
        <v>34250000</v>
      </c>
      <c r="I727" s="14">
        <f t="shared" si="322"/>
        <v>1.7500000000000002E-2</v>
      </c>
      <c r="J727" s="13">
        <f t="shared" si="308"/>
        <v>1664.9305555555557</v>
      </c>
      <c r="K727" s="13">
        <f t="shared" si="309"/>
        <v>499931.73611111275</v>
      </c>
      <c r="M727" s="11" t="s">
        <v>7</v>
      </c>
      <c r="N727" s="12">
        <f t="shared" si="304"/>
        <v>12000000</v>
      </c>
      <c r="O727" s="97">
        <f t="shared" si="304"/>
        <v>2.1698630136986304E-2</v>
      </c>
      <c r="P727" s="112">
        <f t="shared" si="310"/>
        <v>723.28767123287685</v>
      </c>
      <c r="Q727" s="13">
        <f t="shared" si="311"/>
        <v>256767.12328767279</v>
      </c>
      <c r="R727" s="13">
        <f t="shared" si="312"/>
        <v>139.95433789954348</v>
      </c>
      <c r="T727" s="11" t="str">
        <f t="shared" ref="T727:V737" si="323">T726</f>
        <v>SG</v>
      </c>
      <c r="U727" s="12">
        <f t="shared" si="323"/>
        <v>6010956.1600000001</v>
      </c>
      <c r="V727" s="97">
        <f t="shared" si="323"/>
        <v>2.1205479452054792E-2</v>
      </c>
      <c r="W727" s="13">
        <f t="shared" si="313"/>
        <v>354.0700203835616</v>
      </c>
      <c r="X727" s="13">
        <f t="shared" si="299"/>
        <v>125687.75824482115</v>
      </c>
      <c r="Y727" s="13">
        <f t="shared" si="314"/>
        <v>61.870762605783796</v>
      </c>
      <c r="AA727" s="11" t="s">
        <v>189</v>
      </c>
      <c r="AB727" s="98"/>
      <c r="AC727" s="97"/>
      <c r="AD727" s="13"/>
      <c r="AE727" s="13">
        <f t="shared" si="315"/>
        <v>333120.83333333296</v>
      </c>
      <c r="AF727" s="13">
        <f t="shared" si="316"/>
        <v>0</v>
      </c>
      <c r="AH727" s="235">
        <f>'CT- € Ellipsis BNP'!X727</f>
        <v>0</v>
      </c>
      <c r="AI727" s="236">
        <f>'CT- € Ellipsis BNP'!AA727</f>
        <v>0</v>
      </c>
      <c r="AJ727" s="90">
        <f>'CT- € Ellipsis BNP'!W727</f>
        <v>0</v>
      </c>
      <c r="AK727" s="91">
        <f>'CT- € Ellipsis BNP'!AC727</f>
        <v>0</v>
      </c>
      <c r="AM727" s="235">
        <f>'codeis €'!Z727</f>
        <v>0</v>
      </c>
      <c r="AN727" s="236">
        <f>'codeis €'!AF727</f>
        <v>0</v>
      </c>
      <c r="AO727" s="90">
        <f>'codeis €'!AC727</f>
        <v>0</v>
      </c>
      <c r="AP727" s="91">
        <f>'codeis €'!AI727</f>
        <v>0</v>
      </c>
      <c r="AR727" s="12">
        <f t="shared" si="317"/>
        <v>52260956.159999996</v>
      </c>
      <c r="AS727" s="118">
        <f t="shared" si="318"/>
        <v>0.02</v>
      </c>
      <c r="AT727" s="118">
        <f t="shared" si="319"/>
        <v>1.8890273763064611E-2</v>
      </c>
      <c r="AU727" s="12">
        <f t="shared" si="320"/>
        <v>2742.2882471719945</v>
      </c>
      <c r="AV727" s="12">
        <f t="shared" si="321"/>
        <v>201.82510050532727</v>
      </c>
      <c r="AW727" s="19"/>
    </row>
    <row r="728" spans="2:49" x14ac:dyDescent="0.25">
      <c r="B728" s="9" t="str">
        <f t="shared" si="305"/>
        <v>12 2026</v>
      </c>
      <c r="C728" s="88">
        <f t="shared" si="306"/>
        <v>46377</v>
      </c>
      <c r="D728" s="88">
        <f t="shared" si="300"/>
        <v>46378</v>
      </c>
      <c r="E728" s="89">
        <f t="shared" si="307"/>
        <v>1</v>
      </c>
      <c r="G728" s="11" t="s">
        <v>7</v>
      </c>
      <c r="H728" s="12">
        <f t="shared" si="322"/>
        <v>34250000</v>
      </c>
      <c r="I728" s="14">
        <f t="shared" si="322"/>
        <v>1.7500000000000002E-2</v>
      </c>
      <c r="J728" s="13">
        <f t="shared" si="308"/>
        <v>1664.9305555555557</v>
      </c>
      <c r="K728" s="13">
        <f t="shared" si="309"/>
        <v>501596.66666666832</v>
      </c>
      <c r="M728" s="11" t="s">
        <v>7</v>
      </c>
      <c r="N728" s="12">
        <f t="shared" ref="N728:O737" si="324">N727</f>
        <v>12000000</v>
      </c>
      <c r="O728" s="97">
        <f t="shared" si="324"/>
        <v>2.1698630136986304E-2</v>
      </c>
      <c r="P728" s="112">
        <f t="shared" si="310"/>
        <v>723.28767123287685</v>
      </c>
      <c r="Q728" s="13">
        <f t="shared" si="311"/>
        <v>257490.41095890568</v>
      </c>
      <c r="R728" s="13">
        <f t="shared" si="312"/>
        <v>139.95433789954348</v>
      </c>
      <c r="T728" s="11" t="str">
        <f t="shared" si="323"/>
        <v>SG</v>
      </c>
      <c r="U728" s="12">
        <f t="shared" si="323"/>
        <v>6010956.1600000001</v>
      </c>
      <c r="V728" s="97">
        <f t="shared" si="323"/>
        <v>2.1205479452054792E-2</v>
      </c>
      <c r="W728" s="13">
        <f t="shared" si="313"/>
        <v>354.0700203835616</v>
      </c>
      <c r="X728" s="13">
        <f t="shared" si="299"/>
        <v>126041.82826520471</v>
      </c>
      <c r="Y728" s="13">
        <f t="shared" si="314"/>
        <v>61.870762605783796</v>
      </c>
      <c r="AA728" s="11" t="s">
        <v>189</v>
      </c>
      <c r="AB728" s="98"/>
      <c r="AC728" s="97"/>
      <c r="AD728" s="13"/>
      <c r="AE728" s="13">
        <f t="shared" si="315"/>
        <v>333120.83333333296</v>
      </c>
      <c r="AF728" s="13">
        <f t="shared" si="316"/>
        <v>0</v>
      </c>
      <c r="AH728" s="235">
        <f>'CT- € Ellipsis BNP'!X728</f>
        <v>0</v>
      </c>
      <c r="AI728" s="236">
        <f>'CT- € Ellipsis BNP'!AA728</f>
        <v>0</v>
      </c>
      <c r="AJ728" s="90">
        <f>'CT- € Ellipsis BNP'!W728</f>
        <v>0</v>
      </c>
      <c r="AK728" s="91">
        <f>'CT- € Ellipsis BNP'!AC728</f>
        <v>0</v>
      </c>
      <c r="AM728" s="235">
        <f>'codeis €'!Z728</f>
        <v>0</v>
      </c>
      <c r="AN728" s="236">
        <f>'codeis €'!AF728</f>
        <v>0</v>
      </c>
      <c r="AO728" s="90">
        <f>'codeis €'!AC728</f>
        <v>0</v>
      </c>
      <c r="AP728" s="91">
        <f>'codeis €'!AI728</f>
        <v>0</v>
      </c>
      <c r="AR728" s="12">
        <f t="shared" si="317"/>
        <v>52260956.159999996</v>
      </c>
      <c r="AS728" s="118">
        <f t="shared" si="318"/>
        <v>0.02</v>
      </c>
      <c r="AT728" s="118">
        <f t="shared" si="319"/>
        <v>1.8890273763064611E-2</v>
      </c>
      <c r="AU728" s="12">
        <f t="shared" si="320"/>
        <v>2742.2882471719945</v>
      </c>
      <c r="AV728" s="12">
        <f t="shared" si="321"/>
        <v>201.82510050532727</v>
      </c>
      <c r="AW728" s="19"/>
    </row>
    <row r="729" spans="2:49" x14ac:dyDescent="0.25">
      <c r="B729" s="9" t="str">
        <f t="shared" si="305"/>
        <v>12 2026</v>
      </c>
      <c r="C729" s="88">
        <f t="shared" si="306"/>
        <v>46378</v>
      </c>
      <c r="D729" s="88">
        <f t="shared" si="300"/>
        <v>46379</v>
      </c>
      <c r="E729" s="89">
        <f t="shared" si="307"/>
        <v>1</v>
      </c>
      <c r="G729" s="11" t="s">
        <v>7</v>
      </c>
      <c r="H729" s="12">
        <f t="shared" si="322"/>
        <v>34250000</v>
      </c>
      <c r="I729" s="14">
        <f t="shared" si="322"/>
        <v>1.7500000000000002E-2</v>
      </c>
      <c r="J729" s="13">
        <f t="shared" si="308"/>
        <v>1664.9305555555557</v>
      </c>
      <c r="K729" s="13">
        <f t="shared" si="309"/>
        <v>503261.59722222388</v>
      </c>
      <c r="M729" s="11" t="s">
        <v>7</v>
      </c>
      <c r="N729" s="12">
        <f t="shared" si="324"/>
        <v>12000000</v>
      </c>
      <c r="O729" s="97">
        <f t="shared" si="324"/>
        <v>2.1698630136986304E-2</v>
      </c>
      <c r="P729" s="112">
        <f t="shared" si="310"/>
        <v>723.28767123287685</v>
      </c>
      <c r="Q729" s="13">
        <f t="shared" si="311"/>
        <v>258213.69863013856</v>
      </c>
      <c r="R729" s="13">
        <f t="shared" si="312"/>
        <v>139.95433789954348</v>
      </c>
      <c r="T729" s="11" t="str">
        <f t="shared" si="323"/>
        <v>SG</v>
      </c>
      <c r="U729" s="12">
        <f t="shared" si="323"/>
        <v>6010956.1600000001</v>
      </c>
      <c r="V729" s="97">
        <f t="shared" si="323"/>
        <v>2.1205479452054792E-2</v>
      </c>
      <c r="W729" s="13">
        <f t="shared" si="313"/>
        <v>354.0700203835616</v>
      </c>
      <c r="X729" s="13">
        <f t="shared" si="299"/>
        <v>126395.89828558826</v>
      </c>
      <c r="Y729" s="13">
        <f t="shared" si="314"/>
        <v>61.870762605783796</v>
      </c>
      <c r="AA729" s="11" t="s">
        <v>189</v>
      </c>
      <c r="AB729" s="98"/>
      <c r="AC729" s="97"/>
      <c r="AD729" s="13"/>
      <c r="AE729" s="13">
        <f t="shared" si="315"/>
        <v>333120.83333333296</v>
      </c>
      <c r="AF729" s="13">
        <f t="shared" si="316"/>
        <v>0</v>
      </c>
      <c r="AH729" s="235">
        <f>'CT- € Ellipsis BNP'!X729</f>
        <v>0</v>
      </c>
      <c r="AI729" s="236">
        <f>'CT- € Ellipsis BNP'!AA729</f>
        <v>0</v>
      </c>
      <c r="AJ729" s="90">
        <f>'CT- € Ellipsis BNP'!W729</f>
        <v>0</v>
      </c>
      <c r="AK729" s="91">
        <f>'CT- € Ellipsis BNP'!AC729</f>
        <v>0</v>
      </c>
      <c r="AM729" s="235">
        <f>'codeis €'!Z729</f>
        <v>0</v>
      </c>
      <c r="AN729" s="236">
        <f>'codeis €'!AF729</f>
        <v>0</v>
      </c>
      <c r="AO729" s="90">
        <f>'codeis €'!AC729</f>
        <v>0</v>
      </c>
      <c r="AP729" s="91">
        <f>'codeis €'!AI729</f>
        <v>0</v>
      </c>
      <c r="AR729" s="12">
        <f t="shared" si="317"/>
        <v>52260956.159999996</v>
      </c>
      <c r="AS729" s="118">
        <f t="shared" si="318"/>
        <v>0.02</v>
      </c>
      <c r="AT729" s="118">
        <f t="shared" si="319"/>
        <v>1.8890273763064611E-2</v>
      </c>
      <c r="AU729" s="12">
        <f t="shared" si="320"/>
        <v>2742.2882471719945</v>
      </c>
      <c r="AV729" s="12">
        <f t="shared" si="321"/>
        <v>201.82510050532727</v>
      </c>
      <c r="AW729" s="19"/>
    </row>
    <row r="730" spans="2:49" x14ac:dyDescent="0.25">
      <c r="B730" s="9" t="str">
        <f t="shared" si="305"/>
        <v>12 2026</v>
      </c>
      <c r="C730" s="88">
        <f t="shared" si="306"/>
        <v>46379</v>
      </c>
      <c r="D730" s="88">
        <f t="shared" si="300"/>
        <v>46380</v>
      </c>
      <c r="E730" s="89">
        <f t="shared" si="307"/>
        <v>1</v>
      </c>
      <c r="G730" s="11" t="s">
        <v>7</v>
      </c>
      <c r="H730" s="12">
        <f t="shared" si="322"/>
        <v>34250000</v>
      </c>
      <c r="I730" s="14">
        <f t="shared" si="322"/>
        <v>1.7500000000000002E-2</v>
      </c>
      <c r="J730" s="13">
        <f t="shared" si="308"/>
        <v>1664.9305555555557</v>
      </c>
      <c r="K730" s="13">
        <f t="shared" si="309"/>
        <v>504926.52777777944</v>
      </c>
      <c r="M730" s="11" t="s">
        <v>7</v>
      </c>
      <c r="N730" s="12">
        <f t="shared" si="324"/>
        <v>12000000</v>
      </c>
      <c r="O730" s="97">
        <f t="shared" si="324"/>
        <v>2.1698630136986304E-2</v>
      </c>
      <c r="P730" s="112">
        <f t="shared" si="310"/>
        <v>723.28767123287685</v>
      </c>
      <c r="Q730" s="13">
        <f t="shared" si="311"/>
        <v>258936.98630137145</v>
      </c>
      <c r="R730" s="13">
        <f t="shared" si="312"/>
        <v>139.95433789954348</v>
      </c>
      <c r="T730" s="11" t="str">
        <f t="shared" si="323"/>
        <v>SG</v>
      </c>
      <c r="U730" s="12">
        <f t="shared" si="323"/>
        <v>6010956.1600000001</v>
      </c>
      <c r="V730" s="97">
        <f t="shared" si="323"/>
        <v>2.1205479452054792E-2</v>
      </c>
      <c r="W730" s="13">
        <f t="shared" si="313"/>
        <v>354.0700203835616</v>
      </c>
      <c r="X730" s="13">
        <f t="shared" si="299"/>
        <v>126749.96830597182</v>
      </c>
      <c r="Y730" s="13">
        <f t="shared" si="314"/>
        <v>61.870762605783796</v>
      </c>
      <c r="AA730" s="11" t="s">
        <v>189</v>
      </c>
      <c r="AB730" s="98"/>
      <c r="AC730" s="97"/>
      <c r="AD730" s="13"/>
      <c r="AE730" s="13">
        <f t="shared" si="315"/>
        <v>333120.83333333296</v>
      </c>
      <c r="AF730" s="13">
        <f t="shared" si="316"/>
        <v>0</v>
      </c>
      <c r="AH730" s="235">
        <f>'CT- € Ellipsis BNP'!X730</f>
        <v>0</v>
      </c>
      <c r="AI730" s="236">
        <f>'CT- € Ellipsis BNP'!AA730</f>
        <v>0</v>
      </c>
      <c r="AJ730" s="90">
        <f>'CT- € Ellipsis BNP'!W730</f>
        <v>0</v>
      </c>
      <c r="AK730" s="91">
        <f>'CT- € Ellipsis BNP'!AC730</f>
        <v>0</v>
      </c>
      <c r="AM730" s="235">
        <f>'codeis €'!Z730</f>
        <v>0</v>
      </c>
      <c r="AN730" s="236">
        <f>'codeis €'!AF730</f>
        <v>0</v>
      </c>
      <c r="AO730" s="90">
        <f>'codeis €'!AC730</f>
        <v>0</v>
      </c>
      <c r="AP730" s="91">
        <f>'codeis €'!AI730</f>
        <v>0</v>
      </c>
      <c r="AR730" s="12">
        <f t="shared" si="317"/>
        <v>52260956.159999996</v>
      </c>
      <c r="AS730" s="118">
        <f t="shared" si="318"/>
        <v>0.02</v>
      </c>
      <c r="AT730" s="118">
        <f t="shared" si="319"/>
        <v>1.8890273763064611E-2</v>
      </c>
      <c r="AU730" s="12">
        <f t="shared" si="320"/>
        <v>2742.2882471719945</v>
      </c>
      <c r="AV730" s="12">
        <f t="shared" si="321"/>
        <v>201.82510050532727</v>
      </c>
      <c r="AW730" s="19"/>
    </row>
    <row r="731" spans="2:49" x14ac:dyDescent="0.25">
      <c r="B731" s="9" t="str">
        <f t="shared" si="305"/>
        <v>12 2026</v>
      </c>
      <c r="C731" s="88">
        <f t="shared" si="306"/>
        <v>46380</v>
      </c>
      <c r="D731" s="88">
        <f t="shared" si="300"/>
        <v>46381</v>
      </c>
      <c r="E731" s="89">
        <f t="shared" si="307"/>
        <v>1</v>
      </c>
      <c r="G731" s="11" t="s">
        <v>7</v>
      </c>
      <c r="H731" s="12">
        <f t="shared" si="322"/>
        <v>34250000</v>
      </c>
      <c r="I731" s="14">
        <f t="shared" si="322"/>
        <v>1.7500000000000002E-2</v>
      </c>
      <c r="J731" s="13">
        <f t="shared" si="308"/>
        <v>1664.9305555555557</v>
      </c>
      <c r="K731" s="13">
        <f t="shared" si="309"/>
        <v>506591.458333335</v>
      </c>
      <c r="M731" s="11" t="s">
        <v>7</v>
      </c>
      <c r="N731" s="12">
        <f t="shared" si="324"/>
        <v>12000000</v>
      </c>
      <c r="O731" s="97">
        <f t="shared" si="324"/>
        <v>2.1698630136986304E-2</v>
      </c>
      <c r="P731" s="112">
        <f t="shared" si="310"/>
        <v>723.28767123287685</v>
      </c>
      <c r="Q731" s="13">
        <f t="shared" si="311"/>
        <v>259660.27397260434</v>
      </c>
      <c r="R731" s="13">
        <f t="shared" si="312"/>
        <v>139.95433789954348</v>
      </c>
      <c r="T731" s="11" t="str">
        <f t="shared" si="323"/>
        <v>SG</v>
      </c>
      <c r="U731" s="12">
        <f t="shared" si="323"/>
        <v>6010956.1600000001</v>
      </c>
      <c r="V731" s="97">
        <f t="shared" si="323"/>
        <v>2.1205479452054792E-2</v>
      </c>
      <c r="W731" s="13">
        <f t="shared" si="313"/>
        <v>354.0700203835616</v>
      </c>
      <c r="X731" s="13">
        <f t="shared" si="299"/>
        <v>127104.03832635538</v>
      </c>
      <c r="Y731" s="13">
        <f t="shared" si="314"/>
        <v>61.870762605783796</v>
      </c>
      <c r="AA731" s="11" t="s">
        <v>189</v>
      </c>
      <c r="AB731" s="98"/>
      <c r="AC731" s="97"/>
      <c r="AD731" s="13"/>
      <c r="AE731" s="13">
        <f t="shared" si="315"/>
        <v>333120.83333333296</v>
      </c>
      <c r="AF731" s="13">
        <f t="shared" si="316"/>
        <v>0</v>
      </c>
      <c r="AH731" s="235">
        <f>'CT- € Ellipsis BNP'!X731</f>
        <v>0</v>
      </c>
      <c r="AI731" s="236">
        <f>'CT- € Ellipsis BNP'!AA731</f>
        <v>0</v>
      </c>
      <c r="AJ731" s="90">
        <f>'CT- € Ellipsis BNP'!W731</f>
        <v>0</v>
      </c>
      <c r="AK731" s="91">
        <f>'CT- € Ellipsis BNP'!AC731</f>
        <v>0</v>
      </c>
      <c r="AM731" s="235">
        <f>'codeis €'!Z731</f>
        <v>0</v>
      </c>
      <c r="AN731" s="236">
        <f>'codeis €'!AF731</f>
        <v>0</v>
      </c>
      <c r="AO731" s="90">
        <f>'codeis €'!AC731</f>
        <v>0</v>
      </c>
      <c r="AP731" s="91">
        <f>'codeis €'!AI731</f>
        <v>0</v>
      </c>
      <c r="AR731" s="12">
        <f t="shared" si="317"/>
        <v>52260956.159999996</v>
      </c>
      <c r="AS731" s="118">
        <f t="shared" si="318"/>
        <v>0.02</v>
      </c>
      <c r="AT731" s="118">
        <f t="shared" si="319"/>
        <v>1.8890273763064611E-2</v>
      </c>
      <c r="AU731" s="12">
        <f t="shared" si="320"/>
        <v>2742.2882471719945</v>
      </c>
      <c r="AV731" s="12">
        <f t="shared" si="321"/>
        <v>201.82510050532727</v>
      </c>
      <c r="AW731" s="19"/>
    </row>
    <row r="732" spans="2:49" x14ac:dyDescent="0.25">
      <c r="B732" s="9" t="str">
        <f t="shared" si="305"/>
        <v>12 2026</v>
      </c>
      <c r="C732" s="88">
        <f t="shared" si="306"/>
        <v>46381</v>
      </c>
      <c r="D732" s="88">
        <f t="shared" si="300"/>
        <v>46382</v>
      </c>
      <c r="E732" s="89">
        <f t="shared" si="307"/>
        <v>1</v>
      </c>
      <c r="G732" s="11" t="s">
        <v>7</v>
      </c>
      <c r="H732" s="12">
        <f t="shared" si="322"/>
        <v>34250000</v>
      </c>
      <c r="I732" s="14">
        <f t="shared" si="322"/>
        <v>1.7500000000000002E-2</v>
      </c>
      <c r="J732" s="13">
        <f t="shared" si="308"/>
        <v>1664.9305555555557</v>
      </c>
      <c r="K732" s="13">
        <f t="shared" si="309"/>
        <v>508256.38888889056</v>
      </c>
      <c r="M732" s="11" t="s">
        <v>7</v>
      </c>
      <c r="N732" s="12">
        <f t="shared" si="324"/>
        <v>12000000</v>
      </c>
      <c r="O732" s="97">
        <f t="shared" si="324"/>
        <v>2.1698630136986304E-2</v>
      </c>
      <c r="P732" s="112">
        <f t="shared" si="310"/>
        <v>723.28767123287685</v>
      </c>
      <c r="Q732" s="13">
        <f t="shared" si="311"/>
        <v>260383.56164383722</v>
      </c>
      <c r="R732" s="13">
        <f t="shared" si="312"/>
        <v>139.95433789954348</v>
      </c>
      <c r="T732" s="11" t="str">
        <f t="shared" si="323"/>
        <v>SG</v>
      </c>
      <c r="U732" s="12">
        <f t="shared" si="323"/>
        <v>6010956.1600000001</v>
      </c>
      <c r="V732" s="97">
        <f t="shared" si="323"/>
        <v>2.1205479452054792E-2</v>
      </c>
      <c r="W732" s="13">
        <f t="shared" si="313"/>
        <v>354.0700203835616</v>
      </c>
      <c r="X732" s="13">
        <f t="shared" si="299"/>
        <v>127458.10834673894</v>
      </c>
      <c r="Y732" s="13">
        <f t="shared" si="314"/>
        <v>61.870762605783796</v>
      </c>
      <c r="AA732" s="11" t="s">
        <v>189</v>
      </c>
      <c r="AB732" s="98"/>
      <c r="AC732" s="97"/>
      <c r="AD732" s="13"/>
      <c r="AE732" s="13">
        <f t="shared" si="315"/>
        <v>333120.83333333296</v>
      </c>
      <c r="AF732" s="13">
        <f t="shared" si="316"/>
        <v>0</v>
      </c>
      <c r="AH732" s="235">
        <f>'CT- € Ellipsis BNP'!X732</f>
        <v>0</v>
      </c>
      <c r="AI732" s="236">
        <f>'CT- € Ellipsis BNP'!AA732</f>
        <v>0</v>
      </c>
      <c r="AJ732" s="90">
        <f>'CT- € Ellipsis BNP'!W732</f>
        <v>0</v>
      </c>
      <c r="AK732" s="91">
        <f>'CT- € Ellipsis BNP'!AC732</f>
        <v>0</v>
      </c>
      <c r="AM732" s="235">
        <f>'codeis €'!Z732</f>
        <v>0</v>
      </c>
      <c r="AN732" s="236">
        <f>'codeis €'!AF732</f>
        <v>0</v>
      </c>
      <c r="AO732" s="90">
        <f>'codeis €'!AC732</f>
        <v>0</v>
      </c>
      <c r="AP732" s="91">
        <f>'codeis €'!AI732</f>
        <v>0</v>
      </c>
      <c r="AR732" s="12">
        <f t="shared" si="317"/>
        <v>52260956.159999996</v>
      </c>
      <c r="AS732" s="118">
        <f t="shared" si="318"/>
        <v>0.02</v>
      </c>
      <c r="AT732" s="118">
        <f t="shared" si="319"/>
        <v>1.8890273763064611E-2</v>
      </c>
      <c r="AU732" s="12">
        <f t="shared" si="320"/>
        <v>2742.2882471719945</v>
      </c>
      <c r="AV732" s="12">
        <f t="shared" si="321"/>
        <v>201.82510050532727</v>
      </c>
      <c r="AW732" s="19"/>
    </row>
    <row r="733" spans="2:49" x14ac:dyDescent="0.25">
      <c r="B733" s="9" t="str">
        <f t="shared" si="305"/>
        <v>12 2026</v>
      </c>
      <c r="C733" s="88">
        <f t="shared" si="306"/>
        <v>46382</v>
      </c>
      <c r="D733" s="88">
        <f t="shared" si="300"/>
        <v>46383</v>
      </c>
      <c r="E733" s="89">
        <f t="shared" si="307"/>
        <v>1</v>
      </c>
      <c r="G733" s="11" t="s">
        <v>7</v>
      </c>
      <c r="H733" s="12">
        <f t="shared" si="322"/>
        <v>34250000</v>
      </c>
      <c r="I733" s="14">
        <f t="shared" si="322"/>
        <v>1.7500000000000002E-2</v>
      </c>
      <c r="J733" s="13">
        <f t="shared" si="308"/>
        <v>1664.9305555555557</v>
      </c>
      <c r="K733" s="13">
        <f t="shared" si="309"/>
        <v>509921.31944444613</v>
      </c>
      <c r="M733" s="11" t="s">
        <v>7</v>
      </c>
      <c r="N733" s="12">
        <f t="shared" si="324"/>
        <v>12000000</v>
      </c>
      <c r="O733" s="97">
        <f t="shared" si="324"/>
        <v>2.1698630136986304E-2</v>
      </c>
      <c r="P733" s="112">
        <f t="shared" si="310"/>
        <v>723.28767123287685</v>
      </c>
      <c r="Q733" s="13">
        <f t="shared" si="311"/>
        <v>261106.84931507011</v>
      </c>
      <c r="R733" s="13">
        <f t="shared" si="312"/>
        <v>139.95433789954348</v>
      </c>
      <c r="T733" s="11" t="str">
        <f t="shared" si="323"/>
        <v>SG</v>
      </c>
      <c r="U733" s="12">
        <f t="shared" si="323"/>
        <v>6010956.1600000001</v>
      </c>
      <c r="V733" s="97">
        <f t="shared" si="323"/>
        <v>2.1205479452054792E-2</v>
      </c>
      <c r="W733" s="13">
        <f t="shared" si="313"/>
        <v>354.0700203835616</v>
      </c>
      <c r="X733" s="13">
        <f t="shared" si="299"/>
        <v>127812.1783671225</v>
      </c>
      <c r="Y733" s="13">
        <f t="shared" si="314"/>
        <v>61.870762605783796</v>
      </c>
      <c r="AA733" s="11" t="s">
        <v>189</v>
      </c>
      <c r="AB733" s="98"/>
      <c r="AC733" s="97"/>
      <c r="AD733" s="13"/>
      <c r="AE733" s="13">
        <f t="shared" si="315"/>
        <v>333120.83333333296</v>
      </c>
      <c r="AF733" s="13">
        <f t="shared" si="316"/>
        <v>0</v>
      </c>
      <c r="AH733" s="235">
        <f>'CT- € Ellipsis BNP'!X733</f>
        <v>0</v>
      </c>
      <c r="AI733" s="236">
        <f>'CT- € Ellipsis BNP'!AA733</f>
        <v>0</v>
      </c>
      <c r="AJ733" s="90">
        <f>'CT- € Ellipsis BNP'!W733</f>
        <v>0</v>
      </c>
      <c r="AK733" s="91">
        <f>'CT- € Ellipsis BNP'!AC733</f>
        <v>0</v>
      </c>
      <c r="AM733" s="235">
        <f>'codeis €'!Z733</f>
        <v>0</v>
      </c>
      <c r="AN733" s="236">
        <f>'codeis €'!AF733</f>
        <v>0</v>
      </c>
      <c r="AO733" s="90">
        <f>'codeis €'!AC733</f>
        <v>0</v>
      </c>
      <c r="AP733" s="91">
        <f>'codeis €'!AI733</f>
        <v>0</v>
      </c>
      <c r="AR733" s="12">
        <f t="shared" si="317"/>
        <v>52260956.159999996</v>
      </c>
      <c r="AS733" s="118">
        <f t="shared" si="318"/>
        <v>0.02</v>
      </c>
      <c r="AT733" s="118">
        <f t="shared" si="319"/>
        <v>1.8890273763064611E-2</v>
      </c>
      <c r="AU733" s="12">
        <f t="shared" si="320"/>
        <v>2742.2882471719945</v>
      </c>
      <c r="AV733" s="12">
        <f t="shared" si="321"/>
        <v>201.82510050532727</v>
      </c>
      <c r="AW733" s="19"/>
    </row>
    <row r="734" spans="2:49" x14ac:dyDescent="0.25">
      <c r="B734" s="9" t="str">
        <f t="shared" si="305"/>
        <v>12 2026</v>
      </c>
      <c r="C734" s="88">
        <f t="shared" si="306"/>
        <v>46383</v>
      </c>
      <c r="D734" s="88">
        <f t="shared" si="300"/>
        <v>46384</v>
      </c>
      <c r="E734" s="89">
        <f t="shared" si="307"/>
        <v>1</v>
      </c>
      <c r="G734" s="11" t="s">
        <v>7</v>
      </c>
      <c r="H734" s="12">
        <f t="shared" si="322"/>
        <v>34250000</v>
      </c>
      <c r="I734" s="14">
        <f t="shared" si="322"/>
        <v>1.7500000000000002E-2</v>
      </c>
      <c r="J734" s="13">
        <f t="shared" si="308"/>
        <v>1664.9305555555557</v>
      </c>
      <c r="K734" s="13">
        <f t="shared" si="309"/>
        <v>511586.25000000169</v>
      </c>
      <c r="M734" s="11" t="s">
        <v>7</v>
      </c>
      <c r="N734" s="12">
        <f t="shared" si="324"/>
        <v>12000000</v>
      </c>
      <c r="O734" s="97">
        <f t="shared" si="324"/>
        <v>2.1698630136986304E-2</v>
      </c>
      <c r="P734" s="112">
        <f t="shared" si="310"/>
        <v>723.28767123287685</v>
      </c>
      <c r="Q734" s="13">
        <f t="shared" si="311"/>
        <v>261830.136986303</v>
      </c>
      <c r="R734" s="13">
        <f t="shared" si="312"/>
        <v>139.95433789954348</v>
      </c>
      <c r="T734" s="11" t="str">
        <f t="shared" si="323"/>
        <v>SG</v>
      </c>
      <c r="U734" s="12">
        <f t="shared" si="323"/>
        <v>6010956.1600000001</v>
      </c>
      <c r="V734" s="97">
        <f t="shared" si="323"/>
        <v>2.1205479452054792E-2</v>
      </c>
      <c r="W734" s="13">
        <f t="shared" si="313"/>
        <v>354.0700203835616</v>
      </c>
      <c r="X734" s="13">
        <f t="shared" si="299"/>
        <v>128166.24838750606</v>
      </c>
      <c r="Y734" s="13">
        <f t="shared" si="314"/>
        <v>61.870762605783796</v>
      </c>
      <c r="AA734" s="11" t="s">
        <v>189</v>
      </c>
      <c r="AB734" s="98"/>
      <c r="AC734" s="97"/>
      <c r="AD734" s="13"/>
      <c r="AE734" s="13">
        <f t="shared" si="315"/>
        <v>333120.83333333296</v>
      </c>
      <c r="AF734" s="13">
        <f t="shared" si="316"/>
        <v>0</v>
      </c>
      <c r="AH734" s="235">
        <f>'CT- € Ellipsis BNP'!X734</f>
        <v>0</v>
      </c>
      <c r="AI734" s="236">
        <f>'CT- € Ellipsis BNP'!AA734</f>
        <v>0</v>
      </c>
      <c r="AJ734" s="90">
        <f>'CT- € Ellipsis BNP'!W734</f>
        <v>0</v>
      </c>
      <c r="AK734" s="91">
        <f>'CT- € Ellipsis BNP'!AC734</f>
        <v>0</v>
      </c>
      <c r="AM734" s="235">
        <f>'codeis €'!Z734</f>
        <v>0</v>
      </c>
      <c r="AN734" s="236">
        <f>'codeis €'!AF734</f>
        <v>0</v>
      </c>
      <c r="AO734" s="90">
        <f>'codeis €'!AC734</f>
        <v>0</v>
      </c>
      <c r="AP734" s="91">
        <f>'codeis €'!AI734</f>
        <v>0</v>
      </c>
      <c r="AR734" s="12">
        <f t="shared" si="317"/>
        <v>52260956.159999996</v>
      </c>
      <c r="AS734" s="118">
        <f t="shared" si="318"/>
        <v>0.02</v>
      </c>
      <c r="AT734" s="118">
        <f t="shared" si="319"/>
        <v>1.8890273763064611E-2</v>
      </c>
      <c r="AU734" s="12">
        <f t="shared" si="320"/>
        <v>2742.2882471719945</v>
      </c>
      <c r="AV734" s="12">
        <f t="shared" si="321"/>
        <v>201.82510050532727</v>
      </c>
      <c r="AW734" s="19"/>
    </row>
    <row r="735" spans="2:49" x14ac:dyDescent="0.25">
      <c r="B735" s="9" t="str">
        <f t="shared" si="305"/>
        <v>12 2026</v>
      </c>
      <c r="C735" s="88">
        <f t="shared" si="306"/>
        <v>46384</v>
      </c>
      <c r="D735" s="88">
        <f t="shared" si="300"/>
        <v>46385</v>
      </c>
      <c r="E735" s="89">
        <f t="shared" si="307"/>
        <v>1</v>
      </c>
      <c r="G735" s="11" t="s">
        <v>7</v>
      </c>
      <c r="H735" s="12">
        <f t="shared" si="322"/>
        <v>34250000</v>
      </c>
      <c r="I735" s="14">
        <f t="shared" si="322"/>
        <v>1.7500000000000002E-2</v>
      </c>
      <c r="J735" s="13">
        <f t="shared" si="308"/>
        <v>1664.9305555555557</v>
      </c>
      <c r="K735" s="13">
        <f t="shared" si="309"/>
        <v>513251.18055555725</v>
      </c>
      <c r="M735" s="11" t="s">
        <v>7</v>
      </c>
      <c r="N735" s="12">
        <f t="shared" si="324"/>
        <v>12000000</v>
      </c>
      <c r="O735" s="97">
        <f t="shared" si="324"/>
        <v>2.1698630136986304E-2</v>
      </c>
      <c r="P735" s="112">
        <f t="shared" si="310"/>
        <v>723.28767123287685</v>
      </c>
      <c r="Q735" s="13">
        <f t="shared" si="311"/>
        <v>262553.42465753586</v>
      </c>
      <c r="R735" s="13">
        <f t="shared" si="312"/>
        <v>139.95433789954348</v>
      </c>
      <c r="T735" s="11" t="str">
        <f t="shared" si="323"/>
        <v>SG</v>
      </c>
      <c r="U735" s="12">
        <f t="shared" si="323"/>
        <v>6010956.1600000001</v>
      </c>
      <c r="V735" s="97">
        <f t="shared" si="323"/>
        <v>2.1205479452054792E-2</v>
      </c>
      <c r="W735" s="13">
        <f t="shared" si="313"/>
        <v>354.0700203835616</v>
      </c>
      <c r="X735" s="13">
        <f t="shared" si="299"/>
        <v>128520.31840788962</v>
      </c>
      <c r="Y735" s="13">
        <f t="shared" si="314"/>
        <v>61.870762605783796</v>
      </c>
      <c r="AA735" s="11" t="s">
        <v>189</v>
      </c>
      <c r="AB735" s="98"/>
      <c r="AC735" s="97"/>
      <c r="AD735" s="13"/>
      <c r="AE735" s="13">
        <f t="shared" si="315"/>
        <v>333120.83333333296</v>
      </c>
      <c r="AF735" s="13">
        <f t="shared" si="316"/>
        <v>0</v>
      </c>
      <c r="AH735" s="235">
        <f>'CT- € Ellipsis BNP'!X735</f>
        <v>0</v>
      </c>
      <c r="AI735" s="236">
        <f>'CT- € Ellipsis BNP'!AA735</f>
        <v>0</v>
      </c>
      <c r="AJ735" s="90">
        <f>'CT- € Ellipsis BNP'!W735</f>
        <v>0</v>
      </c>
      <c r="AK735" s="91">
        <f>'CT- € Ellipsis BNP'!AC735</f>
        <v>0</v>
      </c>
      <c r="AM735" s="235">
        <f>'codeis €'!Z735</f>
        <v>0</v>
      </c>
      <c r="AN735" s="236">
        <f>'codeis €'!AF735</f>
        <v>0</v>
      </c>
      <c r="AO735" s="90">
        <f>'codeis €'!AC735</f>
        <v>0</v>
      </c>
      <c r="AP735" s="91">
        <f>'codeis €'!AI735</f>
        <v>0</v>
      </c>
      <c r="AR735" s="12">
        <f t="shared" si="317"/>
        <v>52260956.159999996</v>
      </c>
      <c r="AS735" s="118">
        <f t="shared" si="318"/>
        <v>0.02</v>
      </c>
      <c r="AT735" s="118">
        <f t="shared" si="319"/>
        <v>1.8890273763064611E-2</v>
      </c>
      <c r="AU735" s="12">
        <f t="shared" si="320"/>
        <v>2742.2882471719945</v>
      </c>
      <c r="AV735" s="12">
        <f t="shared" si="321"/>
        <v>201.82510050532727</v>
      </c>
      <c r="AW735" s="19"/>
    </row>
    <row r="736" spans="2:49" x14ac:dyDescent="0.25">
      <c r="B736" s="9" t="str">
        <f t="shared" si="305"/>
        <v>12 2026</v>
      </c>
      <c r="C736" s="88">
        <f t="shared" si="306"/>
        <v>46385</v>
      </c>
      <c r="D736" s="88">
        <f t="shared" si="300"/>
        <v>46386</v>
      </c>
      <c r="E736" s="89">
        <f t="shared" si="307"/>
        <v>1</v>
      </c>
      <c r="G736" s="11" t="s">
        <v>7</v>
      </c>
      <c r="H736" s="12">
        <f t="shared" si="322"/>
        <v>34250000</v>
      </c>
      <c r="I736" s="14">
        <f t="shared" si="322"/>
        <v>1.7500000000000002E-2</v>
      </c>
      <c r="J736" s="13">
        <f t="shared" si="308"/>
        <v>1664.9305555555557</v>
      </c>
      <c r="K736" s="13">
        <f t="shared" si="309"/>
        <v>514916.11111111281</v>
      </c>
      <c r="M736" s="11" t="s">
        <v>7</v>
      </c>
      <c r="N736" s="12">
        <f t="shared" si="324"/>
        <v>12000000</v>
      </c>
      <c r="O736" s="97">
        <f t="shared" si="324"/>
        <v>2.1698630136986304E-2</v>
      </c>
      <c r="P736" s="112">
        <f t="shared" si="310"/>
        <v>723.28767123287685</v>
      </c>
      <c r="Q736" s="13">
        <f t="shared" si="311"/>
        <v>263276.71232876874</v>
      </c>
      <c r="R736" s="13">
        <f t="shared" si="312"/>
        <v>139.95433789954348</v>
      </c>
      <c r="T736" s="11" t="str">
        <f t="shared" si="323"/>
        <v>SG</v>
      </c>
      <c r="U736" s="12">
        <f t="shared" si="323"/>
        <v>6010956.1600000001</v>
      </c>
      <c r="V736" s="97">
        <f t="shared" si="323"/>
        <v>2.1205479452054792E-2</v>
      </c>
      <c r="W736" s="13">
        <f t="shared" si="313"/>
        <v>354.0700203835616</v>
      </c>
      <c r="X736" s="13">
        <f t="shared" si="299"/>
        <v>128874.38842827317</v>
      </c>
      <c r="Y736" s="13">
        <f t="shared" si="314"/>
        <v>61.870762605783796</v>
      </c>
      <c r="AA736" s="11" t="s">
        <v>189</v>
      </c>
      <c r="AB736" s="98"/>
      <c r="AC736" s="97"/>
      <c r="AD736" s="13"/>
      <c r="AE736" s="13">
        <f t="shared" si="315"/>
        <v>333120.83333333296</v>
      </c>
      <c r="AF736" s="13">
        <f t="shared" si="316"/>
        <v>0</v>
      </c>
      <c r="AH736" s="235">
        <f>'CT- € Ellipsis BNP'!X736</f>
        <v>0</v>
      </c>
      <c r="AI736" s="236">
        <f>'CT- € Ellipsis BNP'!AA736</f>
        <v>0</v>
      </c>
      <c r="AJ736" s="90">
        <f>'CT- € Ellipsis BNP'!W736</f>
        <v>0</v>
      </c>
      <c r="AK736" s="91">
        <f>'CT- € Ellipsis BNP'!AC736</f>
        <v>0</v>
      </c>
      <c r="AM736" s="235">
        <f>'codeis €'!Z736</f>
        <v>0</v>
      </c>
      <c r="AN736" s="236">
        <f>'codeis €'!AF736</f>
        <v>0</v>
      </c>
      <c r="AO736" s="90">
        <f>'codeis €'!AC736</f>
        <v>0</v>
      </c>
      <c r="AP736" s="91">
        <f>'codeis €'!AI736</f>
        <v>0</v>
      </c>
      <c r="AR736" s="12">
        <f t="shared" si="317"/>
        <v>52260956.159999996</v>
      </c>
      <c r="AS736" s="118">
        <f t="shared" si="318"/>
        <v>0.02</v>
      </c>
      <c r="AT736" s="118">
        <f t="shared" si="319"/>
        <v>1.8890273763064611E-2</v>
      </c>
      <c r="AU736" s="12">
        <f t="shared" si="320"/>
        <v>2742.2882471719945</v>
      </c>
      <c r="AV736" s="12">
        <f t="shared" si="321"/>
        <v>201.82510050532727</v>
      </c>
      <c r="AW736" s="19"/>
    </row>
    <row r="737" spans="2:49" x14ac:dyDescent="0.25">
      <c r="B737" s="9" t="str">
        <f t="shared" si="305"/>
        <v>12 2026</v>
      </c>
      <c r="C737" s="88">
        <f t="shared" si="306"/>
        <v>46386</v>
      </c>
      <c r="D737" s="88">
        <f t="shared" si="300"/>
        <v>46387</v>
      </c>
      <c r="E737" s="89">
        <f t="shared" si="307"/>
        <v>1</v>
      </c>
      <c r="G737" s="11" t="s">
        <v>7</v>
      </c>
      <c r="H737" s="12">
        <f t="shared" si="322"/>
        <v>34250000</v>
      </c>
      <c r="I737" s="14">
        <f t="shared" si="322"/>
        <v>1.7500000000000002E-2</v>
      </c>
      <c r="J737" s="13">
        <f t="shared" si="308"/>
        <v>1664.9305555555557</v>
      </c>
      <c r="K737" s="13">
        <f t="shared" si="309"/>
        <v>516581.04166666837</v>
      </c>
      <c r="M737" s="11" t="s">
        <v>7</v>
      </c>
      <c r="N737" s="12">
        <f t="shared" si="324"/>
        <v>12000000</v>
      </c>
      <c r="O737" s="97">
        <f t="shared" si="324"/>
        <v>2.1698630136986304E-2</v>
      </c>
      <c r="P737" s="112">
        <f t="shared" si="310"/>
        <v>723.28767123287685</v>
      </c>
      <c r="Q737" s="13">
        <f t="shared" si="311"/>
        <v>264000.00000000163</v>
      </c>
      <c r="R737" s="13">
        <f t="shared" si="312"/>
        <v>139.95433789954348</v>
      </c>
      <c r="T737" s="11" t="str">
        <f t="shared" si="323"/>
        <v>SG</v>
      </c>
      <c r="U737" s="12">
        <f t="shared" si="323"/>
        <v>6010956.1600000001</v>
      </c>
      <c r="V737" s="97">
        <f t="shared" si="323"/>
        <v>2.1205479452054792E-2</v>
      </c>
      <c r="W737" s="13">
        <f t="shared" si="313"/>
        <v>354.0700203835616</v>
      </c>
      <c r="X737" s="13">
        <f t="shared" si="299"/>
        <v>129228.45844865673</v>
      </c>
      <c r="Y737" s="13">
        <f t="shared" si="314"/>
        <v>61.870762605783796</v>
      </c>
      <c r="AA737" s="11" t="s">
        <v>189</v>
      </c>
      <c r="AB737" s="98"/>
      <c r="AC737" s="97"/>
      <c r="AD737" s="13"/>
      <c r="AE737" s="13">
        <f t="shared" si="315"/>
        <v>333120.83333333296</v>
      </c>
      <c r="AF737" s="13">
        <f t="shared" si="316"/>
        <v>0</v>
      </c>
      <c r="AH737" s="235">
        <f>'CT- € Ellipsis BNP'!X737</f>
        <v>0</v>
      </c>
      <c r="AI737" s="236">
        <f>'CT- € Ellipsis BNP'!AA737</f>
        <v>0</v>
      </c>
      <c r="AJ737" s="90">
        <f>'CT- € Ellipsis BNP'!W737</f>
        <v>0</v>
      </c>
      <c r="AK737" s="91">
        <f>'CT- € Ellipsis BNP'!AC737</f>
        <v>0</v>
      </c>
      <c r="AM737" s="235">
        <f>'codeis €'!Z737</f>
        <v>0</v>
      </c>
      <c r="AN737" s="236">
        <f>'codeis €'!AF737</f>
        <v>0</v>
      </c>
      <c r="AO737" s="90">
        <f>'codeis €'!AC737</f>
        <v>0</v>
      </c>
      <c r="AP737" s="91">
        <f>'codeis €'!AI737</f>
        <v>0</v>
      </c>
      <c r="AR737" s="12">
        <f t="shared" si="317"/>
        <v>52260956.159999996</v>
      </c>
      <c r="AS737" s="118">
        <f t="shared" si="318"/>
        <v>0.02</v>
      </c>
      <c r="AT737" s="118">
        <f t="shared" si="319"/>
        <v>1.8890273763064611E-2</v>
      </c>
      <c r="AU737" s="12">
        <f t="shared" si="320"/>
        <v>2742.2882471719945</v>
      </c>
      <c r="AV737" s="12">
        <f t="shared" si="321"/>
        <v>201.82510050532727</v>
      </c>
      <c r="AW737" s="19"/>
    </row>
    <row r="738" spans="2:49" x14ac:dyDescent="0.25">
      <c r="C738" s="18" t="s">
        <v>281</v>
      </c>
      <c r="I738" s="33">
        <f>AVERAGE(I373:I737)</f>
        <v>1.7500000000000057E-2</v>
      </c>
      <c r="K738" s="15">
        <f>K737</f>
        <v>516581.04166666837</v>
      </c>
      <c r="O738" s="33">
        <f>AVERAGE(O373:O737)</f>
        <v>2.1698630136986134E-2</v>
      </c>
      <c r="Q738" s="15">
        <f>Q405</f>
        <v>23868.493150684924</v>
      </c>
      <c r="R738" s="15">
        <f>SUM(R373:R737)</f>
        <v>51083.333333333532</v>
      </c>
      <c r="V738" s="33">
        <f>AVERAGE(V373:V737)</f>
        <v>2.1205479452054903E-2</v>
      </c>
      <c r="X738" s="15">
        <f>X405</f>
        <v>11677.21168131507</v>
      </c>
      <c r="Y738" s="15">
        <f>SUM(Y373:Y737)</f>
        <v>22581.587861990894</v>
      </c>
      <c r="AC738" s="33">
        <f>AVERAGE(AC373:AC737)</f>
        <v>2.5789999999999928E-2</v>
      </c>
      <c r="AE738" s="15">
        <f>AE737</f>
        <v>333120.83333333296</v>
      </c>
      <c r="AF738" s="15">
        <f>SUM(AF373:AF737)</f>
        <v>107079.16666666706</v>
      </c>
      <c r="AK738" s="15">
        <f>SUM(AK373:AK737)</f>
        <v>59924.629100544626</v>
      </c>
      <c r="AP738" s="15"/>
      <c r="AS738" s="33">
        <v>2.2599999999999999E-2</v>
      </c>
      <c r="AT738" s="33">
        <v>2.3699999999999999E-2</v>
      </c>
      <c r="AU738" s="15">
        <v>3081422.4</v>
      </c>
      <c r="AV738" s="15">
        <v>473513.36</v>
      </c>
      <c r="AW738" s="99"/>
    </row>
    <row r="741" spans="2:49" x14ac:dyDescent="0.25">
      <c r="B741" s="9" t="str">
        <f t="shared" ref="B741" si="325">CONCATENATE(MONTH(D741)," ",YEAR(D741))</f>
        <v>1 2027</v>
      </c>
      <c r="C741" s="88">
        <f>D737</f>
        <v>46387</v>
      </c>
      <c r="D741" s="88">
        <f>D737+1</f>
        <v>46388</v>
      </c>
      <c r="E741" s="89">
        <f t="shared" ref="E741" si="326">D741-C741</f>
        <v>1</v>
      </c>
      <c r="G741" s="11" t="s">
        <v>7</v>
      </c>
      <c r="H741" s="12">
        <f>H737</f>
        <v>34250000</v>
      </c>
      <c r="I741" s="14">
        <f>I737</f>
        <v>1.7500000000000002E-2</v>
      </c>
      <c r="J741" s="13">
        <f t="shared" ref="J741" si="327">+H741*I741*E741/360</f>
        <v>1664.9305555555557</v>
      </c>
      <c r="K741" s="13">
        <f>+J741</f>
        <v>1664.9305555555557</v>
      </c>
      <c r="M741" s="11" t="s">
        <v>7</v>
      </c>
      <c r="N741" s="12">
        <f>N737</f>
        <v>12000000</v>
      </c>
      <c r="O741" s="97">
        <f>O737</f>
        <v>2.1698630136986304E-2</v>
      </c>
      <c r="P741" s="112">
        <f t="shared" ref="P741" si="328">+N741*O741*$E741/360</f>
        <v>723.28767123287685</v>
      </c>
      <c r="Q741" s="13">
        <f>Q737+P741</f>
        <v>264723.28767123452</v>
      </c>
      <c r="R741" s="13">
        <f>P741-(+N741*I741*$E741/360)</f>
        <v>139.95433789954348</v>
      </c>
      <c r="T741" s="11" t="s">
        <v>7</v>
      </c>
      <c r="U741" s="12">
        <f>U737</f>
        <v>6010956.1600000001</v>
      </c>
      <c r="V741" s="97">
        <f>V737</f>
        <v>2.1205479452054792E-2</v>
      </c>
      <c r="W741" s="13">
        <f>V741*U741*E741/360</f>
        <v>354.0700203835616</v>
      </c>
      <c r="X741" s="13">
        <f>X737+W741</f>
        <v>129582.52846904029</v>
      </c>
      <c r="Y741" s="13">
        <f>W741-(+U741*$I741*$E741/360)</f>
        <v>61.870762605783796</v>
      </c>
      <c r="AA741" s="11" t="s">
        <v>189</v>
      </c>
      <c r="AB741" s="98"/>
      <c r="AC741" s="97"/>
      <c r="AD741" s="13"/>
      <c r="AE741" s="13"/>
      <c r="AF741" s="13"/>
      <c r="AH741" s="235"/>
      <c r="AI741" s="236"/>
      <c r="AJ741" s="90"/>
      <c r="AK741" s="91"/>
      <c r="AM741" s="235"/>
      <c r="AN741" s="236"/>
      <c r="AO741" s="90"/>
      <c r="AP741" s="91"/>
      <c r="AR741" s="12">
        <f>+N741+H741++AH741+AM741+AB741+U41</f>
        <v>46250000</v>
      </c>
      <c r="AS741" s="118">
        <f>AS737</f>
        <v>0.02</v>
      </c>
      <c r="AT741" s="118">
        <f>SUM((I741*H741),(O741*N741),(U741*V741),(AB741*AC741),(AH741*AI741),(AM741*AN741))/AR741</f>
        <v>2.1345378788798223E-2</v>
      </c>
      <c r="AU741" s="12">
        <f t="shared" ref="AU741" si="329">+P741++J741+W741+AD741+AJ741+AO741</f>
        <v>2742.2882471719945</v>
      </c>
      <c r="AV741" s="12">
        <f t="shared" ref="AV741" si="330">+R741+Y741+AF741+AK741+AP741</f>
        <v>201.82510050532727</v>
      </c>
      <c r="AW741" s="19">
        <f t="shared" ref="AW741" si="331">AT741*AR741</f>
        <v>987223.76898191776</v>
      </c>
    </row>
  </sheetData>
  <dataConsolidate/>
  <mergeCells count="4">
    <mergeCell ref="G2:K2"/>
    <mergeCell ref="M2:R2"/>
    <mergeCell ref="T2:Y2"/>
    <mergeCell ref="AA2:AF2"/>
  </mergeCells>
  <phoneticPr fontId="3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70F2-74DF-47FF-BB7C-F635AD7E62F0}">
  <sheetPr>
    <tabColor theme="9" tint="0.39997558519241921"/>
  </sheetPr>
  <dimension ref="A1:AI737"/>
  <sheetViews>
    <sheetView showGridLines="0" zoomScale="90" zoomScaleNormal="90" workbookViewId="0">
      <pane xSplit="2" ySplit="3" topLeftCell="N382" activePane="bottomRight" state="frozen"/>
      <selection activeCell="BN423" sqref="BN423"/>
      <selection pane="topRight" activeCell="BN423" sqref="BN423"/>
      <selection pane="bottomLeft" activeCell="BN423" sqref="BN423"/>
      <selection pane="bottomRight" activeCell="Q396" sqref="Q396"/>
    </sheetView>
  </sheetViews>
  <sheetFormatPr baseColWidth="10" defaultColWidth="10.85546875" defaultRowHeight="15" x14ac:dyDescent="0.25"/>
  <cols>
    <col min="1" max="1" width="11" style="24" bestFit="1" customWidth="1"/>
    <col min="2" max="2" width="11" style="24" customWidth="1"/>
    <col min="3" max="3" width="35" style="25" bestFit="1" customWidth="1"/>
    <col min="4" max="4" width="36" style="25" bestFit="1" customWidth="1"/>
    <col min="5" max="5" width="4" style="24" customWidth="1"/>
    <col min="6" max="6" width="9.5703125" style="24" bestFit="1" customWidth="1"/>
    <col min="7" max="7" width="8.140625" customWidth="1"/>
    <col min="8" max="8" width="15.42578125" bestFit="1" customWidth="1"/>
    <col min="9" max="9" width="19.140625" bestFit="1" customWidth="1"/>
    <col min="10" max="10" width="8.5703125" bestFit="1" customWidth="1"/>
    <col min="12" max="12" width="7.42578125" bestFit="1" customWidth="1"/>
    <col min="13" max="13" width="15.5703125" customWidth="1"/>
    <col min="14" max="14" width="13.5703125" bestFit="1" customWidth="1"/>
    <col min="15" max="19" width="13.5703125" customWidth="1"/>
    <col min="20" max="20" width="14" bestFit="1" customWidth="1"/>
    <col min="21" max="22" width="13.7109375" bestFit="1" customWidth="1"/>
    <col min="23" max="23" width="10.5703125" customWidth="1"/>
    <col min="24" max="24" width="10.5703125" bestFit="1" customWidth="1"/>
    <col min="25" max="25" width="13.7109375" bestFit="1" customWidth="1"/>
    <col min="26" max="26" width="14.85546875" customWidth="1"/>
    <col min="27" max="27" width="15.85546875" customWidth="1"/>
    <col min="29" max="30" width="13.42578125" customWidth="1"/>
    <col min="31" max="31" width="7.5703125" customWidth="1"/>
    <col min="32" max="33" width="13.42578125" customWidth="1"/>
    <col min="34" max="34" width="7.5703125" customWidth="1"/>
    <col min="35" max="35" width="12.5703125" bestFit="1" customWidth="1"/>
  </cols>
  <sheetData>
    <row r="1" spans="2:35" x14ac:dyDescent="0.25">
      <c r="C1"/>
      <c r="D1"/>
      <c r="E1"/>
      <c r="F1"/>
    </row>
    <row r="2" spans="2:35" ht="26.25" x14ac:dyDescent="0.25">
      <c r="B2" s="127"/>
      <c r="C2" s="176" t="s">
        <v>70</v>
      </c>
      <c r="D2" s="176" t="s">
        <v>71</v>
      </c>
      <c r="E2" s="127"/>
      <c r="F2"/>
    </row>
    <row r="3" spans="2:35" ht="38.25" x14ac:dyDescent="0.25">
      <c r="B3" s="343" t="s">
        <v>24</v>
      </c>
      <c r="C3" s="343" t="s">
        <v>1</v>
      </c>
      <c r="D3" s="343" t="s">
        <v>2</v>
      </c>
      <c r="E3" s="344" t="s">
        <v>3</v>
      </c>
      <c r="F3" s="344" t="s">
        <v>4</v>
      </c>
      <c r="G3" s="342"/>
      <c r="H3" s="345" t="s">
        <v>133</v>
      </c>
      <c r="I3" s="346" t="s">
        <v>126</v>
      </c>
      <c r="J3" s="342"/>
      <c r="K3" s="346" t="s">
        <v>155</v>
      </c>
      <c r="L3" s="346" t="s">
        <v>144</v>
      </c>
      <c r="M3" s="346" t="s">
        <v>134</v>
      </c>
      <c r="N3" s="346" t="s">
        <v>159</v>
      </c>
      <c r="O3" s="346" t="s">
        <v>160</v>
      </c>
      <c r="P3" s="346" t="s">
        <v>202</v>
      </c>
      <c r="Q3" s="346" t="s">
        <v>203</v>
      </c>
      <c r="R3" s="346" t="s">
        <v>288</v>
      </c>
      <c r="S3" s="346" t="s">
        <v>287</v>
      </c>
      <c r="T3" s="346" t="s">
        <v>142</v>
      </c>
      <c r="U3" s="346" t="s">
        <v>143</v>
      </c>
      <c r="V3" s="346" t="s">
        <v>178</v>
      </c>
      <c r="X3" s="346" t="s">
        <v>146</v>
      </c>
      <c r="Y3" s="346" t="s">
        <v>180</v>
      </c>
      <c r="Z3" s="346" t="s">
        <v>138</v>
      </c>
      <c r="AB3" s="346" t="s">
        <v>136</v>
      </c>
      <c r="AC3" s="346" t="s">
        <v>135</v>
      </c>
      <c r="AD3" s="346" t="s">
        <v>164</v>
      </c>
      <c r="AE3" s="342"/>
      <c r="AF3" s="346" t="s">
        <v>165</v>
      </c>
      <c r="AG3" s="346" t="s">
        <v>140</v>
      </c>
      <c r="AI3" s="347" t="s">
        <v>60</v>
      </c>
    </row>
    <row r="4" spans="2:35" x14ac:dyDescent="0.25">
      <c r="B4" s="319"/>
      <c r="H4" s="325"/>
      <c r="I4" s="325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X4" s="331"/>
      <c r="Y4" s="331"/>
      <c r="Z4" s="331"/>
      <c r="AB4" s="331"/>
      <c r="AC4" s="331"/>
      <c r="AD4" s="331"/>
      <c r="AF4" s="331"/>
      <c r="AG4" s="331"/>
      <c r="AI4" s="331"/>
    </row>
    <row r="5" spans="2:35" x14ac:dyDescent="0.25">
      <c r="B5" s="137" t="str">
        <f t="shared" ref="B5:B68" si="0">CONCATENATE(MONTH(D5)," ",YEAR(D5))</f>
        <v>1 2025</v>
      </c>
      <c r="C5" s="138">
        <f>'OverNight €'!C5</f>
        <v>45657</v>
      </c>
      <c r="D5" s="138">
        <f>'OverNight €'!D5</f>
        <v>45658</v>
      </c>
      <c r="E5" s="137">
        <f t="shared" ref="E5:E68" si="1">D5-C5</f>
        <v>1</v>
      </c>
      <c r="F5" s="137" t="s">
        <v>7</v>
      </c>
      <c r="H5" s="326">
        <f>C5</f>
        <v>45657</v>
      </c>
      <c r="I5" s="325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X5" s="331"/>
      <c r="Y5" s="331"/>
      <c r="Z5" s="331"/>
      <c r="AB5" s="331"/>
      <c r="AC5" s="331"/>
      <c r="AD5" s="331"/>
      <c r="AF5" s="331"/>
      <c r="AG5" s="331"/>
      <c r="AI5" s="331"/>
    </row>
    <row r="6" spans="2:35" x14ac:dyDescent="0.25">
      <c r="B6" s="137" t="str">
        <f t="shared" si="0"/>
        <v>1 2025</v>
      </c>
      <c r="C6" s="138">
        <f t="shared" ref="C6:C69" si="2">D5</f>
        <v>45658</v>
      </c>
      <c r="D6" s="138">
        <f t="shared" ref="D6:D69" si="3">D5+1</f>
        <v>45659</v>
      </c>
      <c r="E6" s="137">
        <f t="shared" si="1"/>
        <v>1</v>
      </c>
      <c r="F6" s="137" t="s">
        <v>7</v>
      </c>
      <c r="H6" s="326">
        <f t="shared" ref="H6:H69" si="4">C6</f>
        <v>45658</v>
      </c>
      <c r="I6" s="325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X6" s="331"/>
      <c r="Y6" s="331"/>
      <c r="Z6" s="331"/>
      <c r="AB6" s="331"/>
      <c r="AC6" s="331"/>
      <c r="AD6" s="331"/>
      <c r="AF6" s="331"/>
      <c r="AG6" s="331"/>
      <c r="AI6" s="331"/>
    </row>
    <row r="7" spans="2:35" x14ac:dyDescent="0.25">
      <c r="B7" s="137" t="str">
        <f t="shared" si="0"/>
        <v>1 2025</v>
      </c>
      <c r="C7" s="138">
        <f t="shared" si="2"/>
        <v>45659</v>
      </c>
      <c r="D7" s="138">
        <f t="shared" si="3"/>
        <v>45660</v>
      </c>
      <c r="E7" s="137">
        <f t="shared" si="1"/>
        <v>1</v>
      </c>
      <c r="F7" s="137" t="s">
        <v>7</v>
      </c>
      <c r="H7" s="326">
        <f t="shared" si="4"/>
        <v>45659</v>
      </c>
      <c r="I7" s="325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X7" s="331"/>
      <c r="Y7" s="331"/>
      <c r="Z7" s="331"/>
      <c r="AB7" s="331"/>
      <c r="AC7" s="331"/>
      <c r="AD7" s="331"/>
      <c r="AF7" s="331"/>
      <c r="AG7" s="331"/>
      <c r="AI7" s="331"/>
    </row>
    <row r="8" spans="2:35" x14ac:dyDescent="0.25">
      <c r="B8" s="137" t="str">
        <f t="shared" si="0"/>
        <v>1 2025</v>
      </c>
      <c r="C8" s="138">
        <f t="shared" si="2"/>
        <v>45660</v>
      </c>
      <c r="D8" s="138">
        <f t="shared" si="3"/>
        <v>45661</v>
      </c>
      <c r="E8" s="137">
        <f t="shared" si="1"/>
        <v>1</v>
      </c>
      <c r="F8" s="137" t="s">
        <v>7</v>
      </c>
      <c r="H8" s="326">
        <f t="shared" si="4"/>
        <v>45660</v>
      </c>
      <c r="I8" s="325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X8" s="331"/>
      <c r="Y8" s="331"/>
      <c r="Z8" s="331"/>
      <c r="AB8" s="331"/>
      <c r="AC8" s="331"/>
      <c r="AD8" s="331"/>
      <c r="AF8" s="331"/>
      <c r="AG8" s="331"/>
      <c r="AI8" s="331"/>
    </row>
    <row r="9" spans="2:35" x14ac:dyDescent="0.25">
      <c r="B9" s="137" t="str">
        <f t="shared" si="0"/>
        <v>1 2025</v>
      </c>
      <c r="C9" s="138">
        <f t="shared" si="2"/>
        <v>45661</v>
      </c>
      <c r="D9" s="138">
        <f t="shared" si="3"/>
        <v>45662</v>
      </c>
      <c r="E9" s="137">
        <f t="shared" si="1"/>
        <v>1</v>
      </c>
      <c r="F9" s="137" t="s">
        <v>7</v>
      </c>
      <c r="H9" s="326">
        <f t="shared" si="4"/>
        <v>45661</v>
      </c>
      <c r="I9" s="325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X9" s="331"/>
      <c r="Y9" s="331"/>
      <c r="Z9" s="331"/>
      <c r="AB9" s="331"/>
      <c r="AC9" s="331"/>
      <c r="AD9" s="331"/>
      <c r="AF9" s="331"/>
      <c r="AG9" s="331"/>
      <c r="AI9" s="331"/>
    </row>
    <row r="10" spans="2:35" x14ac:dyDescent="0.25">
      <c r="B10" s="137" t="str">
        <f t="shared" si="0"/>
        <v>1 2025</v>
      </c>
      <c r="C10" s="138">
        <f t="shared" si="2"/>
        <v>45662</v>
      </c>
      <c r="D10" s="138">
        <f t="shared" si="3"/>
        <v>45663</v>
      </c>
      <c r="E10" s="137">
        <f t="shared" si="1"/>
        <v>1</v>
      </c>
      <c r="F10" s="137" t="s">
        <v>7</v>
      </c>
      <c r="H10" s="326">
        <f t="shared" si="4"/>
        <v>45662</v>
      </c>
      <c r="I10" s="325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X10" s="331"/>
      <c r="Y10" s="331"/>
      <c r="Z10" s="331"/>
      <c r="AB10" s="331"/>
      <c r="AC10" s="331"/>
      <c r="AD10" s="331"/>
      <c r="AF10" s="331"/>
      <c r="AG10" s="331"/>
      <c r="AI10" s="331"/>
    </row>
    <row r="11" spans="2:35" x14ac:dyDescent="0.25">
      <c r="B11" s="137" t="str">
        <f t="shared" si="0"/>
        <v>1 2025</v>
      </c>
      <c r="C11" s="138">
        <f t="shared" si="2"/>
        <v>45663</v>
      </c>
      <c r="D11" s="138">
        <f t="shared" si="3"/>
        <v>45664</v>
      </c>
      <c r="E11" s="137">
        <f t="shared" si="1"/>
        <v>1</v>
      </c>
      <c r="F11" s="137" t="s">
        <v>7</v>
      </c>
      <c r="H11" s="326">
        <f t="shared" si="4"/>
        <v>45663</v>
      </c>
      <c r="I11" s="325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X11" s="331"/>
      <c r="Y11" s="331"/>
      <c r="Z11" s="331"/>
      <c r="AB11" s="331"/>
      <c r="AC11" s="331"/>
      <c r="AD11" s="331"/>
      <c r="AF11" s="331"/>
      <c r="AG11" s="331"/>
      <c r="AI11" s="331"/>
    </row>
    <row r="12" spans="2:35" x14ac:dyDescent="0.25">
      <c r="B12" s="137" t="str">
        <f t="shared" si="0"/>
        <v>1 2025</v>
      </c>
      <c r="C12" s="138">
        <f t="shared" si="2"/>
        <v>45664</v>
      </c>
      <c r="D12" s="138">
        <f t="shared" si="3"/>
        <v>45665</v>
      </c>
      <c r="E12" s="137">
        <f t="shared" si="1"/>
        <v>1</v>
      </c>
      <c r="F12" s="137" t="s">
        <v>7</v>
      </c>
      <c r="H12" s="326">
        <f t="shared" si="4"/>
        <v>45664</v>
      </c>
      <c r="I12" s="325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X12" s="331"/>
      <c r="Y12" s="331"/>
      <c r="Z12" s="331"/>
      <c r="AB12" s="331"/>
      <c r="AC12" s="331"/>
      <c r="AD12" s="331"/>
      <c r="AF12" s="331"/>
      <c r="AG12" s="331"/>
      <c r="AI12" s="331"/>
    </row>
    <row r="13" spans="2:35" x14ac:dyDescent="0.25">
      <c r="B13" s="137" t="str">
        <f t="shared" si="0"/>
        <v>1 2025</v>
      </c>
      <c r="C13" s="138">
        <f t="shared" si="2"/>
        <v>45665</v>
      </c>
      <c r="D13" s="138">
        <f t="shared" si="3"/>
        <v>45666</v>
      </c>
      <c r="E13" s="137">
        <f t="shared" si="1"/>
        <v>1</v>
      </c>
      <c r="F13" s="137" t="s">
        <v>7</v>
      </c>
      <c r="H13" s="326">
        <f t="shared" si="4"/>
        <v>45665</v>
      </c>
      <c r="I13" s="325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X13" s="331"/>
      <c r="Y13" s="331"/>
      <c r="Z13" s="331"/>
      <c r="AB13" s="331"/>
      <c r="AC13" s="331"/>
      <c r="AD13" s="331"/>
      <c r="AF13" s="331"/>
      <c r="AG13" s="331"/>
      <c r="AI13" s="331"/>
    </row>
    <row r="14" spans="2:35" x14ac:dyDescent="0.25">
      <c r="B14" s="137" t="str">
        <f t="shared" si="0"/>
        <v>1 2025</v>
      </c>
      <c r="C14" s="138">
        <f t="shared" si="2"/>
        <v>45666</v>
      </c>
      <c r="D14" s="138">
        <f t="shared" si="3"/>
        <v>45667</v>
      </c>
      <c r="E14" s="137">
        <f t="shared" si="1"/>
        <v>1</v>
      </c>
      <c r="F14" s="137" t="s">
        <v>7</v>
      </c>
      <c r="H14" s="326">
        <f t="shared" si="4"/>
        <v>45666</v>
      </c>
      <c r="I14" s="325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X14" s="331"/>
      <c r="Y14" s="331"/>
      <c r="Z14" s="331"/>
      <c r="AB14" s="331"/>
      <c r="AC14" s="331"/>
      <c r="AD14" s="331"/>
      <c r="AF14" s="331"/>
      <c r="AG14" s="331"/>
      <c r="AI14" s="331"/>
    </row>
    <row r="15" spans="2:35" x14ac:dyDescent="0.25">
      <c r="B15" s="137" t="str">
        <f t="shared" si="0"/>
        <v>1 2025</v>
      </c>
      <c r="C15" s="138">
        <f t="shared" si="2"/>
        <v>45667</v>
      </c>
      <c r="D15" s="138">
        <f t="shared" si="3"/>
        <v>45668</v>
      </c>
      <c r="E15" s="137">
        <f t="shared" si="1"/>
        <v>1</v>
      </c>
      <c r="F15" s="137" t="s">
        <v>7</v>
      </c>
      <c r="H15" s="326">
        <f t="shared" si="4"/>
        <v>45667</v>
      </c>
      <c r="I15" s="325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X15" s="331"/>
      <c r="Y15" s="331"/>
      <c r="Z15" s="331"/>
      <c r="AB15" s="331"/>
      <c r="AC15" s="331"/>
      <c r="AD15" s="331"/>
      <c r="AF15" s="331"/>
      <c r="AG15" s="331"/>
      <c r="AI15" s="331"/>
    </row>
    <row r="16" spans="2:35" x14ac:dyDescent="0.25">
      <c r="B16" s="137" t="str">
        <f t="shared" si="0"/>
        <v>1 2025</v>
      </c>
      <c r="C16" s="138">
        <f t="shared" si="2"/>
        <v>45668</v>
      </c>
      <c r="D16" s="138">
        <f t="shared" si="3"/>
        <v>45669</v>
      </c>
      <c r="E16" s="137">
        <f t="shared" si="1"/>
        <v>1</v>
      </c>
      <c r="F16" s="137" t="s">
        <v>7</v>
      </c>
      <c r="H16" s="326">
        <f t="shared" si="4"/>
        <v>45668</v>
      </c>
      <c r="I16" s="325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X16" s="331"/>
      <c r="Y16" s="331"/>
      <c r="Z16" s="331"/>
      <c r="AB16" s="331"/>
      <c r="AC16" s="331"/>
      <c r="AD16" s="331"/>
      <c r="AF16" s="331"/>
      <c r="AG16" s="331"/>
      <c r="AI16" s="331"/>
    </row>
    <row r="17" spans="2:35" x14ac:dyDescent="0.25">
      <c r="B17" s="137" t="str">
        <f t="shared" si="0"/>
        <v>1 2025</v>
      </c>
      <c r="C17" s="138">
        <f t="shared" si="2"/>
        <v>45669</v>
      </c>
      <c r="D17" s="138">
        <f t="shared" si="3"/>
        <v>45670</v>
      </c>
      <c r="E17" s="137">
        <f t="shared" si="1"/>
        <v>1</v>
      </c>
      <c r="F17" s="137" t="s">
        <v>7</v>
      </c>
      <c r="H17" s="326">
        <f t="shared" si="4"/>
        <v>45669</v>
      </c>
      <c r="I17" s="325"/>
      <c r="K17" s="331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X17" s="331"/>
      <c r="Y17" s="331"/>
      <c r="Z17" s="331"/>
      <c r="AB17" s="331"/>
      <c r="AC17" s="331"/>
      <c r="AD17" s="331"/>
      <c r="AF17" s="331"/>
      <c r="AG17" s="331"/>
      <c r="AI17" s="331"/>
    </row>
    <row r="18" spans="2:35" x14ac:dyDescent="0.25">
      <c r="B18" s="137" t="str">
        <f t="shared" si="0"/>
        <v>1 2025</v>
      </c>
      <c r="C18" s="138">
        <f t="shared" si="2"/>
        <v>45670</v>
      </c>
      <c r="D18" s="138">
        <f t="shared" si="3"/>
        <v>45671</v>
      </c>
      <c r="E18" s="137">
        <f t="shared" si="1"/>
        <v>1</v>
      </c>
      <c r="F18" s="137" t="s">
        <v>7</v>
      </c>
      <c r="H18" s="326">
        <f t="shared" si="4"/>
        <v>45670</v>
      </c>
      <c r="I18" s="325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X18" s="331"/>
      <c r="Y18" s="331"/>
      <c r="Z18" s="331"/>
      <c r="AB18" s="331"/>
      <c r="AC18" s="331"/>
      <c r="AD18" s="331"/>
      <c r="AF18" s="331"/>
      <c r="AG18" s="331"/>
      <c r="AI18" s="331"/>
    </row>
    <row r="19" spans="2:35" x14ac:dyDescent="0.25">
      <c r="B19" s="137" t="str">
        <f t="shared" si="0"/>
        <v>1 2025</v>
      </c>
      <c r="C19" s="138">
        <f t="shared" si="2"/>
        <v>45671</v>
      </c>
      <c r="D19" s="138">
        <f t="shared" si="3"/>
        <v>45672</v>
      </c>
      <c r="E19" s="137">
        <f t="shared" si="1"/>
        <v>1</v>
      </c>
      <c r="F19" s="137" t="s">
        <v>7</v>
      </c>
      <c r="H19" s="326">
        <f t="shared" si="4"/>
        <v>45671</v>
      </c>
      <c r="I19" s="325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X19" s="331"/>
      <c r="Y19" s="331"/>
      <c r="Z19" s="331"/>
      <c r="AB19" s="331"/>
      <c r="AC19" s="331"/>
      <c r="AD19" s="331"/>
      <c r="AF19" s="331"/>
      <c r="AG19" s="331"/>
      <c r="AI19" s="331"/>
    </row>
    <row r="20" spans="2:35" x14ac:dyDescent="0.25">
      <c r="B20" s="137" t="str">
        <f t="shared" si="0"/>
        <v>1 2025</v>
      </c>
      <c r="C20" s="138">
        <f t="shared" si="2"/>
        <v>45672</v>
      </c>
      <c r="D20" s="138">
        <f t="shared" si="3"/>
        <v>45673</v>
      </c>
      <c r="E20" s="137">
        <f t="shared" si="1"/>
        <v>1</v>
      </c>
      <c r="F20" s="137" t="s">
        <v>7</v>
      </c>
      <c r="H20" s="326">
        <f t="shared" si="4"/>
        <v>45672</v>
      </c>
      <c r="I20" s="325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X20" s="331"/>
      <c r="Y20" s="331"/>
      <c r="Z20" s="331"/>
      <c r="AB20" s="331"/>
      <c r="AC20" s="331"/>
      <c r="AD20" s="331"/>
      <c r="AF20" s="331"/>
      <c r="AG20" s="331"/>
      <c r="AI20" s="331"/>
    </row>
    <row r="21" spans="2:35" x14ac:dyDescent="0.25">
      <c r="B21" s="137" t="str">
        <f t="shared" si="0"/>
        <v>1 2025</v>
      </c>
      <c r="C21" s="138">
        <f t="shared" si="2"/>
        <v>45673</v>
      </c>
      <c r="D21" s="138">
        <f t="shared" si="3"/>
        <v>45674</v>
      </c>
      <c r="E21" s="137">
        <f t="shared" si="1"/>
        <v>1</v>
      </c>
      <c r="F21" s="137" t="s">
        <v>7</v>
      </c>
      <c r="H21" s="326">
        <f t="shared" si="4"/>
        <v>45673</v>
      </c>
      <c r="I21" s="325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X21" s="331"/>
      <c r="Y21" s="331"/>
      <c r="Z21" s="331"/>
      <c r="AB21" s="331"/>
      <c r="AC21" s="331"/>
      <c r="AD21" s="331"/>
      <c r="AF21" s="331"/>
      <c r="AG21" s="331"/>
      <c r="AI21" s="331"/>
    </row>
    <row r="22" spans="2:35" x14ac:dyDescent="0.25">
      <c r="B22" s="137" t="str">
        <f t="shared" si="0"/>
        <v>1 2025</v>
      </c>
      <c r="C22" s="138">
        <f t="shared" si="2"/>
        <v>45674</v>
      </c>
      <c r="D22" s="138">
        <f t="shared" si="3"/>
        <v>45675</v>
      </c>
      <c r="E22" s="137">
        <f t="shared" si="1"/>
        <v>1</v>
      </c>
      <c r="F22" s="137" t="s">
        <v>7</v>
      </c>
      <c r="H22" s="326">
        <f t="shared" si="4"/>
        <v>45674</v>
      </c>
      <c r="I22" s="325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X22" s="331"/>
      <c r="Y22" s="331"/>
      <c r="Z22" s="331"/>
      <c r="AB22" s="331"/>
      <c r="AC22" s="331"/>
      <c r="AD22" s="331"/>
      <c r="AF22" s="331"/>
      <c r="AG22" s="331"/>
      <c r="AI22" s="331"/>
    </row>
    <row r="23" spans="2:35" x14ac:dyDescent="0.25">
      <c r="B23" s="137" t="str">
        <f t="shared" si="0"/>
        <v>1 2025</v>
      </c>
      <c r="C23" s="138">
        <f t="shared" si="2"/>
        <v>45675</v>
      </c>
      <c r="D23" s="138">
        <f t="shared" si="3"/>
        <v>45676</v>
      </c>
      <c r="E23" s="137">
        <f t="shared" si="1"/>
        <v>1</v>
      </c>
      <c r="F23" s="137" t="s">
        <v>7</v>
      </c>
      <c r="H23" s="326">
        <f t="shared" si="4"/>
        <v>45675</v>
      </c>
      <c r="I23" s="325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X23" s="331"/>
      <c r="Y23" s="331"/>
      <c r="Z23" s="331"/>
      <c r="AB23" s="331"/>
      <c r="AC23" s="331"/>
      <c r="AD23" s="331"/>
      <c r="AF23" s="331"/>
      <c r="AG23" s="331"/>
      <c r="AI23" s="331"/>
    </row>
    <row r="24" spans="2:35" x14ac:dyDescent="0.25">
      <c r="B24" s="137" t="str">
        <f t="shared" si="0"/>
        <v>1 2025</v>
      </c>
      <c r="C24" s="138">
        <f t="shared" si="2"/>
        <v>45676</v>
      </c>
      <c r="D24" s="138">
        <f t="shared" si="3"/>
        <v>45677</v>
      </c>
      <c r="E24" s="137">
        <f t="shared" si="1"/>
        <v>1</v>
      </c>
      <c r="F24" s="137" t="s">
        <v>7</v>
      </c>
      <c r="H24" s="326">
        <f t="shared" si="4"/>
        <v>45676</v>
      </c>
      <c r="I24" s="325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X24" s="331"/>
      <c r="Y24" s="331"/>
      <c r="Z24" s="331"/>
      <c r="AB24" s="331"/>
      <c r="AC24" s="331"/>
      <c r="AD24" s="331"/>
      <c r="AF24" s="331"/>
      <c r="AG24" s="331"/>
      <c r="AI24" s="331"/>
    </row>
    <row r="25" spans="2:35" x14ac:dyDescent="0.25">
      <c r="B25" s="137" t="str">
        <f t="shared" si="0"/>
        <v>1 2025</v>
      </c>
      <c r="C25" s="138">
        <f t="shared" si="2"/>
        <v>45677</v>
      </c>
      <c r="D25" s="138">
        <f t="shared" si="3"/>
        <v>45678</v>
      </c>
      <c r="E25" s="137">
        <f t="shared" si="1"/>
        <v>1</v>
      </c>
      <c r="F25" s="137" t="s">
        <v>7</v>
      </c>
      <c r="H25" s="326">
        <f t="shared" si="4"/>
        <v>45677</v>
      </c>
      <c r="I25" s="325"/>
      <c r="K25" s="331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X25" s="331"/>
      <c r="Y25" s="331"/>
      <c r="Z25" s="331"/>
      <c r="AB25" s="331"/>
      <c r="AC25" s="331"/>
      <c r="AD25" s="331"/>
      <c r="AF25" s="331"/>
      <c r="AG25" s="331"/>
      <c r="AI25" s="331"/>
    </row>
    <row r="26" spans="2:35" x14ac:dyDescent="0.25">
      <c r="B26" s="137" t="str">
        <f t="shared" si="0"/>
        <v>1 2025</v>
      </c>
      <c r="C26" s="138">
        <f t="shared" si="2"/>
        <v>45678</v>
      </c>
      <c r="D26" s="138">
        <f t="shared" si="3"/>
        <v>45679</v>
      </c>
      <c r="E26" s="137">
        <f t="shared" si="1"/>
        <v>1</v>
      </c>
      <c r="F26" s="137" t="s">
        <v>7</v>
      </c>
      <c r="H26" s="326">
        <f t="shared" si="4"/>
        <v>45678</v>
      </c>
      <c r="I26" s="325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X26" s="331"/>
      <c r="Y26" s="331"/>
      <c r="Z26" s="331"/>
      <c r="AB26" s="331"/>
      <c r="AC26" s="331"/>
      <c r="AD26" s="331"/>
      <c r="AF26" s="331"/>
      <c r="AG26" s="331"/>
      <c r="AI26" s="331"/>
    </row>
    <row r="27" spans="2:35" x14ac:dyDescent="0.25">
      <c r="B27" s="137" t="str">
        <f t="shared" si="0"/>
        <v>1 2025</v>
      </c>
      <c r="C27" s="138">
        <f t="shared" si="2"/>
        <v>45679</v>
      </c>
      <c r="D27" s="138">
        <f t="shared" si="3"/>
        <v>45680</v>
      </c>
      <c r="E27" s="137">
        <f t="shared" si="1"/>
        <v>1</v>
      </c>
      <c r="F27" s="137" t="s">
        <v>7</v>
      </c>
      <c r="H27" s="326">
        <f t="shared" si="4"/>
        <v>45679</v>
      </c>
      <c r="I27" s="325"/>
      <c r="K27" s="331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X27" s="331"/>
      <c r="Y27" s="331"/>
      <c r="Z27" s="331"/>
      <c r="AB27" s="331"/>
      <c r="AC27" s="331"/>
      <c r="AD27" s="331"/>
      <c r="AF27" s="331"/>
      <c r="AG27" s="331"/>
      <c r="AI27" s="331"/>
    </row>
    <row r="28" spans="2:35" x14ac:dyDescent="0.25">
      <c r="B28" s="137" t="str">
        <f t="shared" si="0"/>
        <v>1 2025</v>
      </c>
      <c r="C28" s="138">
        <f t="shared" si="2"/>
        <v>45680</v>
      </c>
      <c r="D28" s="138">
        <f t="shared" si="3"/>
        <v>45681</v>
      </c>
      <c r="E28" s="137">
        <f t="shared" si="1"/>
        <v>1</v>
      </c>
      <c r="F28" s="137" t="s">
        <v>7</v>
      </c>
      <c r="H28" s="326">
        <f t="shared" si="4"/>
        <v>45680</v>
      </c>
      <c r="I28" s="325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X28" s="331"/>
      <c r="Y28" s="331"/>
      <c r="Z28" s="331"/>
      <c r="AB28" s="331"/>
      <c r="AC28" s="331"/>
      <c r="AD28" s="331"/>
      <c r="AF28" s="331"/>
      <c r="AG28" s="331"/>
      <c r="AI28" s="331"/>
    </row>
    <row r="29" spans="2:35" x14ac:dyDescent="0.25">
      <c r="B29" s="137" t="str">
        <f t="shared" si="0"/>
        <v>1 2025</v>
      </c>
      <c r="C29" s="138">
        <f t="shared" si="2"/>
        <v>45681</v>
      </c>
      <c r="D29" s="138">
        <f t="shared" si="3"/>
        <v>45682</v>
      </c>
      <c r="E29" s="137">
        <f t="shared" si="1"/>
        <v>1</v>
      </c>
      <c r="F29" s="137" t="s">
        <v>7</v>
      </c>
      <c r="H29" s="326">
        <f t="shared" si="4"/>
        <v>45681</v>
      </c>
      <c r="I29" s="325"/>
      <c r="K29" s="331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X29" s="331"/>
      <c r="Y29" s="331"/>
      <c r="Z29" s="331"/>
      <c r="AB29" s="331"/>
      <c r="AC29" s="331"/>
      <c r="AD29" s="331"/>
      <c r="AF29" s="331"/>
      <c r="AG29" s="331"/>
      <c r="AI29" s="331"/>
    </row>
    <row r="30" spans="2:35" x14ac:dyDescent="0.25">
      <c r="B30" s="137" t="str">
        <f t="shared" si="0"/>
        <v>1 2025</v>
      </c>
      <c r="C30" s="138">
        <f t="shared" si="2"/>
        <v>45682</v>
      </c>
      <c r="D30" s="138">
        <f t="shared" si="3"/>
        <v>45683</v>
      </c>
      <c r="E30" s="137">
        <f t="shared" si="1"/>
        <v>1</v>
      </c>
      <c r="F30" s="137" t="s">
        <v>7</v>
      </c>
      <c r="H30" s="326">
        <f t="shared" si="4"/>
        <v>45682</v>
      </c>
      <c r="I30" s="325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X30" s="331"/>
      <c r="Y30" s="331"/>
      <c r="Z30" s="331"/>
      <c r="AB30" s="331"/>
      <c r="AC30" s="331"/>
      <c r="AD30" s="331"/>
      <c r="AF30" s="331"/>
      <c r="AG30" s="331"/>
      <c r="AI30" s="331"/>
    </row>
    <row r="31" spans="2:35" x14ac:dyDescent="0.25">
      <c r="B31" s="137" t="str">
        <f t="shared" si="0"/>
        <v>1 2025</v>
      </c>
      <c r="C31" s="138">
        <f t="shared" si="2"/>
        <v>45683</v>
      </c>
      <c r="D31" s="138">
        <f t="shared" si="3"/>
        <v>45684</v>
      </c>
      <c r="E31" s="137">
        <f t="shared" si="1"/>
        <v>1</v>
      </c>
      <c r="F31" s="137" t="s">
        <v>7</v>
      </c>
      <c r="H31" s="326">
        <f t="shared" si="4"/>
        <v>45683</v>
      </c>
      <c r="I31" s="325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X31" s="331"/>
      <c r="Y31" s="331"/>
      <c r="Z31" s="331"/>
      <c r="AB31" s="331"/>
      <c r="AC31" s="331"/>
      <c r="AD31" s="331"/>
      <c r="AF31" s="331"/>
      <c r="AG31" s="331"/>
      <c r="AI31" s="331"/>
    </row>
    <row r="32" spans="2:35" x14ac:dyDescent="0.25">
      <c r="B32" s="137" t="str">
        <f t="shared" si="0"/>
        <v>1 2025</v>
      </c>
      <c r="C32" s="138">
        <f t="shared" si="2"/>
        <v>45684</v>
      </c>
      <c r="D32" s="138">
        <f t="shared" si="3"/>
        <v>45685</v>
      </c>
      <c r="E32" s="137">
        <f t="shared" si="1"/>
        <v>1</v>
      </c>
      <c r="F32" s="137" t="s">
        <v>7</v>
      </c>
      <c r="H32" s="326">
        <f t="shared" si="4"/>
        <v>45684</v>
      </c>
      <c r="I32" s="325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X32" s="331"/>
      <c r="Y32" s="331"/>
      <c r="Z32" s="331"/>
      <c r="AB32" s="331"/>
      <c r="AC32" s="331"/>
      <c r="AD32" s="331"/>
      <c r="AF32" s="331"/>
      <c r="AG32" s="331"/>
      <c r="AI32" s="331"/>
    </row>
    <row r="33" spans="2:35" x14ac:dyDescent="0.25">
      <c r="B33" s="137" t="str">
        <f t="shared" si="0"/>
        <v>1 2025</v>
      </c>
      <c r="C33" s="138">
        <f t="shared" si="2"/>
        <v>45685</v>
      </c>
      <c r="D33" s="138">
        <f t="shared" si="3"/>
        <v>45686</v>
      </c>
      <c r="E33" s="137">
        <f t="shared" si="1"/>
        <v>1</v>
      </c>
      <c r="F33" s="137" t="s">
        <v>7</v>
      </c>
      <c r="H33" s="326">
        <f t="shared" si="4"/>
        <v>45685</v>
      </c>
      <c r="I33" s="325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X33" s="331"/>
      <c r="Y33" s="331"/>
      <c r="Z33" s="331"/>
      <c r="AB33" s="331"/>
      <c r="AC33" s="331"/>
      <c r="AD33" s="331"/>
      <c r="AF33" s="331"/>
      <c r="AG33" s="331"/>
      <c r="AI33" s="331"/>
    </row>
    <row r="34" spans="2:35" x14ac:dyDescent="0.25">
      <c r="B34" s="137" t="str">
        <f t="shared" si="0"/>
        <v>1 2025</v>
      </c>
      <c r="C34" s="138">
        <f t="shared" si="2"/>
        <v>45686</v>
      </c>
      <c r="D34" s="138">
        <f t="shared" si="3"/>
        <v>45687</v>
      </c>
      <c r="E34" s="137">
        <f t="shared" si="1"/>
        <v>1</v>
      </c>
      <c r="F34" s="137" t="s">
        <v>7</v>
      </c>
      <c r="H34" s="326">
        <f t="shared" si="4"/>
        <v>45686</v>
      </c>
      <c r="I34" s="325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X34" s="331"/>
      <c r="Y34" s="331"/>
      <c r="Z34" s="331"/>
      <c r="AB34" s="331"/>
      <c r="AC34" s="331"/>
      <c r="AD34" s="331"/>
      <c r="AF34" s="331"/>
      <c r="AG34" s="331"/>
      <c r="AI34" s="331"/>
    </row>
    <row r="35" spans="2:35" x14ac:dyDescent="0.25">
      <c r="B35" s="148" t="str">
        <f t="shared" si="0"/>
        <v>1 2025</v>
      </c>
      <c r="C35" s="149">
        <f t="shared" si="2"/>
        <v>45687</v>
      </c>
      <c r="D35" s="149">
        <f t="shared" si="3"/>
        <v>45688</v>
      </c>
      <c r="E35" s="148">
        <f t="shared" si="1"/>
        <v>1</v>
      </c>
      <c r="F35" s="148" t="s">
        <v>7</v>
      </c>
      <c r="H35" s="326">
        <f t="shared" si="4"/>
        <v>45687</v>
      </c>
      <c r="I35" s="325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X35" s="331"/>
      <c r="Y35" s="331"/>
      <c r="Z35" s="331"/>
      <c r="AB35" s="331"/>
      <c r="AC35" s="331"/>
      <c r="AD35" s="331"/>
      <c r="AF35" s="331"/>
      <c r="AG35" s="331"/>
      <c r="AI35" s="331"/>
    </row>
    <row r="36" spans="2:35" x14ac:dyDescent="0.25">
      <c r="B36" s="123" t="str">
        <f t="shared" si="0"/>
        <v>2 2025</v>
      </c>
      <c r="C36" s="122">
        <f t="shared" si="2"/>
        <v>45688</v>
      </c>
      <c r="D36" s="122">
        <f t="shared" si="3"/>
        <v>45689</v>
      </c>
      <c r="E36" s="123">
        <f t="shared" si="1"/>
        <v>1</v>
      </c>
      <c r="F36" s="123" t="s">
        <v>7</v>
      </c>
      <c r="H36" s="383">
        <f t="shared" si="4"/>
        <v>45688</v>
      </c>
      <c r="I36" s="325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X36" s="331"/>
      <c r="Y36" s="331"/>
      <c r="Z36" s="331"/>
      <c r="AB36" s="331"/>
      <c r="AC36" s="331"/>
      <c r="AD36" s="331"/>
      <c r="AF36" s="331"/>
      <c r="AG36" s="331"/>
      <c r="AI36" s="331"/>
    </row>
    <row r="37" spans="2:35" x14ac:dyDescent="0.25">
      <c r="B37" s="123" t="str">
        <f t="shared" si="0"/>
        <v>2 2025</v>
      </c>
      <c r="C37" s="122">
        <f t="shared" si="2"/>
        <v>45689</v>
      </c>
      <c r="D37" s="122">
        <f t="shared" si="3"/>
        <v>45690</v>
      </c>
      <c r="E37" s="123">
        <f t="shared" si="1"/>
        <v>1</v>
      </c>
      <c r="F37" s="123" t="s">
        <v>7</v>
      </c>
      <c r="H37" s="383">
        <f t="shared" si="4"/>
        <v>45689</v>
      </c>
      <c r="I37" s="325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X37" s="331"/>
      <c r="Y37" s="331"/>
      <c r="Z37" s="331"/>
      <c r="AB37" s="331"/>
      <c r="AC37" s="331"/>
      <c r="AD37" s="331"/>
      <c r="AF37" s="331"/>
      <c r="AG37" s="331"/>
      <c r="AI37" s="331"/>
    </row>
    <row r="38" spans="2:35" x14ac:dyDescent="0.25">
      <c r="B38" s="123" t="str">
        <f t="shared" si="0"/>
        <v>2 2025</v>
      </c>
      <c r="C38" s="122">
        <f t="shared" si="2"/>
        <v>45690</v>
      </c>
      <c r="D38" s="122">
        <f t="shared" si="3"/>
        <v>45691</v>
      </c>
      <c r="E38" s="123">
        <f t="shared" si="1"/>
        <v>1</v>
      </c>
      <c r="F38" s="123" t="s">
        <v>7</v>
      </c>
      <c r="H38" s="383">
        <f t="shared" si="4"/>
        <v>45690</v>
      </c>
      <c r="I38" s="325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X38" s="331"/>
      <c r="Y38" s="331"/>
      <c r="Z38" s="331"/>
      <c r="AB38" s="331"/>
      <c r="AC38" s="331"/>
      <c r="AD38" s="331"/>
      <c r="AF38" s="331"/>
      <c r="AG38" s="331"/>
      <c r="AI38" s="331"/>
    </row>
    <row r="39" spans="2:35" x14ac:dyDescent="0.25">
      <c r="B39" s="123" t="str">
        <f t="shared" si="0"/>
        <v>2 2025</v>
      </c>
      <c r="C39" s="122">
        <f t="shared" si="2"/>
        <v>45691</v>
      </c>
      <c r="D39" s="122">
        <f t="shared" si="3"/>
        <v>45692</v>
      </c>
      <c r="E39" s="123">
        <f t="shared" si="1"/>
        <v>1</v>
      </c>
      <c r="F39" s="123" t="s">
        <v>7</v>
      </c>
      <c r="H39" s="383">
        <f t="shared" si="4"/>
        <v>45691</v>
      </c>
      <c r="I39" s="325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X39" s="331"/>
      <c r="Y39" s="331"/>
      <c r="Z39" s="331"/>
      <c r="AB39" s="331"/>
      <c r="AC39" s="331"/>
      <c r="AD39" s="331"/>
      <c r="AF39" s="331"/>
      <c r="AG39" s="331"/>
      <c r="AI39" s="331"/>
    </row>
    <row r="40" spans="2:35" x14ac:dyDescent="0.25">
      <c r="B40" s="123" t="str">
        <f t="shared" si="0"/>
        <v>2 2025</v>
      </c>
      <c r="C40" s="122">
        <f t="shared" si="2"/>
        <v>45692</v>
      </c>
      <c r="D40" s="122">
        <f t="shared" si="3"/>
        <v>45693</v>
      </c>
      <c r="E40" s="123">
        <f t="shared" si="1"/>
        <v>1</v>
      </c>
      <c r="F40" s="123" t="s">
        <v>7</v>
      </c>
      <c r="H40" s="383">
        <f t="shared" si="4"/>
        <v>45692</v>
      </c>
      <c r="I40" s="325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X40" s="331"/>
      <c r="Y40" s="331"/>
      <c r="Z40" s="331"/>
      <c r="AB40" s="331"/>
      <c r="AC40" s="331"/>
      <c r="AD40" s="331"/>
      <c r="AF40" s="331"/>
      <c r="AG40" s="331"/>
      <c r="AI40" s="331"/>
    </row>
    <row r="41" spans="2:35" x14ac:dyDescent="0.25">
      <c r="B41" s="123" t="str">
        <f t="shared" si="0"/>
        <v>2 2025</v>
      </c>
      <c r="C41" s="122">
        <f t="shared" si="2"/>
        <v>45693</v>
      </c>
      <c r="D41" s="122">
        <f t="shared" si="3"/>
        <v>45694</v>
      </c>
      <c r="E41" s="123">
        <f t="shared" si="1"/>
        <v>1</v>
      </c>
      <c r="F41" s="123" t="s">
        <v>7</v>
      </c>
      <c r="H41" s="383">
        <f t="shared" si="4"/>
        <v>45693</v>
      </c>
      <c r="I41" s="325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X41" s="331"/>
      <c r="Y41" s="331"/>
      <c r="Z41" s="331"/>
      <c r="AB41" s="331"/>
      <c r="AC41" s="331"/>
      <c r="AD41" s="331"/>
      <c r="AF41" s="331"/>
      <c r="AG41" s="331"/>
      <c r="AI41" s="331"/>
    </row>
    <row r="42" spans="2:35" x14ac:dyDescent="0.25">
      <c r="B42" s="123" t="str">
        <f t="shared" si="0"/>
        <v>2 2025</v>
      </c>
      <c r="C42" s="122">
        <f t="shared" si="2"/>
        <v>45694</v>
      </c>
      <c r="D42" s="122">
        <f t="shared" si="3"/>
        <v>45695</v>
      </c>
      <c r="E42" s="123">
        <f t="shared" si="1"/>
        <v>1</v>
      </c>
      <c r="F42" s="123" t="s">
        <v>7</v>
      </c>
      <c r="H42" s="383">
        <f t="shared" si="4"/>
        <v>45694</v>
      </c>
      <c r="I42" s="325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X42" s="331"/>
      <c r="Y42" s="331"/>
      <c r="Z42" s="331"/>
      <c r="AB42" s="331"/>
      <c r="AC42" s="331"/>
      <c r="AD42" s="331"/>
      <c r="AF42" s="331"/>
      <c r="AG42" s="331"/>
      <c r="AI42" s="331"/>
    </row>
    <row r="43" spans="2:35" x14ac:dyDescent="0.25">
      <c r="B43" s="123" t="str">
        <f t="shared" si="0"/>
        <v>2 2025</v>
      </c>
      <c r="C43" s="122">
        <f t="shared" si="2"/>
        <v>45695</v>
      </c>
      <c r="D43" s="122">
        <f t="shared" si="3"/>
        <v>45696</v>
      </c>
      <c r="E43" s="123">
        <f t="shared" si="1"/>
        <v>1</v>
      </c>
      <c r="F43" s="123" t="s">
        <v>7</v>
      </c>
      <c r="H43" s="383">
        <f t="shared" si="4"/>
        <v>45695</v>
      </c>
      <c r="I43" s="325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X43" s="331"/>
      <c r="Y43" s="331"/>
      <c r="Z43" s="331"/>
      <c r="AB43" s="331"/>
      <c r="AC43" s="331"/>
      <c r="AD43" s="331"/>
      <c r="AF43" s="331"/>
      <c r="AG43" s="331"/>
      <c r="AI43" s="331"/>
    </row>
    <row r="44" spans="2:35" x14ac:dyDescent="0.25">
      <c r="B44" s="123" t="str">
        <f t="shared" si="0"/>
        <v>2 2025</v>
      </c>
      <c r="C44" s="122">
        <f t="shared" si="2"/>
        <v>45696</v>
      </c>
      <c r="D44" s="122">
        <f t="shared" si="3"/>
        <v>45697</v>
      </c>
      <c r="E44" s="123">
        <f t="shared" si="1"/>
        <v>1</v>
      </c>
      <c r="F44" s="123" t="s">
        <v>7</v>
      </c>
      <c r="H44" s="383">
        <f t="shared" si="4"/>
        <v>45696</v>
      </c>
      <c r="I44" s="325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X44" s="331"/>
      <c r="Y44" s="331"/>
      <c r="Z44" s="331"/>
      <c r="AB44" s="331"/>
      <c r="AC44" s="331"/>
      <c r="AD44" s="331"/>
      <c r="AF44" s="331"/>
      <c r="AG44" s="331"/>
      <c r="AI44" s="331"/>
    </row>
    <row r="45" spans="2:35" x14ac:dyDescent="0.25">
      <c r="B45" s="123" t="str">
        <f t="shared" si="0"/>
        <v>2 2025</v>
      </c>
      <c r="C45" s="122">
        <f t="shared" si="2"/>
        <v>45697</v>
      </c>
      <c r="D45" s="122">
        <f t="shared" si="3"/>
        <v>45698</v>
      </c>
      <c r="E45" s="123">
        <f t="shared" si="1"/>
        <v>1</v>
      </c>
      <c r="F45" s="123" t="s">
        <v>7</v>
      </c>
      <c r="H45" s="383">
        <f t="shared" si="4"/>
        <v>45697</v>
      </c>
      <c r="I45" s="325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X45" s="331"/>
      <c r="Y45" s="331"/>
      <c r="Z45" s="331"/>
      <c r="AB45" s="331"/>
      <c r="AC45" s="331"/>
      <c r="AD45" s="331"/>
      <c r="AF45" s="331"/>
      <c r="AG45" s="331"/>
      <c r="AI45" s="331"/>
    </row>
    <row r="46" spans="2:35" x14ac:dyDescent="0.25">
      <c r="B46" s="123" t="str">
        <f t="shared" si="0"/>
        <v>2 2025</v>
      </c>
      <c r="C46" s="122">
        <f t="shared" si="2"/>
        <v>45698</v>
      </c>
      <c r="D46" s="122">
        <f t="shared" si="3"/>
        <v>45699</v>
      </c>
      <c r="E46" s="123">
        <f t="shared" si="1"/>
        <v>1</v>
      </c>
      <c r="F46" s="123" t="s">
        <v>7</v>
      </c>
      <c r="H46" s="383">
        <f t="shared" si="4"/>
        <v>45698</v>
      </c>
      <c r="I46" s="325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X46" s="331"/>
      <c r="Y46" s="331"/>
      <c r="Z46" s="331"/>
      <c r="AB46" s="331"/>
      <c r="AC46" s="331"/>
      <c r="AD46" s="331"/>
      <c r="AF46" s="331"/>
      <c r="AG46" s="331"/>
      <c r="AI46" s="331"/>
    </row>
    <row r="47" spans="2:35" x14ac:dyDescent="0.25">
      <c r="B47" s="123" t="str">
        <f t="shared" si="0"/>
        <v>2 2025</v>
      </c>
      <c r="C47" s="122">
        <f t="shared" si="2"/>
        <v>45699</v>
      </c>
      <c r="D47" s="122">
        <f t="shared" si="3"/>
        <v>45700</v>
      </c>
      <c r="E47" s="123">
        <f t="shared" si="1"/>
        <v>1</v>
      </c>
      <c r="F47" s="123" t="s">
        <v>7</v>
      </c>
      <c r="H47" s="383">
        <f t="shared" si="4"/>
        <v>45699</v>
      </c>
      <c r="I47" s="325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X47" s="331"/>
      <c r="Y47" s="331"/>
      <c r="Z47" s="331"/>
      <c r="AB47" s="331"/>
      <c r="AC47" s="331"/>
      <c r="AD47" s="331"/>
      <c r="AF47" s="331"/>
      <c r="AG47" s="331"/>
      <c r="AI47" s="331"/>
    </row>
    <row r="48" spans="2:35" x14ac:dyDescent="0.25">
      <c r="B48" s="123" t="str">
        <f t="shared" si="0"/>
        <v>2 2025</v>
      </c>
      <c r="C48" s="122">
        <f t="shared" si="2"/>
        <v>45700</v>
      </c>
      <c r="D48" s="122">
        <f t="shared" si="3"/>
        <v>45701</v>
      </c>
      <c r="E48" s="123">
        <f t="shared" si="1"/>
        <v>1</v>
      </c>
      <c r="F48" s="123" t="s">
        <v>7</v>
      </c>
      <c r="H48" s="383">
        <f t="shared" si="4"/>
        <v>45700</v>
      </c>
      <c r="I48" s="325"/>
      <c r="K48" s="331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X48" s="331"/>
      <c r="Y48" s="331"/>
      <c r="Z48" s="331"/>
      <c r="AB48" s="331"/>
      <c r="AC48" s="331"/>
      <c r="AD48" s="331"/>
      <c r="AF48" s="331"/>
      <c r="AG48" s="331"/>
      <c r="AI48" s="331"/>
    </row>
    <row r="49" spans="2:35" x14ac:dyDescent="0.25">
      <c r="B49" s="123" t="str">
        <f t="shared" si="0"/>
        <v>2 2025</v>
      </c>
      <c r="C49" s="122">
        <f t="shared" si="2"/>
        <v>45701</v>
      </c>
      <c r="D49" s="122">
        <f t="shared" si="3"/>
        <v>45702</v>
      </c>
      <c r="E49" s="123">
        <f t="shared" si="1"/>
        <v>1</v>
      </c>
      <c r="F49" s="123" t="s">
        <v>7</v>
      </c>
      <c r="H49" s="383">
        <f t="shared" si="4"/>
        <v>45701</v>
      </c>
      <c r="I49" s="325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X49" s="331"/>
      <c r="Y49" s="331"/>
      <c r="Z49" s="331"/>
      <c r="AB49" s="331"/>
      <c r="AC49" s="331"/>
      <c r="AD49" s="331"/>
      <c r="AF49" s="331"/>
      <c r="AG49" s="331"/>
      <c r="AI49" s="331"/>
    </row>
    <row r="50" spans="2:35" x14ac:dyDescent="0.25">
      <c r="B50" s="123" t="str">
        <f t="shared" si="0"/>
        <v>2 2025</v>
      </c>
      <c r="C50" s="122">
        <f t="shared" si="2"/>
        <v>45702</v>
      </c>
      <c r="D50" s="122">
        <f t="shared" si="3"/>
        <v>45703</v>
      </c>
      <c r="E50" s="123">
        <f t="shared" si="1"/>
        <v>1</v>
      </c>
      <c r="F50" s="123" t="s">
        <v>7</v>
      </c>
      <c r="H50" s="383">
        <f t="shared" si="4"/>
        <v>45702</v>
      </c>
      <c r="I50" s="325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X50" s="331"/>
      <c r="Y50" s="331"/>
      <c r="Z50" s="331"/>
      <c r="AB50" s="331"/>
      <c r="AC50" s="331"/>
      <c r="AD50" s="331"/>
      <c r="AF50" s="331"/>
      <c r="AG50" s="331"/>
      <c r="AI50" s="331"/>
    </row>
    <row r="51" spans="2:35" x14ac:dyDescent="0.25">
      <c r="B51" s="123" t="str">
        <f t="shared" si="0"/>
        <v>2 2025</v>
      </c>
      <c r="C51" s="122">
        <f t="shared" si="2"/>
        <v>45703</v>
      </c>
      <c r="D51" s="122">
        <f t="shared" si="3"/>
        <v>45704</v>
      </c>
      <c r="E51" s="123">
        <f t="shared" si="1"/>
        <v>1</v>
      </c>
      <c r="F51" s="123" t="s">
        <v>7</v>
      </c>
      <c r="H51" s="383">
        <f t="shared" si="4"/>
        <v>45703</v>
      </c>
      <c r="I51" s="325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X51" s="331"/>
      <c r="Y51" s="331"/>
      <c r="Z51" s="331"/>
      <c r="AB51" s="331"/>
      <c r="AC51" s="331"/>
      <c r="AD51" s="331"/>
      <c r="AF51" s="331"/>
      <c r="AG51" s="331"/>
      <c r="AI51" s="331"/>
    </row>
    <row r="52" spans="2:35" x14ac:dyDescent="0.25">
      <c r="B52" s="123" t="str">
        <f t="shared" si="0"/>
        <v>2 2025</v>
      </c>
      <c r="C52" s="122">
        <f t="shared" si="2"/>
        <v>45704</v>
      </c>
      <c r="D52" s="122">
        <f t="shared" si="3"/>
        <v>45705</v>
      </c>
      <c r="E52" s="123">
        <f t="shared" si="1"/>
        <v>1</v>
      </c>
      <c r="F52" s="123" t="s">
        <v>7</v>
      </c>
      <c r="H52" s="383">
        <f t="shared" si="4"/>
        <v>45704</v>
      </c>
      <c r="I52" s="325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X52" s="331"/>
      <c r="Y52" s="331"/>
      <c r="Z52" s="331"/>
      <c r="AB52" s="331"/>
      <c r="AC52" s="331"/>
      <c r="AD52" s="331"/>
      <c r="AF52" s="331"/>
      <c r="AG52" s="331"/>
      <c r="AI52" s="331"/>
    </row>
    <row r="53" spans="2:35" x14ac:dyDescent="0.25">
      <c r="B53" s="123" t="str">
        <f t="shared" si="0"/>
        <v>2 2025</v>
      </c>
      <c r="C53" s="122">
        <f t="shared" si="2"/>
        <v>45705</v>
      </c>
      <c r="D53" s="122">
        <f t="shared" si="3"/>
        <v>45706</v>
      </c>
      <c r="E53" s="123">
        <f t="shared" si="1"/>
        <v>1</v>
      </c>
      <c r="F53" s="123" t="s">
        <v>7</v>
      </c>
      <c r="H53" s="383">
        <f t="shared" si="4"/>
        <v>45705</v>
      </c>
      <c r="I53" s="325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X53" s="331"/>
      <c r="Y53" s="331"/>
      <c r="Z53" s="331"/>
      <c r="AB53" s="331"/>
      <c r="AC53" s="331"/>
      <c r="AD53" s="331"/>
      <c r="AF53" s="331"/>
      <c r="AG53" s="331"/>
      <c r="AI53" s="331"/>
    </row>
    <row r="54" spans="2:35" x14ac:dyDescent="0.25">
      <c r="B54" s="123" t="str">
        <f t="shared" si="0"/>
        <v>2 2025</v>
      </c>
      <c r="C54" s="122">
        <f t="shared" si="2"/>
        <v>45706</v>
      </c>
      <c r="D54" s="122">
        <f t="shared" si="3"/>
        <v>45707</v>
      </c>
      <c r="E54" s="123">
        <f t="shared" si="1"/>
        <v>1</v>
      </c>
      <c r="F54" s="123" t="s">
        <v>7</v>
      </c>
      <c r="H54" s="383">
        <f t="shared" si="4"/>
        <v>45706</v>
      </c>
      <c r="I54" s="325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X54" s="331"/>
      <c r="Y54" s="331"/>
      <c r="Z54" s="331"/>
      <c r="AB54" s="331"/>
      <c r="AC54" s="331"/>
      <c r="AD54" s="331"/>
      <c r="AF54" s="331"/>
      <c r="AG54" s="331"/>
      <c r="AI54" s="331"/>
    </row>
    <row r="55" spans="2:35" x14ac:dyDescent="0.25">
      <c r="B55" s="123" t="str">
        <f t="shared" si="0"/>
        <v>2 2025</v>
      </c>
      <c r="C55" s="122">
        <f t="shared" si="2"/>
        <v>45707</v>
      </c>
      <c r="D55" s="122">
        <f t="shared" si="3"/>
        <v>45708</v>
      </c>
      <c r="E55" s="123">
        <f t="shared" si="1"/>
        <v>1</v>
      </c>
      <c r="F55" s="123" t="s">
        <v>7</v>
      </c>
      <c r="H55" s="383">
        <f t="shared" si="4"/>
        <v>45707</v>
      </c>
      <c r="I55" s="325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X55" s="331"/>
      <c r="Y55" s="331"/>
      <c r="Z55" s="331"/>
      <c r="AB55" s="331"/>
      <c r="AC55" s="331"/>
      <c r="AD55" s="331"/>
      <c r="AF55" s="331"/>
      <c r="AG55" s="331"/>
      <c r="AI55" s="331"/>
    </row>
    <row r="56" spans="2:35" x14ac:dyDescent="0.25">
      <c r="B56" s="123" t="str">
        <f t="shared" si="0"/>
        <v>2 2025</v>
      </c>
      <c r="C56" s="122">
        <f t="shared" si="2"/>
        <v>45708</v>
      </c>
      <c r="D56" s="122">
        <f t="shared" si="3"/>
        <v>45709</v>
      </c>
      <c r="E56" s="123">
        <f t="shared" si="1"/>
        <v>1</v>
      </c>
      <c r="F56" s="123" t="s">
        <v>7</v>
      </c>
      <c r="H56" s="383">
        <f t="shared" si="4"/>
        <v>45708</v>
      </c>
      <c r="I56" s="325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X56" s="331"/>
      <c r="Y56" s="331"/>
      <c r="Z56" s="331"/>
      <c r="AB56" s="331"/>
      <c r="AC56" s="331"/>
      <c r="AD56" s="331"/>
      <c r="AF56" s="331"/>
      <c r="AG56" s="331"/>
      <c r="AI56" s="331"/>
    </row>
    <row r="57" spans="2:35" x14ac:dyDescent="0.25">
      <c r="B57" s="123" t="str">
        <f t="shared" si="0"/>
        <v>2 2025</v>
      </c>
      <c r="C57" s="122">
        <f t="shared" si="2"/>
        <v>45709</v>
      </c>
      <c r="D57" s="122">
        <f t="shared" si="3"/>
        <v>45710</v>
      </c>
      <c r="E57" s="123">
        <f t="shared" si="1"/>
        <v>1</v>
      </c>
      <c r="F57" s="123" t="s">
        <v>7</v>
      </c>
      <c r="H57" s="383">
        <f t="shared" si="4"/>
        <v>45709</v>
      </c>
      <c r="I57" s="325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X57" s="331"/>
      <c r="Y57" s="331"/>
      <c r="Z57" s="331"/>
      <c r="AB57" s="331"/>
      <c r="AC57" s="331"/>
      <c r="AD57" s="331"/>
      <c r="AF57" s="331"/>
      <c r="AG57" s="331"/>
      <c r="AI57" s="331"/>
    </row>
    <row r="58" spans="2:35" x14ac:dyDescent="0.25">
      <c r="B58" s="123" t="str">
        <f t="shared" si="0"/>
        <v>2 2025</v>
      </c>
      <c r="C58" s="122">
        <f t="shared" si="2"/>
        <v>45710</v>
      </c>
      <c r="D58" s="122">
        <f t="shared" si="3"/>
        <v>45711</v>
      </c>
      <c r="E58" s="123">
        <f t="shared" si="1"/>
        <v>1</v>
      </c>
      <c r="F58" s="123" t="s">
        <v>7</v>
      </c>
      <c r="H58" s="383">
        <f t="shared" si="4"/>
        <v>45710</v>
      </c>
      <c r="I58" s="325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X58" s="331"/>
      <c r="Y58" s="331"/>
      <c r="Z58" s="331"/>
      <c r="AB58" s="331"/>
      <c r="AC58" s="331"/>
      <c r="AD58" s="331"/>
      <c r="AF58" s="331"/>
      <c r="AG58" s="331"/>
      <c r="AI58" s="331"/>
    </row>
    <row r="59" spans="2:35" x14ac:dyDescent="0.25">
      <c r="B59" s="123" t="str">
        <f t="shared" si="0"/>
        <v>2 2025</v>
      </c>
      <c r="C59" s="122">
        <f t="shared" si="2"/>
        <v>45711</v>
      </c>
      <c r="D59" s="122">
        <f t="shared" si="3"/>
        <v>45712</v>
      </c>
      <c r="E59" s="123">
        <f t="shared" si="1"/>
        <v>1</v>
      </c>
      <c r="F59" s="123" t="s">
        <v>7</v>
      </c>
      <c r="H59" s="383">
        <f t="shared" si="4"/>
        <v>45711</v>
      </c>
      <c r="I59" s="325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X59" s="331"/>
      <c r="Y59" s="331"/>
      <c r="Z59" s="331"/>
      <c r="AB59" s="331"/>
      <c r="AC59" s="331"/>
      <c r="AD59" s="331"/>
      <c r="AF59" s="331"/>
      <c r="AG59" s="331"/>
      <c r="AI59" s="331"/>
    </row>
    <row r="60" spans="2:35" x14ac:dyDescent="0.25">
      <c r="B60" s="123" t="str">
        <f t="shared" si="0"/>
        <v>2 2025</v>
      </c>
      <c r="C60" s="122">
        <f t="shared" si="2"/>
        <v>45712</v>
      </c>
      <c r="D60" s="122">
        <f t="shared" si="3"/>
        <v>45713</v>
      </c>
      <c r="E60" s="123">
        <f t="shared" si="1"/>
        <v>1</v>
      </c>
      <c r="F60" s="123" t="s">
        <v>7</v>
      </c>
      <c r="H60" s="383">
        <f t="shared" si="4"/>
        <v>45712</v>
      </c>
      <c r="I60" s="325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X60" s="331"/>
      <c r="Y60" s="331"/>
      <c r="Z60" s="331"/>
      <c r="AB60" s="331"/>
      <c r="AC60" s="331"/>
      <c r="AD60" s="331"/>
      <c r="AF60" s="331"/>
      <c r="AG60" s="331"/>
      <c r="AI60" s="331"/>
    </row>
    <row r="61" spans="2:35" x14ac:dyDescent="0.25">
      <c r="B61" s="123" t="str">
        <f t="shared" si="0"/>
        <v>2 2025</v>
      </c>
      <c r="C61" s="122">
        <f t="shared" si="2"/>
        <v>45713</v>
      </c>
      <c r="D61" s="122">
        <f t="shared" si="3"/>
        <v>45714</v>
      </c>
      <c r="E61" s="123">
        <f t="shared" si="1"/>
        <v>1</v>
      </c>
      <c r="F61" s="123" t="s">
        <v>7</v>
      </c>
      <c r="H61" s="383">
        <f t="shared" si="4"/>
        <v>45713</v>
      </c>
      <c r="I61" s="325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X61" s="331"/>
      <c r="Y61" s="331"/>
      <c r="Z61" s="331"/>
      <c r="AB61" s="331"/>
      <c r="AC61" s="331"/>
      <c r="AD61" s="331"/>
      <c r="AF61" s="331"/>
      <c r="AG61" s="331"/>
      <c r="AI61" s="331"/>
    </row>
    <row r="62" spans="2:35" x14ac:dyDescent="0.25">
      <c r="B62" s="123" t="str">
        <f t="shared" si="0"/>
        <v>2 2025</v>
      </c>
      <c r="C62" s="122">
        <f t="shared" si="2"/>
        <v>45714</v>
      </c>
      <c r="D62" s="122">
        <f t="shared" si="3"/>
        <v>45715</v>
      </c>
      <c r="E62" s="123">
        <f t="shared" si="1"/>
        <v>1</v>
      </c>
      <c r="F62" s="123" t="s">
        <v>7</v>
      </c>
      <c r="H62" s="383">
        <f t="shared" si="4"/>
        <v>45714</v>
      </c>
      <c r="I62" s="325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X62" s="331"/>
      <c r="Y62" s="331"/>
      <c r="Z62" s="331"/>
      <c r="AB62" s="331"/>
      <c r="AC62" s="331"/>
      <c r="AD62" s="331"/>
      <c r="AF62" s="331"/>
      <c r="AG62" s="331"/>
      <c r="AI62" s="331"/>
    </row>
    <row r="63" spans="2:35" x14ac:dyDescent="0.25">
      <c r="B63" s="148" t="str">
        <f t="shared" si="0"/>
        <v>2 2025</v>
      </c>
      <c r="C63" s="149">
        <f t="shared" si="2"/>
        <v>45715</v>
      </c>
      <c r="D63" s="149">
        <f t="shared" si="3"/>
        <v>45716</v>
      </c>
      <c r="E63" s="148">
        <f t="shared" si="1"/>
        <v>1</v>
      </c>
      <c r="F63" s="148" t="s">
        <v>7</v>
      </c>
      <c r="H63" s="384">
        <f t="shared" si="4"/>
        <v>45715</v>
      </c>
      <c r="I63" s="325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X63" s="331"/>
      <c r="Y63" s="331"/>
      <c r="Z63" s="331"/>
      <c r="AB63" s="331"/>
      <c r="AC63" s="331"/>
      <c r="AD63" s="331"/>
      <c r="AF63" s="331"/>
      <c r="AG63" s="331"/>
      <c r="AI63" s="331"/>
    </row>
    <row r="64" spans="2:35" x14ac:dyDescent="0.25">
      <c r="B64" s="123" t="str">
        <f t="shared" si="0"/>
        <v>3 2025</v>
      </c>
      <c r="C64" s="122">
        <f t="shared" si="2"/>
        <v>45716</v>
      </c>
      <c r="D64" s="122">
        <f t="shared" si="3"/>
        <v>45717</v>
      </c>
      <c r="E64" s="123">
        <f t="shared" si="1"/>
        <v>1</v>
      </c>
      <c r="F64" s="123" t="s">
        <v>7</v>
      </c>
      <c r="H64" s="383">
        <f t="shared" si="4"/>
        <v>45716</v>
      </c>
      <c r="I64" s="325"/>
      <c r="K64" s="331"/>
      <c r="L64" s="331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X64" s="331"/>
      <c r="Y64" s="331"/>
      <c r="Z64" s="331"/>
      <c r="AB64" s="331"/>
      <c r="AC64" s="331"/>
      <c r="AD64" s="331"/>
      <c r="AF64" s="331"/>
      <c r="AG64" s="331"/>
      <c r="AI64" s="331"/>
    </row>
    <row r="65" spans="2:35" x14ac:dyDescent="0.25">
      <c r="B65" s="123" t="str">
        <f t="shared" si="0"/>
        <v>3 2025</v>
      </c>
      <c r="C65" s="122">
        <f t="shared" si="2"/>
        <v>45717</v>
      </c>
      <c r="D65" s="122">
        <f t="shared" si="3"/>
        <v>45718</v>
      </c>
      <c r="E65" s="123">
        <f t="shared" si="1"/>
        <v>1</v>
      </c>
      <c r="F65" s="123" t="s">
        <v>7</v>
      </c>
      <c r="H65" s="383">
        <f t="shared" si="4"/>
        <v>45717</v>
      </c>
      <c r="I65" s="325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X65" s="331"/>
      <c r="Y65" s="331"/>
      <c r="Z65" s="331"/>
      <c r="AB65" s="331"/>
      <c r="AC65" s="331"/>
      <c r="AD65" s="331"/>
      <c r="AF65" s="331"/>
      <c r="AG65" s="331"/>
      <c r="AI65" s="331"/>
    </row>
    <row r="66" spans="2:35" x14ac:dyDescent="0.25">
      <c r="B66" s="123" t="str">
        <f t="shared" si="0"/>
        <v>3 2025</v>
      </c>
      <c r="C66" s="122">
        <f t="shared" si="2"/>
        <v>45718</v>
      </c>
      <c r="D66" s="122">
        <f t="shared" si="3"/>
        <v>45719</v>
      </c>
      <c r="E66" s="123">
        <f t="shared" si="1"/>
        <v>1</v>
      </c>
      <c r="F66" s="123" t="s">
        <v>7</v>
      </c>
      <c r="H66" s="383">
        <f t="shared" si="4"/>
        <v>45718</v>
      </c>
      <c r="I66" s="325"/>
      <c r="K66" s="331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X66" s="331"/>
      <c r="Y66" s="331"/>
      <c r="Z66" s="331"/>
      <c r="AB66" s="331"/>
      <c r="AC66" s="331"/>
      <c r="AD66" s="331"/>
      <c r="AF66" s="331"/>
      <c r="AG66" s="331"/>
      <c r="AI66" s="331"/>
    </row>
    <row r="67" spans="2:35" x14ac:dyDescent="0.25">
      <c r="B67" s="123" t="str">
        <f t="shared" si="0"/>
        <v>3 2025</v>
      </c>
      <c r="C67" s="122">
        <f t="shared" si="2"/>
        <v>45719</v>
      </c>
      <c r="D67" s="122">
        <f t="shared" si="3"/>
        <v>45720</v>
      </c>
      <c r="E67" s="123">
        <f t="shared" si="1"/>
        <v>1</v>
      </c>
      <c r="F67" s="123" t="s">
        <v>7</v>
      </c>
      <c r="H67" s="383">
        <f t="shared" si="4"/>
        <v>45719</v>
      </c>
      <c r="I67" s="325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X67" s="331"/>
      <c r="Y67" s="331"/>
      <c r="Z67" s="331"/>
      <c r="AB67" s="331"/>
      <c r="AC67" s="331"/>
      <c r="AD67" s="331"/>
      <c r="AF67" s="331"/>
      <c r="AG67" s="331"/>
      <c r="AI67" s="331"/>
    </row>
    <row r="68" spans="2:35" x14ac:dyDescent="0.25">
      <c r="B68" s="123" t="str">
        <f t="shared" si="0"/>
        <v>3 2025</v>
      </c>
      <c r="C68" s="122">
        <f t="shared" si="2"/>
        <v>45720</v>
      </c>
      <c r="D68" s="122">
        <f t="shared" si="3"/>
        <v>45721</v>
      </c>
      <c r="E68" s="123">
        <f t="shared" si="1"/>
        <v>1</v>
      </c>
      <c r="F68" s="123" t="s">
        <v>7</v>
      </c>
      <c r="H68" s="383">
        <f t="shared" si="4"/>
        <v>45720</v>
      </c>
      <c r="I68" s="325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X68" s="331"/>
      <c r="Y68" s="331"/>
      <c r="Z68" s="331"/>
      <c r="AB68" s="331"/>
      <c r="AC68" s="331"/>
      <c r="AD68" s="331"/>
      <c r="AF68" s="331"/>
      <c r="AG68" s="331"/>
      <c r="AI68" s="331"/>
    </row>
    <row r="69" spans="2:35" x14ac:dyDescent="0.25">
      <c r="B69" s="123" t="str">
        <f t="shared" ref="B69:B132" si="5">CONCATENATE(MONTH(D69)," ",YEAR(D69))</f>
        <v>3 2025</v>
      </c>
      <c r="C69" s="122">
        <f t="shared" si="2"/>
        <v>45721</v>
      </c>
      <c r="D69" s="122">
        <f t="shared" si="3"/>
        <v>45722</v>
      </c>
      <c r="E69" s="123">
        <f t="shared" ref="E69:E132" si="6">D69-C69</f>
        <v>1</v>
      </c>
      <c r="F69" s="123" t="s">
        <v>7</v>
      </c>
      <c r="H69" s="383">
        <f t="shared" si="4"/>
        <v>45721</v>
      </c>
      <c r="I69" s="325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X69" s="331"/>
      <c r="Y69" s="331"/>
      <c r="Z69" s="331"/>
      <c r="AB69" s="331"/>
      <c r="AC69" s="331"/>
      <c r="AD69" s="331"/>
      <c r="AF69" s="331"/>
      <c r="AG69" s="331"/>
      <c r="AI69" s="331"/>
    </row>
    <row r="70" spans="2:35" x14ac:dyDescent="0.25">
      <c r="B70" s="123" t="str">
        <f t="shared" si="5"/>
        <v>3 2025</v>
      </c>
      <c r="C70" s="122">
        <f t="shared" ref="C70:C133" si="7">D69</f>
        <v>45722</v>
      </c>
      <c r="D70" s="122">
        <f t="shared" ref="D70:D133" si="8">D69+1</f>
        <v>45723</v>
      </c>
      <c r="E70" s="123">
        <f t="shared" si="6"/>
        <v>1</v>
      </c>
      <c r="F70" s="123" t="s">
        <v>7</v>
      </c>
      <c r="H70" s="383">
        <f t="shared" ref="H70:H133" si="9">C70</f>
        <v>45722</v>
      </c>
      <c r="I70" s="325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X70" s="331"/>
      <c r="Y70" s="331"/>
      <c r="Z70" s="331"/>
      <c r="AB70" s="331"/>
      <c r="AC70" s="331"/>
      <c r="AD70" s="331"/>
      <c r="AF70" s="331"/>
      <c r="AG70" s="331"/>
      <c r="AI70" s="331"/>
    </row>
    <row r="71" spans="2:35" x14ac:dyDescent="0.25">
      <c r="B71" s="123" t="str">
        <f t="shared" si="5"/>
        <v>3 2025</v>
      </c>
      <c r="C71" s="122">
        <f t="shared" si="7"/>
        <v>45723</v>
      </c>
      <c r="D71" s="122">
        <f t="shared" si="8"/>
        <v>45724</v>
      </c>
      <c r="E71" s="123">
        <f t="shared" si="6"/>
        <v>1</v>
      </c>
      <c r="F71" s="123" t="s">
        <v>7</v>
      </c>
      <c r="H71" s="383">
        <f t="shared" si="9"/>
        <v>45723</v>
      </c>
      <c r="I71" s="325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X71" s="331"/>
      <c r="Y71" s="331"/>
      <c r="Z71" s="331"/>
      <c r="AB71" s="331"/>
      <c r="AC71" s="331"/>
      <c r="AD71" s="331"/>
      <c r="AF71" s="331"/>
      <c r="AG71" s="331"/>
      <c r="AI71" s="331"/>
    </row>
    <row r="72" spans="2:35" x14ac:dyDescent="0.25">
      <c r="B72" s="123" t="str">
        <f t="shared" si="5"/>
        <v>3 2025</v>
      </c>
      <c r="C72" s="122">
        <f t="shared" si="7"/>
        <v>45724</v>
      </c>
      <c r="D72" s="122">
        <f t="shared" si="8"/>
        <v>45725</v>
      </c>
      <c r="E72" s="123">
        <f t="shared" si="6"/>
        <v>1</v>
      </c>
      <c r="F72" s="123" t="s">
        <v>7</v>
      </c>
      <c r="H72" s="383">
        <f t="shared" si="9"/>
        <v>45724</v>
      </c>
      <c r="I72" s="325"/>
      <c r="K72" s="331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X72" s="331"/>
      <c r="Y72" s="331"/>
      <c r="Z72" s="331"/>
      <c r="AB72" s="331"/>
      <c r="AC72" s="331"/>
      <c r="AD72" s="331"/>
      <c r="AF72" s="331"/>
      <c r="AG72" s="331"/>
      <c r="AI72" s="331"/>
    </row>
    <row r="73" spans="2:35" x14ac:dyDescent="0.25">
      <c r="B73" s="123" t="str">
        <f t="shared" si="5"/>
        <v>3 2025</v>
      </c>
      <c r="C73" s="122">
        <f t="shared" si="7"/>
        <v>45725</v>
      </c>
      <c r="D73" s="122">
        <f t="shared" si="8"/>
        <v>45726</v>
      </c>
      <c r="E73" s="123">
        <f t="shared" si="6"/>
        <v>1</v>
      </c>
      <c r="F73" s="123" t="s">
        <v>7</v>
      </c>
      <c r="H73" s="383">
        <f t="shared" si="9"/>
        <v>45725</v>
      </c>
      <c r="I73" s="325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X73" s="331"/>
      <c r="Y73" s="331"/>
      <c r="Z73" s="331"/>
      <c r="AB73" s="331"/>
      <c r="AC73" s="331"/>
      <c r="AD73" s="331"/>
      <c r="AF73" s="331"/>
      <c r="AG73" s="331"/>
      <c r="AI73" s="331"/>
    </row>
    <row r="74" spans="2:35" x14ac:dyDescent="0.25">
      <c r="B74" s="123" t="str">
        <f t="shared" si="5"/>
        <v>3 2025</v>
      </c>
      <c r="C74" s="122">
        <f t="shared" si="7"/>
        <v>45726</v>
      </c>
      <c r="D74" s="122">
        <f t="shared" si="8"/>
        <v>45727</v>
      </c>
      <c r="E74" s="123">
        <f t="shared" si="6"/>
        <v>1</v>
      </c>
      <c r="F74" s="123" t="s">
        <v>7</v>
      </c>
      <c r="H74" s="383">
        <f t="shared" si="9"/>
        <v>45726</v>
      </c>
      <c r="I74" s="325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X74" s="331"/>
      <c r="Y74" s="331"/>
      <c r="Z74" s="331"/>
      <c r="AB74" s="331"/>
      <c r="AC74" s="331"/>
      <c r="AD74" s="331"/>
      <c r="AF74" s="331"/>
      <c r="AG74" s="331"/>
      <c r="AI74" s="331"/>
    </row>
    <row r="75" spans="2:35" x14ac:dyDescent="0.25">
      <c r="B75" s="123" t="str">
        <f t="shared" si="5"/>
        <v>3 2025</v>
      </c>
      <c r="C75" s="122">
        <f t="shared" si="7"/>
        <v>45727</v>
      </c>
      <c r="D75" s="122">
        <f t="shared" si="8"/>
        <v>45728</v>
      </c>
      <c r="E75" s="123">
        <f t="shared" si="6"/>
        <v>1</v>
      </c>
      <c r="F75" s="123" t="s">
        <v>7</v>
      </c>
      <c r="H75" s="383">
        <f t="shared" si="9"/>
        <v>45727</v>
      </c>
      <c r="I75" s="325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X75" s="331"/>
      <c r="Y75" s="331"/>
      <c r="Z75" s="331"/>
      <c r="AB75" s="331"/>
      <c r="AC75" s="331"/>
      <c r="AD75" s="331"/>
      <c r="AF75" s="331"/>
      <c r="AG75" s="331"/>
      <c r="AI75" s="331"/>
    </row>
    <row r="76" spans="2:35" x14ac:dyDescent="0.25">
      <c r="B76" s="123" t="str">
        <f t="shared" si="5"/>
        <v>3 2025</v>
      </c>
      <c r="C76" s="122">
        <f t="shared" si="7"/>
        <v>45728</v>
      </c>
      <c r="D76" s="122">
        <f t="shared" si="8"/>
        <v>45729</v>
      </c>
      <c r="E76" s="123">
        <f t="shared" si="6"/>
        <v>1</v>
      </c>
      <c r="F76" s="123" t="s">
        <v>7</v>
      </c>
      <c r="H76" s="383">
        <f t="shared" si="9"/>
        <v>45728</v>
      </c>
      <c r="I76" s="325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X76" s="331"/>
      <c r="Y76" s="331"/>
      <c r="Z76" s="331"/>
      <c r="AB76" s="331"/>
      <c r="AC76" s="331"/>
      <c r="AD76" s="331"/>
      <c r="AF76" s="331"/>
      <c r="AG76" s="331"/>
      <c r="AI76" s="331"/>
    </row>
    <row r="77" spans="2:35" x14ac:dyDescent="0.25">
      <c r="B77" s="123" t="str">
        <f t="shared" si="5"/>
        <v>3 2025</v>
      </c>
      <c r="C77" s="122">
        <f t="shared" si="7"/>
        <v>45729</v>
      </c>
      <c r="D77" s="122">
        <f t="shared" si="8"/>
        <v>45730</v>
      </c>
      <c r="E77" s="123">
        <f t="shared" si="6"/>
        <v>1</v>
      </c>
      <c r="F77" s="123" t="s">
        <v>7</v>
      </c>
      <c r="H77" s="383">
        <f t="shared" si="9"/>
        <v>45729</v>
      </c>
      <c r="I77" s="325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X77" s="331"/>
      <c r="Y77" s="331"/>
      <c r="Z77" s="331"/>
      <c r="AB77" s="331"/>
      <c r="AC77" s="331"/>
      <c r="AD77" s="331"/>
      <c r="AF77" s="331"/>
      <c r="AG77" s="331"/>
      <c r="AI77" s="331"/>
    </row>
    <row r="78" spans="2:35" x14ac:dyDescent="0.25">
      <c r="B78" s="123" t="str">
        <f t="shared" si="5"/>
        <v>3 2025</v>
      </c>
      <c r="C78" s="122">
        <f t="shared" si="7"/>
        <v>45730</v>
      </c>
      <c r="D78" s="122">
        <f t="shared" si="8"/>
        <v>45731</v>
      </c>
      <c r="E78" s="123">
        <f t="shared" si="6"/>
        <v>1</v>
      </c>
      <c r="F78" s="123" t="s">
        <v>7</v>
      </c>
      <c r="H78" s="383">
        <f t="shared" si="9"/>
        <v>45730</v>
      </c>
      <c r="I78" s="325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X78" s="331"/>
      <c r="Y78" s="331"/>
      <c r="Z78" s="331"/>
      <c r="AB78" s="331"/>
      <c r="AC78" s="331"/>
      <c r="AD78" s="331"/>
      <c r="AF78" s="331"/>
      <c r="AG78" s="331"/>
      <c r="AI78" s="331"/>
    </row>
    <row r="79" spans="2:35" x14ac:dyDescent="0.25">
      <c r="B79" s="123" t="str">
        <f t="shared" si="5"/>
        <v>3 2025</v>
      </c>
      <c r="C79" s="122">
        <f t="shared" si="7"/>
        <v>45731</v>
      </c>
      <c r="D79" s="122">
        <f t="shared" si="8"/>
        <v>45732</v>
      </c>
      <c r="E79" s="123">
        <f t="shared" si="6"/>
        <v>1</v>
      </c>
      <c r="F79" s="123" t="s">
        <v>7</v>
      </c>
      <c r="H79" s="383">
        <f t="shared" si="9"/>
        <v>45731</v>
      </c>
      <c r="I79" s="325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X79" s="331"/>
      <c r="Y79" s="331"/>
      <c r="Z79" s="331"/>
      <c r="AB79" s="331"/>
      <c r="AC79" s="331"/>
      <c r="AD79" s="331"/>
      <c r="AF79" s="331"/>
      <c r="AG79" s="331"/>
      <c r="AI79" s="331"/>
    </row>
    <row r="80" spans="2:35" x14ac:dyDescent="0.25">
      <c r="B80" s="123" t="str">
        <f t="shared" si="5"/>
        <v>3 2025</v>
      </c>
      <c r="C80" s="122">
        <f t="shared" si="7"/>
        <v>45732</v>
      </c>
      <c r="D80" s="122">
        <f t="shared" si="8"/>
        <v>45733</v>
      </c>
      <c r="E80" s="123">
        <f t="shared" si="6"/>
        <v>1</v>
      </c>
      <c r="F80" s="123" t="s">
        <v>7</v>
      </c>
      <c r="H80" s="383">
        <f t="shared" si="9"/>
        <v>45732</v>
      </c>
      <c r="I80" s="325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X80" s="331"/>
      <c r="Y80" s="331"/>
      <c r="Z80" s="331"/>
      <c r="AB80" s="331"/>
      <c r="AC80" s="331"/>
      <c r="AD80" s="331"/>
      <c r="AF80" s="331"/>
      <c r="AG80" s="331"/>
      <c r="AI80" s="331"/>
    </row>
    <row r="81" spans="2:35" x14ac:dyDescent="0.25">
      <c r="B81" s="123" t="str">
        <f t="shared" si="5"/>
        <v>3 2025</v>
      </c>
      <c r="C81" s="122">
        <f t="shared" si="7"/>
        <v>45733</v>
      </c>
      <c r="D81" s="122">
        <f t="shared" si="8"/>
        <v>45734</v>
      </c>
      <c r="E81" s="123">
        <f t="shared" si="6"/>
        <v>1</v>
      </c>
      <c r="F81" s="123" t="s">
        <v>7</v>
      </c>
      <c r="H81" s="383">
        <f t="shared" si="9"/>
        <v>45733</v>
      </c>
      <c r="I81" s="325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X81" s="331"/>
      <c r="Y81" s="331"/>
      <c r="Z81" s="331"/>
      <c r="AB81" s="331"/>
      <c r="AC81" s="331"/>
      <c r="AD81" s="331"/>
      <c r="AF81" s="331"/>
      <c r="AG81" s="331"/>
      <c r="AI81" s="331"/>
    </row>
    <row r="82" spans="2:35" x14ac:dyDescent="0.25">
      <c r="B82" s="123" t="str">
        <f t="shared" si="5"/>
        <v>3 2025</v>
      </c>
      <c r="C82" s="122">
        <f t="shared" si="7"/>
        <v>45734</v>
      </c>
      <c r="D82" s="122">
        <f t="shared" si="8"/>
        <v>45735</v>
      </c>
      <c r="E82" s="123">
        <f t="shared" si="6"/>
        <v>1</v>
      </c>
      <c r="F82" s="123" t="s">
        <v>7</v>
      </c>
      <c r="H82" s="383">
        <f t="shared" si="9"/>
        <v>45734</v>
      </c>
      <c r="I82" s="325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X82" s="331"/>
      <c r="Y82" s="331"/>
      <c r="Z82" s="331"/>
      <c r="AB82" s="331"/>
      <c r="AC82" s="331"/>
      <c r="AD82" s="331"/>
      <c r="AF82" s="331"/>
      <c r="AG82" s="331"/>
      <c r="AI82" s="331"/>
    </row>
    <row r="83" spans="2:35" x14ac:dyDescent="0.25">
      <c r="B83" s="123" t="str">
        <f t="shared" si="5"/>
        <v>3 2025</v>
      </c>
      <c r="C83" s="122">
        <f t="shared" si="7"/>
        <v>45735</v>
      </c>
      <c r="D83" s="122">
        <f t="shared" si="8"/>
        <v>45736</v>
      </c>
      <c r="E83" s="123">
        <f t="shared" si="6"/>
        <v>1</v>
      </c>
      <c r="F83" s="123" t="s">
        <v>7</v>
      </c>
      <c r="H83" s="383">
        <f t="shared" si="9"/>
        <v>45735</v>
      </c>
      <c r="I83" s="325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X83" s="331"/>
      <c r="Y83" s="331"/>
      <c r="Z83" s="331"/>
      <c r="AB83" s="331"/>
      <c r="AC83" s="331"/>
      <c r="AD83" s="331"/>
      <c r="AF83" s="331"/>
      <c r="AG83" s="331"/>
      <c r="AI83" s="331"/>
    </row>
    <row r="84" spans="2:35" x14ac:dyDescent="0.25">
      <c r="B84" s="123" t="str">
        <f t="shared" si="5"/>
        <v>3 2025</v>
      </c>
      <c r="C84" s="122">
        <f t="shared" si="7"/>
        <v>45736</v>
      </c>
      <c r="D84" s="122">
        <f t="shared" si="8"/>
        <v>45737</v>
      </c>
      <c r="E84" s="123">
        <f t="shared" si="6"/>
        <v>1</v>
      </c>
      <c r="F84" s="123" t="s">
        <v>7</v>
      </c>
      <c r="H84" s="383">
        <f t="shared" si="9"/>
        <v>45736</v>
      </c>
      <c r="I84" s="325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X84" s="331"/>
      <c r="Y84" s="331"/>
      <c r="Z84" s="331"/>
      <c r="AB84" s="331"/>
      <c r="AC84" s="331"/>
      <c r="AD84" s="331"/>
      <c r="AF84" s="331"/>
      <c r="AG84" s="331"/>
      <c r="AI84" s="331"/>
    </row>
    <row r="85" spans="2:35" x14ac:dyDescent="0.25">
      <c r="B85" s="123" t="str">
        <f t="shared" si="5"/>
        <v>3 2025</v>
      </c>
      <c r="C85" s="122">
        <f t="shared" si="7"/>
        <v>45737</v>
      </c>
      <c r="D85" s="122">
        <f t="shared" si="8"/>
        <v>45738</v>
      </c>
      <c r="E85" s="123">
        <f t="shared" si="6"/>
        <v>1</v>
      </c>
      <c r="F85" s="123" t="s">
        <v>7</v>
      </c>
      <c r="H85" s="383">
        <f t="shared" si="9"/>
        <v>45737</v>
      </c>
      <c r="I85" s="325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X85" s="331"/>
      <c r="Y85" s="331"/>
      <c r="Z85" s="331"/>
      <c r="AB85" s="331"/>
      <c r="AC85" s="331"/>
      <c r="AD85" s="331"/>
      <c r="AF85" s="331"/>
      <c r="AG85" s="331"/>
      <c r="AI85" s="331"/>
    </row>
    <row r="86" spans="2:35" x14ac:dyDescent="0.25">
      <c r="B86" s="123" t="str">
        <f t="shared" si="5"/>
        <v>3 2025</v>
      </c>
      <c r="C86" s="122">
        <f t="shared" si="7"/>
        <v>45738</v>
      </c>
      <c r="D86" s="122">
        <f t="shared" si="8"/>
        <v>45739</v>
      </c>
      <c r="E86" s="123">
        <f t="shared" si="6"/>
        <v>1</v>
      </c>
      <c r="F86" s="123" t="s">
        <v>7</v>
      </c>
      <c r="H86" s="383">
        <f t="shared" si="9"/>
        <v>45738</v>
      </c>
      <c r="I86" s="325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X86" s="331"/>
      <c r="Y86" s="331"/>
      <c r="Z86" s="331"/>
      <c r="AB86" s="331"/>
      <c r="AC86" s="331"/>
      <c r="AD86" s="331"/>
      <c r="AF86" s="331"/>
      <c r="AG86" s="331"/>
      <c r="AI86" s="331"/>
    </row>
    <row r="87" spans="2:35" x14ac:dyDescent="0.25">
      <c r="B87" s="123" t="str">
        <f t="shared" si="5"/>
        <v>3 2025</v>
      </c>
      <c r="C87" s="122">
        <f t="shared" si="7"/>
        <v>45739</v>
      </c>
      <c r="D87" s="122">
        <f t="shared" si="8"/>
        <v>45740</v>
      </c>
      <c r="E87" s="123">
        <f t="shared" si="6"/>
        <v>1</v>
      </c>
      <c r="F87" s="123" t="s">
        <v>7</v>
      </c>
      <c r="H87" s="383">
        <f t="shared" si="9"/>
        <v>45739</v>
      </c>
      <c r="I87" s="325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X87" s="331"/>
      <c r="Y87" s="331"/>
      <c r="Z87" s="331"/>
      <c r="AB87" s="331"/>
      <c r="AC87" s="331"/>
      <c r="AD87" s="331"/>
      <c r="AF87" s="331"/>
      <c r="AG87" s="331"/>
      <c r="AI87" s="331"/>
    </row>
    <row r="88" spans="2:35" x14ac:dyDescent="0.25">
      <c r="B88" s="123" t="str">
        <f t="shared" si="5"/>
        <v>3 2025</v>
      </c>
      <c r="C88" s="122">
        <f t="shared" si="7"/>
        <v>45740</v>
      </c>
      <c r="D88" s="122">
        <f t="shared" si="8"/>
        <v>45741</v>
      </c>
      <c r="E88" s="123">
        <f t="shared" si="6"/>
        <v>1</v>
      </c>
      <c r="F88" s="123" t="s">
        <v>7</v>
      </c>
      <c r="H88" s="383">
        <f t="shared" si="9"/>
        <v>45740</v>
      </c>
      <c r="I88" s="325"/>
      <c r="K88" s="331"/>
      <c r="L88" s="331"/>
      <c r="M88" s="331"/>
      <c r="N88" s="331"/>
      <c r="O88" s="331"/>
      <c r="P88" s="331"/>
      <c r="Q88" s="331"/>
      <c r="R88" s="331"/>
      <c r="S88" s="331"/>
      <c r="T88" s="331"/>
      <c r="U88" s="331"/>
      <c r="V88" s="331"/>
      <c r="X88" s="331"/>
      <c r="Y88" s="331"/>
      <c r="Z88" s="331"/>
      <c r="AB88" s="331"/>
      <c r="AC88" s="331"/>
      <c r="AD88" s="331"/>
      <c r="AF88" s="331"/>
      <c r="AG88" s="331"/>
      <c r="AI88" s="331"/>
    </row>
    <row r="89" spans="2:35" x14ac:dyDescent="0.25">
      <c r="B89" s="123" t="str">
        <f t="shared" si="5"/>
        <v>3 2025</v>
      </c>
      <c r="C89" s="122">
        <f t="shared" si="7"/>
        <v>45741</v>
      </c>
      <c r="D89" s="122">
        <f t="shared" si="8"/>
        <v>45742</v>
      </c>
      <c r="E89" s="123">
        <f t="shared" si="6"/>
        <v>1</v>
      </c>
      <c r="F89" s="123" t="s">
        <v>7</v>
      </c>
      <c r="H89" s="383">
        <f t="shared" si="9"/>
        <v>45741</v>
      </c>
      <c r="I89" s="325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X89" s="331"/>
      <c r="Y89" s="331"/>
      <c r="Z89" s="331"/>
      <c r="AB89" s="331"/>
      <c r="AC89" s="331"/>
      <c r="AD89" s="331"/>
      <c r="AF89" s="331"/>
      <c r="AG89" s="331"/>
      <c r="AI89" s="331"/>
    </row>
    <row r="90" spans="2:35" x14ac:dyDescent="0.25">
      <c r="B90" s="123" t="str">
        <f t="shared" si="5"/>
        <v>3 2025</v>
      </c>
      <c r="C90" s="122">
        <f t="shared" si="7"/>
        <v>45742</v>
      </c>
      <c r="D90" s="122">
        <f t="shared" si="8"/>
        <v>45743</v>
      </c>
      <c r="E90" s="123">
        <f t="shared" si="6"/>
        <v>1</v>
      </c>
      <c r="F90" s="123" t="s">
        <v>7</v>
      </c>
      <c r="H90" s="383">
        <f t="shared" si="9"/>
        <v>45742</v>
      </c>
      <c r="I90" s="325"/>
      <c r="K90" s="331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X90" s="331"/>
      <c r="Y90" s="331"/>
      <c r="Z90" s="331"/>
      <c r="AB90" s="331"/>
      <c r="AC90" s="331"/>
      <c r="AD90" s="331"/>
      <c r="AF90" s="331"/>
      <c r="AG90" s="331"/>
      <c r="AI90" s="331"/>
    </row>
    <row r="91" spans="2:35" x14ac:dyDescent="0.25">
      <c r="B91" s="123" t="str">
        <f t="shared" si="5"/>
        <v>3 2025</v>
      </c>
      <c r="C91" s="122">
        <f t="shared" si="7"/>
        <v>45743</v>
      </c>
      <c r="D91" s="122">
        <f t="shared" si="8"/>
        <v>45744</v>
      </c>
      <c r="E91" s="123">
        <f t="shared" si="6"/>
        <v>1</v>
      </c>
      <c r="F91" s="123" t="s">
        <v>7</v>
      </c>
      <c r="H91" s="383">
        <f t="shared" si="9"/>
        <v>45743</v>
      </c>
      <c r="I91" s="325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X91" s="331"/>
      <c r="Y91" s="331"/>
      <c r="Z91" s="331"/>
      <c r="AB91" s="331"/>
      <c r="AC91" s="331"/>
      <c r="AD91" s="331"/>
      <c r="AF91" s="331"/>
      <c r="AG91" s="331"/>
      <c r="AI91" s="331"/>
    </row>
    <row r="92" spans="2:35" x14ac:dyDescent="0.25">
      <c r="B92" s="123" t="str">
        <f t="shared" si="5"/>
        <v>3 2025</v>
      </c>
      <c r="C92" s="122">
        <f t="shared" si="7"/>
        <v>45744</v>
      </c>
      <c r="D92" s="122">
        <f t="shared" si="8"/>
        <v>45745</v>
      </c>
      <c r="E92" s="123">
        <f t="shared" si="6"/>
        <v>1</v>
      </c>
      <c r="F92" s="123" t="s">
        <v>7</v>
      </c>
      <c r="H92" s="383">
        <f t="shared" si="9"/>
        <v>45744</v>
      </c>
      <c r="I92" s="325"/>
      <c r="K92" s="331"/>
      <c r="L92" s="331"/>
      <c r="M92" s="331"/>
      <c r="N92" s="331"/>
      <c r="O92" s="331"/>
      <c r="P92" s="331"/>
      <c r="Q92" s="331"/>
      <c r="R92" s="331"/>
      <c r="S92" s="331"/>
      <c r="T92" s="331"/>
      <c r="U92" s="331"/>
      <c r="V92" s="331"/>
      <c r="X92" s="331"/>
      <c r="Y92" s="331"/>
      <c r="Z92" s="331"/>
      <c r="AB92" s="331"/>
      <c r="AC92" s="331"/>
      <c r="AD92" s="331"/>
      <c r="AF92" s="331"/>
      <c r="AG92" s="331"/>
      <c r="AI92" s="331"/>
    </row>
    <row r="93" spans="2:35" x14ac:dyDescent="0.25">
      <c r="B93" s="123" t="str">
        <f t="shared" si="5"/>
        <v>3 2025</v>
      </c>
      <c r="C93" s="122">
        <f t="shared" si="7"/>
        <v>45745</v>
      </c>
      <c r="D93" s="122">
        <f t="shared" si="8"/>
        <v>45746</v>
      </c>
      <c r="E93" s="123">
        <f t="shared" si="6"/>
        <v>1</v>
      </c>
      <c r="F93" s="123" t="s">
        <v>7</v>
      </c>
      <c r="H93" s="383">
        <f t="shared" si="9"/>
        <v>45745</v>
      </c>
      <c r="I93" s="325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X93" s="331"/>
      <c r="Y93" s="331"/>
      <c r="Z93" s="331"/>
      <c r="AB93" s="331"/>
      <c r="AC93" s="331"/>
      <c r="AD93" s="331"/>
      <c r="AF93" s="331"/>
      <c r="AG93" s="331"/>
      <c r="AI93" s="331"/>
    </row>
    <row r="94" spans="2:35" x14ac:dyDescent="0.25">
      <c r="B94" s="148" t="str">
        <f t="shared" si="5"/>
        <v>3 2025</v>
      </c>
      <c r="C94" s="149">
        <f t="shared" si="7"/>
        <v>45746</v>
      </c>
      <c r="D94" s="149">
        <f t="shared" si="8"/>
        <v>45747</v>
      </c>
      <c r="E94" s="148">
        <f t="shared" si="6"/>
        <v>1</v>
      </c>
      <c r="F94" s="148" t="s">
        <v>7</v>
      </c>
      <c r="H94" s="384">
        <f t="shared" si="9"/>
        <v>45746</v>
      </c>
      <c r="I94" s="325"/>
      <c r="K94" s="331"/>
      <c r="L94" s="331"/>
      <c r="M94" s="331"/>
      <c r="N94" s="331"/>
      <c r="O94" s="331"/>
      <c r="P94" s="331"/>
      <c r="Q94" s="331"/>
      <c r="R94" s="331"/>
      <c r="S94" s="331"/>
      <c r="T94" s="331"/>
      <c r="U94" s="331"/>
      <c r="V94" s="331"/>
      <c r="X94" s="331"/>
      <c r="Y94" s="331"/>
      <c r="Z94" s="331"/>
      <c r="AB94" s="331"/>
      <c r="AC94" s="331"/>
      <c r="AD94" s="331"/>
      <c r="AF94" s="331"/>
      <c r="AG94" s="331"/>
      <c r="AI94" s="331"/>
    </row>
    <row r="95" spans="2:35" x14ac:dyDescent="0.25">
      <c r="B95" s="123" t="str">
        <f t="shared" si="5"/>
        <v>4 2025</v>
      </c>
      <c r="C95" s="122">
        <f t="shared" si="7"/>
        <v>45747</v>
      </c>
      <c r="D95" s="122">
        <f t="shared" si="8"/>
        <v>45748</v>
      </c>
      <c r="E95" s="123">
        <f t="shared" si="6"/>
        <v>1</v>
      </c>
      <c r="F95" s="123" t="s">
        <v>7</v>
      </c>
      <c r="H95" s="383">
        <f t="shared" si="9"/>
        <v>45747</v>
      </c>
      <c r="I95" s="325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X95" s="331"/>
      <c r="Y95" s="331"/>
      <c r="Z95" s="331"/>
      <c r="AB95" s="331"/>
      <c r="AC95" s="331"/>
      <c r="AD95" s="331"/>
      <c r="AF95" s="331"/>
      <c r="AG95" s="331"/>
      <c r="AI95" s="331"/>
    </row>
    <row r="96" spans="2:35" x14ac:dyDescent="0.25">
      <c r="B96" s="123" t="str">
        <f t="shared" si="5"/>
        <v>4 2025</v>
      </c>
      <c r="C96" s="122">
        <f t="shared" si="7"/>
        <v>45748</v>
      </c>
      <c r="D96" s="122">
        <f t="shared" si="8"/>
        <v>45749</v>
      </c>
      <c r="E96" s="123">
        <f t="shared" si="6"/>
        <v>1</v>
      </c>
      <c r="F96" s="123" t="s">
        <v>7</v>
      </c>
      <c r="H96" s="383">
        <f t="shared" si="9"/>
        <v>45748</v>
      </c>
      <c r="I96" s="325"/>
      <c r="K96" s="331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X96" s="331"/>
      <c r="Y96" s="331"/>
      <c r="Z96" s="331"/>
      <c r="AB96" s="331"/>
      <c r="AC96" s="331"/>
      <c r="AD96" s="331"/>
      <c r="AF96" s="331"/>
      <c r="AG96" s="331"/>
      <c r="AI96" s="331"/>
    </row>
    <row r="97" spans="2:35" x14ac:dyDescent="0.25">
      <c r="B97" s="123" t="str">
        <f t="shared" si="5"/>
        <v>4 2025</v>
      </c>
      <c r="C97" s="122">
        <f t="shared" si="7"/>
        <v>45749</v>
      </c>
      <c r="D97" s="122">
        <f t="shared" si="8"/>
        <v>45750</v>
      </c>
      <c r="E97" s="123">
        <f t="shared" si="6"/>
        <v>1</v>
      </c>
      <c r="F97" s="123" t="s">
        <v>7</v>
      </c>
      <c r="H97" s="383">
        <f t="shared" si="9"/>
        <v>45749</v>
      </c>
      <c r="I97" s="325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X97" s="331"/>
      <c r="Y97" s="331"/>
      <c r="Z97" s="331"/>
      <c r="AB97" s="331"/>
      <c r="AC97" s="331"/>
      <c r="AD97" s="331"/>
      <c r="AF97" s="331"/>
      <c r="AG97" s="331"/>
      <c r="AI97" s="331"/>
    </row>
    <row r="98" spans="2:35" x14ac:dyDescent="0.25">
      <c r="B98" s="123" t="str">
        <f t="shared" si="5"/>
        <v>4 2025</v>
      </c>
      <c r="C98" s="122">
        <f t="shared" si="7"/>
        <v>45750</v>
      </c>
      <c r="D98" s="122">
        <f t="shared" si="8"/>
        <v>45751</v>
      </c>
      <c r="E98" s="123">
        <f t="shared" si="6"/>
        <v>1</v>
      </c>
      <c r="F98" s="123" t="s">
        <v>7</v>
      </c>
      <c r="H98" s="383">
        <f t="shared" si="9"/>
        <v>45750</v>
      </c>
      <c r="I98" s="325"/>
      <c r="K98" s="331"/>
      <c r="L98" s="331"/>
      <c r="M98" s="331"/>
      <c r="N98" s="331"/>
      <c r="O98" s="331"/>
      <c r="P98" s="331"/>
      <c r="Q98" s="331"/>
      <c r="R98" s="331"/>
      <c r="S98" s="331"/>
      <c r="T98" s="331"/>
      <c r="U98" s="331"/>
      <c r="V98" s="331"/>
      <c r="X98" s="331"/>
      <c r="Y98" s="331"/>
      <c r="Z98" s="331"/>
      <c r="AB98" s="331"/>
      <c r="AC98" s="331"/>
      <c r="AD98" s="331"/>
      <c r="AF98" s="331"/>
      <c r="AG98" s="331"/>
      <c r="AI98" s="331"/>
    </row>
    <row r="99" spans="2:35" x14ac:dyDescent="0.25">
      <c r="B99" s="123" t="str">
        <f t="shared" si="5"/>
        <v>4 2025</v>
      </c>
      <c r="C99" s="122">
        <f t="shared" si="7"/>
        <v>45751</v>
      </c>
      <c r="D99" s="122">
        <f t="shared" si="8"/>
        <v>45752</v>
      </c>
      <c r="E99" s="123">
        <f t="shared" si="6"/>
        <v>1</v>
      </c>
      <c r="F99" s="123" t="s">
        <v>7</v>
      </c>
      <c r="H99" s="383">
        <f t="shared" si="9"/>
        <v>45751</v>
      </c>
      <c r="I99" s="325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X99" s="331"/>
      <c r="Y99" s="331"/>
      <c r="Z99" s="331"/>
      <c r="AB99" s="331"/>
      <c r="AC99" s="331"/>
      <c r="AD99" s="331"/>
      <c r="AF99" s="331"/>
      <c r="AG99" s="331"/>
      <c r="AI99" s="331"/>
    </row>
    <row r="100" spans="2:35" x14ac:dyDescent="0.25">
      <c r="B100" s="123" t="str">
        <f t="shared" si="5"/>
        <v>4 2025</v>
      </c>
      <c r="C100" s="122">
        <f t="shared" si="7"/>
        <v>45752</v>
      </c>
      <c r="D100" s="122">
        <f t="shared" si="8"/>
        <v>45753</v>
      </c>
      <c r="E100" s="123">
        <f t="shared" si="6"/>
        <v>1</v>
      </c>
      <c r="F100" s="123" t="s">
        <v>7</v>
      </c>
      <c r="H100" s="383">
        <f t="shared" si="9"/>
        <v>45752</v>
      </c>
      <c r="I100" s="325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X100" s="331"/>
      <c r="Y100" s="331"/>
      <c r="Z100" s="331"/>
      <c r="AB100" s="331"/>
      <c r="AC100" s="331"/>
      <c r="AD100" s="331"/>
      <c r="AF100" s="331"/>
      <c r="AG100" s="331"/>
      <c r="AI100" s="331"/>
    </row>
    <row r="101" spans="2:35" x14ac:dyDescent="0.25">
      <c r="B101" s="123" t="str">
        <f t="shared" si="5"/>
        <v>4 2025</v>
      </c>
      <c r="C101" s="122">
        <f t="shared" si="7"/>
        <v>45753</v>
      </c>
      <c r="D101" s="122">
        <f t="shared" si="8"/>
        <v>45754</v>
      </c>
      <c r="E101" s="123">
        <f t="shared" si="6"/>
        <v>1</v>
      </c>
      <c r="F101" s="123" t="s">
        <v>7</v>
      </c>
      <c r="H101" s="383">
        <f t="shared" si="9"/>
        <v>45753</v>
      </c>
      <c r="I101" s="325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X101" s="331"/>
      <c r="Y101" s="331"/>
      <c r="Z101" s="331"/>
      <c r="AB101" s="331"/>
      <c r="AC101" s="331"/>
      <c r="AD101" s="331"/>
      <c r="AF101" s="331"/>
      <c r="AG101" s="331"/>
      <c r="AI101" s="331"/>
    </row>
    <row r="102" spans="2:35" x14ac:dyDescent="0.25">
      <c r="B102" s="123" t="str">
        <f t="shared" si="5"/>
        <v>4 2025</v>
      </c>
      <c r="C102" s="122">
        <f t="shared" si="7"/>
        <v>45754</v>
      </c>
      <c r="D102" s="122">
        <f t="shared" si="8"/>
        <v>45755</v>
      </c>
      <c r="E102" s="123">
        <f t="shared" si="6"/>
        <v>1</v>
      </c>
      <c r="F102" s="123" t="s">
        <v>7</v>
      </c>
      <c r="H102" s="383">
        <f t="shared" si="9"/>
        <v>45754</v>
      </c>
      <c r="I102" s="325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X102" s="331"/>
      <c r="Y102" s="331"/>
      <c r="Z102" s="331"/>
      <c r="AB102" s="331"/>
      <c r="AC102" s="331"/>
      <c r="AD102" s="331"/>
      <c r="AF102" s="331"/>
      <c r="AG102" s="331"/>
      <c r="AI102" s="331"/>
    </row>
    <row r="103" spans="2:35" x14ac:dyDescent="0.25">
      <c r="B103" s="123" t="str">
        <f t="shared" si="5"/>
        <v>4 2025</v>
      </c>
      <c r="C103" s="122">
        <f t="shared" si="7"/>
        <v>45755</v>
      </c>
      <c r="D103" s="122">
        <f t="shared" si="8"/>
        <v>45756</v>
      </c>
      <c r="E103" s="123">
        <f t="shared" si="6"/>
        <v>1</v>
      </c>
      <c r="F103" s="123" t="s">
        <v>7</v>
      </c>
      <c r="H103" s="383">
        <f t="shared" si="9"/>
        <v>45755</v>
      </c>
      <c r="I103" s="325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X103" s="331"/>
      <c r="Y103" s="331"/>
      <c r="Z103" s="331"/>
      <c r="AB103" s="331"/>
      <c r="AC103" s="331"/>
      <c r="AD103" s="331"/>
      <c r="AF103" s="331"/>
      <c r="AG103" s="331"/>
      <c r="AI103" s="331"/>
    </row>
    <row r="104" spans="2:35" x14ac:dyDescent="0.25">
      <c r="B104" s="123" t="str">
        <f t="shared" si="5"/>
        <v>4 2025</v>
      </c>
      <c r="C104" s="122">
        <f t="shared" si="7"/>
        <v>45756</v>
      </c>
      <c r="D104" s="122">
        <f t="shared" si="8"/>
        <v>45757</v>
      </c>
      <c r="E104" s="123">
        <f t="shared" si="6"/>
        <v>1</v>
      </c>
      <c r="F104" s="123" t="s">
        <v>7</v>
      </c>
      <c r="H104" s="383">
        <f t="shared" si="9"/>
        <v>45756</v>
      </c>
      <c r="I104" s="325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X104" s="331"/>
      <c r="Y104" s="331"/>
      <c r="Z104" s="331"/>
      <c r="AB104" s="331"/>
      <c r="AC104" s="331"/>
      <c r="AD104" s="331"/>
      <c r="AF104" s="331"/>
      <c r="AG104" s="331"/>
      <c r="AI104" s="331"/>
    </row>
    <row r="105" spans="2:35" x14ac:dyDescent="0.25">
      <c r="B105" s="123" t="str">
        <f t="shared" si="5"/>
        <v>4 2025</v>
      </c>
      <c r="C105" s="122">
        <f t="shared" si="7"/>
        <v>45757</v>
      </c>
      <c r="D105" s="122">
        <f t="shared" si="8"/>
        <v>45758</v>
      </c>
      <c r="E105" s="123">
        <f t="shared" si="6"/>
        <v>1</v>
      </c>
      <c r="F105" s="123" t="s">
        <v>7</v>
      </c>
      <c r="H105" s="383">
        <f t="shared" si="9"/>
        <v>45757</v>
      </c>
      <c r="I105" s="325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X105" s="331"/>
      <c r="Y105" s="331"/>
      <c r="Z105" s="331"/>
      <c r="AB105" s="331"/>
      <c r="AC105" s="331"/>
      <c r="AD105" s="331"/>
      <c r="AF105" s="331"/>
      <c r="AG105" s="331"/>
      <c r="AI105" s="331"/>
    </row>
    <row r="106" spans="2:35" x14ac:dyDescent="0.25">
      <c r="B106" s="123" t="str">
        <f t="shared" si="5"/>
        <v>4 2025</v>
      </c>
      <c r="C106" s="122">
        <f t="shared" si="7"/>
        <v>45758</v>
      </c>
      <c r="D106" s="122">
        <f t="shared" si="8"/>
        <v>45759</v>
      </c>
      <c r="E106" s="123">
        <f t="shared" si="6"/>
        <v>1</v>
      </c>
      <c r="F106" s="123" t="s">
        <v>7</v>
      </c>
      <c r="H106" s="383">
        <f t="shared" si="9"/>
        <v>45758</v>
      </c>
      <c r="I106" s="325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X106" s="331"/>
      <c r="Y106" s="331"/>
      <c r="Z106" s="331"/>
      <c r="AB106" s="331"/>
      <c r="AC106" s="331"/>
      <c r="AD106" s="331"/>
      <c r="AF106" s="331"/>
      <c r="AG106" s="331"/>
      <c r="AI106" s="331"/>
    </row>
    <row r="107" spans="2:35" x14ac:dyDescent="0.25">
      <c r="B107" s="123" t="str">
        <f t="shared" si="5"/>
        <v>4 2025</v>
      </c>
      <c r="C107" s="122">
        <f t="shared" si="7"/>
        <v>45759</v>
      </c>
      <c r="D107" s="122">
        <f t="shared" si="8"/>
        <v>45760</v>
      </c>
      <c r="E107" s="123">
        <f t="shared" si="6"/>
        <v>1</v>
      </c>
      <c r="F107" s="123" t="s">
        <v>7</v>
      </c>
      <c r="H107" s="383">
        <f t="shared" si="9"/>
        <v>45759</v>
      </c>
      <c r="I107" s="325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X107" s="331"/>
      <c r="Y107" s="331"/>
      <c r="Z107" s="331"/>
      <c r="AB107" s="331"/>
      <c r="AC107" s="331"/>
      <c r="AD107" s="331"/>
      <c r="AF107" s="331"/>
      <c r="AG107" s="331"/>
      <c r="AI107" s="331"/>
    </row>
    <row r="108" spans="2:35" x14ac:dyDescent="0.25">
      <c r="B108" s="123" t="str">
        <f t="shared" si="5"/>
        <v>4 2025</v>
      </c>
      <c r="C108" s="122">
        <f t="shared" si="7"/>
        <v>45760</v>
      </c>
      <c r="D108" s="122">
        <f t="shared" si="8"/>
        <v>45761</v>
      </c>
      <c r="E108" s="123">
        <f t="shared" si="6"/>
        <v>1</v>
      </c>
      <c r="F108" s="123" t="s">
        <v>7</v>
      </c>
      <c r="H108" s="383">
        <f t="shared" si="9"/>
        <v>45760</v>
      </c>
      <c r="I108" s="325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X108" s="331"/>
      <c r="Y108" s="331"/>
      <c r="Z108" s="331"/>
      <c r="AB108" s="331"/>
      <c r="AC108" s="331"/>
      <c r="AD108" s="331"/>
      <c r="AF108" s="331"/>
      <c r="AG108" s="331"/>
      <c r="AI108" s="331"/>
    </row>
    <row r="109" spans="2:35" x14ac:dyDescent="0.25">
      <c r="B109" s="123" t="str">
        <f t="shared" si="5"/>
        <v>4 2025</v>
      </c>
      <c r="C109" s="122">
        <f t="shared" si="7"/>
        <v>45761</v>
      </c>
      <c r="D109" s="122">
        <f t="shared" si="8"/>
        <v>45762</v>
      </c>
      <c r="E109" s="123">
        <f t="shared" si="6"/>
        <v>1</v>
      </c>
      <c r="F109" s="123" t="s">
        <v>7</v>
      </c>
      <c r="H109" s="383">
        <f t="shared" si="9"/>
        <v>45761</v>
      </c>
      <c r="I109" s="325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X109" s="331"/>
      <c r="Y109" s="331"/>
      <c r="Z109" s="331"/>
      <c r="AB109" s="331"/>
      <c r="AC109" s="331"/>
      <c r="AD109" s="331"/>
      <c r="AF109" s="331"/>
      <c r="AG109" s="331"/>
      <c r="AI109" s="331"/>
    </row>
    <row r="110" spans="2:35" x14ac:dyDescent="0.25">
      <c r="B110" s="123" t="str">
        <f t="shared" si="5"/>
        <v>4 2025</v>
      </c>
      <c r="C110" s="122">
        <f t="shared" si="7"/>
        <v>45762</v>
      </c>
      <c r="D110" s="122">
        <f t="shared" si="8"/>
        <v>45763</v>
      </c>
      <c r="E110" s="123">
        <f t="shared" si="6"/>
        <v>1</v>
      </c>
      <c r="F110" s="123" t="s">
        <v>7</v>
      </c>
      <c r="H110" s="383">
        <f t="shared" si="9"/>
        <v>45762</v>
      </c>
      <c r="I110" s="325"/>
      <c r="K110" s="331"/>
      <c r="L110" s="331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X110" s="331"/>
      <c r="Y110" s="331"/>
      <c r="Z110" s="331"/>
      <c r="AB110" s="331"/>
      <c r="AC110" s="331"/>
      <c r="AD110" s="331"/>
      <c r="AF110" s="331"/>
      <c r="AG110" s="331"/>
      <c r="AI110" s="331"/>
    </row>
    <row r="111" spans="2:35" x14ac:dyDescent="0.25">
      <c r="B111" s="123" t="str">
        <f t="shared" si="5"/>
        <v>4 2025</v>
      </c>
      <c r="C111" s="122">
        <f t="shared" si="7"/>
        <v>45763</v>
      </c>
      <c r="D111" s="122">
        <f t="shared" si="8"/>
        <v>45764</v>
      </c>
      <c r="E111" s="123">
        <f t="shared" si="6"/>
        <v>1</v>
      </c>
      <c r="F111" s="123" t="s">
        <v>7</v>
      </c>
      <c r="H111" s="383">
        <f t="shared" si="9"/>
        <v>45763</v>
      </c>
      <c r="I111" s="325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X111" s="331"/>
      <c r="Y111" s="331"/>
      <c r="Z111" s="331"/>
      <c r="AB111" s="331"/>
      <c r="AC111" s="331"/>
      <c r="AD111" s="331"/>
      <c r="AF111" s="331"/>
      <c r="AG111" s="331"/>
      <c r="AI111" s="331"/>
    </row>
    <row r="112" spans="2:35" x14ac:dyDescent="0.25">
      <c r="B112" s="123" t="str">
        <f t="shared" si="5"/>
        <v>4 2025</v>
      </c>
      <c r="C112" s="122">
        <f t="shared" si="7"/>
        <v>45764</v>
      </c>
      <c r="D112" s="122">
        <f t="shared" si="8"/>
        <v>45765</v>
      </c>
      <c r="E112" s="123">
        <f t="shared" si="6"/>
        <v>1</v>
      </c>
      <c r="F112" s="123" t="s">
        <v>7</v>
      </c>
      <c r="H112" s="383">
        <f t="shared" si="9"/>
        <v>45764</v>
      </c>
      <c r="I112" s="325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X112" s="331"/>
      <c r="Y112" s="331"/>
      <c r="Z112" s="331"/>
      <c r="AB112" s="331"/>
      <c r="AC112" s="331"/>
      <c r="AD112" s="331"/>
      <c r="AF112" s="331"/>
      <c r="AG112" s="331"/>
      <c r="AI112" s="331"/>
    </row>
    <row r="113" spans="2:35" x14ac:dyDescent="0.25">
      <c r="B113" s="123" t="str">
        <f t="shared" si="5"/>
        <v>4 2025</v>
      </c>
      <c r="C113" s="122">
        <f t="shared" si="7"/>
        <v>45765</v>
      </c>
      <c r="D113" s="122">
        <f t="shared" si="8"/>
        <v>45766</v>
      </c>
      <c r="E113" s="123">
        <f t="shared" si="6"/>
        <v>1</v>
      </c>
      <c r="F113" s="123" t="s">
        <v>7</v>
      </c>
      <c r="H113" s="383">
        <f t="shared" si="9"/>
        <v>45765</v>
      </c>
      <c r="I113" s="325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X113" s="331"/>
      <c r="Y113" s="331"/>
      <c r="Z113" s="331"/>
      <c r="AB113" s="331"/>
      <c r="AC113" s="331"/>
      <c r="AD113" s="331"/>
      <c r="AF113" s="331"/>
      <c r="AG113" s="331"/>
      <c r="AI113" s="331"/>
    </row>
    <row r="114" spans="2:35" x14ac:dyDescent="0.25">
      <c r="B114" s="123" t="str">
        <f t="shared" si="5"/>
        <v>4 2025</v>
      </c>
      <c r="C114" s="122">
        <f t="shared" si="7"/>
        <v>45766</v>
      </c>
      <c r="D114" s="122">
        <f t="shared" si="8"/>
        <v>45767</v>
      </c>
      <c r="E114" s="123">
        <f t="shared" si="6"/>
        <v>1</v>
      </c>
      <c r="F114" s="123" t="s">
        <v>7</v>
      </c>
      <c r="H114" s="383">
        <f t="shared" si="9"/>
        <v>45766</v>
      </c>
      <c r="I114" s="325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X114" s="331"/>
      <c r="Y114" s="331"/>
      <c r="Z114" s="331"/>
      <c r="AB114" s="331"/>
      <c r="AC114" s="331"/>
      <c r="AD114" s="331"/>
      <c r="AF114" s="331"/>
      <c r="AG114" s="331"/>
      <c r="AI114" s="331"/>
    </row>
    <row r="115" spans="2:35" x14ac:dyDescent="0.25">
      <c r="B115" s="123" t="str">
        <f t="shared" si="5"/>
        <v>4 2025</v>
      </c>
      <c r="C115" s="122">
        <f t="shared" si="7"/>
        <v>45767</v>
      </c>
      <c r="D115" s="122">
        <f t="shared" si="8"/>
        <v>45768</v>
      </c>
      <c r="E115" s="123">
        <f t="shared" si="6"/>
        <v>1</v>
      </c>
      <c r="F115" s="123" t="s">
        <v>7</v>
      </c>
      <c r="H115" s="383">
        <f t="shared" si="9"/>
        <v>45767</v>
      </c>
      <c r="I115" s="325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X115" s="331"/>
      <c r="Y115" s="331"/>
      <c r="Z115" s="331"/>
      <c r="AB115" s="331"/>
      <c r="AC115" s="331"/>
      <c r="AD115" s="331"/>
      <c r="AF115" s="331"/>
      <c r="AG115" s="331"/>
      <c r="AI115" s="331"/>
    </row>
    <row r="116" spans="2:35" x14ac:dyDescent="0.25">
      <c r="B116" s="123" t="str">
        <f t="shared" si="5"/>
        <v>4 2025</v>
      </c>
      <c r="C116" s="122">
        <f t="shared" si="7"/>
        <v>45768</v>
      </c>
      <c r="D116" s="122">
        <f t="shared" si="8"/>
        <v>45769</v>
      </c>
      <c r="E116" s="123">
        <f t="shared" si="6"/>
        <v>1</v>
      </c>
      <c r="F116" s="123" t="s">
        <v>7</v>
      </c>
      <c r="H116" s="383">
        <f t="shared" si="9"/>
        <v>45768</v>
      </c>
      <c r="I116" s="325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X116" s="331"/>
      <c r="Y116" s="331"/>
      <c r="Z116" s="331"/>
      <c r="AB116" s="331"/>
      <c r="AC116" s="331"/>
      <c r="AD116" s="331"/>
      <c r="AF116" s="331"/>
      <c r="AG116" s="331"/>
      <c r="AI116" s="331"/>
    </row>
    <row r="117" spans="2:35" x14ac:dyDescent="0.25">
      <c r="B117" s="123" t="str">
        <f t="shared" si="5"/>
        <v>4 2025</v>
      </c>
      <c r="C117" s="122">
        <f t="shared" si="7"/>
        <v>45769</v>
      </c>
      <c r="D117" s="122">
        <f t="shared" si="8"/>
        <v>45770</v>
      </c>
      <c r="E117" s="123">
        <f t="shared" si="6"/>
        <v>1</v>
      </c>
      <c r="F117" s="123" t="s">
        <v>7</v>
      </c>
      <c r="H117" s="383">
        <f t="shared" si="9"/>
        <v>45769</v>
      </c>
      <c r="I117" s="325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X117" s="331"/>
      <c r="Y117" s="331"/>
      <c r="Z117" s="331"/>
      <c r="AB117" s="331"/>
      <c r="AC117" s="331"/>
      <c r="AD117" s="331"/>
      <c r="AF117" s="331"/>
      <c r="AG117" s="331"/>
      <c r="AI117" s="331"/>
    </row>
    <row r="118" spans="2:35" x14ac:dyDescent="0.25">
      <c r="B118" s="123" t="str">
        <f t="shared" si="5"/>
        <v>4 2025</v>
      </c>
      <c r="C118" s="122">
        <f t="shared" si="7"/>
        <v>45770</v>
      </c>
      <c r="D118" s="122">
        <f t="shared" si="8"/>
        <v>45771</v>
      </c>
      <c r="E118" s="123">
        <f t="shared" si="6"/>
        <v>1</v>
      </c>
      <c r="F118" s="123" t="s">
        <v>7</v>
      </c>
      <c r="H118" s="383">
        <f t="shared" si="9"/>
        <v>45770</v>
      </c>
      <c r="I118" s="325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X118" s="331"/>
      <c r="Y118" s="331"/>
      <c r="Z118" s="331"/>
      <c r="AB118" s="331"/>
      <c r="AC118" s="331"/>
      <c r="AD118" s="331"/>
      <c r="AF118" s="331"/>
      <c r="AG118" s="331"/>
      <c r="AI118" s="331"/>
    </row>
    <row r="119" spans="2:35" x14ac:dyDescent="0.25">
      <c r="B119" s="123" t="str">
        <f t="shared" si="5"/>
        <v>4 2025</v>
      </c>
      <c r="C119" s="122">
        <f t="shared" si="7"/>
        <v>45771</v>
      </c>
      <c r="D119" s="122">
        <f t="shared" si="8"/>
        <v>45772</v>
      </c>
      <c r="E119" s="123">
        <f t="shared" si="6"/>
        <v>1</v>
      </c>
      <c r="F119" s="123" t="s">
        <v>7</v>
      </c>
      <c r="H119" s="383">
        <f t="shared" si="9"/>
        <v>45771</v>
      </c>
      <c r="I119" s="325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X119" s="331"/>
      <c r="Y119" s="331"/>
      <c r="Z119" s="331"/>
      <c r="AB119" s="331"/>
      <c r="AC119" s="331"/>
      <c r="AD119" s="331"/>
      <c r="AF119" s="331"/>
      <c r="AG119" s="331"/>
      <c r="AI119" s="331"/>
    </row>
    <row r="120" spans="2:35" x14ac:dyDescent="0.25">
      <c r="B120" s="123" t="str">
        <f t="shared" si="5"/>
        <v>4 2025</v>
      </c>
      <c r="C120" s="122">
        <f t="shared" si="7"/>
        <v>45772</v>
      </c>
      <c r="D120" s="122">
        <f t="shared" si="8"/>
        <v>45773</v>
      </c>
      <c r="E120" s="123">
        <f t="shared" si="6"/>
        <v>1</v>
      </c>
      <c r="F120" s="123" t="s">
        <v>7</v>
      </c>
      <c r="H120" s="383">
        <f t="shared" si="9"/>
        <v>45772</v>
      </c>
      <c r="I120" s="325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/>
      <c r="X120" s="331"/>
      <c r="Y120" s="331"/>
      <c r="Z120" s="331"/>
      <c r="AB120" s="331"/>
      <c r="AC120" s="331"/>
      <c r="AD120" s="331"/>
      <c r="AF120" s="331"/>
      <c r="AG120" s="331"/>
      <c r="AI120" s="331"/>
    </row>
    <row r="121" spans="2:35" x14ac:dyDescent="0.25">
      <c r="B121" s="123" t="str">
        <f t="shared" si="5"/>
        <v>4 2025</v>
      </c>
      <c r="C121" s="122">
        <f t="shared" si="7"/>
        <v>45773</v>
      </c>
      <c r="D121" s="122">
        <f t="shared" si="8"/>
        <v>45774</v>
      </c>
      <c r="E121" s="123">
        <f t="shared" si="6"/>
        <v>1</v>
      </c>
      <c r="F121" s="123" t="s">
        <v>7</v>
      </c>
      <c r="H121" s="383">
        <f t="shared" si="9"/>
        <v>45773</v>
      </c>
      <c r="I121" s="325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X121" s="331"/>
      <c r="Y121" s="331"/>
      <c r="Z121" s="331"/>
      <c r="AB121" s="331"/>
      <c r="AC121" s="331"/>
      <c r="AD121" s="331"/>
      <c r="AF121" s="331"/>
      <c r="AG121" s="331"/>
      <c r="AI121" s="331"/>
    </row>
    <row r="122" spans="2:35" x14ac:dyDescent="0.25">
      <c r="B122" s="123" t="str">
        <f t="shared" si="5"/>
        <v>4 2025</v>
      </c>
      <c r="C122" s="122">
        <f t="shared" si="7"/>
        <v>45774</v>
      </c>
      <c r="D122" s="122">
        <f t="shared" si="8"/>
        <v>45775</v>
      </c>
      <c r="E122" s="123">
        <f t="shared" si="6"/>
        <v>1</v>
      </c>
      <c r="F122" s="123" t="s">
        <v>7</v>
      </c>
      <c r="H122" s="383">
        <f t="shared" si="9"/>
        <v>45774</v>
      </c>
      <c r="I122" s="325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X122" s="331"/>
      <c r="Y122" s="331"/>
      <c r="Z122" s="331"/>
      <c r="AB122" s="331"/>
      <c r="AC122" s="331"/>
      <c r="AD122" s="331"/>
      <c r="AF122" s="331"/>
      <c r="AG122" s="331"/>
      <c r="AI122" s="331"/>
    </row>
    <row r="123" spans="2:35" x14ac:dyDescent="0.25">
      <c r="B123" s="123" t="str">
        <f t="shared" si="5"/>
        <v>4 2025</v>
      </c>
      <c r="C123" s="122">
        <f t="shared" si="7"/>
        <v>45775</v>
      </c>
      <c r="D123" s="122">
        <f t="shared" si="8"/>
        <v>45776</v>
      </c>
      <c r="E123" s="123">
        <f t="shared" si="6"/>
        <v>1</v>
      </c>
      <c r="F123" s="123" t="s">
        <v>7</v>
      </c>
      <c r="H123" s="383">
        <f t="shared" si="9"/>
        <v>45775</v>
      </c>
      <c r="I123" s="325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X123" s="331"/>
      <c r="Y123" s="331"/>
      <c r="Z123" s="331"/>
      <c r="AB123" s="331"/>
      <c r="AC123" s="331"/>
      <c r="AD123" s="331"/>
      <c r="AF123" s="331"/>
      <c r="AG123" s="331"/>
      <c r="AI123" s="331"/>
    </row>
    <row r="124" spans="2:35" x14ac:dyDescent="0.25">
      <c r="B124" s="148" t="str">
        <f t="shared" si="5"/>
        <v>4 2025</v>
      </c>
      <c r="C124" s="149">
        <f t="shared" si="7"/>
        <v>45776</v>
      </c>
      <c r="D124" s="149">
        <f t="shared" si="8"/>
        <v>45777</v>
      </c>
      <c r="E124" s="148">
        <f t="shared" si="6"/>
        <v>1</v>
      </c>
      <c r="F124" s="148" t="s">
        <v>7</v>
      </c>
      <c r="H124" s="384">
        <f t="shared" si="9"/>
        <v>45776</v>
      </c>
      <c r="I124" s="325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X124" s="331"/>
      <c r="Y124" s="331"/>
      <c r="Z124" s="331"/>
      <c r="AB124" s="331"/>
      <c r="AC124" s="331"/>
      <c r="AD124" s="331"/>
      <c r="AF124" s="331"/>
      <c r="AG124" s="331"/>
      <c r="AI124" s="331"/>
    </row>
    <row r="125" spans="2:35" x14ac:dyDescent="0.25">
      <c r="B125" s="123" t="str">
        <f t="shared" si="5"/>
        <v>5 2025</v>
      </c>
      <c r="C125" s="122">
        <f t="shared" si="7"/>
        <v>45777</v>
      </c>
      <c r="D125" s="122">
        <f t="shared" si="8"/>
        <v>45778</v>
      </c>
      <c r="E125" s="123">
        <f t="shared" si="6"/>
        <v>1</v>
      </c>
      <c r="F125" s="123" t="s">
        <v>7</v>
      </c>
      <c r="H125" s="383">
        <f t="shared" si="9"/>
        <v>45777</v>
      </c>
      <c r="I125" s="325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X125" s="331"/>
      <c r="Y125" s="331"/>
      <c r="Z125" s="331"/>
      <c r="AB125" s="331"/>
      <c r="AC125" s="331"/>
      <c r="AD125" s="331"/>
      <c r="AF125" s="331"/>
      <c r="AG125" s="331"/>
      <c r="AI125" s="331"/>
    </row>
    <row r="126" spans="2:35" x14ac:dyDescent="0.25">
      <c r="B126" s="123" t="str">
        <f t="shared" si="5"/>
        <v>5 2025</v>
      </c>
      <c r="C126" s="122">
        <f t="shared" si="7"/>
        <v>45778</v>
      </c>
      <c r="D126" s="122">
        <f t="shared" si="8"/>
        <v>45779</v>
      </c>
      <c r="E126" s="123">
        <f t="shared" si="6"/>
        <v>1</v>
      </c>
      <c r="F126" s="123" t="s">
        <v>7</v>
      </c>
      <c r="H126" s="383">
        <f t="shared" si="9"/>
        <v>45778</v>
      </c>
      <c r="I126" s="325"/>
      <c r="K126" s="331"/>
      <c r="L126" s="331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X126" s="331"/>
      <c r="Y126" s="331"/>
      <c r="Z126" s="331"/>
      <c r="AB126" s="331"/>
      <c r="AC126" s="331"/>
      <c r="AD126" s="331"/>
      <c r="AF126" s="331"/>
      <c r="AG126" s="331"/>
      <c r="AI126" s="331"/>
    </row>
    <row r="127" spans="2:35" x14ac:dyDescent="0.25">
      <c r="B127" s="123" t="str">
        <f t="shared" si="5"/>
        <v>5 2025</v>
      </c>
      <c r="C127" s="122">
        <f t="shared" si="7"/>
        <v>45779</v>
      </c>
      <c r="D127" s="122">
        <f t="shared" si="8"/>
        <v>45780</v>
      </c>
      <c r="E127" s="123">
        <f t="shared" si="6"/>
        <v>1</v>
      </c>
      <c r="F127" s="123" t="s">
        <v>7</v>
      </c>
      <c r="H127" s="383">
        <f t="shared" si="9"/>
        <v>45779</v>
      </c>
      <c r="I127" s="325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X127" s="331"/>
      <c r="Y127" s="331"/>
      <c r="Z127" s="331"/>
      <c r="AB127" s="331"/>
      <c r="AC127" s="331"/>
      <c r="AD127" s="331"/>
      <c r="AF127" s="331"/>
      <c r="AG127" s="331"/>
      <c r="AI127" s="331"/>
    </row>
    <row r="128" spans="2:35" x14ac:dyDescent="0.25">
      <c r="B128" s="123" t="str">
        <f t="shared" si="5"/>
        <v>5 2025</v>
      </c>
      <c r="C128" s="122">
        <f t="shared" si="7"/>
        <v>45780</v>
      </c>
      <c r="D128" s="122">
        <f t="shared" si="8"/>
        <v>45781</v>
      </c>
      <c r="E128" s="123">
        <f t="shared" si="6"/>
        <v>1</v>
      </c>
      <c r="F128" s="123" t="s">
        <v>7</v>
      </c>
      <c r="H128" s="383">
        <f t="shared" si="9"/>
        <v>45780</v>
      </c>
      <c r="I128" s="325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X128" s="331"/>
      <c r="Y128" s="331"/>
      <c r="Z128" s="331"/>
      <c r="AB128" s="331"/>
      <c r="AC128" s="331"/>
      <c r="AD128" s="331"/>
      <c r="AF128" s="331"/>
      <c r="AG128" s="331"/>
      <c r="AI128" s="331"/>
    </row>
    <row r="129" spans="2:35" x14ac:dyDescent="0.25">
      <c r="B129" s="123" t="str">
        <f t="shared" si="5"/>
        <v>5 2025</v>
      </c>
      <c r="C129" s="122">
        <f t="shared" si="7"/>
        <v>45781</v>
      </c>
      <c r="D129" s="122">
        <f t="shared" si="8"/>
        <v>45782</v>
      </c>
      <c r="E129" s="123">
        <f t="shared" si="6"/>
        <v>1</v>
      </c>
      <c r="F129" s="123" t="s">
        <v>7</v>
      </c>
      <c r="H129" s="383">
        <f t="shared" si="9"/>
        <v>45781</v>
      </c>
      <c r="I129" s="325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X129" s="331"/>
      <c r="Y129" s="331"/>
      <c r="Z129" s="331"/>
      <c r="AB129" s="331"/>
      <c r="AC129" s="331"/>
      <c r="AD129" s="331"/>
      <c r="AF129" s="331"/>
      <c r="AG129" s="331"/>
      <c r="AI129" s="331"/>
    </row>
    <row r="130" spans="2:35" x14ac:dyDescent="0.25">
      <c r="B130" s="123" t="str">
        <f t="shared" si="5"/>
        <v>5 2025</v>
      </c>
      <c r="C130" s="122">
        <f t="shared" si="7"/>
        <v>45782</v>
      </c>
      <c r="D130" s="122">
        <f t="shared" si="8"/>
        <v>45783</v>
      </c>
      <c r="E130" s="123">
        <f t="shared" si="6"/>
        <v>1</v>
      </c>
      <c r="F130" s="123" t="s">
        <v>7</v>
      </c>
      <c r="H130" s="383">
        <f t="shared" si="9"/>
        <v>45782</v>
      </c>
      <c r="I130" s="325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X130" s="331"/>
      <c r="Y130" s="331"/>
      <c r="Z130" s="331"/>
      <c r="AB130" s="331"/>
      <c r="AC130" s="331"/>
      <c r="AD130" s="331"/>
      <c r="AF130" s="331"/>
      <c r="AG130" s="331"/>
      <c r="AI130" s="331"/>
    </row>
    <row r="131" spans="2:35" x14ac:dyDescent="0.25">
      <c r="B131" s="123" t="str">
        <f t="shared" si="5"/>
        <v>5 2025</v>
      </c>
      <c r="C131" s="122">
        <f t="shared" si="7"/>
        <v>45783</v>
      </c>
      <c r="D131" s="122">
        <f t="shared" si="8"/>
        <v>45784</v>
      </c>
      <c r="E131" s="123">
        <f t="shared" si="6"/>
        <v>1</v>
      </c>
      <c r="F131" s="123" t="s">
        <v>7</v>
      </c>
      <c r="H131" s="383">
        <f t="shared" si="9"/>
        <v>45783</v>
      </c>
      <c r="I131" s="325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X131" s="331"/>
      <c r="Y131" s="331"/>
      <c r="Z131" s="331"/>
      <c r="AB131" s="331"/>
      <c r="AC131" s="331"/>
      <c r="AD131" s="331"/>
      <c r="AF131" s="331"/>
      <c r="AG131" s="331"/>
      <c r="AI131" s="331"/>
    </row>
    <row r="132" spans="2:35" x14ac:dyDescent="0.25">
      <c r="B132" s="123" t="str">
        <f t="shared" si="5"/>
        <v>5 2025</v>
      </c>
      <c r="C132" s="122">
        <f t="shared" si="7"/>
        <v>45784</v>
      </c>
      <c r="D132" s="122">
        <f t="shared" si="8"/>
        <v>45785</v>
      </c>
      <c r="E132" s="123">
        <f t="shared" si="6"/>
        <v>1</v>
      </c>
      <c r="F132" s="123" t="s">
        <v>7</v>
      </c>
      <c r="H132" s="383">
        <f t="shared" si="9"/>
        <v>45784</v>
      </c>
      <c r="I132" s="325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X132" s="331"/>
      <c r="Y132" s="331"/>
      <c r="Z132" s="331"/>
      <c r="AB132" s="331"/>
      <c r="AC132" s="331"/>
      <c r="AD132" s="331"/>
      <c r="AF132" s="331"/>
      <c r="AG132" s="331"/>
      <c r="AI132" s="331"/>
    </row>
    <row r="133" spans="2:35" x14ac:dyDescent="0.25">
      <c r="B133" s="123" t="str">
        <f t="shared" ref="B133:B196" si="10">CONCATENATE(MONTH(D133)," ",YEAR(D133))</f>
        <v>5 2025</v>
      </c>
      <c r="C133" s="122">
        <f t="shared" si="7"/>
        <v>45785</v>
      </c>
      <c r="D133" s="122">
        <f t="shared" si="8"/>
        <v>45786</v>
      </c>
      <c r="E133" s="123">
        <f t="shared" ref="E133:E196" si="11">D133-C133</f>
        <v>1</v>
      </c>
      <c r="F133" s="123" t="s">
        <v>7</v>
      </c>
      <c r="H133" s="383">
        <f t="shared" si="9"/>
        <v>45785</v>
      </c>
      <c r="I133" s="325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X133" s="331"/>
      <c r="Y133" s="331"/>
      <c r="Z133" s="331"/>
      <c r="AB133" s="331"/>
      <c r="AC133" s="331"/>
      <c r="AD133" s="331"/>
      <c r="AF133" s="331"/>
      <c r="AG133" s="331"/>
      <c r="AI133" s="331"/>
    </row>
    <row r="134" spans="2:35" x14ac:dyDescent="0.25">
      <c r="B134" s="123" t="str">
        <f t="shared" si="10"/>
        <v>5 2025</v>
      </c>
      <c r="C134" s="122">
        <f t="shared" ref="C134:C197" si="12">D133</f>
        <v>45786</v>
      </c>
      <c r="D134" s="122">
        <f t="shared" ref="D134:D197" si="13">D133+1</f>
        <v>45787</v>
      </c>
      <c r="E134" s="123">
        <f t="shared" si="11"/>
        <v>1</v>
      </c>
      <c r="F134" s="123" t="s">
        <v>7</v>
      </c>
      <c r="H134" s="383">
        <f t="shared" ref="H134:H197" si="14">C134</f>
        <v>45786</v>
      </c>
      <c r="I134" s="325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X134" s="331"/>
      <c r="Y134" s="331"/>
      <c r="Z134" s="331"/>
      <c r="AB134" s="331"/>
      <c r="AC134" s="331"/>
      <c r="AD134" s="331"/>
      <c r="AF134" s="331"/>
      <c r="AG134" s="331"/>
      <c r="AI134" s="331"/>
    </row>
    <row r="135" spans="2:35" x14ac:dyDescent="0.25">
      <c r="B135" s="123" t="str">
        <f t="shared" si="10"/>
        <v>5 2025</v>
      </c>
      <c r="C135" s="122">
        <f t="shared" si="12"/>
        <v>45787</v>
      </c>
      <c r="D135" s="122">
        <f t="shared" si="13"/>
        <v>45788</v>
      </c>
      <c r="E135" s="123">
        <f t="shared" si="11"/>
        <v>1</v>
      </c>
      <c r="F135" s="123" t="s">
        <v>7</v>
      </c>
      <c r="H135" s="383">
        <f t="shared" si="14"/>
        <v>45787</v>
      </c>
      <c r="I135" s="325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X135" s="331"/>
      <c r="Y135" s="331"/>
      <c r="Z135" s="331"/>
      <c r="AB135" s="331"/>
      <c r="AC135" s="331"/>
      <c r="AD135" s="331"/>
      <c r="AF135" s="331"/>
      <c r="AG135" s="331"/>
      <c r="AI135" s="331"/>
    </row>
    <row r="136" spans="2:35" x14ac:dyDescent="0.25">
      <c r="B136" s="123" t="str">
        <f t="shared" si="10"/>
        <v>5 2025</v>
      </c>
      <c r="C136" s="122">
        <f t="shared" si="12"/>
        <v>45788</v>
      </c>
      <c r="D136" s="122">
        <f t="shared" si="13"/>
        <v>45789</v>
      </c>
      <c r="E136" s="123">
        <f t="shared" si="11"/>
        <v>1</v>
      </c>
      <c r="F136" s="123" t="s">
        <v>7</v>
      </c>
      <c r="H136" s="383">
        <f t="shared" si="14"/>
        <v>45788</v>
      </c>
      <c r="I136" s="325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X136" s="331"/>
      <c r="Y136" s="331"/>
      <c r="Z136" s="331"/>
      <c r="AB136" s="331"/>
      <c r="AC136" s="331"/>
      <c r="AD136" s="331"/>
      <c r="AF136" s="331"/>
      <c r="AG136" s="331"/>
      <c r="AI136" s="331"/>
    </row>
    <row r="137" spans="2:35" x14ac:dyDescent="0.25">
      <c r="B137" s="123" t="str">
        <f t="shared" si="10"/>
        <v>5 2025</v>
      </c>
      <c r="C137" s="122">
        <f t="shared" si="12"/>
        <v>45789</v>
      </c>
      <c r="D137" s="122">
        <f t="shared" si="13"/>
        <v>45790</v>
      </c>
      <c r="E137" s="123">
        <f t="shared" si="11"/>
        <v>1</v>
      </c>
      <c r="F137" s="123" t="s">
        <v>7</v>
      </c>
      <c r="H137" s="383">
        <f t="shared" si="14"/>
        <v>45789</v>
      </c>
      <c r="I137" s="325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X137" s="331"/>
      <c r="Y137" s="331"/>
      <c r="Z137" s="331"/>
      <c r="AB137" s="331"/>
      <c r="AC137" s="331"/>
      <c r="AD137" s="331"/>
      <c r="AF137" s="331"/>
      <c r="AG137" s="331"/>
      <c r="AI137" s="331"/>
    </row>
    <row r="138" spans="2:35" x14ac:dyDescent="0.25">
      <c r="B138" s="123" t="str">
        <f t="shared" si="10"/>
        <v>5 2025</v>
      </c>
      <c r="C138" s="122">
        <f t="shared" si="12"/>
        <v>45790</v>
      </c>
      <c r="D138" s="122">
        <f t="shared" si="13"/>
        <v>45791</v>
      </c>
      <c r="E138" s="123">
        <f t="shared" si="11"/>
        <v>1</v>
      </c>
      <c r="F138" s="123" t="s">
        <v>7</v>
      </c>
      <c r="H138" s="383">
        <f t="shared" si="14"/>
        <v>45790</v>
      </c>
      <c r="I138" s="325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X138" s="331"/>
      <c r="Y138" s="331"/>
      <c r="Z138" s="331"/>
      <c r="AB138" s="331"/>
      <c r="AC138" s="331"/>
      <c r="AD138" s="331"/>
      <c r="AF138" s="331"/>
      <c r="AG138" s="331"/>
      <c r="AI138" s="331"/>
    </row>
    <row r="139" spans="2:35" x14ac:dyDescent="0.25">
      <c r="B139" s="123" t="str">
        <f t="shared" si="10"/>
        <v>5 2025</v>
      </c>
      <c r="C139" s="122">
        <f t="shared" si="12"/>
        <v>45791</v>
      </c>
      <c r="D139" s="122">
        <f t="shared" si="13"/>
        <v>45792</v>
      </c>
      <c r="E139" s="123">
        <f t="shared" si="11"/>
        <v>1</v>
      </c>
      <c r="F139" s="123" t="s">
        <v>7</v>
      </c>
      <c r="H139" s="383">
        <f t="shared" si="14"/>
        <v>45791</v>
      </c>
      <c r="I139" s="325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X139" s="331"/>
      <c r="Y139" s="331"/>
      <c r="Z139" s="331"/>
      <c r="AB139" s="331"/>
      <c r="AC139" s="331"/>
      <c r="AD139" s="331"/>
      <c r="AF139" s="331"/>
      <c r="AG139" s="331"/>
      <c r="AI139" s="331"/>
    </row>
    <row r="140" spans="2:35" x14ac:dyDescent="0.25">
      <c r="B140" s="123" t="str">
        <f t="shared" si="10"/>
        <v>5 2025</v>
      </c>
      <c r="C140" s="122">
        <f t="shared" si="12"/>
        <v>45792</v>
      </c>
      <c r="D140" s="122">
        <f t="shared" si="13"/>
        <v>45793</v>
      </c>
      <c r="E140" s="123">
        <f t="shared" si="11"/>
        <v>1</v>
      </c>
      <c r="F140" s="123" t="s">
        <v>7</v>
      </c>
      <c r="H140" s="383">
        <f t="shared" si="14"/>
        <v>45792</v>
      </c>
      <c r="I140" s="325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X140" s="331"/>
      <c r="Y140" s="331"/>
      <c r="Z140" s="331"/>
      <c r="AB140" s="331"/>
      <c r="AC140" s="331"/>
      <c r="AD140" s="331"/>
      <c r="AF140" s="331"/>
      <c r="AG140" s="331"/>
      <c r="AI140" s="331"/>
    </row>
    <row r="141" spans="2:35" x14ac:dyDescent="0.25">
      <c r="B141" s="123" t="str">
        <f t="shared" si="10"/>
        <v>5 2025</v>
      </c>
      <c r="C141" s="122">
        <f t="shared" si="12"/>
        <v>45793</v>
      </c>
      <c r="D141" s="122">
        <f t="shared" si="13"/>
        <v>45794</v>
      </c>
      <c r="E141" s="123">
        <f t="shared" si="11"/>
        <v>1</v>
      </c>
      <c r="F141" s="123" t="s">
        <v>7</v>
      </c>
      <c r="H141" s="383">
        <f t="shared" si="14"/>
        <v>45793</v>
      </c>
      <c r="I141" s="325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X141" s="331"/>
      <c r="Y141" s="331"/>
      <c r="Z141" s="331"/>
      <c r="AB141" s="331"/>
      <c r="AC141" s="331"/>
      <c r="AD141" s="331"/>
      <c r="AF141" s="331"/>
      <c r="AG141" s="331"/>
      <c r="AI141" s="331"/>
    </row>
    <row r="142" spans="2:35" x14ac:dyDescent="0.25">
      <c r="B142" s="123" t="str">
        <f t="shared" si="10"/>
        <v>5 2025</v>
      </c>
      <c r="C142" s="122">
        <f t="shared" si="12"/>
        <v>45794</v>
      </c>
      <c r="D142" s="122">
        <f t="shared" si="13"/>
        <v>45795</v>
      </c>
      <c r="E142" s="123">
        <f t="shared" si="11"/>
        <v>1</v>
      </c>
      <c r="F142" s="123" t="s">
        <v>7</v>
      </c>
      <c r="H142" s="383">
        <f t="shared" si="14"/>
        <v>45794</v>
      </c>
      <c r="I142" s="325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X142" s="331"/>
      <c r="Y142" s="331"/>
      <c r="Z142" s="331"/>
      <c r="AB142" s="331"/>
      <c r="AC142" s="331"/>
      <c r="AD142" s="331"/>
      <c r="AF142" s="331"/>
      <c r="AG142" s="331"/>
      <c r="AI142" s="331"/>
    </row>
    <row r="143" spans="2:35" x14ac:dyDescent="0.25">
      <c r="B143" s="123" t="str">
        <f t="shared" si="10"/>
        <v>5 2025</v>
      </c>
      <c r="C143" s="122">
        <f t="shared" si="12"/>
        <v>45795</v>
      </c>
      <c r="D143" s="122">
        <f t="shared" si="13"/>
        <v>45796</v>
      </c>
      <c r="E143" s="123">
        <f t="shared" si="11"/>
        <v>1</v>
      </c>
      <c r="F143" s="123" t="s">
        <v>7</v>
      </c>
      <c r="H143" s="383">
        <f t="shared" si="14"/>
        <v>45795</v>
      </c>
      <c r="I143" s="325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X143" s="331"/>
      <c r="Y143" s="331"/>
      <c r="Z143" s="331"/>
      <c r="AB143" s="331"/>
      <c r="AC143" s="331"/>
      <c r="AD143" s="331"/>
      <c r="AF143" s="331"/>
      <c r="AG143" s="331"/>
      <c r="AI143" s="331"/>
    </row>
    <row r="144" spans="2:35" x14ac:dyDescent="0.25">
      <c r="B144" s="123" t="str">
        <f t="shared" si="10"/>
        <v>5 2025</v>
      </c>
      <c r="C144" s="122">
        <f t="shared" si="12"/>
        <v>45796</v>
      </c>
      <c r="D144" s="122">
        <f t="shared" si="13"/>
        <v>45797</v>
      </c>
      <c r="E144" s="123">
        <f t="shared" si="11"/>
        <v>1</v>
      </c>
      <c r="F144" s="123" t="s">
        <v>7</v>
      </c>
      <c r="H144" s="383">
        <f t="shared" si="14"/>
        <v>45796</v>
      </c>
      <c r="I144" s="325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X144" s="331"/>
      <c r="Y144" s="331"/>
      <c r="Z144" s="331"/>
      <c r="AB144" s="331"/>
      <c r="AC144" s="331"/>
      <c r="AD144" s="331"/>
      <c r="AF144" s="331"/>
      <c r="AG144" s="331"/>
      <c r="AI144" s="331"/>
    </row>
    <row r="145" spans="2:35" x14ac:dyDescent="0.25">
      <c r="B145" s="123" t="str">
        <f t="shared" si="10"/>
        <v>5 2025</v>
      </c>
      <c r="C145" s="122">
        <f t="shared" si="12"/>
        <v>45797</v>
      </c>
      <c r="D145" s="122">
        <f t="shared" si="13"/>
        <v>45798</v>
      </c>
      <c r="E145" s="123">
        <f t="shared" si="11"/>
        <v>1</v>
      </c>
      <c r="F145" s="123" t="s">
        <v>7</v>
      </c>
      <c r="H145" s="383">
        <f t="shared" si="14"/>
        <v>45797</v>
      </c>
      <c r="I145" s="325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X145" s="331"/>
      <c r="Y145" s="331"/>
      <c r="Z145" s="331"/>
      <c r="AB145" s="331"/>
      <c r="AC145" s="331"/>
      <c r="AD145" s="331"/>
      <c r="AF145" s="331"/>
      <c r="AG145" s="331"/>
      <c r="AI145" s="331"/>
    </row>
    <row r="146" spans="2:35" x14ac:dyDescent="0.25">
      <c r="B146" s="123" t="str">
        <f t="shared" si="10"/>
        <v>5 2025</v>
      </c>
      <c r="C146" s="122">
        <f t="shared" si="12"/>
        <v>45798</v>
      </c>
      <c r="D146" s="122">
        <f t="shared" si="13"/>
        <v>45799</v>
      </c>
      <c r="E146" s="123">
        <f t="shared" si="11"/>
        <v>1</v>
      </c>
      <c r="F146" s="123" t="s">
        <v>7</v>
      </c>
      <c r="H146" s="383">
        <f t="shared" si="14"/>
        <v>45798</v>
      </c>
      <c r="I146" s="325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X146" s="331"/>
      <c r="Y146" s="331"/>
      <c r="Z146" s="331"/>
      <c r="AB146" s="331"/>
      <c r="AC146" s="331"/>
      <c r="AD146" s="331"/>
      <c r="AF146" s="331"/>
      <c r="AG146" s="331"/>
      <c r="AI146" s="331"/>
    </row>
    <row r="147" spans="2:35" x14ac:dyDescent="0.25">
      <c r="B147" s="123" t="str">
        <f t="shared" si="10"/>
        <v>5 2025</v>
      </c>
      <c r="C147" s="122">
        <f t="shared" si="12"/>
        <v>45799</v>
      </c>
      <c r="D147" s="122">
        <f t="shared" si="13"/>
        <v>45800</v>
      </c>
      <c r="E147" s="123">
        <f t="shared" si="11"/>
        <v>1</v>
      </c>
      <c r="F147" s="123" t="s">
        <v>7</v>
      </c>
      <c r="H147" s="383">
        <f t="shared" si="14"/>
        <v>45799</v>
      </c>
      <c r="I147" s="325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X147" s="331"/>
      <c r="Y147" s="331"/>
      <c r="Z147" s="331"/>
      <c r="AB147" s="331"/>
      <c r="AC147" s="331"/>
      <c r="AD147" s="331"/>
      <c r="AF147" s="331"/>
      <c r="AG147" s="331"/>
      <c r="AI147" s="331"/>
    </row>
    <row r="148" spans="2:35" x14ac:dyDescent="0.25">
      <c r="B148" s="123" t="str">
        <f t="shared" si="10"/>
        <v>5 2025</v>
      </c>
      <c r="C148" s="122">
        <f t="shared" si="12"/>
        <v>45800</v>
      </c>
      <c r="D148" s="122">
        <f t="shared" si="13"/>
        <v>45801</v>
      </c>
      <c r="E148" s="123">
        <f t="shared" si="11"/>
        <v>1</v>
      </c>
      <c r="F148" s="123" t="s">
        <v>7</v>
      </c>
      <c r="H148" s="383">
        <f t="shared" si="14"/>
        <v>45800</v>
      </c>
      <c r="I148" s="329"/>
      <c r="K148" s="330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X148" s="331"/>
      <c r="Y148" s="331"/>
      <c r="Z148" s="331"/>
      <c r="AB148" s="331"/>
      <c r="AC148" s="331"/>
      <c r="AD148" s="331"/>
      <c r="AF148" s="331"/>
      <c r="AG148" s="331"/>
      <c r="AI148" s="331"/>
    </row>
    <row r="149" spans="2:35" x14ac:dyDescent="0.25">
      <c r="B149" s="123" t="str">
        <f t="shared" si="10"/>
        <v>5 2025</v>
      </c>
      <c r="C149" s="122">
        <f t="shared" si="12"/>
        <v>45801</v>
      </c>
      <c r="D149" s="122">
        <f t="shared" si="13"/>
        <v>45802</v>
      </c>
      <c r="E149" s="123">
        <f t="shared" si="11"/>
        <v>1</v>
      </c>
      <c r="F149" s="123" t="s">
        <v>7</v>
      </c>
      <c r="H149" s="383">
        <f t="shared" si="14"/>
        <v>45801</v>
      </c>
      <c r="I149" s="329"/>
      <c r="K149" s="330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X149" s="331"/>
      <c r="Y149" s="331"/>
      <c r="Z149" s="331"/>
      <c r="AB149" s="331"/>
      <c r="AC149" s="331"/>
      <c r="AD149" s="331"/>
      <c r="AF149" s="331"/>
      <c r="AG149" s="331"/>
      <c r="AI149" s="331"/>
    </row>
    <row r="150" spans="2:35" x14ac:dyDescent="0.25">
      <c r="B150" s="123" t="str">
        <f t="shared" si="10"/>
        <v>5 2025</v>
      </c>
      <c r="C150" s="122">
        <f t="shared" si="12"/>
        <v>45802</v>
      </c>
      <c r="D150" s="122">
        <f t="shared" si="13"/>
        <v>45803</v>
      </c>
      <c r="E150" s="123">
        <f t="shared" si="11"/>
        <v>1</v>
      </c>
      <c r="F150" s="123" t="s">
        <v>7</v>
      </c>
      <c r="H150" s="383">
        <f t="shared" si="14"/>
        <v>45802</v>
      </c>
      <c r="I150" s="329"/>
      <c r="K150" s="330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X150" s="331"/>
      <c r="Y150" s="331"/>
      <c r="Z150" s="331"/>
      <c r="AB150" s="331"/>
      <c r="AC150" s="331"/>
      <c r="AD150" s="331"/>
      <c r="AF150" s="331"/>
      <c r="AG150" s="331"/>
      <c r="AI150" s="331"/>
    </row>
    <row r="151" spans="2:35" x14ac:dyDescent="0.25">
      <c r="B151" s="123" t="str">
        <f t="shared" si="10"/>
        <v>5 2025</v>
      </c>
      <c r="C151" s="122">
        <f t="shared" si="12"/>
        <v>45803</v>
      </c>
      <c r="D151" s="122">
        <f t="shared" si="13"/>
        <v>45804</v>
      </c>
      <c r="E151" s="123">
        <f t="shared" si="11"/>
        <v>1</v>
      </c>
      <c r="F151" s="123" t="s">
        <v>7</v>
      </c>
      <c r="H151" s="383">
        <f t="shared" si="14"/>
        <v>45803</v>
      </c>
      <c r="I151" s="329"/>
      <c r="K151" s="330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X151" s="331"/>
      <c r="Y151" s="331"/>
      <c r="Z151" s="331"/>
      <c r="AB151" s="331"/>
      <c r="AC151" s="331"/>
      <c r="AD151" s="331"/>
      <c r="AF151" s="331"/>
      <c r="AG151" s="331"/>
      <c r="AI151" s="331"/>
    </row>
    <row r="152" spans="2:35" x14ac:dyDescent="0.25">
      <c r="B152" s="123" t="str">
        <f t="shared" si="10"/>
        <v>5 2025</v>
      </c>
      <c r="C152" s="122">
        <f t="shared" si="12"/>
        <v>45804</v>
      </c>
      <c r="D152" s="122">
        <f t="shared" si="13"/>
        <v>45805</v>
      </c>
      <c r="E152" s="123">
        <f t="shared" si="11"/>
        <v>1</v>
      </c>
      <c r="F152" s="123" t="s">
        <v>7</v>
      </c>
      <c r="H152" s="383">
        <f t="shared" si="14"/>
        <v>45804</v>
      </c>
      <c r="I152" s="329"/>
      <c r="K152" s="330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X152" s="331"/>
      <c r="Y152" s="331"/>
      <c r="Z152" s="331"/>
      <c r="AB152" s="331"/>
      <c r="AC152" s="331"/>
      <c r="AD152" s="331"/>
      <c r="AF152" s="331"/>
      <c r="AG152" s="331"/>
      <c r="AI152" s="331"/>
    </row>
    <row r="153" spans="2:35" x14ac:dyDescent="0.25">
      <c r="B153" s="123" t="str">
        <f t="shared" si="10"/>
        <v>5 2025</v>
      </c>
      <c r="C153" s="122">
        <f t="shared" si="12"/>
        <v>45805</v>
      </c>
      <c r="D153" s="122">
        <f t="shared" si="13"/>
        <v>45806</v>
      </c>
      <c r="E153" s="123">
        <f t="shared" si="11"/>
        <v>1</v>
      </c>
      <c r="F153" s="123" t="s">
        <v>7</v>
      </c>
      <c r="H153" s="383">
        <f t="shared" si="14"/>
        <v>45805</v>
      </c>
      <c r="I153" s="329"/>
      <c r="K153" s="330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X153" s="331"/>
      <c r="Y153" s="331"/>
      <c r="Z153" s="331"/>
      <c r="AB153" s="331"/>
      <c r="AC153" s="331"/>
      <c r="AD153" s="331"/>
      <c r="AF153" s="331"/>
      <c r="AG153" s="331"/>
      <c r="AI153" s="331"/>
    </row>
    <row r="154" spans="2:35" x14ac:dyDescent="0.25">
      <c r="B154" s="123" t="str">
        <f t="shared" si="10"/>
        <v>5 2025</v>
      </c>
      <c r="C154" s="122">
        <f t="shared" si="12"/>
        <v>45806</v>
      </c>
      <c r="D154" s="122">
        <f t="shared" si="13"/>
        <v>45807</v>
      </c>
      <c r="E154" s="123">
        <f t="shared" si="11"/>
        <v>1</v>
      </c>
      <c r="F154" s="123" t="s">
        <v>7</v>
      </c>
      <c r="H154" s="383">
        <f t="shared" si="14"/>
        <v>45806</v>
      </c>
      <c r="I154" s="329"/>
      <c r="K154" s="330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X154" s="331"/>
      <c r="Y154" s="331"/>
      <c r="Z154" s="331"/>
      <c r="AB154" s="331"/>
      <c r="AC154" s="331"/>
      <c r="AD154" s="331"/>
      <c r="AF154" s="331"/>
      <c r="AG154" s="331"/>
      <c r="AI154" s="331"/>
    </row>
    <row r="155" spans="2:35" x14ac:dyDescent="0.25">
      <c r="B155" s="148" t="str">
        <f t="shared" si="10"/>
        <v>5 2025</v>
      </c>
      <c r="C155" s="149">
        <f t="shared" si="12"/>
        <v>45807</v>
      </c>
      <c r="D155" s="149">
        <f t="shared" si="13"/>
        <v>45808</v>
      </c>
      <c r="E155" s="148">
        <f t="shared" si="11"/>
        <v>1</v>
      </c>
      <c r="F155" s="148" t="s">
        <v>7</v>
      </c>
      <c r="H155" s="384">
        <f t="shared" si="14"/>
        <v>45807</v>
      </c>
      <c r="I155" s="329"/>
      <c r="K155" s="330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X155" s="331"/>
      <c r="Y155" s="331"/>
      <c r="Z155" s="331"/>
      <c r="AB155" s="331"/>
      <c r="AC155" s="331"/>
      <c r="AD155" s="331"/>
      <c r="AF155" s="331"/>
      <c r="AG155" s="331"/>
      <c r="AI155" s="331"/>
    </row>
    <row r="156" spans="2:35" x14ac:dyDescent="0.25">
      <c r="B156" s="123" t="str">
        <f t="shared" si="10"/>
        <v>6 2025</v>
      </c>
      <c r="C156" s="122">
        <f t="shared" si="12"/>
        <v>45808</v>
      </c>
      <c r="D156" s="122">
        <f t="shared" si="13"/>
        <v>45809</v>
      </c>
      <c r="E156" s="123">
        <f t="shared" si="11"/>
        <v>1</v>
      </c>
      <c r="F156" s="123" t="s">
        <v>7</v>
      </c>
      <c r="H156" s="383">
        <f t="shared" si="14"/>
        <v>45808</v>
      </c>
      <c r="I156" s="329"/>
      <c r="K156" s="330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X156" s="331"/>
      <c r="Y156" s="331"/>
      <c r="Z156" s="331"/>
      <c r="AB156" s="331"/>
      <c r="AC156" s="331"/>
      <c r="AD156" s="331"/>
      <c r="AF156" s="331"/>
      <c r="AG156" s="331"/>
      <c r="AI156" s="331"/>
    </row>
    <row r="157" spans="2:35" x14ac:dyDescent="0.25">
      <c r="B157" s="123" t="str">
        <f t="shared" si="10"/>
        <v>6 2025</v>
      </c>
      <c r="C157" s="122">
        <f t="shared" si="12"/>
        <v>45809</v>
      </c>
      <c r="D157" s="122">
        <f t="shared" si="13"/>
        <v>45810</v>
      </c>
      <c r="E157" s="123">
        <f t="shared" si="11"/>
        <v>1</v>
      </c>
      <c r="F157" s="123" t="s">
        <v>7</v>
      </c>
      <c r="H157" s="383">
        <f t="shared" si="14"/>
        <v>45809</v>
      </c>
      <c r="I157" s="329"/>
      <c r="K157" s="330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X157" s="331"/>
      <c r="Y157" s="331"/>
      <c r="Z157" s="331"/>
      <c r="AB157" s="331"/>
      <c r="AC157" s="331"/>
      <c r="AD157" s="331"/>
      <c r="AF157" s="331"/>
      <c r="AG157" s="331"/>
      <c r="AI157" s="331"/>
    </row>
    <row r="158" spans="2:35" x14ac:dyDescent="0.25">
      <c r="B158" s="123" t="str">
        <f t="shared" si="10"/>
        <v>6 2025</v>
      </c>
      <c r="C158" s="122">
        <f t="shared" si="12"/>
        <v>45810</v>
      </c>
      <c r="D158" s="122">
        <f t="shared" si="13"/>
        <v>45811</v>
      </c>
      <c r="E158" s="123">
        <f t="shared" si="11"/>
        <v>1</v>
      </c>
      <c r="F158" s="123" t="s">
        <v>7</v>
      </c>
      <c r="H158" s="383">
        <f t="shared" si="14"/>
        <v>45810</v>
      </c>
      <c r="I158" s="329"/>
      <c r="K158" s="330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X158" s="331"/>
      <c r="Y158" s="331"/>
      <c r="Z158" s="331"/>
      <c r="AB158" s="331"/>
      <c r="AC158" s="331"/>
      <c r="AD158" s="331"/>
      <c r="AF158" s="331"/>
      <c r="AG158" s="331"/>
      <c r="AI158" s="331"/>
    </row>
    <row r="159" spans="2:35" x14ac:dyDescent="0.25">
      <c r="B159" s="123" t="str">
        <f t="shared" si="10"/>
        <v>6 2025</v>
      </c>
      <c r="C159" s="122">
        <f t="shared" si="12"/>
        <v>45811</v>
      </c>
      <c r="D159" s="122">
        <f t="shared" si="13"/>
        <v>45812</v>
      </c>
      <c r="E159" s="123">
        <f t="shared" si="11"/>
        <v>1</v>
      </c>
      <c r="F159" s="123" t="s">
        <v>7</v>
      </c>
      <c r="H159" s="383">
        <f t="shared" si="14"/>
        <v>45811</v>
      </c>
      <c r="I159" s="329"/>
      <c r="K159" s="330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X159" s="331"/>
      <c r="Y159" s="331"/>
      <c r="Z159" s="331"/>
      <c r="AB159" s="331"/>
      <c r="AC159" s="331"/>
      <c r="AD159" s="331"/>
      <c r="AF159" s="331"/>
      <c r="AG159" s="331"/>
      <c r="AI159" s="331"/>
    </row>
    <row r="160" spans="2:35" x14ac:dyDescent="0.25">
      <c r="B160" s="123" t="str">
        <f t="shared" si="10"/>
        <v>6 2025</v>
      </c>
      <c r="C160" s="122">
        <f t="shared" si="12"/>
        <v>45812</v>
      </c>
      <c r="D160" s="122">
        <f t="shared" si="13"/>
        <v>45813</v>
      </c>
      <c r="E160" s="123">
        <f t="shared" si="11"/>
        <v>1</v>
      </c>
      <c r="F160" s="123" t="s">
        <v>7</v>
      </c>
      <c r="H160" s="383">
        <f t="shared" si="14"/>
        <v>45812</v>
      </c>
      <c r="I160" s="329"/>
      <c r="K160" s="330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X160" s="331"/>
      <c r="Y160" s="331"/>
      <c r="Z160" s="331"/>
      <c r="AB160" s="331"/>
      <c r="AC160" s="331"/>
      <c r="AD160" s="331"/>
      <c r="AF160" s="331"/>
      <c r="AG160" s="331"/>
      <c r="AI160" s="331"/>
    </row>
    <row r="161" spans="2:35" x14ac:dyDescent="0.25">
      <c r="B161" s="123" t="str">
        <f t="shared" si="10"/>
        <v>6 2025</v>
      </c>
      <c r="C161" s="122">
        <f t="shared" si="12"/>
        <v>45813</v>
      </c>
      <c r="D161" s="122">
        <f t="shared" si="13"/>
        <v>45814</v>
      </c>
      <c r="E161" s="123">
        <f t="shared" si="11"/>
        <v>1</v>
      </c>
      <c r="F161" s="123" t="s">
        <v>7</v>
      </c>
      <c r="H161" s="383">
        <f t="shared" si="14"/>
        <v>45813</v>
      </c>
      <c r="I161" s="329"/>
      <c r="K161" s="330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X161" s="331"/>
      <c r="Y161" s="331"/>
      <c r="Z161" s="331"/>
      <c r="AB161" s="331"/>
      <c r="AC161" s="331"/>
      <c r="AD161" s="331"/>
      <c r="AF161" s="331"/>
      <c r="AG161" s="331"/>
      <c r="AI161" s="331"/>
    </row>
    <row r="162" spans="2:35" x14ac:dyDescent="0.25">
      <c r="B162" s="123" t="str">
        <f t="shared" si="10"/>
        <v>6 2025</v>
      </c>
      <c r="C162" s="122">
        <f t="shared" si="12"/>
        <v>45814</v>
      </c>
      <c r="D162" s="122">
        <f t="shared" si="13"/>
        <v>45815</v>
      </c>
      <c r="E162" s="123">
        <f t="shared" si="11"/>
        <v>1</v>
      </c>
      <c r="F162" s="123" t="s">
        <v>7</v>
      </c>
      <c r="H162" s="383">
        <f t="shared" si="14"/>
        <v>45814</v>
      </c>
      <c r="I162" s="329"/>
      <c r="K162" s="330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X162" s="331"/>
      <c r="Y162" s="331"/>
      <c r="Z162" s="331"/>
      <c r="AB162" s="331"/>
      <c r="AC162" s="331"/>
      <c r="AD162" s="331"/>
      <c r="AF162" s="331"/>
      <c r="AG162" s="331"/>
      <c r="AI162" s="331"/>
    </row>
    <row r="163" spans="2:35" x14ac:dyDescent="0.25">
      <c r="B163" s="123" t="str">
        <f t="shared" si="10"/>
        <v>6 2025</v>
      </c>
      <c r="C163" s="122">
        <f t="shared" si="12"/>
        <v>45815</v>
      </c>
      <c r="D163" s="122">
        <f t="shared" si="13"/>
        <v>45816</v>
      </c>
      <c r="E163" s="123">
        <f t="shared" si="11"/>
        <v>1</v>
      </c>
      <c r="F163" s="123" t="s">
        <v>7</v>
      </c>
      <c r="H163" s="383">
        <f t="shared" si="14"/>
        <v>45815</v>
      </c>
      <c r="I163" s="329"/>
      <c r="K163" s="330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X163" s="331"/>
      <c r="Y163" s="331"/>
      <c r="Z163" s="331"/>
      <c r="AB163" s="331"/>
      <c r="AC163" s="331"/>
      <c r="AD163" s="331"/>
      <c r="AF163" s="331"/>
      <c r="AG163" s="331"/>
      <c r="AI163" s="331"/>
    </row>
    <row r="164" spans="2:35" x14ac:dyDescent="0.25">
      <c r="B164" s="123" t="str">
        <f t="shared" si="10"/>
        <v>6 2025</v>
      </c>
      <c r="C164" s="122">
        <f t="shared" si="12"/>
        <v>45816</v>
      </c>
      <c r="D164" s="122">
        <f t="shared" si="13"/>
        <v>45817</v>
      </c>
      <c r="E164" s="123">
        <f t="shared" si="11"/>
        <v>1</v>
      </c>
      <c r="F164" s="123" t="s">
        <v>7</v>
      </c>
      <c r="H164" s="383">
        <f t="shared" si="14"/>
        <v>45816</v>
      </c>
      <c r="I164" s="329"/>
      <c r="K164" s="330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X164" s="331"/>
      <c r="Y164" s="331"/>
      <c r="Z164" s="331"/>
      <c r="AB164" s="331"/>
      <c r="AC164" s="331"/>
      <c r="AD164" s="331"/>
      <c r="AF164" s="331"/>
      <c r="AG164" s="331"/>
      <c r="AI164" s="331"/>
    </row>
    <row r="165" spans="2:35" x14ac:dyDescent="0.25">
      <c r="B165" s="123" t="str">
        <f t="shared" si="10"/>
        <v>6 2025</v>
      </c>
      <c r="C165" s="122">
        <f t="shared" si="12"/>
        <v>45817</v>
      </c>
      <c r="D165" s="122">
        <f t="shared" si="13"/>
        <v>45818</v>
      </c>
      <c r="E165" s="123">
        <f t="shared" si="11"/>
        <v>1</v>
      </c>
      <c r="F165" s="123" t="s">
        <v>7</v>
      </c>
      <c r="H165" s="383">
        <f t="shared" si="14"/>
        <v>45817</v>
      </c>
      <c r="I165" s="329"/>
      <c r="K165" s="330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X165" s="331"/>
      <c r="Y165" s="331"/>
      <c r="Z165" s="331"/>
      <c r="AB165" s="331"/>
      <c r="AC165" s="331"/>
      <c r="AD165" s="331"/>
      <c r="AF165" s="331"/>
      <c r="AG165" s="331"/>
      <c r="AI165" s="331"/>
    </row>
    <row r="166" spans="2:35" x14ac:dyDescent="0.25">
      <c r="B166" s="123" t="str">
        <f t="shared" si="10"/>
        <v>6 2025</v>
      </c>
      <c r="C166" s="122">
        <f t="shared" si="12"/>
        <v>45818</v>
      </c>
      <c r="D166" s="122">
        <f t="shared" si="13"/>
        <v>45819</v>
      </c>
      <c r="E166" s="123">
        <f t="shared" si="11"/>
        <v>1</v>
      </c>
      <c r="F166" s="123" t="s">
        <v>7</v>
      </c>
      <c r="H166" s="383">
        <f t="shared" si="14"/>
        <v>45818</v>
      </c>
      <c r="I166" s="329"/>
      <c r="K166" s="330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X166" s="331"/>
      <c r="Y166" s="331"/>
      <c r="Z166" s="331"/>
      <c r="AB166" s="331"/>
      <c r="AC166" s="331"/>
      <c r="AD166" s="331"/>
      <c r="AF166" s="331"/>
      <c r="AG166" s="331"/>
      <c r="AI166" s="331"/>
    </row>
    <row r="167" spans="2:35" x14ac:dyDescent="0.25">
      <c r="B167" s="123" t="str">
        <f t="shared" si="10"/>
        <v>6 2025</v>
      </c>
      <c r="C167" s="122">
        <f t="shared" si="12"/>
        <v>45819</v>
      </c>
      <c r="D167" s="122">
        <f t="shared" si="13"/>
        <v>45820</v>
      </c>
      <c r="E167" s="123">
        <f t="shared" si="11"/>
        <v>1</v>
      </c>
      <c r="F167" s="123" t="s">
        <v>7</v>
      </c>
      <c r="H167" s="383">
        <f t="shared" si="14"/>
        <v>45819</v>
      </c>
      <c r="I167" s="329"/>
      <c r="K167" s="330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X167" s="331"/>
      <c r="Y167" s="331"/>
      <c r="Z167" s="331"/>
      <c r="AB167" s="331"/>
      <c r="AC167" s="331"/>
      <c r="AD167" s="331"/>
      <c r="AF167" s="331"/>
      <c r="AG167" s="331"/>
      <c r="AI167" s="331"/>
    </row>
    <row r="168" spans="2:35" x14ac:dyDescent="0.25">
      <c r="B168" s="123" t="str">
        <f t="shared" si="10"/>
        <v>6 2025</v>
      </c>
      <c r="C168" s="122">
        <f t="shared" si="12"/>
        <v>45820</v>
      </c>
      <c r="D168" s="122">
        <f t="shared" si="13"/>
        <v>45821</v>
      </c>
      <c r="E168" s="123">
        <f t="shared" si="11"/>
        <v>1</v>
      </c>
      <c r="F168" s="123" t="s">
        <v>7</v>
      </c>
      <c r="H168" s="383">
        <f t="shared" si="14"/>
        <v>45820</v>
      </c>
      <c r="I168" s="329"/>
      <c r="K168" s="330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X168" s="331"/>
      <c r="Y168" s="331"/>
      <c r="Z168" s="331"/>
      <c r="AB168" s="331"/>
      <c r="AC168" s="331"/>
      <c r="AD168" s="331"/>
      <c r="AF168" s="331"/>
      <c r="AG168" s="331"/>
      <c r="AI168" s="331"/>
    </row>
    <row r="169" spans="2:35" x14ac:dyDescent="0.25">
      <c r="B169" s="123" t="str">
        <f t="shared" si="10"/>
        <v>6 2025</v>
      </c>
      <c r="C169" s="122">
        <f t="shared" si="12"/>
        <v>45821</v>
      </c>
      <c r="D169" s="122">
        <f t="shared" si="13"/>
        <v>45822</v>
      </c>
      <c r="E169" s="123">
        <f t="shared" si="11"/>
        <v>1</v>
      </c>
      <c r="F169" s="123" t="s">
        <v>7</v>
      </c>
      <c r="H169" s="383">
        <f t="shared" si="14"/>
        <v>45821</v>
      </c>
      <c r="I169" s="329"/>
      <c r="K169" s="330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X169" s="331"/>
      <c r="Y169" s="331"/>
      <c r="Z169" s="331"/>
      <c r="AB169" s="331"/>
      <c r="AC169" s="331"/>
      <c r="AD169" s="331"/>
      <c r="AF169" s="331"/>
      <c r="AG169" s="331"/>
      <c r="AI169" s="331"/>
    </row>
    <row r="170" spans="2:35" x14ac:dyDescent="0.25">
      <c r="B170" s="123" t="str">
        <f t="shared" si="10"/>
        <v>6 2025</v>
      </c>
      <c r="C170" s="122">
        <f t="shared" si="12"/>
        <v>45822</v>
      </c>
      <c r="D170" s="122">
        <f t="shared" si="13"/>
        <v>45823</v>
      </c>
      <c r="E170" s="123">
        <f t="shared" si="11"/>
        <v>1</v>
      </c>
      <c r="F170" s="123" t="s">
        <v>7</v>
      </c>
      <c r="H170" s="383">
        <f t="shared" si="14"/>
        <v>45822</v>
      </c>
      <c r="I170" s="329"/>
      <c r="K170" s="330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X170" s="331"/>
      <c r="Y170" s="331"/>
      <c r="Z170" s="331"/>
      <c r="AB170" s="331"/>
      <c r="AC170" s="331"/>
      <c r="AD170" s="331"/>
      <c r="AF170" s="331"/>
      <c r="AG170" s="331"/>
      <c r="AI170" s="331"/>
    </row>
    <row r="171" spans="2:35" x14ac:dyDescent="0.25">
      <c r="B171" s="123" t="str">
        <f t="shared" si="10"/>
        <v>6 2025</v>
      </c>
      <c r="C171" s="122">
        <f t="shared" si="12"/>
        <v>45823</v>
      </c>
      <c r="D171" s="122">
        <f t="shared" si="13"/>
        <v>45824</v>
      </c>
      <c r="E171" s="123">
        <f t="shared" si="11"/>
        <v>1</v>
      </c>
      <c r="F171" s="123" t="s">
        <v>7</v>
      </c>
      <c r="H171" s="383">
        <f t="shared" si="14"/>
        <v>45823</v>
      </c>
      <c r="I171" s="329"/>
      <c r="K171" s="330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X171" s="331"/>
      <c r="Y171" s="331"/>
      <c r="Z171" s="331"/>
      <c r="AB171" s="331"/>
      <c r="AC171" s="331"/>
      <c r="AD171" s="331"/>
      <c r="AF171" s="331"/>
      <c r="AG171" s="331"/>
      <c r="AI171" s="331"/>
    </row>
    <row r="172" spans="2:35" x14ac:dyDescent="0.25">
      <c r="B172" s="123" t="str">
        <f t="shared" si="10"/>
        <v>6 2025</v>
      </c>
      <c r="C172" s="122">
        <f t="shared" si="12"/>
        <v>45824</v>
      </c>
      <c r="D172" s="122">
        <f t="shared" si="13"/>
        <v>45825</v>
      </c>
      <c r="E172" s="123">
        <f t="shared" si="11"/>
        <v>1</v>
      </c>
      <c r="F172" s="123" t="s">
        <v>7</v>
      </c>
      <c r="H172" s="383">
        <f t="shared" si="14"/>
        <v>45824</v>
      </c>
      <c r="I172" s="329"/>
      <c r="K172" s="330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X172" s="331"/>
      <c r="Y172" s="331"/>
      <c r="Z172" s="331"/>
      <c r="AB172" s="331"/>
      <c r="AC172" s="331"/>
      <c r="AD172" s="331"/>
      <c r="AF172" s="331"/>
      <c r="AG172" s="331"/>
      <c r="AI172" s="331"/>
    </row>
    <row r="173" spans="2:35" x14ac:dyDescent="0.25">
      <c r="B173" s="123" t="str">
        <f t="shared" si="10"/>
        <v>6 2025</v>
      </c>
      <c r="C173" s="122">
        <f t="shared" si="12"/>
        <v>45825</v>
      </c>
      <c r="D173" s="122">
        <f t="shared" si="13"/>
        <v>45826</v>
      </c>
      <c r="E173" s="123">
        <f t="shared" si="11"/>
        <v>1</v>
      </c>
      <c r="F173" s="123" t="s">
        <v>7</v>
      </c>
      <c r="H173" s="383">
        <f t="shared" si="14"/>
        <v>45825</v>
      </c>
      <c r="I173" s="329"/>
      <c r="K173" s="330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X173" s="331"/>
      <c r="Y173" s="331"/>
      <c r="Z173" s="331"/>
      <c r="AB173" s="331"/>
      <c r="AC173" s="331"/>
      <c r="AD173" s="331"/>
      <c r="AF173" s="331"/>
      <c r="AG173" s="331"/>
      <c r="AI173" s="331"/>
    </row>
    <row r="174" spans="2:35" x14ac:dyDescent="0.25">
      <c r="B174" s="123" t="str">
        <f t="shared" si="10"/>
        <v>6 2025</v>
      </c>
      <c r="C174" s="122">
        <f t="shared" si="12"/>
        <v>45826</v>
      </c>
      <c r="D174" s="122">
        <f t="shared" si="13"/>
        <v>45827</v>
      </c>
      <c r="E174" s="123">
        <f t="shared" si="11"/>
        <v>1</v>
      </c>
      <c r="F174" s="123" t="s">
        <v>7</v>
      </c>
      <c r="H174" s="383">
        <f t="shared" si="14"/>
        <v>45826</v>
      </c>
      <c r="I174" s="329"/>
      <c r="K174" s="330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X174" s="331"/>
      <c r="Y174" s="331"/>
      <c r="Z174" s="331"/>
      <c r="AB174" s="331"/>
      <c r="AC174" s="331"/>
      <c r="AD174" s="331"/>
      <c r="AF174" s="331"/>
      <c r="AG174" s="331"/>
      <c r="AI174" s="331"/>
    </row>
    <row r="175" spans="2:35" x14ac:dyDescent="0.25">
      <c r="B175" s="123" t="str">
        <f t="shared" si="10"/>
        <v>6 2025</v>
      </c>
      <c r="C175" s="122">
        <f t="shared" si="12"/>
        <v>45827</v>
      </c>
      <c r="D175" s="122">
        <f t="shared" si="13"/>
        <v>45828</v>
      </c>
      <c r="E175" s="123">
        <f t="shared" si="11"/>
        <v>1</v>
      </c>
      <c r="F175" s="123" t="s">
        <v>7</v>
      </c>
      <c r="H175" s="383">
        <f t="shared" si="14"/>
        <v>45827</v>
      </c>
      <c r="I175" s="329"/>
      <c r="K175" s="330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X175" s="331"/>
      <c r="Y175" s="331"/>
      <c r="Z175" s="331"/>
      <c r="AB175" s="331"/>
      <c r="AC175" s="331"/>
      <c r="AD175" s="331"/>
      <c r="AF175" s="331"/>
      <c r="AG175" s="331"/>
      <c r="AI175" s="331"/>
    </row>
    <row r="176" spans="2:35" x14ac:dyDescent="0.25">
      <c r="B176" s="123" t="str">
        <f t="shared" si="10"/>
        <v>6 2025</v>
      </c>
      <c r="C176" s="122">
        <f t="shared" si="12"/>
        <v>45828</v>
      </c>
      <c r="D176" s="122">
        <f t="shared" si="13"/>
        <v>45829</v>
      </c>
      <c r="E176" s="123">
        <f t="shared" si="11"/>
        <v>1</v>
      </c>
      <c r="F176" s="123" t="s">
        <v>7</v>
      </c>
      <c r="H176" s="383">
        <f t="shared" si="14"/>
        <v>45828</v>
      </c>
      <c r="I176" s="329"/>
      <c r="K176" s="330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X176" s="331"/>
      <c r="Y176" s="331"/>
      <c r="Z176" s="331"/>
      <c r="AB176" s="331"/>
      <c r="AC176" s="331"/>
      <c r="AD176" s="331"/>
      <c r="AF176" s="331"/>
      <c r="AG176" s="331"/>
      <c r="AI176" s="331"/>
    </row>
    <row r="177" spans="2:35" x14ac:dyDescent="0.25">
      <c r="B177" s="123" t="str">
        <f t="shared" si="10"/>
        <v>6 2025</v>
      </c>
      <c r="C177" s="122">
        <f t="shared" si="12"/>
        <v>45829</v>
      </c>
      <c r="D177" s="122">
        <f t="shared" si="13"/>
        <v>45830</v>
      </c>
      <c r="E177" s="123">
        <f t="shared" si="11"/>
        <v>1</v>
      </c>
      <c r="F177" s="123" t="s">
        <v>7</v>
      </c>
      <c r="H177" s="383">
        <f t="shared" si="14"/>
        <v>45829</v>
      </c>
      <c r="I177" s="329"/>
      <c r="K177" s="330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X177" s="331"/>
      <c r="Y177" s="331"/>
      <c r="Z177" s="331"/>
      <c r="AB177" s="331"/>
      <c r="AC177" s="331"/>
      <c r="AD177" s="331"/>
      <c r="AF177" s="331"/>
      <c r="AG177" s="331"/>
      <c r="AI177" s="331"/>
    </row>
    <row r="178" spans="2:35" x14ac:dyDescent="0.25">
      <c r="B178" s="123" t="str">
        <f t="shared" si="10"/>
        <v>6 2025</v>
      </c>
      <c r="C178" s="122">
        <f t="shared" si="12"/>
        <v>45830</v>
      </c>
      <c r="D178" s="122">
        <f t="shared" si="13"/>
        <v>45831</v>
      </c>
      <c r="E178" s="123">
        <f t="shared" si="11"/>
        <v>1</v>
      </c>
      <c r="F178" s="123" t="s">
        <v>7</v>
      </c>
      <c r="H178" s="383">
        <f t="shared" si="14"/>
        <v>45830</v>
      </c>
      <c r="I178" s="329"/>
      <c r="K178" s="330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X178" s="331"/>
      <c r="Y178" s="331"/>
      <c r="Z178" s="331"/>
      <c r="AB178" s="331"/>
      <c r="AC178" s="331"/>
      <c r="AD178" s="331"/>
      <c r="AF178" s="331"/>
      <c r="AG178" s="331"/>
      <c r="AI178" s="331"/>
    </row>
    <row r="179" spans="2:35" x14ac:dyDescent="0.25">
      <c r="B179" s="123" t="str">
        <f t="shared" si="10"/>
        <v>6 2025</v>
      </c>
      <c r="C179" s="122">
        <f t="shared" si="12"/>
        <v>45831</v>
      </c>
      <c r="D179" s="122">
        <f t="shared" si="13"/>
        <v>45832</v>
      </c>
      <c r="E179" s="123">
        <f t="shared" si="11"/>
        <v>1</v>
      </c>
      <c r="F179" s="123" t="s">
        <v>7</v>
      </c>
      <c r="H179" s="383">
        <f t="shared" si="14"/>
        <v>45831</v>
      </c>
      <c r="I179" s="329"/>
      <c r="K179" s="330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X179" s="331"/>
      <c r="Y179" s="331"/>
      <c r="Z179" s="331"/>
      <c r="AB179" s="331"/>
      <c r="AC179" s="331"/>
      <c r="AD179" s="331"/>
      <c r="AF179" s="331"/>
      <c r="AG179" s="331"/>
      <c r="AI179" s="331"/>
    </row>
    <row r="180" spans="2:35" x14ac:dyDescent="0.25">
      <c r="B180" s="123" t="str">
        <f t="shared" si="10"/>
        <v>6 2025</v>
      </c>
      <c r="C180" s="122">
        <f t="shared" si="12"/>
        <v>45832</v>
      </c>
      <c r="D180" s="122">
        <f t="shared" si="13"/>
        <v>45833</v>
      </c>
      <c r="E180" s="123">
        <f t="shared" si="11"/>
        <v>1</v>
      </c>
      <c r="F180" s="123" t="s">
        <v>7</v>
      </c>
      <c r="H180" s="383">
        <f t="shared" si="14"/>
        <v>45832</v>
      </c>
      <c r="I180" s="329"/>
      <c r="K180" s="330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X180" s="331"/>
      <c r="Y180" s="331"/>
      <c r="Z180" s="331"/>
      <c r="AB180" s="331"/>
      <c r="AC180" s="331"/>
      <c r="AD180" s="331"/>
      <c r="AF180" s="331"/>
      <c r="AG180" s="331"/>
      <c r="AI180" s="331"/>
    </row>
    <row r="181" spans="2:35" x14ac:dyDescent="0.25">
      <c r="B181" s="123" t="str">
        <f t="shared" si="10"/>
        <v>6 2025</v>
      </c>
      <c r="C181" s="122">
        <f t="shared" si="12"/>
        <v>45833</v>
      </c>
      <c r="D181" s="122">
        <f t="shared" si="13"/>
        <v>45834</v>
      </c>
      <c r="E181" s="123">
        <f t="shared" si="11"/>
        <v>1</v>
      </c>
      <c r="F181" s="123" t="s">
        <v>7</v>
      </c>
      <c r="H181" s="383">
        <f t="shared" si="14"/>
        <v>45833</v>
      </c>
      <c r="I181" s="329"/>
      <c r="K181" s="330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X181" s="331"/>
      <c r="Y181" s="331"/>
      <c r="Z181" s="331"/>
      <c r="AB181" s="331"/>
      <c r="AC181" s="331"/>
      <c r="AD181" s="331"/>
      <c r="AF181" s="331"/>
      <c r="AG181" s="331"/>
      <c r="AI181" s="331"/>
    </row>
    <row r="182" spans="2:35" x14ac:dyDescent="0.25">
      <c r="B182" s="123" t="str">
        <f t="shared" si="10"/>
        <v>6 2025</v>
      </c>
      <c r="C182" s="122">
        <f t="shared" si="12"/>
        <v>45834</v>
      </c>
      <c r="D182" s="122">
        <f t="shared" si="13"/>
        <v>45835</v>
      </c>
      <c r="E182" s="123">
        <f t="shared" si="11"/>
        <v>1</v>
      </c>
      <c r="F182" s="123" t="s">
        <v>7</v>
      </c>
      <c r="H182" s="383">
        <f t="shared" si="14"/>
        <v>45834</v>
      </c>
      <c r="I182" s="329"/>
      <c r="K182" s="330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X182" s="331"/>
      <c r="Y182" s="331"/>
      <c r="Z182" s="331"/>
      <c r="AB182" s="331"/>
      <c r="AC182" s="331"/>
      <c r="AD182" s="331"/>
      <c r="AF182" s="331"/>
      <c r="AG182" s="331"/>
      <c r="AI182" s="331"/>
    </row>
    <row r="183" spans="2:35" x14ac:dyDescent="0.25">
      <c r="B183" s="123" t="str">
        <f t="shared" si="10"/>
        <v>6 2025</v>
      </c>
      <c r="C183" s="122">
        <f t="shared" si="12"/>
        <v>45835</v>
      </c>
      <c r="D183" s="122">
        <f t="shared" si="13"/>
        <v>45836</v>
      </c>
      <c r="E183" s="123">
        <f t="shared" si="11"/>
        <v>1</v>
      </c>
      <c r="F183" s="123" t="s">
        <v>7</v>
      </c>
      <c r="H183" s="383">
        <f t="shared" si="14"/>
        <v>45835</v>
      </c>
      <c r="I183" s="329"/>
      <c r="K183" s="330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X183" s="331"/>
      <c r="Y183" s="331"/>
      <c r="Z183" s="331"/>
      <c r="AB183" s="331"/>
      <c r="AC183" s="331"/>
      <c r="AD183" s="331"/>
      <c r="AF183" s="331"/>
      <c r="AG183" s="331"/>
      <c r="AI183" s="331"/>
    </row>
    <row r="184" spans="2:35" x14ac:dyDescent="0.25">
      <c r="B184" s="123" t="str">
        <f t="shared" si="10"/>
        <v>6 2025</v>
      </c>
      <c r="C184" s="122">
        <f t="shared" si="12"/>
        <v>45836</v>
      </c>
      <c r="D184" s="122">
        <f t="shared" si="13"/>
        <v>45837</v>
      </c>
      <c r="E184" s="123">
        <f t="shared" si="11"/>
        <v>1</v>
      </c>
      <c r="F184" s="123" t="s">
        <v>7</v>
      </c>
      <c r="H184" s="383">
        <f t="shared" si="14"/>
        <v>45836</v>
      </c>
      <c r="I184" s="329"/>
      <c r="K184" s="330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X184" s="331"/>
      <c r="Y184" s="331"/>
      <c r="Z184" s="331"/>
      <c r="AB184" s="331"/>
      <c r="AC184" s="331"/>
      <c r="AD184" s="331"/>
      <c r="AF184" s="331"/>
      <c r="AG184" s="331"/>
      <c r="AI184" s="331"/>
    </row>
    <row r="185" spans="2:35" x14ac:dyDescent="0.25">
      <c r="B185" s="148" t="str">
        <f t="shared" si="10"/>
        <v>6 2025</v>
      </c>
      <c r="C185" s="149">
        <f t="shared" si="12"/>
        <v>45837</v>
      </c>
      <c r="D185" s="149">
        <f t="shared" si="13"/>
        <v>45838</v>
      </c>
      <c r="E185" s="148">
        <f t="shared" si="11"/>
        <v>1</v>
      </c>
      <c r="F185" s="148" t="s">
        <v>7</v>
      </c>
      <c r="H185" s="384">
        <f t="shared" si="14"/>
        <v>45837</v>
      </c>
      <c r="I185" s="329"/>
      <c r="K185" s="330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X185" s="331"/>
      <c r="Y185" s="331"/>
      <c r="Z185" s="331"/>
      <c r="AB185" s="331"/>
      <c r="AC185" s="331"/>
      <c r="AD185" s="331"/>
      <c r="AF185" s="331"/>
      <c r="AG185" s="331"/>
      <c r="AI185" s="331"/>
    </row>
    <row r="186" spans="2:35" x14ac:dyDescent="0.25">
      <c r="B186" s="123" t="str">
        <f t="shared" si="10"/>
        <v>7 2025</v>
      </c>
      <c r="C186" s="122">
        <f t="shared" si="12"/>
        <v>45838</v>
      </c>
      <c r="D186" s="122">
        <f t="shared" si="13"/>
        <v>45839</v>
      </c>
      <c r="E186" s="123">
        <f t="shared" si="11"/>
        <v>1</v>
      </c>
      <c r="F186" s="123" t="s">
        <v>7</v>
      </c>
      <c r="H186" s="383">
        <f t="shared" si="14"/>
        <v>45838</v>
      </c>
      <c r="I186" s="329"/>
      <c r="K186" s="330"/>
      <c r="L186" s="331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X186" s="331"/>
      <c r="Y186" s="331"/>
      <c r="Z186" s="331"/>
      <c r="AB186" s="331"/>
      <c r="AC186" s="331"/>
      <c r="AD186" s="331"/>
      <c r="AF186" s="331"/>
      <c r="AG186" s="331"/>
      <c r="AI186" s="331"/>
    </row>
    <row r="187" spans="2:35" x14ac:dyDescent="0.25">
      <c r="B187" s="123" t="str">
        <f t="shared" si="10"/>
        <v>7 2025</v>
      </c>
      <c r="C187" s="122">
        <f t="shared" si="12"/>
        <v>45839</v>
      </c>
      <c r="D187" s="122">
        <f t="shared" si="13"/>
        <v>45840</v>
      </c>
      <c r="E187" s="123">
        <f t="shared" si="11"/>
        <v>1</v>
      </c>
      <c r="F187" s="123" t="s">
        <v>7</v>
      </c>
      <c r="H187" s="383">
        <f t="shared" si="14"/>
        <v>45839</v>
      </c>
      <c r="I187" s="329"/>
      <c r="K187" s="330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X187" s="331"/>
      <c r="Y187" s="331"/>
      <c r="Z187" s="331"/>
      <c r="AB187" s="331"/>
      <c r="AC187" s="331"/>
      <c r="AD187" s="331"/>
      <c r="AF187" s="331"/>
      <c r="AG187" s="331"/>
      <c r="AI187" s="331"/>
    </row>
    <row r="188" spans="2:35" x14ac:dyDescent="0.25">
      <c r="B188" s="123" t="str">
        <f t="shared" si="10"/>
        <v>7 2025</v>
      </c>
      <c r="C188" s="122">
        <f t="shared" si="12"/>
        <v>45840</v>
      </c>
      <c r="D188" s="122">
        <f t="shared" si="13"/>
        <v>45841</v>
      </c>
      <c r="E188" s="123">
        <f t="shared" si="11"/>
        <v>1</v>
      </c>
      <c r="F188" s="123" t="s">
        <v>7</v>
      </c>
      <c r="H188" s="383">
        <f t="shared" si="14"/>
        <v>45840</v>
      </c>
      <c r="I188" s="329"/>
      <c r="K188" s="330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X188" s="331"/>
      <c r="Y188" s="331"/>
      <c r="Z188" s="331"/>
      <c r="AB188" s="331"/>
      <c r="AC188" s="331"/>
      <c r="AD188" s="331"/>
      <c r="AF188" s="331"/>
      <c r="AG188" s="331"/>
      <c r="AI188" s="331"/>
    </row>
    <row r="189" spans="2:35" x14ac:dyDescent="0.25">
      <c r="B189" s="123" t="str">
        <f t="shared" si="10"/>
        <v>7 2025</v>
      </c>
      <c r="C189" s="122">
        <f t="shared" si="12"/>
        <v>45841</v>
      </c>
      <c r="D189" s="122">
        <f t="shared" si="13"/>
        <v>45842</v>
      </c>
      <c r="E189" s="123">
        <f t="shared" si="11"/>
        <v>1</v>
      </c>
      <c r="F189" s="123" t="s">
        <v>7</v>
      </c>
      <c r="H189" s="383">
        <f t="shared" si="14"/>
        <v>45841</v>
      </c>
      <c r="I189" s="329"/>
      <c r="K189" s="330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X189" s="331"/>
      <c r="Y189" s="331"/>
      <c r="Z189" s="331"/>
      <c r="AB189" s="331"/>
      <c r="AC189" s="331"/>
      <c r="AD189" s="331"/>
      <c r="AF189" s="331"/>
      <c r="AG189" s="331"/>
      <c r="AI189" s="331"/>
    </row>
    <row r="190" spans="2:35" x14ac:dyDescent="0.25">
      <c r="B190" s="123" t="str">
        <f t="shared" si="10"/>
        <v>7 2025</v>
      </c>
      <c r="C190" s="122">
        <f t="shared" si="12"/>
        <v>45842</v>
      </c>
      <c r="D190" s="122">
        <f t="shared" si="13"/>
        <v>45843</v>
      </c>
      <c r="E190" s="123">
        <f t="shared" si="11"/>
        <v>1</v>
      </c>
      <c r="F190" s="123" t="s">
        <v>7</v>
      </c>
      <c r="H190" s="383">
        <f t="shared" si="14"/>
        <v>45842</v>
      </c>
      <c r="I190" s="329"/>
      <c r="K190" s="330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X190" s="331"/>
      <c r="Y190" s="331"/>
      <c r="Z190" s="331"/>
      <c r="AB190" s="331"/>
      <c r="AC190" s="331"/>
      <c r="AD190" s="331"/>
      <c r="AF190" s="331"/>
      <c r="AG190" s="331"/>
      <c r="AI190" s="331"/>
    </row>
    <row r="191" spans="2:35" x14ac:dyDescent="0.25">
      <c r="B191" s="123" t="str">
        <f t="shared" si="10"/>
        <v>7 2025</v>
      </c>
      <c r="C191" s="122">
        <f t="shared" si="12"/>
        <v>45843</v>
      </c>
      <c r="D191" s="122">
        <f t="shared" si="13"/>
        <v>45844</v>
      </c>
      <c r="E191" s="123">
        <f t="shared" si="11"/>
        <v>1</v>
      </c>
      <c r="F191" s="123" t="s">
        <v>7</v>
      </c>
      <c r="H191" s="383">
        <f t="shared" si="14"/>
        <v>45843</v>
      </c>
      <c r="I191" s="329"/>
      <c r="K191" s="330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X191" s="331"/>
      <c r="Y191" s="331"/>
      <c r="Z191" s="331"/>
      <c r="AB191" s="331"/>
      <c r="AC191" s="331"/>
      <c r="AD191" s="331"/>
      <c r="AF191" s="331"/>
      <c r="AG191" s="331"/>
      <c r="AI191" s="331"/>
    </row>
    <row r="192" spans="2:35" x14ac:dyDescent="0.25">
      <c r="B192" s="123" t="str">
        <f t="shared" si="10"/>
        <v>7 2025</v>
      </c>
      <c r="C192" s="122">
        <f t="shared" si="12"/>
        <v>45844</v>
      </c>
      <c r="D192" s="122">
        <f t="shared" si="13"/>
        <v>45845</v>
      </c>
      <c r="E192" s="123">
        <f t="shared" si="11"/>
        <v>1</v>
      </c>
      <c r="F192" s="123" t="s">
        <v>7</v>
      </c>
      <c r="H192" s="383">
        <f t="shared" si="14"/>
        <v>45844</v>
      </c>
      <c r="I192" s="329"/>
      <c r="K192" s="330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X192" s="331"/>
      <c r="Y192" s="331"/>
      <c r="Z192" s="331"/>
      <c r="AB192" s="331"/>
      <c r="AC192" s="331"/>
      <c r="AD192" s="331"/>
      <c r="AF192" s="331"/>
      <c r="AG192" s="331"/>
      <c r="AI192" s="331"/>
    </row>
    <row r="193" spans="1:35" x14ac:dyDescent="0.25">
      <c r="A193" s="24" t="s">
        <v>99</v>
      </c>
      <c r="B193" s="123" t="str">
        <f t="shared" si="10"/>
        <v>7 2025</v>
      </c>
      <c r="C193" s="250">
        <f t="shared" si="12"/>
        <v>45845</v>
      </c>
      <c r="D193" s="122">
        <f t="shared" si="13"/>
        <v>45846</v>
      </c>
      <c r="E193" s="123">
        <f t="shared" si="11"/>
        <v>1</v>
      </c>
      <c r="F193" s="123" t="s">
        <v>7</v>
      </c>
      <c r="H193" s="383">
        <f t="shared" si="14"/>
        <v>45845</v>
      </c>
      <c r="I193" s="329"/>
      <c r="K193" s="330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X193" s="331"/>
      <c r="Y193" s="331"/>
      <c r="Z193" s="331"/>
      <c r="AB193" s="331"/>
      <c r="AC193" s="331"/>
      <c r="AD193" s="331"/>
      <c r="AF193" s="331"/>
      <c r="AG193" s="331"/>
      <c r="AI193" s="331"/>
    </row>
    <row r="194" spans="1:35" x14ac:dyDescent="0.25">
      <c r="B194" s="123" t="str">
        <f t="shared" si="10"/>
        <v>7 2025</v>
      </c>
      <c r="C194" s="122">
        <f t="shared" si="12"/>
        <v>45846</v>
      </c>
      <c r="D194" s="122">
        <f t="shared" si="13"/>
        <v>45847</v>
      </c>
      <c r="E194" s="123">
        <f t="shared" si="11"/>
        <v>1</v>
      </c>
      <c r="F194" s="123" t="s">
        <v>7</v>
      </c>
      <c r="H194" s="383">
        <f t="shared" si="14"/>
        <v>45846</v>
      </c>
      <c r="I194" s="329"/>
      <c r="K194" s="330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X194" s="331"/>
      <c r="Y194" s="331"/>
      <c r="Z194" s="331"/>
      <c r="AB194" s="331"/>
      <c r="AC194" s="331"/>
      <c r="AD194" s="331"/>
      <c r="AF194" s="331"/>
      <c r="AG194" s="331"/>
      <c r="AI194" s="331"/>
    </row>
    <row r="195" spans="1:35" x14ac:dyDescent="0.25">
      <c r="B195" s="123" t="str">
        <f t="shared" si="10"/>
        <v>7 2025</v>
      </c>
      <c r="C195" s="122">
        <f t="shared" si="12"/>
        <v>45847</v>
      </c>
      <c r="D195" s="122">
        <f t="shared" si="13"/>
        <v>45848</v>
      </c>
      <c r="E195" s="123">
        <f t="shared" si="11"/>
        <v>1</v>
      </c>
      <c r="F195" s="123" t="s">
        <v>7</v>
      </c>
      <c r="H195" s="383">
        <f t="shared" si="14"/>
        <v>45847</v>
      </c>
      <c r="I195" s="329"/>
      <c r="K195" s="330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X195" s="331"/>
      <c r="Y195" s="331"/>
      <c r="Z195" s="331"/>
      <c r="AB195" s="331"/>
      <c r="AC195" s="331"/>
      <c r="AD195" s="331"/>
      <c r="AF195" s="331"/>
      <c r="AG195" s="331"/>
      <c r="AI195" s="331"/>
    </row>
    <row r="196" spans="1:35" x14ac:dyDescent="0.25">
      <c r="B196" s="123" t="str">
        <f t="shared" si="10"/>
        <v>7 2025</v>
      </c>
      <c r="C196" s="122">
        <f t="shared" si="12"/>
        <v>45848</v>
      </c>
      <c r="D196" s="122">
        <f t="shared" si="13"/>
        <v>45849</v>
      </c>
      <c r="E196" s="123">
        <f t="shared" si="11"/>
        <v>1</v>
      </c>
      <c r="F196" s="123" t="s">
        <v>7</v>
      </c>
      <c r="H196" s="383">
        <f t="shared" si="14"/>
        <v>45848</v>
      </c>
      <c r="I196" s="329"/>
      <c r="K196" s="330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X196" s="331"/>
      <c r="Y196" s="331"/>
      <c r="Z196" s="331"/>
      <c r="AB196" s="331"/>
      <c r="AC196" s="331"/>
      <c r="AD196" s="331"/>
      <c r="AF196" s="331"/>
      <c r="AG196" s="331"/>
      <c r="AI196" s="331"/>
    </row>
    <row r="197" spans="1:35" x14ac:dyDescent="0.25">
      <c r="B197" s="123" t="str">
        <f t="shared" ref="B197:B260" si="15">CONCATENATE(MONTH(D197)," ",YEAR(D197))</f>
        <v>7 2025</v>
      </c>
      <c r="C197" s="122">
        <f t="shared" si="12"/>
        <v>45849</v>
      </c>
      <c r="D197" s="122">
        <f t="shared" si="13"/>
        <v>45850</v>
      </c>
      <c r="E197" s="123">
        <f t="shared" ref="E197:E260" si="16">D197-C197</f>
        <v>1</v>
      </c>
      <c r="F197" s="123" t="s">
        <v>7</v>
      </c>
      <c r="H197" s="383">
        <f t="shared" si="14"/>
        <v>45849</v>
      </c>
      <c r="I197" s="329"/>
      <c r="K197" s="330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X197" s="331"/>
      <c r="Y197" s="331"/>
      <c r="Z197" s="331"/>
      <c r="AB197" s="331"/>
      <c r="AC197" s="331"/>
      <c r="AD197" s="331"/>
      <c r="AF197" s="331"/>
      <c r="AG197" s="331"/>
      <c r="AI197" s="331"/>
    </row>
    <row r="198" spans="1:35" x14ac:dyDescent="0.25">
      <c r="B198" s="123" t="str">
        <f t="shared" si="15"/>
        <v>7 2025</v>
      </c>
      <c r="C198" s="122">
        <f t="shared" ref="C198:C261" si="17">D197</f>
        <v>45850</v>
      </c>
      <c r="D198" s="122">
        <f t="shared" ref="D198:D261" si="18">D197+1</f>
        <v>45851</v>
      </c>
      <c r="E198" s="123">
        <f t="shared" si="16"/>
        <v>1</v>
      </c>
      <c r="F198" s="123" t="s">
        <v>7</v>
      </c>
      <c r="H198" s="383">
        <f t="shared" ref="H198:H261" si="19">C198</f>
        <v>45850</v>
      </c>
      <c r="I198" s="329"/>
      <c r="K198" s="330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X198" s="331"/>
      <c r="Y198" s="331"/>
      <c r="Z198" s="331"/>
      <c r="AB198" s="331"/>
      <c r="AC198" s="331"/>
      <c r="AD198" s="331"/>
      <c r="AF198" s="331"/>
      <c r="AG198" s="331"/>
      <c r="AI198" s="331"/>
    </row>
    <row r="199" spans="1:35" x14ac:dyDescent="0.25">
      <c r="B199" s="123" t="str">
        <f t="shared" si="15"/>
        <v>7 2025</v>
      </c>
      <c r="C199" s="122">
        <f t="shared" si="17"/>
        <v>45851</v>
      </c>
      <c r="D199" s="122">
        <f t="shared" si="18"/>
        <v>45852</v>
      </c>
      <c r="E199" s="123">
        <f t="shared" si="16"/>
        <v>1</v>
      </c>
      <c r="F199" s="123" t="s">
        <v>7</v>
      </c>
      <c r="H199" s="383">
        <f t="shared" si="19"/>
        <v>45851</v>
      </c>
      <c r="I199" s="329"/>
      <c r="K199" s="330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X199" s="331"/>
      <c r="Y199" s="331"/>
      <c r="Z199" s="331"/>
      <c r="AB199" s="331"/>
      <c r="AC199" s="331"/>
      <c r="AD199" s="331"/>
      <c r="AF199" s="331"/>
      <c r="AG199" s="331"/>
      <c r="AI199" s="331"/>
    </row>
    <row r="200" spans="1:35" x14ac:dyDescent="0.25">
      <c r="B200" s="123" t="str">
        <f t="shared" si="15"/>
        <v>7 2025</v>
      </c>
      <c r="C200" s="122">
        <f t="shared" si="17"/>
        <v>45852</v>
      </c>
      <c r="D200" s="122">
        <f t="shared" si="18"/>
        <v>45853</v>
      </c>
      <c r="E200" s="123">
        <f t="shared" si="16"/>
        <v>1</v>
      </c>
      <c r="F200" s="123" t="s">
        <v>7</v>
      </c>
      <c r="H200" s="383">
        <f t="shared" si="19"/>
        <v>45852</v>
      </c>
      <c r="I200" s="329"/>
      <c r="K200" s="330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X200" s="331"/>
      <c r="Y200" s="331"/>
      <c r="Z200" s="331"/>
      <c r="AB200" s="331"/>
      <c r="AC200" s="331"/>
      <c r="AD200" s="331"/>
      <c r="AF200" s="331"/>
      <c r="AG200" s="331"/>
      <c r="AI200" s="331"/>
    </row>
    <row r="201" spans="1:35" x14ac:dyDescent="0.25">
      <c r="B201" s="123" t="str">
        <f t="shared" si="15"/>
        <v>7 2025</v>
      </c>
      <c r="C201" s="122">
        <f t="shared" si="17"/>
        <v>45853</v>
      </c>
      <c r="D201" s="122">
        <f t="shared" si="18"/>
        <v>45854</v>
      </c>
      <c r="E201" s="123">
        <f t="shared" si="16"/>
        <v>1</v>
      </c>
      <c r="F201" s="123" t="s">
        <v>7</v>
      </c>
      <c r="H201" s="383">
        <f t="shared" si="19"/>
        <v>45853</v>
      </c>
      <c r="I201" s="329"/>
      <c r="K201" s="330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X201" s="331"/>
      <c r="Y201" s="331"/>
      <c r="Z201" s="331"/>
      <c r="AB201" s="331"/>
      <c r="AC201" s="331"/>
      <c r="AD201" s="331"/>
      <c r="AF201" s="331"/>
      <c r="AG201" s="331"/>
      <c r="AI201" s="331"/>
    </row>
    <row r="202" spans="1:35" x14ac:dyDescent="0.25">
      <c r="B202" s="123" t="str">
        <f t="shared" si="15"/>
        <v>7 2025</v>
      </c>
      <c r="C202" s="122">
        <f t="shared" si="17"/>
        <v>45854</v>
      </c>
      <c r="D202" s="122">
        <f t="shared" si="18"/>
        <v>45855</v>
      </c>
      <c r="E202" s="123">
        <f t="shared" si="16"/>
        <v>1</v>
      </c>
      <c r="F202" s="123" t="s">
        <v>7</v>
      </c>
      <c r="H202" s="383">
        <f t="shared" si="19"/>
        <v>45854</v>
      </c>
      <c r="I202" s="329"/>
      <c r="K202" s="330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331"/>
      <c r="X202" s="331"/>
      <c r="Y202" s="331"/>
      <c r="Z202" s="331"/>
      <c r="AB202" s="331"/>
      <c r="AC202" s="331"/>
      <c r="AD202" s="331"/>
      <c r="AF202" s="331"/>
      <c r="AG202" s="331"/>
      <c r="AI202" s="331"/>
    </row>
    <row r="203" spans="1:35" x14ac:dyDescent="0.25">
      <c r="B203" s="123" t="str">
        <f t="shared" si="15"/>
        <v>7 2025</v>
      </c>
      <c r="C203" s="122">
        <f t="shared" si="17"/>
        <v>45855</v>
      </c>
      <c r="D203" s="122">
        <f t="shared" si="18"/>
        <v>45856</v>
      </c>
      <c r="E203" s="123">
        <f t="shared" si="16"/>
        <v>1</v>
      </c>
      <c r="F203" s="123" t="s">
        <v>7</v>
      </c>
      <c r="H203" s="383">
        <f t="shared" si="19"/>
        <v>45855</v>
      </c>
      <c r="I203" s="329"/>
      <c r="K203" s="330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X203" s="331"/>
      <c r="Y203" s="331"/>
      <c r="Z203" s="331"/>
      <c r="AB203" s="331"/>
      <c r="AC203" s="331"/>
      <c r="AD203" s="331"/>
      <c r="AF203" s="331"/>
      <c r="AG203" s="331"/>
      <c r="AI203" s="331"/>
    </row>
    <row r="204" spans="1:35" x14ac:dyDescent="0.25">
      <c r="B204" s="123" t="str">
        <f t="shared" si="15"/>
        <v>7 2025</v>
      </c>
      <c r="C204" s="122">
        <f t="shared" si="17"/>
        <v>45856</v>
      </c>
      <c r="D204" s="122">
        <f t="shared" si="18"/>
        <v>45857</v>
      </c>
      <c r="E204" s="123">
        <f t="shared" si="16"/>
        <v>1</v>
      </c>
      <c r="F204" s="123" t="s">
        <v>7</v>
      </c>
      <c r="H204" s="383">
        <f t="shared" si="19"/>
        <v>45856</v>
      </c>
      <c r="I204" s="329"/>
      <c r="K204" s="330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X204" s="331"/>
      <c r="Y204" s="331"/>
      <c r="Z204" s="331"/>
      <c r="AB204" s="331"/>
      <c r="AC204" s="331"/>
      <c r="AD204" s="331"/>
      <c r="AF204" s="331"/>
      <c r="AG204" s="331"/>
      <c r="AI204" s="331"/>
    </row>
    <row r="205" spans="1:35" x14ac:dyDescent="0.25">
      <c r="B205" s="123" t="str">
        <f t="shared" si="15"/>
        <v>7 2025</v>
      </c>
      <c r="C205" s="122">
        <f t="shared" si="17"/>
        <v>45857</v>
      </c>
      <c r="D205" s="122">
        <f t="shared" si="18"/>
        <v>45858</v>
      </c>
      <c r="E205" s="123">
        <f t="shared" si="16"/>
        <v>1</v>
      </c>
      <c r="F205" s="123" t="s">
        <v>7</v>
      </c>
      <c r="H205" s="383">
        <f t="shared" si="19"/>
        <v>45857</v>
      </c>
      <c r="I205" s="329"/>
      <c r="K205" s="330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X205" s="331"/>
      <c r="Y205" s="331"/>
      <c r="Z205" s="331"/>
      <c r="AB205" s="331"/>
      <c r="AC205" s="331"/>
      <c r="AD205" s="331"/>
      <c r="AF205" s="331"/>
      <c r="AG205" s="331"/>
      <c r="AI205" s="331"/>
    </row>
    <row r="206" spans="1:35" x14ac:dyDescent="0.25">
      <c r="B206" s="123" t="str">
        <f t="shared" si="15"/>
        <v>7 2025</v>
      </c>
      <c r="C206" s="122">
        <f t="shared" si="17"/>
        <v>45858</v>
      </c>
      <c r="D206" s="122">
        <f t="shared" si="18"/>
        <v>45859</v>
      </c>
      <c r="E206" s="123">
        <f t="shared" si="16"/>
        <v>1</v>
      </c>
      <c r="F206" s="123" t="s">
        <v>7</v>
      </c>
      <c r="H206" s="383">
        <f t="shared" si="19"/>
        <v>45858</v>
      </c>
      <c r="I206" s="329"/>
      <c r="K206" s="330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331"/>
      <c r="X206" s="331"/>
      <c r="Y206" s="331"/>
      <c r="Z206" s="331"/>
      <c r="AB206" s="331"/>
      <c r="AC206" s="331"/>
      <c r="AD206" s="331"/>
      <c r="AF206" s="331"/>
      <c r="AG206" s="331"/>
      <c r="AI206" s="331"/>
    </row>
    <row r="207" spans="1:35" x14ac:dyDescent="0.25">
      <c r="B207" s="123" t="str">
        <f t="shared" si="15"/>
        <v>7 2025</v>
      </c>
      <c r="C207" s="122">
        <f t="shared" si="17"/>
        <v>45859</v>
      </c>
      <c r="D207" s="122">
        <f t="shared" si="18"/>
        <v>45860</v>
      </c>
      <c r="E207" s="123">
        <f t="shared" si="16"/>
        <v>1</v>
      </c>
      <c r="F207" s="123" t="s">
        <v>7</v>
      </c>
      <c r="H207" s="383">
        <f t="shared" si="19"/>
        <v>45859</v>
      </c>
      <c r="I207" s="329"/>
      <c r="K207" s="330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X207" s="331"/>
      <c r="Y207" s="331"/>
      <c r="Z207" s="331"/>
      <c r="AB207" s="331"/>
      <c r="AC207" s="331"/>
      <c r="AD207" s="331"/>
      <c r="AF207" s="331"/>
      <c r="AG207" s="331"/>
      <c r="AI207" s="331"/>
    </row>
    <row r="208" spans="1:35" x14ac:dyDescent="0.25">
      <c r="B208" s="123" t="str">
        <f t="shared" si="15"/>
        <v>7 2025</v>
      </c>
      <c r="C208" s="122">
        <f t="shared" si="17"/>
        <v>45860</v>
      </c>
      <c r="D208" s="122">
        <f t="shared" si="18"/>
        <v>45861</v>
      </c>
      <c r="E208" s="123">
        <f t="shared" si="16"/>
        <v>1</v>
      </c>
      <c r="F208" s="123" t="s">
        <v>7</v>
      </c>
      <c r="H208" s="383">
        <f t="shared" si="19"/>
        <v>45860</v>
      </c>
      <c r="I208" s="329"/>
      <c r="K208" s="330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X208" s="331"/>
      <c r="Y208" s="331"/>
      <c r="Z208" s="331"/>
      <c r="AB208" s="331"/>
      <c r="AC208" s="331"/>
      <c r="AD208" s="331"/>
      <c r="AF208" s="331"/>
      <c r="AG208" s="331"/>
      <c r="AI208" s="331"/>
    </row>
    <row r="209" spans="2:35" x14ac:dyDescent="0.25">
      <c r="B209" s="123" t="str">
        <f t="shared" si="15"/>
        <v>7 2025</v>
      </c>
      <c r="C209" s="122">
        <f t="shared" si="17"/>
        <v>45861</v>
      </c>
      <c r="D209" s="122">
        <f t="shared" si="18"/>
        <v>45862</v>
      </c>
      <c r="E209" s="123">
        <f t="shared" si="16"/>
        <v>1</v>
      </c>
      <c r="F209" s="123" t="s">
        <v>7</v>
      </c>
      <c r="H209" s="383">
        <f t="shared" si="19"/>
        <v>45861</v>
      </c>
      <c r="I209" s="329"/>
      <c r="K209" s="330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X209" s="331"/>
      <c r="Y209" s="331"/>
      <c r="Z209" s="331"/>
      <c r="AB209" s="331"/>
      <c r="AC209" s="331"/>
      <c r="AD209" s="331"/>
      <c r="AF209" s="331"/>
      <c r="AG209" s="331"/>
      <c r="AI209" s="331"/>
    </row>
    <row r="210" spans="2:35" x14ac:dyDescent="0.25">
      <c r="B210" s="123" t="str">
        <f t="shared" si="15"/>
        <v>7 2025</v>
      </c>
      <c r="C210" s="122">
        <f t="shared" si="17"/>
        <v>45862</v>
      </c>
      <c r="D210" s="122">
        <f t="shared" si="18"/>
        <v>45863</v>
      </c>
      <c r="E210" s="123">
        <f t="shared" si="16"/>
        <v>1</v>
      </c>
      <c r="F210" s="123" t="s">
        <v>7</v>
      </c>
      <c r="H210" s="383">
        <f t="shared" si="19"/>
        <v>45862</v>
      </c>
      <c r="I210" s="329"/>
      <c r="K210" s="330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X210" s="331"/>
      <c r="Y210" s="331"/>
      <c r="Z210" s="331"/>
      <c r="AB210" s="331"/>
      <c r="AC210" s="331"/>
      <c r="AD210" s="331"/>
      <c r="AF210" s="331"/>
      <c r="AG210" s="331"/>
      <c r="AI210" s="331"/>
    </row>
    <row r="211" spans="2:35" x14ac:dyDescent="0.25">
      <c r="B211" s="123" t="str">
        <f t="shared" si="15"/>
        <v>7 2025</v>
      </c>
      <c r="C211" s="122">
        <f t="shared" si="17"/>
        <v>45863</v>
      </c>
      <c r="D211" s="122">
        <f t="shared" si="18"/>
        <v>45864</v>
      </c>
      <c r="E211" s="123">
        <f t="shared" si="16"/>
        <v>1</v>
      </c>
      <c r="F211" s="123" t="s">
        <v>7</v>
      </c>
      <c r="H211" s="383">
        <f t="shared" si="19"/>
        <v>45863</v>
      </c>
      <c r="I211" s="329"/>
      <c r="K211" s="330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X211" s="331"/>
      <c r="Y211" s="331"/>
      <c r="Z211" s="331"/>
      <c r="AB211" s="331"/>
      <c r="AC211" s="331"/>
      <c r="AD211" s="331"/>
      <c r="AF211" s="331"/>
      <c r="AG211" s="331"/>
      <c r="AI211" s="331"/>
    </row>
    <row r="212" spans="2:35" x14ac:dyDescent="0.25">
      <c r="B212" s="123" t="str">
        <f t="shared" si="15"/>
        <v>7 2025</v>
      </c>
      <c r="C212" s="122">
        <f t="shared" si="17"/>
        <v>45864</v>
      </c>
      <c r="D212" s="122">
        <f t="shared" si="18"/>
        <v>45865</v>
      </c>
      <c r="E212" s="123">
        <f t="shared" si="16"/>
        <v>1</v>
      </c>
      <c r="F212" s="123" t="s">
        <v>7</v>
      </c>
      <c r="H212" s="383">
        <f t="shared" si="19"/>
        <v>45864</v>
      </c>
      <c r="I212" s="329"/>
      <c r="K212" s="330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331"/>
      <c r="X212" s="331"/>
      <c r="Y212" s="331"/>
      <c r="Z212" s="331"/>
      <c r="AB212" s="331"/>
      <c r="AC212" s="331"/>
      <c r="AD212" s="331"/>
      <c r="AF212" s="331"/>
      <c r="AG212" s="331"/>
      <c r="AI212" s="331"/>
    </row>
    <row r="213" spans="2:35" x14ac:dyDescent="0.25">
      <c r="B213" s="123" t="str">
        <f t="shared" si="15"/>
        <v>7 2025</v>
      </c>
      <c r="C213" s="122">
        <f t="shared" si="17"/>
        <v>45865</v>
      </c>
      <c r="D213" s="122">
        <f t="shared" si="18"/>
        <v>45866</v>
      </c>
      <c r="E213" s="123">
        <f t="shared" si="16"/>
        <v>1</v>
      </c>
      <c r="F213" s="123" t="s">
        <v>7</v>
      </c>
      <c r="H213" s="383">
        <f t="shared" si="19"/>
        <v>45865</v>
      </c>
      <c r="I213" s="329"/>
      <c r="K213" s="330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331"/>
      <c r="X213" s="331"/>
      <c r="Y213" s="331"/>
      <c r="Z213" s="331"/>
      <c r="AB213" s="331"/>
      <c r="AC213" s="331"/>
      <c r="AD213" s="331"/>
      <c r="AF213" s="331"/>
      <c r="AG213" s="331"/>
      <c r="AI213" s="331"/>
    </row>
    <row r="214" spans="2:35" x14ac:dyDescent="0.25">
      <c r="B214" s="123" t="str">
        <f t="shared" si="15"/>
        <v>7 2025</v>
      </c>
      <c r="C214" s="122">
        <f t="shared" si="17"/>
        <v>45866</v>
      </c>
      <c r="D214" s="122">
        <f t="shared" si="18"/>
        <v>45867</v>
      </c>
      <c r="E214" s="123">
        <f t="shared" si="16"/>
        <v>1</v>
      </c>
      <c r="F214" s="123" t="s">
        <v>7</v>
      </c>
      <c r="H214" s="383">
        <f t="shared" si="19"/>
        <v>45866</v>
      </c>
      <c r="I214" s="329"/>
      <c r="K214" s="330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331"/>
      <c r="X214" s="331"/>
      <c r="Y214" s="331"/>
      <c r="Z214" s="331"/>
      <c r="AB214" s="331"/>
      <c r="AC214" s="331"/>
      <c r="AD214" s="331"/>
      <c r="AF214" s="331"/>
      <c r="AG214" s="331"/>
      <c r="AI214" s="331"/>
    </row>
    <row r="215" spans="2:35" x14ac:dyDescent="0.25">
      <c r="B215" s="123" t="str">
        <f t="shared" si="15"/>
        <v>7 2025</v>
      </c>
      <c r="C215" s="122">
        <f t="shared" si="17"/>
        <v>45867</v>
      </c>
      <c r="D215" s="122">
        <f t="shared" si="18"/>
        <v>45868</v>
      </c>
      <c r="E215" s="123">
        <f t="shared" si="16"/>
        <v>1</v>
      </c>
      <c r="F215" s="123" t="s">
        <v>7</v>
      </c>
      <c r="H215" s="383">
        <f t="shared" si="19"/>
        <v>45867</v>
      </c>
      <c r="I215" s="329"/>
      <c r="K215" s="330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X215" s="331"/>
      <c r="Y215" s="331"/>
      <c r="Z215" s="331"/>
      <c r="AB215" s="331"/>
      <c r="AC215" s="331"/>
      <c r="AD215" s="331"/>
      <c r="AF215" s="331"/>
      <c r="AG215" s="331"/>
      <c r="AI215" s="331"/>
    </row>
    <row r="216" spans="2:35" x14ac:dyDescent="0.25">
      <c r="B216" s="148" t="str">
        <f t="shared" si="15"/>
        <v>7 2025</v>
      </c>
      <c r="C216" s="149">
        <f t="shared" si="17"/>
        <v>45868</v>
      </c>
      <c r="D216" s="149">
        <f t="shared" si="18"/>
        <v>45869</v>
      </c>
      <c r="E216" s="148">
        <f t="shared" si="16"/>
        <v>1</v>
      </c>
      <c r="F216" s="148" t="s">
        <v>7</v>
      </c>
      <c r="H216" s="384">
        <f t="shared" si="19"/>
        <v>45868</v>
      </c>
      <c r="I216" s="329"/>
      <c r="K216" s="330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X216" s="331"/>
      <c r="Y216" s="331"/>
      <c r="Z216" s="331"/>
      <c r="AB216" s="331"/>
      <c r="AC216" s="331"/>
      <c r="AD216" s="331"/>
      <c r="AF216" s="331"/>
      <c r="AG216" s="331"/>
      <c r="AI216" s="331"/>
    </row>
    <row r="217" spans="2:35" x14ac:dyDescent="0.25">
      <c r="B217" s="123" t="str">
        <f t="shared" si="15"/>
        <v>8 2025</v>
      </c>
      <c r="C217" s="122">
        <f t="shared" si="17"/>
        <v>45869</v>
      </c>
      <c r="D217" s="122">
        <f t="shared" si="18"/>
        <v>45870</v>
      </c>
      <c r="E217" s="123">
        <f t="shared" si="16"/>
        <v>1</v>
      </c>
      <c r="F217" s="123" t="s">
        <v>7</v>
      </c>
      <c r="H217" s="383">
        <f t="shared" si="19"/>
        <v>45869</v>
      </c>
      <c r="I217" s="329"/>
      <c r="K217" s="330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X217" s="331"/>
      <c r="Y217" s="331"/>
      <c r="Z217" s="331"/>
      <c r="AB217" s="331"/>
      <c r="AC217" s="331"/>
      <c r="AD217" s="331"/>
      <c r="AF217" s="331"/>
      <c r="AG217" s="331"/>
      <c r="AI217" s="331"/>
    </row>
    <row r="218" spans="2:35" x14ac:dyDescent="0.25">
      <c r="B218" s="123" t="str">
        <f t="shared" si="15"/>
        <v>8 2025</v>
      </c>
      <c r="C218" s="122">
        <f t="shared" si="17"/>
        <v>45870</v>
      </c>
      <c r="D218" s="122">
        <f t="shared" si="18"/>
        <v>45871</v>
      </c>
      <c r="E218" s="123">
        <f t="shared" si="16"/>
        <v>1</v>
      </c>
      <c r="F218" s="123" t="s">
        <v>7</v>
      </c>
      <c r="H218" s="383">
        <f t="shared" si="19"/>
        <v>45870</v>
      </c>
      <c r="I218" s="329"/>
      <c r="K218" s="330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X218" s="331"/>
      <c r="Y218" s="331"/>
      <c r="Z218" s="331"/>
      <c r="AB218" s="331"/>
      <c r="AC218" s="331"/>
      <c r="AD218" s="331"/>
      <c r="AF218" s="331"/>
      <c r="AG218" s="331"/>
      <c r="AI218" s="331"/>
    </row>
    <row r="219" spans="2:35" x14ac:dyDescent="0.25">
      <c r="B219" s="123" t="str">
        <f t="shared" si="15"/>
        <v>8 2025</v>
      </c>
      <c r="C219" s="122">
        <f t="shared" si="17"/>
        <v>45871</v>
      </c>
      <c r="D219" s="122">
        <f t="shared" si="18"/>
        <v>45872</v>
      </c>
      <c r="E219" s="123">
        <f t="shared" si="16"/>
        <v>1</v>
      </c>
      <c r="F219" s="123" t="s">
        <v>7</v>
      </c>
      <c r="H219" s="383">
        <f t="shared" si="19"/>
        <v>45871</v>
      </c>
      <c r="I219" s="329"/>
      <c r="K219" s="330"/>
      <c r="L219" s="331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X219" s="331"/>
      <c r="Y219" s="331"/>
      <c r="Z219" s="331"/>
      <c r="AB219" s="331"/>
      <c r="AC219" s="331"/>
      <c r="AD219" s="331"/>
      <c r="AF219" s="331"/>
      <c r="AG219" s="331"/>
      <c r="AI219" s="331"/>
    </row>
    <row r="220" spans="2:35" x14ac:dyDescent="0.25">
      <c r="B220" s="123" t="str">
        <f t="shared" si="15"/>
        <v>8 2025</v>
      </c>
      <c r="C220" s="122">
        <f t="shared" si="17"/>
        <v>45872</v>
      </c>
      <c r="D220" s="122">
        <f t="shared" si="18"/>
        <v>45873</v>
      </c>
      <c r="E220" s="123">
        <f t="shared" si="16"/>
        <v>1</v>
      </c>
      <c r="F220" s="123" t="s">
        <v>7</v>
      </c>
      <c r="H220" s="383">
        <f t="shared" si="19"/>
        <v>45872</v>
      </c>
      <c r="I220" s="329"/>
      <c r="K220" s="330"/>
      <c r="L220" s="331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X220" s="331"/>
      <c r="Y220" s="331"/>
      <c r="Z220" s="331"/>
      <c r="AB220" s="331"/>
      <c r="AC220" s="331"/>
      <c r="AD220" s="331"/>
      <c r="AF220" s="331"/>
      <c r="AG220" s="331"/>
      <c r="AI220" s="331"/>
    </row>
    <row r="221" spans="2:35" x14ac:dyDescent="0.25">
      <c r="B221" s="123" t="str">
        <f t="shared" si="15"/>
        <v>8 2025</v>
      </c>
      <c r="C221" s="122">
        <f t="shared" si="17"/>
        <v>45873</v>
      </c>
      <c r="D221" s="122">
        <f t="shared" si="18"/>
        <v>45874</v>
      </c>
      <c r="E221" s="123">
        <f t="shared" si="16"/>
        <v>1</v>
      </c>
      <c r="F221" s="123" t="s">
        <v>7</v>
      </c>
      <c r="H221" s="383">
        <f t="shared" si="19"/>
        <v>45873</v>
      </c>
      <c r="I221" s="329"/>
      <c r="K221" s="330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X221" s="331"/>
      <c r="Y221" s="331"/>
      <c r="Z221" s="331"/>
      <c r="AB221" s="331"/>
      <c r="AC221" s="331"/>
      <c r="AD221" s="331"/>
      <c r="AF221" s="331"/>
      <c r="AG221" s="331"/>
      <c r="AI221" s="331"/>
    </row>
    <row r="222" spans="2:35" x14ac:dyDescent="0.25">
      <c r="B222" s="123" t="str">
        <f t="shared" si="15"/>
        <v>8 2025</v>
      </c>
      <c r="C222" s="122">
        <f t="shared" si="17"/>
        <v>45874</v>
      </c>
      <c r="D222" s="122">
        <f t="shared" si="18"/>
        <v>45875</v>
      </c>
      <c r="E222" s="123">
        <f t="shared" si="16"/>
        <v>1</v>
      </c>
      <c r="F222" s="123" t="s">
        <v>7</v>
      </c>
      <c r="H222" s="383">
        <f t="shared" si="19"/>
        <v>45874</v>
      </c>
      <c r="I222" s="329"/>
      <c r="K222" s="330"/>
      <c r="L222" s="331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X222" s="331"/>
      <c r="Y222" s="331"/>
      <c r="Z222" s="331"/>
      <c r="AB222" s="331"/>
      <c r="AC222" s="331"/>
      <c r="AD222" s="331"/>
      <c r="AF222" s="331"/>
      <c r="AG222" s="331"/>
      <c r="AI222" s="331"/>
    </row>
    <row r="223" spans="2:35" x14ac:dyDescent="0.25">
      <c r="B223" s="123" t="str">
        <f t="shared" si="15"/>
        <v>8 2025</v>
      </c>
      <c r="C223" s="122">
        <f t="shared" si="17"/>
        <v>45875</v>
      </c>
      <c r="D223" s="122">
        <f t="shared" si="18"/>
        <v>45876</v>
      </c>
      <c r="E223" s="123">
        <f t="shared" si="16"/>
        <v>1</v>
      </c>
      <c r="F223" s="123" t="s">
        <v>7</v>
      </c>
      <c r="H223" s="383">
        <f t="shared" si="19"/>
        <v>45875</v>
      </c>
      <c r="I223" s="329"/>
      <c r="K223" s="330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X223" s="331"/>
      <c r="Y223" s="331"/>
      <c r="Z223" s="331"/>
      <c r="AB223" s="331"/>
      <c r="AC223" s="331"/>
      <c r="AD223" s="331"/>
      <c r="AF223" s="331"/>
      <c r="AG223" s="331"/>
      <c r="AI223" s="331"/>
    </row>
    <row r="224" spans="2:35" x14ac:dyDescent="0.25">
      <c r="B224" s="123" t="str">
        <f t="shared" si="15"/>
        <v>8 2025</v>
      </c>
      <c r="C224" s="122">
        <f t="shared" si="17"/>
        <v>45876</v>
      </c>
      <c r="D224" s="122">
        <f t="shared" si="18"/>
        <v>45877</v>
      </c>
      <c r="E224" s="123">
        <f t="shared" si="16"/>
        <v>1</v>
      </c>
      <c r="F224" s="123" t="s">
        <v>7</v>
      </c>
      <c r="H224" s="383">
        <f t="shared" si="19"/>
        <v>45876</v>
      </c>
      <c r="I224" s="329"/>
      <c r="K224" s="330"/>
      <c r="L224" s="331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X224" s="331"/>
      <c r="Y224" s="331"/>
      <c r="Z224" s="331"/>
      <c r="AB224" s="331"/>
      <c r="AC224" s="331"/>
      <c r="AD224" s="331"/>
      <c r="AF224" s="331"/>
      <c r="AG224" s="331"/>
      <c r="AI224" s="331"/>
    </row>
    <row r="225" spans="2:35" x14ac:dyDescent="0.25">
      <c r="B225" s="123" t="str">
        <f t="shared" si="15"/>
        <v>8 2025</v>
      </c>
      <c r="C225" s="122">
        <f t="shared" si="17"/>
        <v>45877</v>
      </c>
      <c r="D225" s="122">
        <f t="shared" si="18"/>
        <v>45878</v>
      </c>
      <c r="E225" s="123">
        <f t="shared" si="16"/>
        <v>1</v>
      </c>
      <c r="F225" s="123" t="s">
        <v>7</v>
      </c>
      <c r="H225" s="383">
        <f t="shared" si="19"/>
        <v>45877</v>
      </c>
      <c r="I225" s="329"/>
      <c r="K225" s="330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X225" s="331"/>
      <c r="Y225" s="331"/>
      <c r="Z225" s="331"/>
      <c r="AB225" s="331"/>
      <c r="AC225" s="331"/>
      <c r="AD225" s="331"/>
      <c r="AF225" s="331"/>
      <c r="AG225" s="331"/>
      <c r="AI225" s="331"/>
    </row>
    <row r="226" spans="2:35" x14ac:dyDescent="0.25">
      <c r="B226" s="123" t="str">
        <f t="shared" si="15"/>
        <v>8 2025</v>
      </c>
      <c r="C226" s="122">
        <f t="shared" si="17"/>
        <v>45878</v>
      </c>
      <c r="D226" s="122">
        <f t="shared" si="18"/>
        <v>45879</v>
      </c>
      <c r="E226" s="123">
        <f t="shared" si="16"/>
        <v>1</v>
      </c>
      <c r="F226" s="123" t="s">
        <v>7</v>
      </c>
      <c r="H226" s="383">
        <f t="shared" si="19"/>
        <v>45878</v>
      </c>
      <c r="I226" s="329"/>
      <c r="K226" s="330"/>
      <c r="L226" s="331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X226" s="331"/>
      <c r="Y226" s="331"/>
      <c r="Z226" s="331"/>
      <c r="AB226" s="331"/>
      <c r="AC226" s="331"/>
      <c r="AD226" s="331"/>
      <c r="AF226" s="331"/>
      <c r="AG226" s="331"/>
      <c r="AI226" s="331"/>
    </row>
    <row r="227" spans="2:35" x14ac:dyDescent="0.25">
      <c r="B227" s="123" t="str">
        <f t="shared" si="15"/>
        <v>8 2025</v>
      </c>
      <c r="C227" s="122">
        <f t="shared" si="17"/>
        <v>45879</v>
      </c>
      <c r="D227" s="122">
        <f t="shared" si="18"/>
        <v>45880</v>
      </c>
      <c r="E227" s="123">
        <f t="shared" si="16"/>
        <v>1</v>
      </c>
      <c r="F227" s="123" t="s">
        <v>7</v>
      </c>
      <c r="H227" s="383">
        <f t="shared" si="19"/>
        <v>45879</v>
      </c>
      <c r="I227" s="329"/>
      <c r="K227" s="330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X227" s="331"/>
      <c r="Y227" s="331"/>
      <c r="Z227" s="331"/>
      <c r="AB227" s="331"/>
      <c r="AC227" s="331"/>
      <c r="AD227" s="331"/>
      <c r="AF227" s="331"/>
      <c r="AG227" s="331"/>
      <c r="AI227" s="331"/>
    </row>
    <row r="228" spans="2:35" x14ac:dyDescent="0.25">
      <c r="B228" s="123" t="str">
        <f t="shared" si="15"/>
        <v>8 2025</v>
      </c>
      <c r="C228" s="122">
        <f t="shared" si="17"/>
        <v>45880</v>
      </c>
      <c r="D228" s="122">
        <f t="shared" si="18"/>
        <v>45881</v>
      </c>
      <c r="E228" s="123">
        <f t="shared" si="16"/>
        <v>1</v>
      </c>
      <c r="F228" s="123" t="s">
        <v>7</v>
      </c>
      <c r="H228" s="383">
        <f t="shared" si="19"/>
        <v>45880</v>
      </c>
      <c r="I228" s="329"/>
      <c r="K228" s="330"/>
      <c r="L228" s="331"/>
      <c r="M228" s="331"/>
      <c r="N228" s="331"/>
      <c r="O228" s="331"/>
      <c r="P228" s="331"/>
      <c r="Q228" s="331"/>
      <c r="R228" s="331"/>
      <c r="S228" s="331"/>
      <c r="T228" s="331"/>
      <c r="U228" s="331"/>
      <c r="V228" s="331"/>
      <c r="X228" s="331"/>
      <c r="Y228" s="331"/>
      <c r="Z228" s="331"/>
      <c r="AB228" s="331"/>
      <c r="AC228" s="331"/>
      <c r="AD228" s="331"/>
      <c r="AF228" s="331"/>
      <c r="AG228" s="331"/>
      <c r="AI228" s="331"/>
    </row>
    <row r="229" spans="2:35" x14ac:dyDescent="0.25">
      <c r="B229" s="123" t="str">
        <f t="shared" si="15"/>
        <v>8 2025</v>
      </c>
      <c r="C229" s="122">
        <f t="shared" si="17"/>
        <v>45881</v>
      </c>
      <c r="D229" s="122">
        <f t="shared" si="18"/>
        <v>45882</v>
      </c>
      <c r="E229" s="123">
        <f t="shared" si="16"/>
        <v>1</v>
      </c>
      <c r="F229" s="123" t="s">
        <v>7</v>
      </c>
      <c r="H229" s="383">
        <f t="shared" si="19"/>
        <v>45881</v>
      </c>
      <c r="I229" s="329"/>
      <c r="K229" s="330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X229" s="331"/>
      <c r="Y229" s="331"/>
      <c r="Z229" s="331"/>
      <c r="AB229" s="331"/>
      <c r="AC229" s="331"/>
      <c r="AD229" s="331"/>
      <c r="AF229" s="331"/>
      <c r="AG229" s="331"/>
      <c r="AI229" s="331"/>
    </row>
    <row r="230" spans="2:35" x14ac:dyDescent="0.25">
      <c r="B230" s="123" t="str">
        <f t="shared" si="15"/>
        <v>8 2025</v>
      </c>
      <c r="C230" s="122">
        <f t="shared" si="17"/>
        <v>45882</v>
      </c>
      <c r="D230" s="122">
        <f t="shared" si="18"/>
        <v>45883</v>
      </c>
      <c r="E230" s="123">
        <f t="shared" si="16"/>
        <v>1</v>
      </c>
      <c r="F230" s="123" t="s">
        <v>7</v>
      </c>
      <c r="H230" s="383">
        <f t="shared" si="19"/>
        <v>45882</v>
      </c>
      <c r="I230" s="329"/>
      <c r="K230" s="330"/>
      <c r="L230" s="331"/>
      <c r="M230" s="331"/>
      <c r="N230" s="331"/>
      <c r="O230" s="331"/>
      <c r="P230" s="331"/>
      <c r="Q230" s="331"/>
      <c r="R230" s="331"/>
      <c r="S230" s="331"/>
      <c r="T230" s="331"/>
      <c r="U230" s="331"/>
      <c r="V230" s="331"/>
      <c r="X230" s="331"/>
      <c r="Y230" s="331"/>
      <c r="Z230" s="331"/>
      <c r="AB230" s="331"/>
      <c r="AC230" s="331"/>
      <c r="AD230" s="331"/>
      <c r="AF230" s="331"/>
      <c r="AG230" s="331"/>
      <c r="AI230" s="331"/>
    </row>
    <row r="231" spans="2:35" x14ac:dyDescent="0.25">
      <c r="B231" s="123" t="str">
        <f t="shared" si="15"/>
        <v>8 2025</v>
      </c>
      <c r="C231" s="122">
        <f t="shared" si="17"/>
        <v>45883</v>
      </c>
      <c r="D231" s="122">
        <f t="shared" si="18"/>
        <v>45884</v>
      </c>
      <c r="E231" s="123">
        <f t="shared" si="16"/>
        <v>1</v>
      </c>
      <c r="F231" s="123" t="s">
        <v>7</v>
      </c>
      <c r="H231" s="383">
        <f t="shared" si="19"/>
        <v>45883</v>
      </c>
      <c r="I231" s="329"/>
      <c r="K231" s="330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X231" s="331"/>
      <c r="Y231" s="331"/>
      <c r="Z231" s="331"/>
      <c r="AB231" s="331"/>
      <c r="AC231" s="331"/>
      <c r="AD231" s="331"/>
      <c r="AF231" s="331"/>
      <c r="AG231" s="331"/>
      <c r="AI231" s="331"/>
    </row>
    <row r="232" spans="2:35" x14ac:dyDescent="0.25">
      <c r="B232" s="123" t="str">
        <f t="shared" si="15"/>
        <v>8 2025</v>
      </c>
      <c r="C232" s="122">
        <f t="shared" si="17"/>
        <v>45884</v>
      </c>
      <c r="D232" s="122">
        <f t="shared" si="18"/>
        <v>45885</v>
      </c>
      <c r="E232" s="123">
        <f t="shared" si="16"/>
        <v>1</v>
      </c>
      <c r="F232" s="123" t="s">
        <v>7</v>
      </c>
      <c r="H232" s="383">
        <f t="shared" si="19"/>
        <v>45884</v>
      </c>
      <c r="I232" s="329"/>
      <c r="K232" s="330"/>
      <c r="L232" s="331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X232" s="331"/>
      <c r="Y232" s="331"/>
      <c r="Z232" s="331"/>
      <c r="AB232" s="331"/>
      <c r="AC232" s="331"/>
      <c r="AD232" s="331"/>
      <c r="AF232" s="331"/>
      <c r="AG232" s="331"/>
      <c r="AI232" s="331"/>
    </row>
    <row r="233" spans="2:35" x14ac:dyDescent="0.25">
      <c r="B233" s="123" t="str">
        <f t="shared" si="15"/>
        <v>8 2025</v>
      </c>
      <c r="C233" s="122">
        <f t="shared" si="17"/>
        <v>45885</v>
      </c>
      <c r="D233" s="122">
        <f t="shared" si="18"/>
        <v>45886</v>
      </c>
      <c r="E233" s="123">
        <f t="shared" si="16"/>
        <v>1</v>
      </c>
      <c r="F233" s="123" t="s">
        <v>7</v>
      </c>
      <c r="H233" s="383">
        <f t="shared" si="19"/>
        <v>45885</v>
      </c>
      <c r="I233" s="329"/>
      <c r="K233" s="330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X233" s="331"/>
      <c r="Y233" s="331"/>
      <c r="Z233" s="331"/>
      <c r="AB233" s="331"/>
      <c r="AC233" s="331"/>
      <c r="AD233" s="331"/>
      <c r="AF233" s="331"/>
      <c r="AG233" s="331"/>
      <c r="AI233" s="331"/>
    </row>
    <row r="234" spans="2:35" x14ac:dyDescent="0.25">
      <c r="B234" s="123" t="str">
        <f t="shared" si="15"/>
        <v>8 2025</v>
      </c>
      <c r="C234" s="122">
        <f t="shared" si="17"/>
        <v>45886</v>
      </c>
      <c r="D234" s="122">
        <f t="shared" si="18"/>
        <v>45887</v>
      </c>
      <c r="E234" s="123">
        <f t="shared" si="16"/>
        <v>1</v>
      </c>
      <c r="F234" s="123" t="s">
        <v>7</v>
      </c>
      <c r="H234" s="383">
        <f t="shared" si="19"/>
        <v>45886</v>
      </c>
      <c r="I234" s="329"/>
      <c r="K234" s="330"/>
      <c r="L234" s="331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X234" s="331"/>
      <c r="Y234" s="331"/>
      <c r="Z234" s="331"/>
      <c r="AB234" s="331"/>
      <c r="AC234" s="331"/>
      <c r="AD234" s="331"/>
      <c r="AF234" s="331"/>
      <c r="AG234" s="331"/>
      <c r="AI234" s="331"/>
    </row>
    <row r="235" spans="2:35" x14ac:dyDescent="0.25">
      <c r="B235" s="123" t="str">
        <f t="shared" si="15"/>
        <v>8 2025</v>
      </c>
      <c r="C235" s="122">
        <f t="shared" si="17"/>
        <v>45887</v>
      </c>
      <c r="D235" s="122">
        <f t="shared" si="18"/>
        <v>45888</v>
      </c>
      <c r="E235" s="123">
        <f t="shared" si="16"/>
        <v>1</v>
      </c>
      <c r="F235" s="123" t="s">
        <v>7</v>
      </c>
      <c r="H235" s="383">
        <f t="shared" si="19"/>
        <v>45887</v>
      </c>
      <c r="I235" s="329"/>
      <c r="K235" s="330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X235" s="331"/>
      <c r="Y235" s="331"/>
      <c r="Z235" s="331"/>
      <c r="AB235" s="331"/>
      <c r="AC235" s="331"/>
      <c r="AD235" s="331"/>
      <c r="AF235" s="331"/>
      <c r="AG235" s="331"/>
      <c r="AI235" s="331"/>
    </row>
    <row r="236" spans="2:35" x14ac:dyDescent="0.25">
      <c r="B236" s="123" t="str">
        <f t="shared" si="15"/>
        <v>8 2025</v>
      </c>
      <c r="C236" s="122">
        <f t="shared" si="17"/>
        <v>45888</v>
      </c>
      <c r="D236" s="122">
        <f t="shared" si="18"/>
        <v>45889</v>
      </c>
      <c r="E236" s="123">
        <f t="shared" si="16"/>
        <v>1</v>
      </c>
      <c r="F236" s="123" t="s">
        <v>7</v>
      </c>
      <c r="H236" s="383">
        <f t="shared" si="19"/>
        <v>45888</v>
      </c>
      <c r="I236" s="329"/>
      <c r="K236" s="330"/>
      <c r="L236" s="331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X236" s="331"/>
      <c r="Y236" s="331"/>
      <c r="Z236" s="331"/>
      <c r="AB236" s="331"/>
      <c r="AC236" s="331"/>
      <c r="AD236" s="331"/>
      <c r="AF236" s="331"/>
      <c r="AG236" s="331"/>
      <c r="AI236" s="331"/>
    </row>
    <row r="237" spans="2:35" x14ac:dyDescent="0.25">
      <c r="B237" s="123" t="str">
        <f t="shared" si="15"/>
        <v>8 2025</v>
      </c>
      <c r="C237" s="122">
        <f t="shared" si="17"/>
        <v>45889</v>
      </c>
      <c r="D237" s="122">
        <f t="shared" si="18"/>
        <v>45890</v>
      </c>
      <c r="E237" s="123">
        <f t="shared" si="16"/>
        <v>1</v>
      </c>
      <c r="F237" s="123" t="s">
        <v>7</v>
      </c>
      <c r="H237" s="383">
        <f t="shared" si="19"/>
        <v>45889</v>
      </c>
      <c r="I237" s="329"/>
      <c r="K237" s="330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X237" s="331"/>
      <c r="Y237" s="331"/>
      <c r="Z237" s="331"/>
      <c r="AB237" s="331"/>
      <c r="AC237" s="331"/>
      <c r="AD237" s="331"/>
      <c r="AF237" s="331"/>
      <c r="AG237" s="331"/>
      <c r="AI237" s="331"/>
    </row>
    <row r="238" spans="2:35" x14ac:dyDescent="0.25">
      <c r="B238" s="123" t="str">
        <f t="shared" si="15"/>
        <v>8 2025</v>
      </c>
      <c r="C238" s="122">
        <f t="shared" si="17"/>
        <v>45890</v>
      </c>
      <c r="D238" s="122">
        <f t="shared" si="18"/>
        <v>45891</v>
      </c>
      <c r="E238" s="123">
        <f t="shared" si="16"/>
        <v>1</v>
      </c>
      <c r="F238" s="123" t="s">
        <v>7</v>
      </c>
      <c r="H238" s="383">
        <f t="shared" si="19"/>
        <v>45890</v>
      </c>
      <c r="I238" s="329"/>
      <c r="K238" s="330"/>
      <c r="L238" s="331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X238" s="331"/>
      <c r="Y238" s="331"/>
      <c r="Z238" s="331"/>
      <c r="AB238" s="331"/>
      <c r="AC238" s="331"/>
      <c r="AD238" s="331"/>
      <c r="AF238" s="331"/>
      <c r="AG238" s="331"/>
      <c r="AI238" s="331"/>
    </row>
    <row r="239" spans="2:35" x14ac:dyDescent="0.25">
      <c r="B239" s="123" t="str">
        <f t="shared" si="15"/>
        <v>8 2025</v>
      </c>
      <c r="C239" s="122">
        <f t="shared" si="17"/>
        <v>45891</v>
      </c>
      <c r="D239" s="122">
        <f t="shared" si="18"/>
        <v>45892</v>
      </c>
      <c r="E239" s="123">
        <f t="shared" si="16"/>
        <v>1</v>
      </c>
      <c r="F239" s="123" t="s">
        <v>7</v>
      </c>
      <c r="H239" s="383">
        <f t="shared" si="19"/>
        <v>45891</v>
      </c>
      <c r="I239" s="329"/>
      <c r="K239" s="330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X239" s="331"/>
      <c r="Y239" s="331"/>
      <c r="Z239" s="331"/>
      <c r="AB239" s="331"/>
      <c r="AC239" s="331"/>
      <c r="AD239" s="331"/>
      <c r="AF239" s="331"/>
      <c r="AG239" s="331"/>
      <c r="AI239" s="331"/>
    </row>
    <row r="240" spans="2:35" x14ac:dyDescent="0.25">
      <c r="B240" s="123" t="str">
        <f t="shared" si="15"/>
        <v>8 2025</v>
      </c>
      <c r="C240" s="122">
        <f t="shared" si="17"/>
        <v>45892</v>
      </c>
      <c r="D240" s="122">
        <f t="shared" si="18"/>
        <v>45893</v>
      </c>
      <c r="E240" s="123">
        <f t="shared" si="16"/>
        <v>1</v>
      </c>
      <c r="F240" s="123" t="s">
        <v>7</v>
      </c>
      <c r="H240" s="383">
        <f t="shared" si="19"/>
        <v>45892</v>
      </c>
      <c r="I240" s="329"/>
      <c r="K240" s="330"/>
      <c r="L240" s="331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X240" s="331"/>
      <c r="Y240" s="331"/>
      <c r="Z240" s="331"/>
      <c r="AB240" s="331"/>
      <c r="AC240" s="331"/>
      <c r="AD240" s="331"/>
      <c r="AF240" s="331"/>
      <c r="AG240" s="331"/>
      <c r="AI240" s="331"/>
    </row>
    <row r="241" spans="2:35" x14ac:dyDescent="0.25">
      <c r="B241" s="123" t="str">
        <f t="shared" si="15"/>
        <v>8 2025</v>
      </c>
      <c r="C241" s="122">
        <f t="shared" si="17"/>
        <v>45893</v>
      </c>
      <c r="D241" s="122">
        <f t="shared" si="18"/>
        <v>45894</v>
      </c>
      <c r="E241" s="123">
        <f t="shared" si="16"/>
        <v>1</v>
      </c>
      <c r="F241" s="123" t="s">
        <v>7</v>
      </c>
      <c r="H241" s="383">
        <f t="shared" si="19"/>
        <v>45893</v>
      </c>
      <c r="I241" s="329"/>
      <c r="K241" s="330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X241" s="331"/>
      <c r="Y241" s="331"/>
      <c r="Z241" s="331"/>
      <c r="AB241" s="331"/>
      <c r="AC241" s="331"/>
      <c r="AD241" s="331"/>
      <c r="AF241" s="331"/>
      <c r="AG241" s="331"/>
      <c r="AI241" s="331"/>
    </row>
    <row r="242" spans="2:35" x14ac:dyDescent="0.25">
      <c r="B242" s="123" t="str">
        <f t="shared" si="15"/>
        <v>8 2025</v>
      </c>
      <c r="C242" s="122">
        <f t="shared" si="17"/>
        <v>45894</v>
      </c>
      <c r="D242" s="122">
        <f t="shared" si="18"/>
        <v>45895</v>
      </c>
      <c r="E242" s="123">
        <f t="shared" si="16"/>
        <v>1</v>
      </c>
      <c r="F242" s="123" t="s">
        <v>7</v>
      </c>
      <c r="H242" s="383">
        <f t="shared" si="19"/>
        <v>45894</v>
      </c>
      <c r="I242" s="329"/>
      <c r="K242" s="330"/>
      <c r="L242" s="331"/>
      <c r="M242" s="331"/>
      <c r="N242" s="331"/>
      <c r="O242" s="331"/>
      <c r="P242" s="331"/>
      <c r="Q242" s="331"/>
      <c r="R242" s="331"/>
      <c r="S242" s="331"/>
      <c r="T242" s="331"/>
      <c r="U242" s="331"/>
      <c r="V242" s="331"/>
      <c r="X242" s="331"/>
      <c r="Y242" s="331"/>
      <c r="Z242" s="331"/>
      <c r="AB242" s="331"/>
      <c r="AC242" s="331"/>
      <c r="AD242" s="331"/>
      <c r="AF242" s="331"/>
      <c r="AG242" s="331"/>
      <c r="AI242" s="331"/>
    </row>
    <row r="243" spans="2:35" x14ac:dyDescent="0.25">
      <c r="B243" s="123" t="str">
        <f t="shared" si="15"/>
        <v>8 2025</v>
      </c>
      <c r="C243" s="122">
        <f t="shared" si="17"/>
        <v>45895</v>
      </c>
      <c r="D243" s="122">
        <f t="shared" si="18"/>
        <v>45896</v>
      </c>
      <c r="E243" s="123">
        <f t="shared" si="16"/>
        <v>1</v>
      </c>
      <c r="F243" s="123" t="s">
        <v>7</v>
      </c>
      <c r="H243" s="383">
        <f t="shared" si="19"/>
        <v>45895</v>
      </c>
      <c r="I243" s="329"/>
      <c r="K243" s="330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X243" s="331"/>
      <c r="Y243" s="331"/>
      <c r="Z243" s="331"/>
      <c r="AB243" s="331"/>
      <c r="AC243" s="331"/>
      <c r="AD243" s="331"/>
      <c r="AF243" s="331"/>
      <c r="AG243" s="331"/>
      <c r="AI243" s="331"/>
    </row>
    <row r="244" spans="2:35" x14ac:dyDescent="0.25">
      <c r="B244" s="123" t="str">
        <f t="shared" si="15"/>
        <v>8 2025</v>
      </c>
      <c r="C244" s="122">
        <f t="shared" si="17"/>
        <v>45896</v>
      </c>
      <c r="D244" s="122">
        <f t="shared" si="18"/>
        <v>45897</v>
      </c>
      <c r="E244" s="123">
        <f t="shared" si="16"/>
        <v>1</v>
      </c>
      <c r="F244" s="123" t="s">
        <v>7</v>
      </c>
      <c r="H244" s="383">
        <f t="shared" si="19"/>
        <v>45896</v>
      </c>
      <c r="I244" s="329"/>
      <c r="K244" s="330"/>
      <c r="L244" s="331"/>
      <c r="M244" s="331"/>
      <c r="N244" s="331"/>
      <c r="O244" s="331"/>
      <c r="P244" s="331"/>
      <c r="Q244" s="331"/>
      <c r="R244" s="331"/>
      <c r="S244" s="331"/>
      <c r="T244" s="331"/>
      <c r="U244" s="331"/>
      <c r="V244" s="331"/>
      <c r="X244" s="331"/>
      <c r="Y244" s="331"/>
      <c r="Z244" s="331"/>
      <c r="AB244" s="331"/>
      <c r="AC244" s="331"/>
      <c r="AD244" s="331"/>
      <c r="AF244" s="331"/>
      <c r="AG244" s="331"/>
      <c r="AI244" s="331"/>
    </row>
    <row r="245" spans="2:35" x14ac:dyDescent="0.25">
      <c r="B245" s="123" t="str">
        <f t="shared" si="15"/>
        <v>8 2025</v>
      </c>
      <c r="C245" s="122">
        <f t="shared" si="17"/>
        <v>45897</v>
      </c>
      <c r="D245" s="122">
        <f t="shared" si="18"/>
        <v>45898</v>
      </c>
      <c r="E245" s="123">
        <f t="shared" si="16"/>
        <v>1</v>
      </c>
      <c r="F245" s="123" t="s">
        <v>7</v>
      </c>
      <c r="H245" s="383">
        <f t="shared" si="19"/>
        <v>45897</v>
      </c>
      <c r="I245" s="329"/>
      <c r="K245" s="330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X245" s="331"/>
      <c r="Y245" s="331"/>
      <c r="Z245" s="331"/>
      <c r="AB245" s="331"/>
      <c r="AC245" s="331"/>
      <c r="AD245" s="331"/>
      <c r="AF245" s="331"/>
      <c r="AG245" s="331"/>
      <c r="AI245" s="331"/>
    </row>
    <row r="246" spans="2:35" x14ac:dyDescent="0.25">
      <c r="B246" s="123" t="str">
        <f t="shared" si="15"/>
        <v>8 2025</v>
      </c>
      <c r="C246" s="122">
        <f t="shared" si="17"/>
        <v>45898</v>
      </c>
      <c r="D246" s="122">
        <f t="shared" si="18"/>
        <v>45899</v>
      </c>
      <c r="E246" s="123">
        <f t="shared" si="16"/>
        <v>1</v>
      </c>
      <c r="F246" s="123" t="s">
        <v>7</v>
      </c>
      <c r="H246" s="383">
        <f t="shared" si="19"/>
        <v>45898</v>
      </c>
      <c r="I246" s="329"/>
      <c r="K246" s="330"/>
      <c r="L246" s="331"/>
      <c r="M246" s="331"/>
      <c r="N246" s="331"/>
      <c r="O246" s="331"/>
      <c r="P246" s="331"/>
      <c r="Q246" s="331"/>
      <c r="R246" s="331"/>
      <c r="S246" s="331"/>
      <c r="T246" s="331"/>
      <c r="U246" s="331"/>
      <c r="V246" s="331"/>
      <c r="X246" s="331"/>
      <c r="Y246" s="331"/>
      <c r="Z246" s="331"/>
      <c r="AB246" s="331"/>
      <c r="AC246" s="331"/>
      <c r="AD246" s="331"/>
      <c r="AF246" s="331"/>
      <c r="AG246" s="331"/>
      <c r="AI246" s="331"/>
    </row>
    <row r="247" spans="2:35" x14ac:dyDescent="0.25">
      <c r="B247" s="148" t="str">
        <f t="shared" si="15"/>
        <v>8 2025</v>
      </c>
      <c r="C247" s="149">
        <f t="shared" si="17"/>
        <v>45899</v>
      </c>
      <c r="D247" s="149">
        <f t="shared" si="18"/>
        <v>45900</v>
      </c>
      <c r="E247" s="148">
        <f t="shared" si="16"/>
        <v>1</v>
      </c>
      <c r="F247" s="148" t="s">
        <v>7</v>
      </c>
      <c r="H247" s="384">
        <f t="shared" si="19"/>
        <v>45899</v>
      </c>
      <c r="I247" s="329"/>
      <c r="K247" s="330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X247" s="331"/>
      <c r="Y247" s="331"/>
      <c r="Z247" s="331"/>
      <c r="AB247" s="331"/>
      <c r="AC247" s="331"/>
      <c r="AD247" s="331"/>
      <c r="AF247" s="331"/>
      <c r="AG247" s="331"/>
      <c r="AI247" s="331"/>
    </row>
    <row r="248" spans="2:35" x14ac:dyDescent="0.25">
      <c r="B248" s="123" t="str">
        <f t="shared" si="15"/>
        <v>9 2025</v>
      </c>
      <c r="C248" s="122">
        <f t="shared" si="17"/>
        <v>45900</v>
      </c>
      <c r="D248" s="122">
        <f t="shared" si="18"/>
        <v>45901</v>
      </c>
      <c r="E248" s="123">
        <f t="shared" si="16"/>
        <v>1</v>
      </c>
      <c r="F248" s="123" t="s">
        <v>7</v>
      </c>
      <c r="H248" s="383">
        <f t="shared" si="19"/>
        <v>45900</v>
      </c>
      <c r="I248" s="329"/>
      <c r="K248" s="330"/>
      <c r="L248" s="331"/>
      <c r="M248" s="331"/>
      <c r="N248" s="331"/>
      <c r="O248" s="331"/>
      <c r="P248" s="331"/>
      <c r="Q248" s="331"/>
      <c r="R248" s="331"/>
      <c r="S248" s="331"/>
      <c r="T248" s="331"/>
      <c r="U248" s="331"/>
      <c r="V248" s="331"/>
      <c r="X248" s="331"/>
      <c r="Y248" s="331"/>
      <c r="Z248" s="331"/>
      <c r="AB248" s="331"/>
      <c r="AC248" s="331"/>
      <c r="AD248" s="331"/>
      <c r="AF248" s="331"/>
      <c r="AG248" s="331"/>
      <c r="AI248" s="331"/>
    </row>
    <row r="249" spans="2:35" x14ac:dyDescent="0.25">
      <c r="B249" s="123" t="str">
        <f t="shared" si="15"/>
        <v>9 2025</v>
      </c>
      <c r="C249" s="122">
        <f t="shared" si="17"/>
        <v>45901</v>
      </c>
      <c r="D249" s="122">
        <f t="shared" si="18"/>
        <v>45902</v>
      </c>
      <c r="E249" s="123">
        <f t="shared" si="16"/>
        <v>1</v>
      </c>
      <c r="F249" s="123" t="s">
        <v>7</v>
      </c>
      <c r="H249" s="383">
        <f t="shared" si="19"/>
        <v>45901</v>
      </c>
      <c r="I249" s="329"/>
      <c r="K249" s="330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X249" s="331"/>
      <c r="Y249" s="331"/>
      <c r="Z249" s="331"/>
      <c r="AB249" s="331"/>
      <c r="AC249" s="331"/>
      <c r="AD249" s="331"/>
      <c r="AF249" s="331"/>
      <c r="AG249" s="331"/>
      <c r="AI249" s="331"/>
    </row>
    <row r="250" spans="2:35" x14ac:dyDescent="0.25">
      <c r="B250" s="123" t="str">
        <f t="shared" si="15"/>
        <v>9 2025</v>
      </c>
      <c r="C250" s="122">
        <f t="shared" si="17"/>
        <v>45902</v>
      </c>
      <c r="D250" s="122">
        <f t="shared" si="18"/>
        <v>45903</v>
      </c>
      <c r="E250" s="123">
        <f t="shared" si="16"/>
        <v>1</v>
      </c>
      <c r="F250" s="123" t="s">
        <v>7</v>
      </c>
      <c r="H250" s="383">
        <f t="shared" si="19"/>
        <v>45902</v>
      </c>
      <c r="I250" s="329"/>
      <c r="K250" s="330"/>
      <c r="L250" s="331"/>
      <c r="M250" s="331"/>
      <c r="N250" s="331"/>
      <c r="O250" s="331"/>
      <c r="P250" s="331"/>
      <c r="Q250" s="331"/>
      <c r="R250" s="331"/>
      <c r="S250" s="331"/>
      <c r="T250" s="331"/>
      <c r="U250" s="331"/>
      <c r="V250" s="331"/>
      <c r="X250" s="331"/>
      <c r="Y250" s="331"/>
      <c r="Z250" s="331"/>
      <c r="AB250" s="331"/>
      <c r="AC250" s="331"/>
      <c r="AD250" s="331"/>
      <c r="AF250" s="331"/>
      <c r="AG250" s="331"/>
      <c r="AI250" s="331"/>
    </row>
    <row r="251" spans="2:35" x14ac:dyDescent="0.25">
      <c r="B251" s="123" t="str">
        <f t="shared" si="15"/>
        <v>9 2025</v>
      </c>
      <c r="C251" s="122">
        <f t="shared" si="17"/>
        <v>45903</v>
      </c>
      <c r="D251" s="122">
        <f t="shared" si="18"/>
        <v>45904</v>
      </c>
      <c r="E251" s="123">
        <f t="shared" si="16"/>
        <v>1</v>
      </c>
      <c r="F251" s="123" t="s">
        <v>7</v>
      </c>
      <c r="H251" s="383">
        <f t="shared" si="19"/>
        <v>45903</v>
      </c>
      <c r="I251" s="329"/>
      <c r="K251" s="330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X251" s="331"/>
      <c r="Y251" s="331"/>
      <c r="Z251" s="331"/>
      <c r="AB251" s="331"/>
      <c r="AC251" s="331"/>
      <c r="AD251" s="331"/>
      <c r="AF251" s="331"/>
      <c r="AG251" s="331"/>
      <c r="AI251" s="331"/>
    </row>
    <row r="252" spans="2:35" x14ac:dyDescent="0.25">
      <c r="B252" s="123" t="str">
        <f t="shared" si="15"/>
        <v>9 2025</v>
      </c>
      <c r="C252" s="122">
        <f t="shared" si="17"/>
        <v>45904</v>
      </c>
      <c r="D252" s="122">
        <f t="shared" si="18"/>
        <v>45905</v>
      </c>
      <c r="E252" s="123">
        <f t="shared" si="16"/>
        <v>1</v>
      </c>
      <c r="F252" s="123" t="s">
        <v>7</v>
      </c>
      <c r="H252" s="383">
        <f t="shared" si="19"/>
        <v>45904</v>
      </c>
      <c r="I252" s="329"/>
      <c r="K252" s="330"/>
      <c r="L252" s="331"/>
      <c r="M252" s="331"/>
      <c r="N252" s="331"/>
      <c r="O252" s="331"/>
      <c r="P252" s="331"/>
      <c r="Q252" s="331"/>
      <c r="R252" s="331"/>
      <c r="S252" s="331"/>
      <c r="T252" s="331"/>
      <c r="U252" s="331"/>
      <c r="V252" s="331"/>
      <c r="X252" s="331"/>
      <c r="Y252" s="331"/>
      <c r="Z252" s="331"/>
      <c r="AB252" s="331"/>
      <c r="AC252" s="331"/>
      <c r="AD252" s="331"/>
      <c r="AF252" s="331"/>
      <c r="AG252" s="331"/>
      <c r="AI252" s="331"/>
    </row>
    <row r="253" spans="2:35" x14ac:dyDescent="0.25">
      <c r="B253" s="123" t="str">
        <f t="shared" si="15"/>
        <v>9 2025</v>
      </c>
      <c r="C253" s="122">
        <f t="shared" si="17"/>
        <v>45905</v>
      </c>
      <c r="D253" s="122">
        <f t="shared" si="18"/>
        <v>45906</v>
      </c>
      <c r="E253" s="123">
        <f t="shared" si="16"/>
        <v>1</v>
      </c>
      <c r="F253" s="123" t="s">
        <v>7</v>
      </c>
      <c r="H253" s="383">
        <f t="shared" si="19"/>
        <v>45905</v>
      </c>
      <c r="I253" s="329"/>
      <c r="K253" s="330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X253" s="331"/>
      <c r="Y253" s="331"/>
      <c r="Z253" s="331"/>
      <c r="AB253" s="331"/>
      <c r="AC253" s="331"/>
      <c r="AD253" s="331"/>
      <c r="AF253" s="331"/>
      <c r="AG253" s="331"/>
      <c r="AI253" s="331"/>
    </row>
    <row r="254" spans="2:35" x14ac:dyDescent="0.25">
      <c r="B254" s="123" t="str">
        <f t="shared" si="15"/>
        <v>9 2025</v>
      </c>
      <c r="C254" s="122">
        <f t="shared" si="17"/>
        <v>45906</v>
      </c>
      <c r="D254" s="122">
        <f t="shared" si="18"/>
        <v>45907</v>
      </c>
      <c r="E254" s="123">
        <f t="shared" si="16"/>
        <v>1</v>
      </c>
      <c r="F254" s="123" t="s">
        <v>7</v>
      </c>
      <c r="H254" s="383">
        <f t="shared" si="19"/>
        <v>45906</v>
      </c>
      <c r="I254" s="329"/>
      <c r="K254" s="330"/>
      <c r="L254" s="331"/>
      <c r="M254" s="331"/>
      <c r="N254" s="331"/>
      <c r="O254" s="331"/>
      <c r="P254" s="331"/>
      <c r="Q254" s="331"/>
      <c r="R254" s="331"/>
      <c r="S254" s="331"/>
      <c r="T254" s="331"/>
      <c r="U254" s="331"/>
      <c r="V254" s="331"/>
      <c r="X254" s="331"/>
      <c r="Y254" s="331"/>
      <c r="Z254" s="331"/>
      <c r="AB254" s="331"/>
      <c r="AC254" s="331"/>
      <c r="AD254" s="331"/>
      <c r="AF254" s="331"/>
      <c r="AG254" s="331"/>
      <c r="AI254" s="331"/>
    </row>
    <row r="255" spans="2:35" x14ac:dyDescent="0.25">
      <c r="B255" s="123" t="str">
        <f t="shared" si="15"/>
        <v>9 2025</v>
      </c>
      <c r="C255" s="122">
        <f t="shared" si="17"/>
        <v>45907</v>
      </c>
      <c r="D255" s="122">
        <f t="shared" si="18"/>
        <v>45908</v>
      </c>
      <c r="E255" s="123">
        <f t="shared" si="16"/>
        <v>1</v>
      </c>
      <c r="F255" s="123" t="s">
        <v>7</v>
      </c>
      <c r="H255" s="383">
        <f t="shared" si="19"/>
        <v>45907</v>
      </c>
      <c r="I255" s="329"/>
      <c r="K255" s="330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X255" s="331"/>
      <c r="Y255" s="331"/>
      <c r="Z255" s="331"/>
      <c r="AB255" s="331"/>
      <c r="AC255" s="331"/>
      <c r="AD255" s="331"/>
      <c r="AF255" s="331"/>
      <c r="AG255" s="331"/>
      <c r="AI255" s="331"/>
    </row>
    <row r="256" spans="2:35" x14ac:dyDescent="0.25">
      <c r="B256" s="123" t="str">
        <f t="shared" si="15"/>
        <v>9 2025</v>
      </c>
      <c r="C256" s="122">
        <f t="shared" si="17"/>
        <v>45908</v>
      </c>
      <c r="D256" s="122">
        <f t="shared" si="18"/>
        <v>45909</v>
      </c>
      <c r="E256" s="123">
        <f t="shared" si="16"/>
        <v>1</v>
      </c>
      <c r="F256" s="123" t="s">
        <v>7</v>
      </c>
      <c r="H256" s="383">
        <f t="shared" si="19"/>
        <v>45908</v>
      </c>
      <c r="I256" s="329"/>
      <c r="K256" s="330"/>
      <c r="L256" s="331"/>
      <c r="M256" s="331"/>
      <c r="N256" s="331"/>
      <c r="O256" s="331"/>
      <c r="P256" s="331"/>
      <c r="Q256" s="331"/>
      <c r="R256" s="331"/>
      <c r="S256" s="331"/>
      <c r="T256" s="331"/>
      <c r="U256" s="331"/>
      <c r="V256" s="331"/>
      <c r="X256" s="331"/>
      <c r="Y256" s="331"/>
      <c r="Z256" s="331"/>
      <c r="AB256" s="331"/>
      <c r="AC256" s="331"/>
      <c r="AD256" s="331"/>
      <c r="AF256" s="331"/>
      <c r="AG256" s="331"/>
      <c r="AI256" s="331"/>
    </row>
    <row r="257" spans="2:35" x14ac:dyDescent="0.25">
      <c r="B257" s="123" t="str">
        <f t="shared" si="15"/>
        <v>9 2025</v>
      </c>
      <c r="C257" s="122">
        <f t="shared" si="17"/>
        <v>45909</v>
      </c>
      <c r="D257" s="122">
        <f t="shared" si="18"/>
        <v>45910</v>
      </c>
      <c r="E257" s="123">
        <f t="shared" si="16"/>
        <v>1</v>
      </c>
      <c r="F257" s="123" t="s">
        <v>7</v>
      </c>
      <c r="H257" s="383">
        <f t="shared" si="19"/>
        <v>45909</v>
      </c>
      <c r="I257" s="329"/>
      <c r="K257" s="330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X257" s="331"/>
      <c r="Y257" s="331"/>
      <c r="Z257" s="331"/>
      <c r="AB257" s="331"/>
      <c r="AC257" s="331"/>
      <c r="AD257" s="331"/>
      <c r="AF257" s="331"/>
      <c r="AG257" s="331"/>
      <c r="AI257" s="331"/>
    </row>
    <row r="258" spans="2:35" x14ac:dyDescent="0.25">
      <c r="B258" s="123" t="str">
        <f t="shared" si="15"/>
        <v>9 2025</v>
      </c>
      <c r="C258" s="122">
        <f t="shared" si="17"/>
        <v>45910</v>
      </c>
      <c r="D258" s="122">
        <f t="shared" si="18"/>
        <v>45911</v>
      </c>
      <c r="E258" s="123">
        <f t="shared" si="16"/>
        <v>1</v>
      </c>
      <c r="F258" s="123" t="s">
        <v>7</v>
      </c>
      <c r="H258" s="383">
        <f t="shared" si="19"/>
        <v>45910</v>
      </c>
      <c r="I258" s="329"/>
      <c r="K258" s="330"/>
      <c r="L258" s="331"/>
      <c r="M258" s="331"/>
      <c r="N258" s="331"/>
      <c r="O258" s="331"/>
      <c r="P258" s="331"/>
      <c r="Q258" s="331"/>
      <c r="R258" s="331"/>
      <c r="S258" s="331"/>
      <c r="T258" s="331"/>
      <c r="U258" s="331"/>
      <c r="V258" s="331"/>
      <c r="X258" s="331"/>
      <c r="Y258" s="331"/>
      <c r="Z258" s="331"/>
      <c r="AB258" s="331"/>
      <c r="AC258" s="331"/>
      <c r="AD258" s="331"/>
      <c r="AF258" s="331"/>
      <c r="AG258" s="331"/>
      <c r="AI258" s="331"/>
    </row>
    <row r="259" spans="2:35" x14ac:dyDescent="0.25">
      <c r="B259" s="123" t="str">
        <f t="shared" si="15"/>
        <v>9 2025</v>
      </c>
      <c r="C259" s="122">
        <f t="shared" si="17"/>
        <v>45911</v>
      </c>
      <c r="D259" s="122">
        <f t="shared" si="18"/>
        <v>45912</v>
      </c>
      <c r="E259" s="123">
        <f t="shared" si="16"/>
        <v>1</v>
      </c>
      <c r="F259" s="123" t="s">
        <v>7</v>
      </c>
      <c r="H259" s="383">
        <f t="shared" si="19"/>
        <v>45911</v>
      </c>
      <c r="I259" s="329"/>
      <c r="K259" s="330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X259" s="331"/>
      <c r="Y259" s="331"/>
      <c r="Z259" s="331"/>
      <c r="AB259" s="331"/>
      <c r="AC259" s="331"/>
      <c r="AD259" s="331"/>
      <c r="AF259" s="331"/>
      <c r="AG259" s="331"/>
      <c r="AI259" s="331"/>
    </row>
    <row r="260" spans="2:35" x14ac:dyDescent="0.25">
      <c r="B260" s="123" t="str">
        <f t="shared" si="15"/>
        <v>9 2025</v>
      </c>
      <c r="C260" s="122">
        <f t="shared" si="17"/>
        <v>45912</v>
      </c>
      <c r="D260" s="122">
        <f t="shared" si="18"/>
        <v>45913</v>
      </c>
      <c r="E260" s="123">
        <f t="shared" si="16"/>
        <v>1</v>
      </c>
      <c r="F260" s="123" t="s">
        <v>7</v>
      </c>
      <c r="H260" s="383">
        <f t="shared" si="19"/>
        <v>45912</v>
      </c>
      <c r="I260" s="329"/>
      <c r="K260" s="330"/>
      <c r="L260" s="331"/>
      <c r="M260" s="331"/>
      <c r="N260" s="331"/>
      <c r="O260" s="331"/>
      <c r="P260" s="331"/>
      <c r="Q260" s="331"/>
      <c r="R260" s="331"/>
      <c r="S260" s="331"/>
      <c r="T260" s="331"/>
      <c r="U260" s="331"/>
      <c r="V260" s="331"/>
      <c r="X260" s="331"/>
      <c r="Y260" s="331"/>
      <c r="Z260" s="331"/>
      <c r="AB260" s="331"/>
      <c r="AC260" s="331"/>
      <c r="AD260" s="331"/>
      <c r="AF260" s="331"/>
      <c r="AG260" s="331"/>
      <c r="AI260" s="331"/>
    </row>
    <row r="261" spans="2:35" x14ac:dyDescent="0.25">
      <c r="B261" s="123" t="str">
        <f t="shared" ref="B261:B324" si="20">CONCATENATE(MONTH(D261)," ",YEAR(D261))</f>
        <v>9 2025</v>
      </c>
      <c r="C261" s="122">
        <f t="shared" si="17"/>
        <v>45913</v>
      </c>
      <c r="D261" s="122">
        <f t="shared" si="18"/>
        <v>45914</v>
      </c>
      <c r="E261" s="123">
        <f t="shared" ref="E261:E324" si="21">D261-C261</f>
        <v>1</v>
      </c>
      <c r="F261" s="123" t="s">
        <v>7</v>
      </c>
      <c r="H261" s="383">
        <f t="shared" si="19"/>
        <v>45913</v>
      </c>
      <c r="I261" s="329"/>
      <c r="K261" s="330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X261" s="331"/>
      <c r="Y261" s="331"/>
      <c r="Z261" s="331"/>
      <c r="AB261" s="331"/>
      <c r="AC261" s="331"/>
      <c r="AD261" s="331"/>
      <c r="AF261" s="331"/>
      <c r="AG261" s="331"/>
      <c r="AI261" s="331"/>
    </row>
    <row r="262" spans="2:35" x14ac:dyDescent="0.25">
      <c r="B262" s="123" t="str">
        <f t="shared" si="20"/>
        <v>9 2025</v>
      </c>
      <c r="C262" s="122">
        <f t="shared" ref="C262:C325" si="22">D261</f>
        <v>45914</v>
      </c>
      <c r="D262" s="122">
        <f t="shared" ref="D262:D325" si="23">D261+1</f>
        <v>45915</v>
      </c>
      <c r="E262" s="123">
        <f t="shared" si="21"/>
        <v>1</v>
      </c>
      <c r="F262" s="123" t="s">
        <v>7</v>
      </c>
      <c r="H262" s="383">
        <f t="shared" ref="H262:H325" si="24">C262</f>
        <v>45914</v>
      </c>
      <c r="I262" s="329"/>
      <c r="K262" s="330"/>
      <c r="L262" s="331"/>
      <c r="M262" s="331"/>
      <c r="N262" s="331"/>
      <c r="O262" s="331"/>
      <c r="P262" s="331"/>
      <c r="Q262" s="331"/>
      <c r="R262" s="331"/>
      <c r="S262" s="331"/>
      <c r="T262" s="331"/>
      <c r="U262" s="331"/>
      <c r="V262" s="331"/>
      <c r="X262" s="331"/>
      <c r="Y262" s="331"/>
      <c r="Z262" s="331"/>
      <c r="AB262" s="331"/>
      <c r="AC262" s="331"/>
      <c r="AD262" s="331"/>
      <c r="AF262" s="331"/>
      <c r="AG262" s="331"/>
      <c r="AI262" s="331"/>
    </row>
    <row r="263" spans="2:35" x14ac:dyDescent="0.25">
      <c r="B263" s="123" t="str">
        <f t="shared" si="20"/>
        <v>9 2025</v>
      </c>
      <c r="C263" s="122">
        <f t="shared" si="22"/>
        <v>45915</v>
      </c>
      <c r="D263" s="122">
        <f t="shared" si="23"/>
        <v>45916</v>
      </c>
      <c r="E263" s="123">
        <f t="shared" si="21"/>
        <v>1</v>
      </c>
      <c r="F263" s="123" t="s">
        <v>7</v>
      </c>
      <c r="H263" s="383">
        <f t="shared" si="24"/>
        <v>45915</v>
      </c>
      <c r="I263" s="329"/>
      <c r="K263" s="330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X263" s="331"/>
      <c r="Y263" s="331"/>
      <c r="Z263" s="331"/>
      <c r="AB263" s="331"/>
      <c r="AC263" s="331"/>
      <c r="AD263" s="331"/>
      <c r="AF263" s="331"/>
      <c r="AG263" s="331"/>
      <c r="AI263" s="331"/>
    </row>
    <row r="264" spans="2:35" x14ac:dyDescent="0.25">
      <c r="B264" s="123" t="str">
        <f t="shared" si="20"/>
        <v>9 2025</v>
      </c>
      <c r="C264" s="122">
        <f t="shared" si="22"/>
        <v>45916</v>
      </c>
      <c r="D264" s="122">
        <f t="shared" si="23"/>
        <v>45917</v>
      </c>
      <c r="E264" s="123">
        <f t="shared" si="21"/>
        <v>1</v>
      </c>
      <c r="F264" s="123" t="s">
        <v>7</v>
      </c>
      <c r="H264" s="383">
        <f t="shared" si="24"/>
        <v>45916</v>
      </c>
      <c r="I264" s="329"/>
      <c r="K264" s="330"/>
      <c r="L264" s="331"/>
      <c r="M264" s="331"/>
      <c r="N264" s="331"/>
      <c r="O264" s="331"/>
      <c r="P264" s="331"/>
      <c r="Q264" s="331"/>
      <c r="R264" s="331"/>
      <c r="S264" s="331"/>
      <c r="T264" s="331"/>
      <c r="U264" s="331"/>
      <c r="V264" s="331"/>
      <c r="X264" s="331"/>
      <c r="Y264" s="331"/>
      <c r="Z264" s="331"/>
      <c r="AB264" s="331"/>
      <c r="AC264" s="331"/>
      <c r="AD264" s="331"/>
      <c r="AF264" s="331"/>
      <c r="AG264" s="331"/>
      <c r="AI264" s="331"/>
    </row>
    <row r="265" spans="2:35" x14ac:dyDescent="0.25">
      <c r="B265" s="123" t="str">
        <f t="shared" si="20"/>
        <v>9 2025</v>
      </c>
      <c r="C265" s="122">
        <f t="shared" si="22"/>
        <v>45917</v>
      </c>
      <c r="D265" s="122">
        <f t="shared" si="23"/>
        <v>45918</v>
      </c>
      <c r="E265" s="123">
        <f t="shared" si="21"/>
        <v>1</v>
      </c>
      <c r="F265" s="123" t="s">
        <v>7</v>
      </c>
      <c r="H265" s="383">
        <f t="shared" si="24"/>
        <v>45917</v>
      </c>
      <c r="I265" s="329"/>
      <c r="K265" s="330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X265" s="331"/>
      <c r="Y265" s="331"/>
      <c r="Z265" s="331"/>
      <c r="AB265" s="331"/>
      <c r="AC265" s="331"/>
      <c r="AD265" s="331"/>
      <c r="AF265" s="331"/>
      <c r="AG265" s="331"/>
      <c r="AI265" s="331"/>
    </row>
    <row r="266" spans="2:35" x14ac:dyDescent="0.25">
      <c r="B266" s="123" t="str">
        <f t="shared" si="20"/>
        <v>9 2025</v>
      </c>
      <c r="C266" s="122">
        <f t="shared" si="22"/>
        <v>45918</v>
      </c>
      <c r="D266" s="122">
        <f t="shared" si="23"/>
        <v>45919</v>
      </c>
      <c r="E266" s="123">
        <f t="shared" si="21"/>
        <v>1</v>
      </c>
      <c r="F266" s="123" t="s">
        <v>7</v>
      </c>
      <c r="H266" s="383">
        <f t="shared" si="24"/>
        <v>45918</v>
      </c>
      <c r="I266" s="329"/>
      <c r="K266" s="330"/>
      <c r="L266" s="331"/>
      <c r="M266" s="331"/>
      <c r="N266" s="331"/>
      <c r="O266" s="331"/>
      <c r="P266" s="331"/>
      <c r="Q266" s="331"/>
      <c r="R266" s="331"/>
      <c r="S266" s="331"/>
      <c r="T266" s="331"/>
      <c r="U266" s="331"/>
      <c r="V266" s="331"/>
      <c r="X266" s="331"/>
      <c r="Y266" s="331"/>
      <c r="Z266" s="331"/>
      <c r="AB266" s="331"/>
      <c r="AC266" s="331"/>
      <c r="AD266" s="331"/>
      <c r="AF266" s="331"/>
      <c r="AG266" s="331"/>
      <c r="AI266" s="331"/>
    </row>
    <row r="267" spans="2:35" x14ac:dyDescent="0.25">
      <c r="B267" s="123" t="str">
        <f t="shared" si="20"/>
        <v>9 2025</v>
      </c>
      <c r="C267" s="122">
        <f t="shared" si="22"/>
        <v>45919</v>
      </c>
      <c r="D267" s="122">
        <f t="shared" si="23"/>
        <v>45920</v>
      </c>
      <c r="E267" s="123">
        <f t="shared" si="21"/>
        <v>1</v>
      </c>
      <c r="F267" s="123" t="s">
        <v>7</v>
      </c>
      <c r="H267" s="383">
        <f t="shared" si="24"/>
        <v>45919</v>
      </c>
      <c r="I267" s="329"/>
      <c r="K267" s="330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X267" s="331"/>
      <c r="Y267" s="331"/>
      <c r="Z267" s="331"/>
      <c r="AB267" s="331"/>
      <c r="AC267" s="331"/>
      <c r="AD267" s="331"/>
      <c r="AF267" s="331"/>
      <c r="AG267" s="331"/>
      <c r="AI267" s="333"/>
    </row>
    <row r="268" spans="2:35" x14ac:dyDescent="0.25">
      <c r="B268" s="123" t="str">
        <f t="shared" si="20"/>
        <v>9 2025</v>
      </c>
      <c r="C268" s="122">
        <f t="shared" si="22"/>
        <v>45920</v>
      </c>
      <c r="D268" s="122">
        <f t="shared" si="23"/>
        <v>45921</v>
      </c>
      <c r="E268" s="123">
        <f t="shared" si="21"/>
        <v>1</v>
      </c>
      <c r="F268" s="123" t="s">
        <v>7</v>
      </c>
      <c r="H268" s="383">
        <f t="shared" si="24"/>
        <v>45920</v>
      </c>
      <c r="I268" s="329"/>
      <c r="K268" s="330"/>
      <c r="L268" s="331"/>
      <c r="M268" s="331"/>
      <c r="N268" s="331"/>
      <c r="O268" s="331"/>
      <c r="P268" s="331"/>
      <c r="Q268" s="331"/>
      <c r="R268" s="331"/>
      <c r="S268" s="331"/>
      <c r="T268" s="331"/>
      <c r="U268" s="331"/>
      <c r="V268" s="331"/>
      <c r="X268" s="331"/>
      <c r="Y268" s="331"/>
      <c r="Z268" s="331"/>
      <c r="AB268" s="331"/>
      <c r="AC268" s="331"/>
      <c r="AD268" s="331"/>
      <c r="AF268" s="331"/>
      <c r="AG268" s="331"/>
      <c r="AI268" s="330"/>
    </row>
    <row r="269" spans="2:35" x14ac:dyDescent="0.25">
      <c r="B269" s="123" t="str">
        <f t="shared" si="20"/>
        <v>9 2025</v>
      </c>
      <c r="C269" s="122">
        <f t="shared" si="22"/>
        <v>45921</v>
      </c>
      <c r="D269" s="122">
        <f t="shared" si="23"/>
        <v>45922</v>
      </c>
      <c r="E269" s="123">
        <f t="shared" si="21"/>
        <v>1</v>
      </c>
      <c r="F269" s="123" t="s">
        <v>7</v>
      </c>
      <c r="H269" s="383">
        <f t="shared" si="24"/>
        <v>45921</v>
      </c>
      <c r="I269" s="329"/>
      <c r="K269" s="330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X269" s="331"/>
      <c r="Y269" s="331"/>
      <c r="Z269" s="331"/>
      <c r="AB269" s="331"/>
      <c r="AC269" s="331"/>
      <c r="AD269" s="331"/>
      <c r="AF269" s="331"/>
      <c r="AG269" s="331"/>
      <c r="AI269" s="330"/>
    </row>
    <row r="270" spans="2:35" x14ac:dyDescent="0.25">
      <c r="B270" s="123" t="str">
        <f t="shared" si="20"/>
        <v>9 2025</v>
      </c>
      <c r="C270" s="122">
        <f t="shared" si="22"/>
        <v>45922</v>
      </c>
      <c r="D270" s="122">
        <f t="shared" si="23"/>
        <v>45923</v>
      </c>
      <c r="E270" s="123">
        <f t="shared" si="21"/>
        <v>1</v>
      </c>
      <c r="F270" s="123" t="s">
        <v>7</v>
      </c>
      <c r="H270" s="383">
        <f t="shared" si="24"/>
        <v>45922</v>
      </c>
      <c r="I270" s="329"/>
      <c r="K270" s="330"/>
      <c r="L270" s="331"/>
      <c r="M270" s="331"/>
      <c r="N270" s="331"/>
      <c r="O270" s="331"/>
      <c r="P270" s="331"/>
      <c r="Q270" s="331"/>
      <c r="R270" s="331"/>
      <c r="S270" s="331"/>
      <c r="T270" s="331"/>
      <c r="U270" s="331"/>
      <c r="V270" s="331"/>
      <c r="X270" s="331"/>
      <c r="Y270" s="331"/>
      <c r="Z270" s="331"/>
      <c r="AB270" s="331"/>
      <c r="AC270" s="331"/>
      <c r="AD270" s="331"/>
      <c r="AF270" s="331"/>
      <c r="AG270" s="331"/>
      <c r="AI270" s="330"/>
    </row>
    <row r="271" spans="2:35" x14ac:dyDescent="0.25">
      <c r="B271" s="123" t="str">
        <f t="shared" si="20"/>
        <v>9 2025</v>
      </c>
      <c r="C271" s="122">
        <f t="shared" si="22"/>
        <v>45923</v>
      </c>
      <c r="D271" s="122">
        <f t="shared" si="23"/>
        <v>45924</v>
      </c>
      <c r="E271" s="123">
        <f t="shared" si="21"/>
        <v>1</v>
      </c>
      <c r="F271" s="123" t="s">
        <v>7</v>
      </c>
      <c r="H271" s="383">
        <f t="shared" si="24"/>
        <v>45923</v>
      </c>
      <c r="I271" s="329"/>
      <c r="K271" s="330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X271" s="331"/>
      <c r="Y271" s="331"/>
      <c r="Z271" s="331"/>
      <c r="AB271" s="331"/>
      <c r="AC271" s="331"/>
      <c r="AD271" s="331"/>
      <c r="AF271" s="331"/>
      <c r="AG271" s="331"/>
      <c r="AI271" s="330"/>
    </row>
    <row r="272" spans="2:35" x14ac:dyDescent="0.25">
      <c r="B272" s="123" t="str">
        <f t="shared" si="20"/>
        <v>9 2025</v>
      </c>
      <c r="C272" s="122">
        <f t="shared" si="22"/>
        <v>45924</v>
      </c>
      <c r="D272" s="122">
        <f t="shared" si="23"/>
        <v>45925</v>
      </c>
      <c r="E272" s="123">
        <f t="shared" si="21"/>
        <v>1</v>
      </c>
      <c r="F272" s="123" t="s">
        <v>7</v>
      </c>
      <c r="H272" s="383">
        <f t="shared" si="24"/>
        <v>45924</v>
      </c>
      <c r="I272" s="329"/>
      <c r="K272" s="330"/>
      <c r="L272" s="331"/>
      <c r="M272" s="331"/>
      <c r="N272" s="331"/>
      <c r="O272" s="331"/>
      <c r="P272" s="331"/>
      <c r="Q272" s="331"/>
      <c r="R272" s="331"/>
      <c r="S272" s="331"/>
      <c r="T272" s="331"/>
      <c r="U272" s="331"/>
      <c r="V272" s="331"/>
      <c r="X272" s="331"/>
      <c r="Y272" s="331"/>
      <c r="Z272" s="331"/>
      <c r="AB272" s="331"/>
      <c r="AC272" s="331"/>
      <c r="AD272" s="331"/>
      <c r="AF272" s="331"/>
      <c r="AG272" s="331"/>
      <c r="AI272" s="330"/>
    </row>
    <row r="273" spans="1:35" x14ac:dyDescent="0.25">
      <c r="B273" s="123" t="str">
        <f t="shared" si="20"/>
        <v>9 2025</v>
      </c>
      <c r="C273" s="122">
        <f t="shared" si="22"/>
        <v>45925</v>
      </c>
      <c r="D273" s="122">
        <f t="shared" si="23"/>
        <v>45926</v>
      </c>
      <c r="E273" s="123">
        <f t="shared" si="21"/>
        <v>1</v>
      </c>
      <c r="F273" s="123" t="s">
        <v>7</v>
      </c>
      <c r="H273" s="383">
        <f t="shared" si="24"/>
        <v>45925</v>
      </c>
      <c r="I273" s="329"/>
      <c r="K273" s="330"/>
      <c r="L273" s="331"/>
      <c r="M273" s="331"/>
      <c r="N273" s="331"/>
      <c r="O273" s="331"/>
      <c r="P273" s="331"/>
      <c r="Q273" s="331"/>
      <c r="R273" s="331"/>
      <c r="S273" s="331"/>
      <c r="T273" s="331"/>
      <c r="U273" s="331"/>
      <c r="V273" s="331"/>
      <c r="X273" s="331"/>
      <c r="Y273" s="331"/>
      <c r="Z273" s="331"/>
      <c r="AB273" s="331"/>
      <c r="AC273" s="331"/>
      <c r="AD273" s="331"/>
      <c r="AF273" s="331"/>
      <c r="AG273" s="331"/>
      <c r="AI273" s="330"/>
    </row>
    <row r="274" spans="1:35" x14ac:dyDescent="0.25">
      <c r="B274" s="123" t="str">
        <f t="shared" si="20"/>
        <v>9 2025</v>
      </c>
      <c r="C274" s="122">
        <f t="shared" si="22"/>
        <v>45926</v>
      </c>
      <c r="D274" s="122">
        <f t="shared" si="23"/>
        <v>45927</v>
      </c>
      <c r="E274" s="123">
        <f t="shared" si="21"/>
        <v>1</v>
      </c>
      <c r="F274" s="123" t="s">
        <v>7</v>
      </c>
      <c r="H274" s="383">
        <f t="shared" si="24"/>
        <v>45926</v>
      </c>
      <c r="I274" s="329"/>
      <c r="K274" s="330"/>
      <c r="L274" s="331"/>
      <c r="M274" s="331"/>
      <c r="N274" s="331"/>
      <c r="O274" s="331"/>
      <c r="P274" s="331"/>
      <c r="Q274" s="331"/>
      <c r="R274" s="331"/>
      <c r="S274" s="331"/>
      <c r="T274" s="331"/>
      <c r="U274" s="331"/>
      <c r="V274" s="331"/>
      <c r="X274" s="331"/>
      <c r="Y274" s="331"/>
      <c r="Z274" s="331"/>
      <c r="AB274" s="331"/>
      <c r="AC274" s="331"/>
      <c r="AD274" s="331"/>
      <c r="AF274" s="331"/>
      <c r="AG274" s="331"/>
      <c r="AI274" s="330"/>
    </row>
    <row r="275" spans="1:35" x14ac:dyDescent="0.25">
      <c r="B275" s="123" t="str">
        <f t="shared" si="20"/>
        <v>9 2025</v>
      </c>
      <c r="C275" s="122">
        <f t="shared" si="22"/>
        <v>45927</v>
      </c>
      <c r="D275" s="122">
        <f t="shared" si="23"/>
        <v>45928</v>
      </c>
      <c r="E275" s="123">
        <f t="shared" si="21"/>
        <v>1</v>
      </c>
      <c r="F275" s="123" t="s">
        <v>7</v>
      </c>
      <c r="H275" s="383">
        <f t="shared" si="24"/>
        <v>45927</v>
      </c>
      <c r="I275" s="329"/>
      <c r="K275" s="330"/>
      <c r="L275" s="331"/>
      <c r="M275" s="331"/>
      <c r="N275" s="331"/>
      <c r="O275" s="331"/>
      <c r="P275" s="331"/>
      <c r="Q275" s="331"/>
      <c r="R275" s="331"/>
      <c r="S275" s="331"/>
      <c r="T275" s="331"/>
      <c r="U275" s="331"/>
      <c r="V275" s="331"/>
      <c r="X275" s="331"/>
      <c r="Y275" s="331"/>
      <c r="Z275" s="331"/>
      <c r="AB275" s="331"/>
      <c r="AC275" s="331"/>
      <c r="AD275" s="331"/>
      <c r="AF275" s="331"/>
      <c r="AG275" s="331"/>
      <c r="AI275" s="330"/>
    </row>
    <row r="276" spans="1:35" x14ac:dyDescent="0.25">
      <c r="B276" s="123" t="str">
        <f t="shared" si="20"/>
        <v>9 2025</v>
      </c>
      <c r="C276" s="122">
        <f t="shared" si="22"/>
        <v>45928</v>
      </c>
      <c r="D276" s="122">
        <f t="shared" si="23"/>
        <v>45929</v>
      </c>
      <c r="E276" s="123">
        <f t="shared" si="21"/>
        <v>1</v>
      </c>
      <c r="F276" s="123" t="s">
        <v>7</v>
      </c>
      <c r="H276" s="383">
        <f t="shared" si="24"/>
        <v>45928</v>
      </c>
      <c r="I276" s="329"/>
      <c r="K276" s="330"/>
      <c r="L276" s="331"/>
      <c r="M276" s="331"/>
      <c r="N276" s="331"/>
      <c r="O276" s="331"/>
      <c r="P276" s="331"/>
      <c r="Q276" s="331"/>
      <c r="R276" s="331"/>
      <c r="S276" s="331"/>
      <c r="T276" s="331"/>
      <c r="U276" s="331"/>
      <c r="V276" s="331"/>
      <c r="X276" s="331"/>
      <c r="Y276" s="331"/>
      <c r="Z276" s="331"/>
      <c r="AB276" s="331"/>
      <c r="AC276" s="331"/>
      <c r="AD276" s="331"/>
      <c r="AF276" s="331"/>
      <c r="AG276" s="331"/>
      <c r="AI276" s="330"/>
    </row>
    <row r="277" spans="1:35" x14ac:dyDescent="0.25">
      <c r="B277" s="148" t="str">
        <f t="shared" si="20"/>
        <v>9 2025</v>
      </c>
      <c r="C277" s="149">
        <f t="shared" si="22"/>
        <v>45929</v>
      </c>
      <c r="D277" s="149">
        <f t="shared" si="23"/>
        <v>45930</v>
      </c>
      <c r="E277" s="148">
        <f t="shared" si="21"/>
        <v>1</v>
      </c>
      <c r="F277" s="148" t="s">
        <v>7</v>
      </c>
      <c r="H277" s="384">
        <f t="shared" si="24"/>
        <v>45929</v>
      </c>
      <c r="I277" s="329"/>
      <c r="K277" s="330"/>
      <c r="L277" s="331"/>
      <c r="M277" s="331"/>
      <c r="N277" s="331"/>
      <c r="O277" s="331"/>
      <c r="P277" s="331"/>
      <c r="Q277" s="331"/>
      <c r="R277" s="331"/>
      <c r="S277" s="331"/>
      <c r="T277" s="331"/>
      <c r="U277" s="331"/>
      <c r="V277" s="331"/>
      <c r="X277" s="331"/>
      <c r="Y277" s="331"/>
      <c r="Z277" s="331"/>
      <c r="AB277" s="331"/>
      <c r="AC277" s="331"/>
      <c r="AD277" s="331"/>
      <c r="AF277" s="331"/>
      <c r="AG277" s="331"/>
      <c r="AI277" s="330"/>
    </row>
    <row r="278" spans="1:35" x14ac:dyDescent="0.25">
      <c r="A278" s="191" t="s">
        <v>139</v>
      </c>
      <c r="B278" s="123" t="str">
        <f t="shared" si="20"/>
        <v>10 2025</v>
      </c>
      <c r="C278" s="122">
        <f t="shared" si="22"/>
        <v>45930</v>
      </c>
      <c r="D278" s="122">
        <f t="shared" si="23"/>
        <v>45931</v>
      </c>
      <c r="E278" s="123">
        <f t="shared" si="21"/>
        <v>1</v>
      </c>
      <c r="F278" s="123" t="s">
        <v>7</v>
      </c>
      <c r="H278" s="383">
        <f t="shared" si="24"/>
        <v>45930</v>
      </c>
      <c r="I278" s="329"/>
      <c r="K278" s="330"/>
      <c r="L278" s="331"/>
      <c r="M278" s="331"/>
      <c r="N278" s="331"/>
      <c r="O278" s="331"/>
      <c r="P278" s="331"/>
      <c r="Q278" s="331"/>
      <c r="R278" s="331"/>
      <c r="S278" s="331"/>
      <c r="T278" s="331"/>
      <c r="U278" s="331"/>
      <c r="V278" s="331"/>
      <c r="X278" s="331"/>
      <c r="Y278" s="331"/>
      <c r="Z278" s="331"/>
      <c r="AB278" s="331"/>
      <c r="AC278" s="331"/>
      <c r="AD278" s="331"/>
      <c r="AF278" s="331"/>
      <c r="AG278" s="331"/>
      <c r="AI278" s="330"/>
    </row>
    <row r="279" spans="1:35" x14ac:dyDescent="0.25">
      <c r="B279" s="123" t="str">
        <f t="shared" si="20"/>
        <v>10 2025</v>
      </c>
      <c r="C279" s="122">
        <f t="shared" si="22"/>
        <v>45931</v>
      </c>
      <c r="D279" s="122">
        <f t="shared" si="23"/>
        <v>45932</v>
      </c>
      <c r="E279" s="123">
        <f t="shared" si="21"/>
        <v>1</v>
      </c>
      <c r="F279" s="123" t="s">
        <v>7</v>
      </c>
      <c r="H279" s="383">
        <f t="shared" si="24"/>
        <v>45931</v>
      </c>
      <c r="I279" s="329"/>
      <c r="K279" s="330"/>
      <c r="L279" s="331"/>
      <c r="M279" s="331"/>
      <c r="N279" s="331"/>
      <c r="O279" s="331"/>
      <c r="P279" s="331"/>
      <c r="Q279" s="331"/>
      <c r="R279" s="331"/>
      <c r="S279" s="331"/>
      <c r="T279" s="331"/>
      <c r="U279" s="331"/>
      <c r="V279" s="331"/>
      <c r="X279" s="331"/>
      <c r="Y279" s="331"/>
      <c r="Z279" s="331"/>
      <c r="AB279" s="331"/>
      <c r="AC279" s="331"/>
      <c r="AD279" s="331"/>
      <c r="AF279" s="331"/>
      <c r="AG279" s="331"/>
      <c r="AI279" s="330"/>
    </row>
    <row r="280" spans="1:35" x14ac:dyDescent="0.25">
      <c r="B280" s="123" t="str">
        <f t="shared" si="20"/>
        <v>10 2025</v>
      </c>
      <c r="C280" s="122">
        <f t="shared" si="22"/>
        <v>45932</v>
      </c>
      <c r="D280" s="122">
        <f t="shared" si="23"/>
        <v>45933</v>
      </c>
      <c r="E280" s="123">
        <f t="shared" si="21"/>
        <v>1</v>
      </c>
      <c r="F280" s="123" t="s">
        <v>7</v>
      </c>
      <c r="H280" s="383">
        <f t="shared" si="24"/>
        <v>45932</v>
      </c>
      <c r="I280" s="329"/>
      <c r="K280" s="330"/>
      <c r="L280" s="331"/>
      <c r="M280" s="331"/>
      <c r="N280" s="331"/>
      <c r="O280" s="331"/>
      <c r="P280" s="331"/>
      <c r="Q280" s="331"/>
      <c r="R280" s="331"/>
      <c r="S280" s="331"/>
      <c r="T280" s="331"/>
      <c r="U280" s="331"/>
      <c r="V280" s="331"/>
      <c r="X280" s="331"/>
      <c r="Y280" s="331"/>
      <c r="Z280" s="331"/>
      <c r="AB280" s="331"/>
      <c r="AC280" s="331"/>
      <c r="AD280" s="331"/>
      <c r="AF280" s="331"/>
      <c r="AG280" s="331"/>
      <c r="AI280" s="330"/>
    </row>
    <row r="281" spans="1:35" x14ac:dyDescent="0.25">
      <c r="B281" s="123" t="str">
        <f t="shared" si="20"/>
        <v>10 2025</v>
      </c>
      <c r="C281" s="122">
        <f t="shared" si="22"/>
        <v>45933</v>
      </c>
      <c r="D281" s="122">
        <f t="shared" si="23"/>
        <v>45934</v>
      </c>
      <c r="E281" s="123">
        <f t="shared" si="21"/>
        <v>1</v>
      </c>
      <c r="F281" s="123" t="s">
        <v>7</v>
      </c>
      <c r="H281" s="383">
        <f t="shared" si="24"/>
        <v>45933</v>
      </c>
      <c r="I281" s="329"/>
      <c r="K281" s="330"/>
      <c r="L281" s="331"/>
      <c r="M281" s="331"/>
      <c r="N281" s="331"/>
      <c r="O281" s="331"/>
      <c r="P281" s="331"/>
      <c r="Q281" s="331"/>
      <c r="R281" s="331"/>
      <c r="S281" s="331"/>
      <c r="T281" s="331"/>
      <c r="U281" s="331"/>
      <c r="V281" s="331"/>
      <c r="X281" s="331"/>
      <c r="Y281" s="331"/>
      <c r="Z281" s="331"/>
      <c r="AB281" s="331"/>
      <c r="AC281" s="331"/>
      <c r="AD281" s="331"/>
      <c r="AF281" s="331"/>
      <c r="AG281" s="331"/>
      <c r="AI281" s="330"/>
    </row>
    <row r="282" spans="1:35" x14ac:dyDescent="0.25">
      <c r="B282" s="123" t="str">
        <f t="shared" si="20"/>
        <v>10 2025</v>
      </c>
      <c r="C282" s="122">
        <f t="shared" si="22"/>
        <v>45934</v>
      </c>
      <c r="D282" s="122">
        <f t="shared" si="23"/>
        <v>45935</v>
      </c>
      <c r="E282" s="123">
        <f t="shared" si="21"/>
        <v>1</v>
      </c>
      <c r="F282" s="123" t="s">
        <v>7</v>
      </c>
      <c r="H282" s="383">
        <f t="shared" si="24"/>
        <v>45934</v>
      </c>
      <c r="I282" s="329"/>
      <c r="K282" s="330"/>
      <c r="L282" s="331"/>
      <c r="M282" s="331"/>
      <c r="N282" s="331"/>
      <c r="O282" s="331"/>
      <c r="P282" s="331"/>
      <c r="Q282" s="331"/>
      <c r="R282" s="331"/>
      <c r="S282" s="331"/>
      <c r="T282" s="331"/>
      <c r="U282" s="331"/>
      <c r="V282" s="331"/>
      <c r="X282" s="331"/>
      <c r="Y282" s="331"/>
      <c r="Z282" s="331"/>
      <c r="AB282" s="331"/>
      <c r="AC282" s="331"/>
      <c r="AD282" s="331"/>
      <c r="AF282" s="331"/>
      <c r="AG282" s="331"/>
      <c r="AI282" s="330"/>
    </row>
    <row r="283" spans="1:35" x14ac:dyDescent="0.25">
      <c r="B283" s="123" t="str">
        <f t="shared" si="20"/>
        <v>10 2025</v>
      </c>
      <c r="C283" s="122">
        <f t="shared" si="22"/>
        <v>45935</v>
      </c>
      <c r="D283" s="122">
        <f t="shared" si="23"/>
        <v>45936</v>
      </c>
      <c r="E283" s="123">
        <f t="shared" si="21"/>
        <v>1</v>
      </c>
      <c r="F283" s="123" t="s">
        <v>7</v>
      </c>
      <c r="H283" s="383">
        <f t="shared" si="24"/>
        <v>45935</v>
      </c>
      <c r="I283" s="329"/>
      <c r="K283" s="330"/>
      <c r="L283" s="331"/>
      <c r="M283" s="331"/>
      <c r="N283" s="331"/>
      <c r="O283" s="331"/>
      <c r="P283" s="331"/>
      <c r="Q283" s="331"/>
      <c r="R283" s="331"/>
      <c r="S283" s="331"/>
      <c r="T283" s="331"/>
      <c r="U283" s="331"/>
      <c r="V283" s="331"/>
      <c r="X283" s="331"/>
      <c r="Y283" s="331"/>
      <c r="Z283" s="331"/>
      <c r="AB283" s="331"/>
      <c r="AC283" s="331"/>
      <c r="AD283" s="331"/>
      <c r="AF283" s="331"/>
      <c r="AG283" s="331"/>
      <c r="AI283" s="330"/>
    </row>
    <row r="284" spans="1:35" x14ac:dyDescent="0.25">
      <c r="B284" s="123" t="str">
        <f t="shared" si="20"/>
        <v>10 2025</v>
      </c>
      <c r="C284" s="122">
        <f t="shared" si="22"/>
        <v>45936</v>
      </c>
      <c r="D284" s="122">
        <f t="shared" si="23"/>
        <v>45937</v>
      </c>
      <c r="E284" s="123">
        <f t="shared" si="21"/>
        <v>1</v>
      </c>
      <c r="F284" s="123" t="s">
        <v>7</v>
      </c>
      <c r="H284" s="383">
        <f t="shared" si="24"/>
        <v>45936</v>
      </c>
      <c r="I284" s="329"/>
      <c r="K284" s="330"/>
      <c r="L284" s="331"/>
      <c r="M284" s="331"/>
      <c r="N284" s="331"/>
      <c r="O284" s="331"/>
      <c r="P284" s="331"/>
      <c r="Q284" s="331"/>
      <c r="R284" s="331"/>
      <c r="S284" s="331"/>
      <c r="T284" s="331"/>
      <c r="U284" s="331"/>
      <c r="V284" s="331"/>
      <c r="X284" s="331"/>
      <c r="Y284" s="331"/>
      <c r="Z284" s="331"/>
      <c r="AB284" s="331"/>
      <c r="AC284" s="331"/>
      <c r="AD284" s="331"/>
      <c r="AF284" s="331"/>
      <c r="AG284" s="331"/>
      <c r="AI284" s="330"/>
    </row>
    <row r="285" spans="1:35" x14ac:dyDescent="0.25">
      <c r="B285" s="123" t="str">
        <f t="shared" si="20"/>
        <v>10 2025</v>
      </c>
      <c r="C285" s="122">
        <f t="shared" si="22"/>
        <v>45937</v>
      </c>
      <c r="D285" s="122">
        <f t="shared" si="23"/>
        <v>45938</v>
      </c>
      <c r="E285" s="123">
        <f t="shared" si="21"/>
        <v>1</v>
      </c>
      <c r="F285" s="123" t="s">
        <v>7</v>
      </c>
      <c r="H285" s="383">
        <f t="shared" si="24"/>
        <v>45937</v>
      </c>
      <c r="I285" s="329"/>
      <c r="K285" s="330"/>
      <c r="L285" s="331"/>
      <c r="M285" s="331"/>
      <c r="N285" s="331"/>
      <c r="O285" s="331"/>
      <c r="P285" s="331"/>
      <c r="Q285" s="331"/>
      <c r="R285" s="331"/>
      <c r="S285" s="331"/>
      <c r="T285" s="331"/>
      <c r="U285" s="331"/>
      <c r="V285" s="331"/>
      <c r="X285" s="331"/>
      <c r="Y285" s="331"/>
      <c r="Z285" s="331"/>
      <c r="AB285" s="331"/>
      <c r="AC285" s="331"/>
      <c r="AD285" s="331"/>
      <c r="AF285" s="331"/>
      <c r="AG285" s="331"/>
      <c r="AI285" s="330"/>
    </row>
    <row r="286" spans="1:35" x14ac:dyDescent="0.25">
      <c r="B286" s="123" t="str">
        <f t="shared" si="20"/>
        <v>10 2025</v>
      </c>
      <c r="C286" s="122">
        <f t="shared" si="22"/>
        <v>45938</v>
      </c>
      <c r="D286" s="122">
        <f t="shared" si="23"/>
        <v>45939</v>
      </c>
      <c r="E286" s="123">
        <f t="shared" si="21"/>
        <v>1</v>
      </c>
      <c r="F286" s="123" t="s">
        <v>7</v>
      </c>
      <c r="H286" s="383">
        <f t="shared" si="24"/>
        <v>45938</v>
      </c>
      <c r="I286" s="329"/>
      <c r="K286" s="331"/>
      <c r="L286" s="331"/>
      <c r="M286" s="331"/>
      <c r="N286" s="331"/>
      <c r="O286" s="331"/>
      <c r="P286" s="331"/>
      <c r="Q286" s="331"/>
      <c r="R286" s="331"/>
      <c r="S286" s="331"/>
      <c r="T286" s="331"/>
      <c r="U286" s="331"/>
      <c r="V286" s="331"/>
      <c r="X286" s="331"/>
      <c r="Y286" s="331"/>
      <c r="Z286" s="331"/>
      <c r="AB286" s="331"/>
      <c r="AC286" s="331"/>
      <c r="AD286" s="331"/>
      <c r="AF286" s="331"/>
      <c r="AG286" s="331"/>
      <c r="AI286" s="331"/>
    </row>
    <row r="287" spans="1:35" x14ac:dyDescent="0.25">
      <c r="B287" s="123" t="str">
        <f t="shared" si="20"/>
        <v>10 2025</v>
      </c>
      <c r="C287" s="122">
        <f t="shared" si="22"/>
        <v>45939</v>
      </c>
      <c r="D287" s="122">
        <f t="shared" si="23"/>
        <v>45940</v>
      </c>
      <c r="E287" s="123">
        <f t="shared" si="21"/>
        <v>1</v>
      </c>
      <c r="F287" s="123" t="s">
        <v>7</v>
      </c>
      <c r="H287" s="383">
        <f t="shared" si="24"/>
        <v>45939</v>
      </c>
      <c r="I287" s="329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X287" s="331"/>
      <c r="Y287" s="331"/>
      <c r="Z287" s="331"/>
      <c r="AB287" s="330"/>
      <c r="AC287" s="330"/>
      <c r="AD287" s="330"/>
      <c r="AF287" s="335"/>
      <c r="AG287" s="335"/>
      <c r="AI287" s="330"/>
    </row>
    <row r="288" spans="1:35" x14ac:dyDescent="0.25">
      <c r="B288" s="628" t="str">
        <f t="shared" si="20"/>
        <v>10 2025</v>
      </c>
      <c r="C288" s="631">
        <f t="shared" si="22"/>
        <v>45940</v>
      </c>
      <c r="D288" s="631">
        <f t="shared" si="23"/>
        <v>45941</v>
      </c>
      <c r="E288" s="628">
        <f t="shared" si="21"/>
        <v>1</v>
      </c>
      <c r="F288" s="628" t="s">
        <v>7</v>
      </c>
      <c r="H288" s="629">
        <f t="shared" si="24"/>
        <v>45940</v>
      </c>
      <c r="I288" s="630">
        <v>101.07680000000001</v>
      </c>
      <c r="K288" s="627">
        <v>100000</v>
      </c>
      <c r="L288" s="626">
        <v>871</v>
      </c>
      <c r="M288" s="623">
        <f>ROUND(L288*K288*ROUND(I288,4)%,2)</f>
        <v>88037892.799999997</v>
      </c>
      <c r="N288" s="626">
        <v>358</v>
      </c>
      <c r="O288" s="626">
        <f>L288-N288</f>
        <v>513</v>
      </c>
      <c r="P288" s="626">
        <v>149</v>
      </c>
      <c r="Q288" s="626">
        <f>O288-P288</f>
        <v>364</v>
      </c>
      <c r="R288" s="626">
        <v>196</v>
      </c>
      <c r="S288" s="626">
        <f>Q288-R288</f>
        <v>168</v>
      </c>
      <c r="T288" s="626"/>
      <c r="U288" s="626"/>
      <c r="V288" s="626"/>
      <c r="X288" s="627">
        <f>L288</f>
        <v>871</v>
      </c>
      <c r="Y288" s="623">
        <f>M288</f>
        <v>88037892.799999997</v>
      </c>
      <c r="Z288" s="623">
        <f t="shared" ref="Z288:Z310" si="25">X288*K288*ROUND(I288,4)%</f>
        <v>88037892.800000012</v>
      </c>
      <c r="AB288" s="627">
        <f t="shared" ref="AB288" si="26">Z288-Y288</f>
        <v>0</v>
      </c>
      <c r="AC288" s="627">
        <f t="shared" ref="AC288:AC310" si="27">Z288+T288-Z287-M288</f>
        <v>0</v>
      </c>
      <c r="AD288" s="627"/>
      <c r="AF288" s="335">
        <f t="shared" ref="AF288:AF307" si="28">AF289</f>
        <v>2.0776281006125479E-2</v>
      </c>
      <c r="AG288" s="331"/>
      <c r="AI288" s="331"/>
    </row>
    <row r="289" spans="2:35" x14ac:dyDescent="0.25">
      <c r="B289" s="123" t="str">
        <f t="shared" si="20"/>
        <v>10 2025</v>
      </c>
      <c r="C289" s="122">
        <f t="shared" si="22"/>
        <v>45941</v>
      </c>
      <c r="D289" s="122">
        <f t="shared" si="23"/>
        <v>45942</v>
      </c>
      <c r="E289" s="123">
        <f t="shared" si="21"/>
        <v>1</v>
      </c>
      <c r="F289" s="123" t="s">
        <v>7</v>
      </c>
      <c r="H289" s="383">
        <f t="shared" si="24"/>
        <v>45941</v>
      </c>
      <c r="I289" s="329">
        <v>101.07680000000001</v>
      </c>
      <c r="K289" s="330">
        <v>100000</v>
      </c>
      <c r="L289" s="331"/>
      <c r="M289" s="331"/>
      <c r="N289" s="331"/>
      <c r="O289" s="331"/>
      <c r="P289" s="331"/>
      <c r="Q289" s="331"/>
      <c r="R289" s="331"/>
      <c r="S289" s="331"/>
      <c r="T289" s="331"/>
      <c r="U289" s="331"/>
      <c r="V289" s="331"/>
      <c r="X289" s="330">
        <f t="shared" ref="X289:X310" si="29">X288+L289-N289</f>
        <v>871</v>
      </c>
      <c r="Y289" s="378">
        <f>Y288</f>
        <v>88037892.799999997</v>
      </c>
      <c r="Z289" s="378">
        <f t="shared" si="25"/>
        <v>88037892.800000012</v>
      </c>
      <c r="AB289" s="378">
        <f t="shared" ref="AB289:AB310" si="30">Z289-Y289</f>
        <v>0</v>
      </c>
      <c r="AC289" s="378">
        <f t="shared" si="27"/>
        <v>0</v>
      </c>
      <c r="AD289" s="378"/>
      <c r="AF289" s="335">
        <f t="shared" si="28"/>
        <v>2.0776281006125479E-2</v>
      </c>
      <c r="AG289" s="335">
        <f t="shared" ref="AG289:AG339" si="31">(I289/$I$288-1)*360/(D289-$D$288)</f>
        <v>0</v>
      </c>
      <c r="AI289" s="378">
        <f>AC289-Y288*'OverNight €'!I289*E289/360</f>
        <v>-4279.6197888888892</v>
      </c>
    </row>
    <row r="290" spans="2:35" x14ac:dyDescent="0.25">
      <c r="B290" s="123" t="str">
        <f t="shared" si="20"/>
        <v>10 2025</v>
      </c>
      <c r="C290" s="122">
        <f t="shared" si="22"/>
        <v>45942</v>
      </c>
      <c r="D290" s="122">
        <f t="shared" si="23"/>
        <v>45943</v>
      </c>
      <c r="E290" s="123">
        <f t="shared" si="21"/>
        <v>1</v>
      </c>
      <c r="F290" s="123" t="s">
        <v>7</v>
      </c>
      <c r="H290" s="383">
        <f t="shared" si="24"/>
        <v>45942</v>
      </c>
      <c r="I290" s="329">
        <v>101.07680000000001</v>
      </c>
      <c r="K290" s="330">
        <v>100000</v>
      </c>
      <c r="L290" s="331"/>
      <c r="M290" s="331"/>
      <c r="N290" s="331"/>
      <c r="O290" s="331"/>
      <c r="P290" s="331"/>
      <c r="Q290" s="331"/>
      <c r="R290" s="331"/>
      <c r="S290" s="331"/>
      <c r="T290" s="331"/>
      <c r="U290" s="331"/>
      <c r="V290" s="331"/>
      <c r="X290" s="330">
        <f t="shared" si="29"/>
        <v>871</v>
      </c>
      <c r="Y290" s="378">
        <f t="shared" ref="Y290:Y353" si="32">Y289</f>
        <v>88037892.799999997</v>
      </c>
      <c r="Z290" s="378">
        <f t="shared" si="25"/>
        <v>88037892.800000012</v>
      </c>
      <c r="AB290" s="378">
        <f t="shared" si="30"/>
        <v>0</v>
      </c>
      <c r="AC290" s="378">
        <f t="shared" si="27"/>
        <v>0</v>
      </c>
      <c r="AD290" s="378"/>
      <c r="AF290" s="335">
        <f t="shared" si="28"/>
        <v>2.0776281006125479E-2</v>
      </c>
      <c r="AG290" s="335">
        <f t="shared" si="31"/>
        <v>0</v>
      </c>
      <c r="AI290" s="378">
        <f>AC290-Y289*'OverNight €'!I290*E290/360</f>
        <v>-4279.6197888888892</v>
      </c>
    </row>
    <row r="291" spans="2:35" x14ac:dyDescent="0.25">
      <c r="B291" s="123" t="str">
        <f t="shared" si="20"/>
        <v>10 2025</v>
      </c>
      <c r="C291" s="122">
        <f t="shared" si="22"/>
        <v>45943</v>
      </c>
      <c r="D291" s="122">
        <f t="shared" si="23"/>
        <v>45944</v>
      </c>
      <c r="E291" s="123">
        <f t="shared" si="21"/>
        <v>1</v>
      </c>
      <c r="F291" s="123" t="s">
        <v>7</v>
      </c>
      <c r="H291" s="383">
        <f t="shared" si="24"/>
        <v>45943</v>
      </c>
      <c r="I291" s="329">
        <v>101.0943</v>
      </c>
      <c r="K291" s="330">
        <v>100000</v>
      </c>
      <c r="L291" s="331"/>
      <c r="M291" s="331"/>
      <c r="N291" s="331"/>
      <c r="O291" s="331"/>
      <c r="P291" s="331"/>
      <c r="Q291" s="331"/>
      <c r="R291" s="331"/>
      <c r="S291" s="331"/>
      <c r="T291" s="331"/>
      <c r="U291" s="331"/>
      <c r="V291" s="331"/>
      <c r="X291" s="330">
        <f t="shared" si="29"/>
        <v>871</v>
      </c>
      <c r="Y291" s="378">
        <f t="shared" si="32"/>
        <v>88037892.799999997</v>
      </c>
      <c r="Z291" s="378">
        <f t="shared" si="25"/>
        <v>88053135.300000012</v>
      </c>
      <c r="AB291" s="378">
        <f t="shared" si="30"/>
        <v>15242.500000014901</v>
      </c>
      <c r="AC291" s="378">
        <f t="shared" si="27"/>
        <v>15242.5</v>
      </c>
      <c r="AD291" s="378"/>
      <c r="AF291" s="335">
        <f t="shared" si="28"/>
        <v>2.0776281006125479E-2</v>
      </c>
      <c r="AG291" s="335">
        <f t="shared" si="31"/>
        <v>2.0776281006114061E-2</v>
      </c>
      <c r="AI291" s="378">
        <f>AC291-Y290*'OverNight €'!I291*E291/360</f>
        <v>10962.880211111111</v>
      </c>
    </row>
    <row r="292" spans="2:35" x14ac:dyDescent="0.25">
      <c r="B292" s="123" t="str">
        <f t="shared" si="20"/>
        <v>10 2025</v>
      </c>
      <c r="C292" s="122">
        <f t="shared" si="22"/>
        <v>45944</v>
      </c>
      <c r="D292" s="122">
        <f t="shared" si="23"/>
        <v>45945</v>
      </c>
      <c r="E292" s="123">
        <f t="shared" si="21"/>
        <v>1</v>
      </c>
      <c r="F292" s="123" t="s">
        <v>7</v>
      </c>
      <c r="H292" s="383">
        <f t="shared" si="24"/>
        <v>45944</v>
      </c>
      <c r="I292" s="329">
        <v>101.1001</v>
      </c>
      <c r="K292" s="330">
        <v>100000</v>
      </c>
      <c r="L292" s="331"/>
      <c r="M292" s="331"/>
      <c r="N292" s="331"/>
      <c r="O292" s="331"/>
      <c r="P292" s="331"/>
      <c r="Q292" s="331"/>
      <c r="R292" s="331"/>
      <c r="S292" s="331"/>
      <c r="T292" s="331"/>
      <c r="U292" s="331"/>
      <c r="V292" s="331"/>
      <c r="X292" s="330">
        <f t="shared" si="29"/>
        <v>871</v>
      </c>
      <c r="Y292" s="378">
        <f t="shared" si="32"/>
        <v>88037892.799999997</v>
      </c>
      <c r="Z292" s="378">
        <f t="shared" si="25"/>
        <v>88058187.100000009</v>
      </c>
      <c r="AB292" s="378">
        <f t="shared" si="30"/>
        <v>20294.300000011921</v>
      </c>
      <c r="AC292" s="378">
        <f t="shared" si="27"/>
        <v>5051.7999999970198</v>
      </c>
      <c r="AD292" s="378"/>
      <c r="AF292" s="335">
        <f t="shared" si="28"/>
        <v>2.0776281006125479E-2</v>
      </c>
      <c r="AG292" s="335">
        <f t="shared" si="31"/>
        <v>2.0746600604690801E-2</v>
      </c>
      <c r="AI292" s="378">
        <f>AC292-Y291*'OverNight €'!I292*E292/360</f>
        <v>772.18021110813061</v>
      </c>
    </row>
    <row r="293" spans="2:35" x14ac:dyDescent="0.25">
      <c r="B293" s="123" t="str">
        <f t="shared" si="20"/>
        <v>10 2025</v>
      </c>
      <c r="C293" s="122">
        <f t="shared" si="22"/>
        <v>45945</v>
      </c>
      <c r="D293" s="122">
        <f t="shared" si="23"/>
        <v>45946</v>
      </c>
      <c r="E293" s="123">
        <f t="shared" si="21"/>
        <v>1</v>
      </c>
      <c r="F293" s="123" t="s">
        <v>7</v>
      </c>
      <c r="H293" s="383">
        <f t="shared" si="24"/>
        <v>45945</v>
      </c>
      <c r="I293" s="329">
        <v>101.10590000000001</v>
      </c>
      <c r="K293" s="330">
        <v>100000</v>
      </c>
      <c r="L293" s="331"/>
      <c r="M293" s="331"/>
      <c r="N293" s="331"/>
      <c r="O293" s="331"/>
      <c r="P293" s="331"/>
      <c r="Q293" s="331"/>
      <c r="R293" s="331"/>
      <c r="S293" s="331"/>
      <c r="T293" s="331"/>
      <c r="U293" s="331"/>
      <c r="V293" s="331"/>
      <c r="X293" s="330">
        <f t="shared" si="29"/>
        <v>871</v>
      </c>
      <c r="Y293" s="378">
        <f t="shared" si="32"/>
        <v>88037892.799999997</v>
      </c>
      <c r="Z293" s="378">
        <f t="shared" si="25"/>
        <v>88063238.900000006</v>
      </c>
      <c r="AB293" s="378">
        <f t="shared" si="30"/>
        <v>25346.100000008941</v>
      </c>
      <c r="AC293" s="378">
        <f t="shared" si="27"/>
        <v>5051.7999999970198</v>
      </c>
      <c r="AD293" s="378"/>
      <c r="AF293" s="335">
        <f t="shared" si="28"/>
        <v>2.0776281006125479E-2</v>
      </c>
      <c r="AG293" s="335">
        <f t="shared" si="31"/>
        <v>2.0728792363820858E-2</v>
      </c>
      <c r="AI293" s="378">
        <f>AC293-Y292*'OverNight €'!I293*E293/360</f>
        <v>772.18021110813061</v>
      </c>
    </row>
    <row r="294" spans="2:35" x14ac:dyDescent="0.25">
      <c r="B294" s="123" t="str">
        <f t="shared" si="20"/>
        <v>10 2025</v>
      </c>
      <c r="C294" s="122">
        <f t="shared" si="22"/>
        <v>45946</v>
      </c>
      <c r="D294" s="122">
        <f t="shared" si="23"/>
        <v>45947</v>
      </c>
      <c r="E294" s="123">
        <f t="shared" si="21"/>
        <v>1</v>
      </c>
      <c r="F294" s="123" t="s">
        <v>7</v>
      </c>
      <c r="H294" s="383">
        <f t="shared" si="24"/>
        <v>45946</v>
      </c>
      <c r="I294" s="329">
        <v>101.1118</v>
      </c>
      <c r="K294" s="330">
        <v>100000</v>
      </c>
      <c r="L294" s="331"/>
      <c r="M294" s="331"/>
      <c r="N294" s="331"/>
      <c r="O294" s="331"/>
      <c r="P294" s="331"/>
      <c r="Q294" s="331"/>
      <c r="R294" s="331"/>
      <c r="S294" s="331"/>
      <c r="T294" s="331"/>
      <c r="U294" s="331"/>
      <c r="V294" s="331"/>
      <c r="X294" s="330">
        <f t="shared" si="29"/>
        <v>871</v>
      </c>
      <c r="Y294" s="378">
        <f t="shared" si="32"/>
        <v>88037892.799999997</v>
      </c>
      <c r="Z294" s="378">
        <f t="shared" si="25"/>
        <v>88068377.799999997</v>
      </c>
      <c r="AB294" s="378">
        <f t="shared" si="30"/>
        <v>30485</v>
      </c>
      <c r="AC294" s="378">
        <f t="shared" si="27"/>
        <v>5138.8999999910593</v>
      </c>
      <c r="AD294" s="378"/>
      <c r="AF294" s="335">
        <f t="shared" si="28"/>
        <v>2.0776281006125479E-2</v>
      </c>
      <c r="AG294" s="335">
        <f t="shared" si="31"/>
        <v>2.0776281006127384E-2</v>
      </c>
      <c r="AI294" s="378">
        <f>AC294-Y293*'OverNight €'!I294*E294/360</f>
        <v>859.28021110217014</v>
      </c>
    </row>
    <row r="295" spans="2:35" x14ac:dyDescent="0.25">
      <c r="B295" s="123" t="str">
        <f t="shared" si="20"/>
        <v>10 2025</v>
      </c>
      <c r="C295" s="122">
        <f t="shared" si="22"/>
        <v>45947</v>
      </c>
      <c r="D295" s="122">
        <f t="shared" si="23"/>
        <v>45948</v>
      </c>
      <c r="E295" s="123">
        <f t="shared" si="21"/>
        <v>1</v>
      </c>
      <c r="F295" s="123" t="s">
        <v>7</v>
      </c>
      <c r="H295" s="383">
        <f t="shared" si="24"/>
        <v>45947</v>
      </c>
      <c r="I295" s="329">
        <v>101.1176</v>
      </c>
      <c r="K295" s="330">
        <v>100000</v>
      </c>
      <c r="L295" s="331"/>
      <c r="M295" s="331"/>
      <c r="N295" s="331"/>
      <c r="O295" s="331"/>
      <c r="P295" s="331"/>
      <c r="Q295" s="331"/>
      <c r="R295" s="331"/>
      <c r="S295" s="331"/>
      <c r="T295" s="331"/>
      <c r="U295" s="331"/>
      <c r="V295" s="331"/>
      <c r="X295" s="330">
        <f t="shared" si="29"/>
        <v>871</v>
      </c>
      <c r="Y295" s="378">
        <f t="shared" si="32"/>
        <v>88037892.799999997</v>
      </c>
      <c r="Z295" s="378">
        <f t="shared" si="25"/>
        <v>88073429.599999994</v>
      </c>
      <c r="AB295" s="378">
        <f t="shared" si="30"/>
        <v>35536.79999999702</v>
      </c>
      <c r="AC295" s="378">
        <f t="shared" si="27"/>
        <v>5051.7999999970198</v>
      </c>
      <c r="AD295" s="378"/>
      <c r="AF295" s="335">
        <f t="shared" si="28"/>
        <v>2.0776281006125479E-2</v>
      </c>
      <c r="AG295" s="335">
        <f t="shared" si="31"/>
        <v>2.0759320776729342E-2</v>
      </c>
      <c r="AI295" s="378">
        <f>AC295-Y294*'OverNight €'!I295*E295/360</f>
        <v>772.18021110813061</v>
      </c>
    </row>
    <row r="296" spans="2:35" x14ac:dyDescent="0.25">
      <c r="B296" s="123" t="str">
        <f t="shared" si="20"/>
        <v>10 2025</v>
      </c>
      <c r="C296" s="122">
        <f t="shared" si="22"/>
        <v>45948</v>
      </c>
      <c r="D296" s="122">
        <f t="shared" si="23"/>
        <v>45949</v>
      </c>
      <c r="E296" s="123">
        <f t="shared" si="21"/>
        <v>1</v>
      </c>
      <c r="F296" s="123" t="s">
        <v>7</v>
      </c>
      <c r="H296" s="383">
        <f t="shared" si="24"/>
        <v>45948</v>
      </c>
      <c r="I296" s="329">
        <v>101.1176</v>
      </c>
      <c r="K296" s="330">
        <v>100000</v>
      </c>
      <c r="L296" s="331"/>
      <c r="M296" s="331"/>
      <c r="N296" s="331"/>
      <c r="O296" s="331"/>
      <c r="P296" s="331"/>
      <c r="Q296" s="331"/>
      <c r="R296" s="331"/>
      <c r="S296" s="331"/>
      <c r="T296" s="331"/>
      <c r="U296" s="331"/>
      <c r="V296" s="331"/>
      <c r="X296" s="330">
        <f t="shared" si="29"/>
        <v>871</v>
      </c>
      <c r="Y296" s="378">
        <f t="shared" si="32"/>
        <v>88037892.799999997</v>
      </c>
      <c r="Z296" s="378">
        <f t="shared" si="25"/>
        <v>88073429.599999994</v>
      </c>
      <c r="AB296" s="378">
        <f t="shared" si="30"/>
        <v>35536.79999999702</v>
      </c>
      <c r="AC296" s="378">
        <f t="shared" si="27"/>
        <v>0</v>
      </c>
      <c r="AD296" s="378"/>
      <c r="AF296" s="335">
        <f t="shared" si="28"/>
        <v>2.0776281006125479E-2</v>
      </c>
      <c r="AG296" s="335">
        <f t="shared" si="31"/>
        <v>1.8164405679638174E-2</v>
      </c>
      <c r="AI296" s="378">
        <f>AC296-Y295*'OverNight €'!I296*E296/360</f>
        <v>-4279.6197888888892</v>
      </c>
    </row>
    <row r="297" spans="2:35" x14ac:dyDescent="0.25">
      <c r="B297" s="123" t="str">
        <f t="shared" si="20"/>
        <v>10 2025</v>
      </c>
      <c r="C297" s="122">
        <f t="shared" si="22"/>
        <v>45949</v>
      </c>
      <c r="D297" s="122">
        <f t="shared" si="23"/>
        <v>45950</v>
      </c>
      <c r="E297" s="123">
        <f t="shared" si="21"/>
        <v>1</v>
      </c>
      <c r="F297" s="123" t="s">
        <v>7</v>
      </c>
      <c r="H297" s="383">
        <f t="shared" si="24"/>
        <v>45949</v>
      </c>
      <c r="I297" s="329">
        <v>101.1176</v>
      </c>
      <c r="K297" s="330">
        <v>100000</v>
      </c>
      <c r="L297" s="331"/>
      <c r="M297" s="331"/>
      <c r="N297" s="331"/>
      <c r="O297" s="331"/>
      <c r="P297" s="331"/>
      <c r="Q297" s="331"/>
      <c r="R297" s="331"/>
      <c r="S297" s="331"/>
      <c r="T297" s="331"/>
      <c r="U297" s="331"/>
      <c r="V297" s="331"/>
      <c r="X297" s="330">
        <f t="shared" si="29"/>
        <v>871</v>
      </c>
      <c r="Y297" s="378">
        <f t="shared" si="32"/>
        <v>88037892.799999997</v>
      </c>
      <c r="Z297" s="378">
        <f t="shared" si="25"/>
        <v>88073429.599999994</v>
      </c>
      <c r="AB297" s="378">
        <f t="shared" si="30"/>
        <v>35536.79999999702</v>
      </c>
      <c r="AC297" s="378">
        <f t="shared" si="27"/>
        <v>0</v>
      </c>
      <c r="AD297" s="378"/>
      <c r="AF297" s="335">
        <f t="shared" si="28"/>
        <v>2.0776281006125479E-2</v>
      </c>
      <c r="AG297" s="335">
        <f t="shared" si="31"/>
        <v>1.6146138381900599E-2</v>
      </c>
      <c r="AI297" s="378">
        <f>AC297-Y296*'OverNight €'!I297*E297/360</f>
        <v>-4279.6197888888892</v>
      </c>
    </row>
    <row r="298" spans="2:35" x14ac:dyDescent="0.25">
      <c r="B298" s="123" t="str">
        <f t="shared" si="20"/>
        <v>10 2025</v>
      </c>
      <c r="C298" s="122">
        <f t="shared" si="22"/>
        <v>45950</v>
      </c>
      <c r="D298" s="122">
        <f t="shared" si="23"/>
        <v>45951</v>
      </c>
      <c r="E298" s="123">
        <f t="shared" si="21"/>
        <v>1</v>
      </c>
      <c r="F298" s="123" t="s">
        <v>7</v>
      </c>
      <c r="H298" s="383">
        <f t="shared" si="24"/>
        <v>45950</v>
      </c>
      <c r="I298" s="329">
        <v>101.13509999999999</v>
      </c>
      <c r="K298" s="330">
        <v>100000</v>
      </c>
      <c r="L298" s="331"/>
      <c r="M298" s="331"/>
      <c r="N298" s="331"/>
      <c r="O298" s="331"/>
      <c r="P298" s="331"/>
      <c r="Q298" s="331"/>
      <c r="R298" s="331"/>
      <c r="S298" s="331"/>
      <c r="T298" s="331"/>
      <c r="U298" s="331"/>
      <c r="V298" s="331"/>
      <c r="X298" s="330">
        <f t="shared" si="29"/>
        <v>871</v>
      </c>
      <c r="Y298" s="378">
        <f t="shared" si="32"/>
        <v>88037892.799999997</v>
      </c>
      <c r="Z298" s="378">
        <f t="shared" si="25"/>
        <v>88088672.099999994</v>
      </c>
      <c r="AB298" s="378">
        <f t="shared" si="30"/>
        <v>50779.29999999702</v>
      </c>
      <c r="AC298" s="378">
        <f t="shared" si="27"/>
        <v>15242.5</v>
      </c>
      <c r="AD298" s="378"/>
      <c r="AF298" s="335">
        <f t="shared" si="28"/>
        <v>2.0776281006125479E-2</v>
      </c>
      <c r="AG298" s="335">
        <f t="shared" si="31"/>
        <v>2.0764408845544757E-2</v>
      </c>
      <c r="AI298" s="378">
        <f>AC298-Y297*'OverNight €'!I298*E298/360</f>
        <v>10962.880211111111</v>
      </c>
    </row>
    <row r="299" spans="2:35" x14ac:dyDescent="0.25">
      <c r="B299" s="123" t="str">
        <f t="shared" si="20"/>
        <v>10 2025</v>
      </c>
      <c r="C299" s="122">
        <f t="shared" si="22"/>
        <v>45951</v>
      </c>
      <c r="D299" s="122">
        <f t="shared" si="23"/>
        <v>45952</v>
      </c>
      <c r="E299" s="123">
        <f t="shared" si="21"/>
        <v>1</v>
      </c>
      <c r="F299" s="123" t="s">
        <v>7</v>
      </c>
      <c r="H299" s="383">
        <f t="shared" si="24"/>
        <v>45951</v>
      </c>
      <c r="I299" s="329">
        <v>101.1409</v>
      </c>
      <c r="K299" s="330">
        <v>100000</v>
      </c>
      <c r="L299" s="331"/>
      <c r="M299" s="331"/>
      <c r="N299" s="331"/>
      <c r="O299" s="331"/>
      <c r="P299" s="331"/>
      <c r="Q299" s="331"/>
      <c r="R299" s="331"/>
      <c r="S299" s="331"/>
      <c r="T299" s="331"/>
      <c r="U299" s="331"/>
      <c r="V299" s="331"/>
      <c r="X299" s="330">
        <f t="shared" si="29"/>
        <v>871</v>
      </c>
      <c r="Y299" s="378">
        <f t="shared" si="32"/>
        <v>88037892.799999997</v>
      </c>
      <c r="Z299" s="378">
        <f t="shared" si="25"/>
        <v>88093723.900000006</v>
      </c>
      <c r="AB299" s="378">
        <f t="shared" si="30"/>
        <v>55831.100000008941</v>
      </c>
      <c r="AC299" s="378">
        <f t="shared" si="27"/>
        <v>5051.8000000119209</v>
      </c>
      <c r="AD299" s="378"/>
      <c r="AF299" s="335">
        <f t="shared" si="28"/>
        <v>2.0776281006125479E-2</v>
      </c>
      <c r="AG299" s="335">
        <f t="shared" si="31"/>
        <v>2.0754695259624419E-2</v>
      </c>
      <c r="AI299" s="378">
        <f>AC299-Y298*'OverNight €'!I299*E299/360</f>
        <v>772.18021112303177</v>
      </c>
    </row>
    <row r="300" spans="2:35" x14ac:dyDescent="0.25">
      <c r="B300" s="123" t="str">
        <f t="shared" si="20"/>
        <v>10 2025</v>
      </c>
      <c r="C300" s="122">
        <f t="shared" si="22"/>
        <v>45952</v>
      </c>
      <c r="D300" s="122">
        <f t="shared" si="23"/>
        <v>45953</v>
      </c>
      <c r="E300" s="123">
        <f t="shared" si="21"/>
        <v>1</v>
      </c>
      <c r="F300" s="123" t="s">
        <v>7</v>
      </c>
      <c r="H300" s="383">
        <f t="shared" si="24"/>
        <v>45952</v>
      </c>
      <c r="I300" s="329">
        <v>101.1468</v>
      </c>
      <c r="K300" s="330">
        <v>100000</v>
      </c>
      <c r="L300" s="331"/>
      <c r="M300" s="331"/>
      <c r="N300" s="331"/>
      <c r="O300" s="331"/>
      <c r="P300" s="331"/>
      <c r="Q300" s="331"/>
      <c r="R300" s="331"/>
      <c r="S300" s="331"/>
      <c r="T300" s="331"/>
      <c r="U300" s="331"/>
      <c r="V300" s="331"/>
      <c r="X300" s="330">
        <f t="shared" si="29"/>
        <v>871</v>
      </c>
      <c r="Y300" s="378">
        <f t="shared" si="32"/>
        <v>88037892.799999997</v>
      </c>
      <c r="Z300" s="378">
        <f t="shared" si="25"/>
        <v>88098862.799999997</v>
      </c>
      <c r="AB300" s="378">
        <f t="shared" si="30"/>
        <v>60970</v>
      </c>
      <c r="AC300" s="378">
        <f t="shared" si="27"/>
        <v>5138.8999999910593</v>
      </c>
      <c r="AD300" s="378"/>
      <c r="AF300" s="335">
        <f t="shared" si="28"/>
        <v>2.0776281006125479E-2</v>
      </c>
      <c r="AG300" s="335">
        <f t="shared" si="31"/>
        <v>2.0776281006120723E-2</v>
      </c>
      <c r="AI300" s="378">
        <f>AC300-Y299*'OverNight €'!I300*E300/360</f>
        <v>859.28021110217014</v>
      </c>
    </row>
    <row r="301" spans="2:35" x14ac:dyDescent="0.25">
      <c r="B301" s="123" t="str">
        <f t="shared" si="20"/>
        <v>10 2025</v>
      </c>
      <c r="C301" s="122">
        <f t="shared" si="22"/>
        <v>45953</v>
      </c>
      <c r="D301" s="122">
        <f t="shared" si="23"/>
        <v>45954</v>
      </c>
      <c r="E301" s="123">
        <f t="shared" si="21"/>
        <v>1</v>
      </c>
      <c r="F301" s="123" t="s">
        <v>7</v>
      </c>
      <c r="H301" s="383">
        <f t="shared" si="24"/>
        <v>45953</v>
      </c>
      <c r="I301" s="329">
        <v>101.15260000000001</v>
      </c>
      <c r="K301" s="330">
        <v>100000</v>
      </c>
      <c r="L301" s="331"/>
      <c r="M301" s="331"/>
      <c r="N301" s="331"/>
      <c r="O301" s="331"/>
      <c r="P301" s="331"/>
      <c r="Q301" s="331"/>
      <c r="R301" s="331"/>
      <c r="S301" s="331"/>
      <c r="T301" s="331"/>
      <c r="U301" s="331"/>
      <c r="V301" s="331"/>
      <c r="X301" s="330">
        <f t="shared" si="29"/>
        <v>871</v>
      </c>
      <c r="Y301" s="378">
        <f t="shared" si="32"/>
        <v>88037892.799999997</v>
      </c>
      <c r="Z301" s="378">
        <f t="shared" si="25"/>
        <v>88103914.600000009</v>
      </c>
      <c r="AB301" s="378">
        <f t="shared" si="30"/>
        <v>66021.800000011921</v>
      </c>
      <c r="AC301" s="378">
        <f t="shared" si="27"/>
        <v>5051.8000000119209</v>
      </c>
      <c r="AD301" s="378"/>
      <c r="AF301" s="335">
        <f t="shared" si="28"/>
        <v>2.0776281006125479E-2</v>
      </c>
      <c r="AG301" s="335">
        <f t="shared" si="31"/>
        <v>2.0767148574913054E-2</v>
      </c>
      <c r="AI301" s="378">
        <f>AC301-Y300*'OverNight €'!I301*E301/360</f>
        <v>772.18021112303177</v>
      </c>
    </row>
    <row r="302" spans="2:35" x14ac:dyDescent="0.25">
      <c r="B302" s="123" t="str">
        <f t="shared" si="20"/>
        <v>10 2025</v>
      </c>
      <c r="C302" s="122">
        <f t="shared" si="22"/>
        <v>45954</v>
      </c>
      <c r="D302" s="122">
        <f t="shared" si="23"/>
        <v>45955</v>
      </c>
      <c r="E302" s="123">
        <f t="shared" si="21"/>
        <v>1</v>
      </c>
      <c r="F302" s="123" t="s">
        <v>7</v>
      </c>
      <c r="H302" s="383">
        <f t="shared" si="24"/>
        <v>45954</v>
      </c>
      <c r="I302" s="329">
        <v>101.1584</v>
      </c>
      <c r="K302" s="330">
        <v>100000</v>
      </c>
      <c r="L302" s="331"/>
      <c r="M302" s="331"/>
      <c r="N302" s="331"/>
      <c r="O302" s="331"/>
      <c r="P302" s="331"/>
      <c r="Q302" s="331"/>
      <c r="R302" s="331"/>
      <c r="S302" s="331"/>
      <c r="T302" s="331"/>
      <c r="U302" s="331"/>
      <c r="V302" s="331"/>
      <c r="X302" s="330">
        <f t="shared" si="29"/>
        <v>871</v>
      </c>
      <c r="Y302" s="378">
        <f t="shared" si="32"/>
        <v>88037892.799999997</v>
      </c>
      <c r="Z302" s="378">
        <f t="shared" si="25"/>
        <v>88108966.400000006</v>
      </c>
      <c r="AB302" s="378">
        <f t="shared" si="30"/>
        <v>71073.600000008941</v>
      </c>
      <c r="AC302" s="378">
        <f t="shared" si="27"/>
        <v>5051.7999999970198</v>
      </c>
      <c r="AD302" s="378"/>
      <c r="AF302" s="335">
        <f t="shared" si="28"/>
        <v>2.0776281006125479E-2</v>
      </c>
      <c r="AG302" s="335">
        <f t="shared" si="31"/>
        <v>2.0759320776729342E-2</v>
      </c>
      <c r="AI302" s="378">
        <f>AC302-Y301*'OverNight €'!I302*E302/360</f>
        <v>772.18021110813061</v>
      </c>
    </row>
    <row r="303" spans="2:35" x14ac:dyDescent="0.25">
      <c r="B303" s="123" t="str">
        <f t="shared" si="20"/>
        <v>10 2025</v>
      </c>
      <c r="C303" s="122">
        <f t="shared" si="22"/>
        <v>45955</v>
      </c>
      <c r="D303" s="122">
        <f t="shared" si="23"/>
        <v>45956</v>
      </c>
      <c r="E303" s="123">
        <f t="shared" si="21"/>
        <v>1</v>
      </c>
      <c r="F303" s="123" t="s">
        <v>7</v>
      </c>
      <c r="H303" s="383">
        <f t="shared" si="24"/>
        <v>45955</v>
      </c>
      <c r="I303" s="329">
        <v>101.1584</v>
      </c>
      <c r="K303" s="330">
        <v>100000</v>
      </c>
      <c r="L303" s="331"/>
      <c r="M303" s="331"/>
      <c r="N303" s="331"/>
      <c r="O303" s="331"/>
      <c r="P303" s="331"/>
      <c r="Q303" s="331"/>
      <c r="R303" s="331"/>
      <c r="S303" s="331"/>
      <c r="T303" s="331"/>
      <c r="U303" s="331"/>
      <c r="V303" s="331"/>
      <c r="X303" s="330">
        <f t="shared" si="29"/>
        <v>871</v>
      </c>
      <c r="Y303" s="378">
        <f t="shared" si="32"/>
        <v>88037892.799999997</v>
      </c>
      <c r="Z303" s="378">
        <f t="shared" si="25"/>
        <v>88108966.400000006</v>
      </c>
      <c r="AB303" s="378">
        <f t="shared" si="30"/>
        <v>71073.600000008941</v>
      </c>
      <c r="AC303" s="378">
        <f t="shared" si="27"/>
        <v>0</v>
      </c>
      <c r="AD303" s="378"/>
      <c r="AF303" s="335">
        <f t="shared" si="28"/>
        <v>2.0776281006125479E-2</v>
      </c>
      <c r="AG303" s="335">
        <f t="shared" si="31"/>
        <v>1.9375366058280719E-2</v>
      </c>
      <c r="AI303" s="378">
        <f>AC303-Y302*'OverNight €'!I303*E303/360</f>
        <v>-4279.6197888888892</v>
      </c>
    </row>
    <row r="304" spans="2:35" x14ac:dyDescent="0.25">
      <c r="B304" s="123" t="str">
        <f t="shared" si="20"/>
        <v>10 2025</v>
      </c>
      <c r="C304" s="122">
        <f t="shared" si="22"/>
        <v>45956</v>
      </c>
      <c r="D304" s="122">
        <f t="shared" si="23"/>
        <v>45957</v>
      </c>
      <c r="E304" s="123">
        <f t="shared" si="21"/>
        <v>1</v>
      </c>
      <c r="F304" s="123" t="s">
        <v>7</v>
      </c>
      <c r="H304" s="383">
        <f t="shared" si="24"/>
        <v>45956</v>
      </c>
      <c r="I304" s="329">
        <v>101.1584</v>
      </c>
      <c r="K304" s="330">
        <v>100000</v>
      </c>
      <c r="L304" s="331"/>
      <c r="M304" s="331"/>
      <c r="N304" s="331"/>
      <c r="O304" s="331"/>
      <c r="P304" s="331"/>
      <c r="Q304" s="331"/>
      <c r="R304" s="331"/>
      <c r="S304" s="331"/>
      <c r="T304" s="331"/>
      <c r="U304" s="331"/>
      <c r="V304" s="331"/>
      <c r="X304" s="330">
        <f t="shared" si="29"/>
        <v>871</v>
      </c>
      <c r="Y304" s="378">
        <f t="shared" si="32"/>
        <v>88037892.799999997</v>
      </c>
      <c r="Z304" s="378">
        <f t="shared" si="25"/>
        <v>88108966.400000006</v>
      </c>
      <c r="AB304" s="378">
        <f t="shared" si="30"/>
        <v>71073.600000008941</v>
      </c>
      <c r="AC304" s="378">
        <f t="shared" si="27"/>
        <v>0</v>
      </c>
      <c r="AD304" s="378"/>
      <c r="AF304" s="335">
        <f t="shared" si="28"/>
        <v>2.0776281006125479E-2</v>
      </c>
      <c r="AG304" s="335">
        <f t="shared" si="31"/>
        <v>1.8164405679638174E-2</v>
      </c>
      <c r="AI304" s="378">
        <f>AC304-Y303*'OverNight €'!I304*E304/360</f>
        <v>-4279.6197888888892</v>
      </c>
    </row>
    <row r="305" spans="2:35" x14ac:dyDescent="0.25">
      <c r="B305" s="123" t="str">
        <f t="shared" si="20"/>
        <v>10 2025</v>
      </c>
      <c r="C305" s="122">
        <f t="shared" si="22"/>
        <v>45957</v>
      </c>
      <c r="D305" s="122">
        <f t="shared" si="23"/>
        <v>45958</v>
      </c>
      <c r="E305" s="123">
        <f t="shared" si="21"/>
        <v>1</v>
      </c>
      <c r="F305" s="123" t="s">
        <v>7</v>
      </c>
      <c r="H305" s="383">
        <f t="shared" si="24"/>
        <v>45957</v>
      </c>
      <c r="I305" s="329">
        <v>101.176</v>
      </c>
      <c r="K305" s="330">
        <v>100000</v>
      </c>
      <c r="L305" s="331"/>
      <c r="M305" s="331"/>
      <c r="N305" s="331"/>
      <c r="O305" s="331"/>
      <c r="P305" s="331"/>
      <c r="Q305" s="331"/>
      <c r="R305" s="331"/>
      <c r="S305" s="331"/>
      <c r="T305" s="331"/>
      <c r="U305" s="331"/>
      <c r="V305" s="331"/>
      <c r="X305" s="330">
        <f t="shared" si="29"/>
        <v>871</v>
      </c>
      <c r="Y305" s="378">
        <f t="shared" si="32"/>
        <v>88037892.799999997</v>
      </c>
      <c r="Z305" s="378">
        <f t="shared" si="25"/>
        <v>88124296</v>
      </c>
      <c r="AB305" s="378">
        <f t="shared" si="30"/>
        <v>86403.20000000298</v>
      </c>
      <c r="AC305" s="378">
        <f t="shared" si="27"/>
        <v>15329.59999999404</v>
      </c>
      <c r="AD305" s="378"/>
      <c r="AF305" s="335">
        <f t="shared" si="28"/>
        <v>2.0776281006125479E-2</v>
      </c>
      <c r="AG305" s="335">
        <f t="shared" si="31"/>
        <v>2.0783264629992464E-2</v>
      </c>
      <c r="AI305" s="378">
        <f>AC305-Y304*'OverNight €'!I305*E305/360</f>
        <v>11049.98021110515</v>
      </c>
    </row>
    <row r="306" spans="2:35" x14ac:dyDescent="0.25">
      <c r="B306" s="123" t="str">
        <f t="shared" si="20"/>
        <v>10 2025</v>
      </c>
      <c r="C306" s="122">
        <f t="shared" si="22"/>
        <v>45958</v>
      </c>
      <c r="D306" s="122">
        <f t="shared" si="23"/>
        <v>45959</v>
      </c>
      <c r="E306" s="123">
        <f t="shared" si="21"/>
        <v>1</v>
      </c>
      <c r="F306" s="123" t="s">
        <v>7</v>
      </c>
      <c r="H306" s="383">
        <f t="shared" si="24"/>
        <v>45958</v>
      </c>
      <c r="I306" s="329">
        <v>101.1818</v>
      </c>
      <c r="K306" s="330">
        <v>100000</v>
      </c>
      <c r="L306" s="331"/>
      <c r="M306" s="331"/>
      <c r="N306" s="331"/>
      <c r="O306" s="331"/>
      <c r="P306" s="331"/>
      <c r="Q306" s="331"/>
      <c r="R306" s="331"/>
      <c r="S306" s="331"/>
      <c r="T306" s="331"/>
      <c r="U306" s="331"/>
      <c r="V306" s="331"/>
      <c r="X306" s="330">
        <f t="shared" si="29"/>
        <v>871</v>
      </c>
      <c r="Y306" s="378">
        <f t="shared" si="32"/>
        <v>88037892.799999997</v>
      </c>
      <c r="Z306" s="378">
        <f t="shared" si="25"/>
        <v>88129347.799999997</v>
      </c>
      <c r="AB306" s="378">
        <f t="shared" si="30"/>
        <v>91455</v>
      </c>
      <c r="AC306" s="378">
        <f t="shared" si="27"/>
        <v>5051.7999999970198</v>
      </c>
      <c r="AD306" s="378"/>
      <c r="AF306" s="335">
        <f t="shared" si="28"/>
        <v>2.0776281006125479E-2</v>
      </c>
      <c r="AG306" s="335">
        <f t="shared" si="31"/>
        <v>2.0776281006122943E-2</v>
      </c>
      <c r="AI306" s="378">
        <f>AC306-Y305*'OverNight €'!I306*E306/360</f>
        <v>772.18021110813061</v>
      </c>
    </row>
    <row r="307" spans="2:35" x14ac:dyDescent="0.25">
      <c r="B307" s="123" t="str">
        <f t="shared" si="20"/>
        <v>10 2025</v>
      </c>
      <c r="C307" s="122">
        <f t="shared" si="22"/>
        <v>45959</v>
      </c>
      <c r="D307" s="122">
        <f t="shared" si="23"/>
        <v>45960</v>
      </c>
      <c r="E307" s="123">
        <f t="shared" si="21"/>
        <v>1</v>
      </c>
      <c r="F307" s="123" t="s">
        <v>7</v>
      </c>
      <c r="H307" s="383">
        <f t="shared" si="24"/>
        <v>45959</v>
      </c>
      <c r="I307" s="329">
        <v>101.18770000000001</v>
      </c>
      <c r="K307" s="330">
        <v>100000</v>
      </c>
      <c r="L307" s="331"/>
      <c r="M307" s="331"/>
      <c r="N307" s="331"/>
      <c r="O307" s="331"/>
      <c r="P307" s="331"/>
      <c r="Q307" s="331"/>
      <c r="R307" s="331"/>
      <c r="S307" s="331"/>
      <c r="T307" s="331"/>
      <c r="U307" s="331"/>
      <c r="V307" s="331"/>
      <c r="X307" s="330">
        <f t="shared" si="29"/>
        <v>871</v>
      </c>
      <c r="Y307" s="378">
        <f t="shared" si="32"/>
        <v>88037892.799999997</v>
      </c>
      <c r="Z307" s="378">
        <f t="shared" si="25"/>
        <v>88134486.700000018</v>
      </c>
      <c r="AB307" s="378">
        <f t="shared" si="30"/>
        <v>96593.900000020862</v>
      </c>
      <c r="AC307" s="378">
        <f t="shared" si="27"/>
        <v>5138.9000000208616</v>
      </c>
      <c r="AD307" s="378"/>
      <c r="AF307" s="335">
        <f t="shared" si="28"/>
        <v>2.0776281006125479E-2</v>
      </c>
      <c r="AG307" s="335">
        <f t="shared" si="31"/>
        <v>2.0788778017256471E-2</v>
      </c>
      <c r="AI307" s="378">
        <f>AC307-Y306*'OverNight €'!I307*E307/360</f>
        <v>859.28021113197246</v>
      </c>
    </row>
    <row r="308" spans="2:35" x14ac:dyDescent="0.25">
      <c r="B308" s="148" t="str">
        <f t="shared" si="20"/>
        <v>10 2025</v>
      </c>
      <c r="C308" s="149">
        <f t="shared" si="22"/>
        <v>45960</v>
      </c>
      <c r="D308" s="149">
        <f t="shared" si="23"/>
        <v>45961</v>
      </c>
      <c r="E308" s="148">
        <f t="shared" si="21"/>
        <v>1</v>
      </c>
      <c r="F308" s="148" t="s">
        <v>7</v>
      </c>
      <c r="H308" s="384">
        <f t="shared" si="24"/>
        <v>45960</v>
      </c>
      <c r="I308" s="329">
        <v>101.1935</v>
      </c>
      <c r="K308" s="330">
        <v>100000</v>
      </c>
      <c r="L308" s="331"/>
      <c r="M308" s="331"/>
      <c r="N308" s="331"/>
      <c r="O308" s="331"/>
      <c r="P308" s="331"/>
      <c r="Q308" s="331"/>
      <c r="R308" s="331"/>
      <c r="S308" s="331"/>
      <c r="T308" s="331"/>
      <c r="U308" s="331"/>
      <c r="V308" s="331"/>
      <c r="X308" s="330">
        <f t="shared" si="29"/>
        <v>871</v>
      </c>
      <c r="Y308" s="378">
        <f t="shared" si="32"/>
        <v>88037892.799999997</v>
      </c>
      <c r="Z308" s="378">
        <f t="shared" si="25"/>
        <v>88139538.5</v>
      </c>
      <c r="AB308" s="378">
        <f t="shared" si="30"/>
        <v>101645.70000000298</v>
      </c>
      <c r="AC308" s="378">
        <f t="shared" si="27"/>
        <v>5051.7999999821186</v>
      </c>
      <c r="AD308" s="378"/>
      <c r="AF308" s="335">
        <f>AF309</f>
        <v>2.0776281006125479E-2</v>
      </c>
      <c r="AG308" s="335">
        <f t="shared" si="31"/>
        <v>2.0782217086410704E-2</v>
      </c>
      <c r="AI308" s="378">
        <f>AC308-Y307*'OverNight €'!I308*E308/360</f>
        <v>772.18021109322945</v>
      </c>
    </row>
    <row r="309" spans="2:35" x14ac:dyDescent="0.25">
      <c r="B309" s="123" t="str">
        <f t="shared" si="20"/>
        <v>11 2025</v>
      </c>
      <c r="C309" s="122">
        <f t="shared" si="22"/>
        <v>45961</v>
      </c>
      <c r="D309" s="122">
        <f t="shared" si="23"/>
        <v>45962</v>
      </c>
      <c r="E309" s="123">
        <f t="shared" si="21"/>
        <v>1</v>
      </c>
      <c r="F309" s="123" t="s">
        <v>7</v>
      </c>
      <c r="H309" s="390">
        <f t="shared" si="24"/>
        <v>45961</v>
      </c>
      <c r="I309" s="389">
        <v>101.19929999999999</v>
      </c>
      <c r="K309" s="386">
        <v>100000</v>
      </c>
      <c r="L309" s="387"/>
      <c r="M309" s="387"/>
      <c r="N309" s="387">
        <v>358</v>
      </c>
      <c r="O309" s="387"/>
      <c r="P309" s="387"/>
      <c r="Q309" s="387"/>
      <c r="R309" s="387"/>
      <c r="S309" s="387"/>
      <c r="T309" s="388">
        <f>N309*I309%*K309</f>
        <v>36229349.399999999</v>
      </c>
      <c r="U309" s="388">
        <f>N309*(I309-I288)%*K309</f>
        <v>43854.999999995729</v>
      </c>
      <c r="V309" s="388">
        <f>T309-U309</f>
        <v>36185494.400000006</v>
      </c>
      <c r="X309" s="386">
        <f t="shared" si="29"/>
        <v>513</v>
      </c>
      <c r="Y309" s="388">
        <f>Y308-V309</f>
        <v>51852398.399999991</v>
      </c>
      <c r="Z309" s="388">
        <f t="shared" si="25"/>
        <v>51915240.899999999</v>
      </c>
      <c r="AB309" s="388">
        <f>Z309-Y309+U309</f>
        <v>106697.50000000317</v>
      </c>
      <c r="AC309" s="388">
        <f t="shared" si="27"/>
        <v>5051.7999999970198</v>
      </c>
      <c r="AD309" s="388">
        <f>SUM(AC288:AC309)</f>
        <v>106697.4999999851</v>
      </c>
      <c r="AF309" s="391">
        <f>(I309/I288-1)*360/(H309-H288)</f>
        <v>2.0776281006125479E-2</v>
      </c>
      <c r="AG309" s="391">
        <f>(I309/$I$288-1)*360/(D309-$D$288)</f>
        <v>2.0776281006125479E-2</v>
      </c>
      <c r="AI309" s="388">
        <f>AC309-Y308*'OverNight €'!I309*E309/360</f>
        <v>772.18021110813061</v>
      </c>
    </row>
    <row r="310" spans="2:35" x14ac:dyDescent="0.25">
      <c r="B310" s="123" t="str">
        <f t="shared" si="20"/>
        <v>11 2025</v>
      </c>
      <c r="C310" s="122">
        <f t="shared" si="22"/>
        <v>45962</v>
      </c>
      <c r="D310" s="122">
        <f t="shared" si="23"/>
        <v>45963</v>
      </c>
      <c r="E310" s="123">
        <f t="shared" si="21"/>
        <v>1</v>
      </c>
      <c r="F310" s="123" t="s">
        <v>7</v>
      </c>
      <c r="H310" s="383">
        <f t="shared" si="24"/>
        <v>45962</v>
      </c>
      <c r="I310" s="329">
        <v>101.19929999999999</v>
      </c>
      <c r="K310" s="330">
        <v>100000</v>
      </c>
      <c r="L310" s="331"/>
      <c r="M310" s="331"/>
      <c r="N310" s="331"/>
      <c r="O310" s="331"/>
      <c r="P310" s="331"/>
      <c r="Q310" s="331"/>
      <c r="R310" s="331"/>
      <c r="S310" s="331"/>
      <c r="T310" s="331"/>
      <c r="U310" s="331"/>
      <c r="V310" s="331"/>
      <c r="X310" s="330">
        <f t="shared" si="29"/>
        <v>513</v>
      </c>
      <c r="Y310" s="378">
        <f t="shared" si="32"/>
        <v>51852398.399999991</v>
      </c>
      <c r="Z310" s="378">
        <f t="shared" si="25"/>
        <v>51915240.899999999</v>
      </c>
      <c r="AB310" s="378">
        <f t="shared" si="30"/>
        <v>62842.500000007451</v>
      </c>
      <c r="AC310" s="378">
        <f t="shared" si="27"/>
        <v>0</v>
      </c>
      <c r="AD310" s="378"/>
      <c r="AF310" s="335">
        <f t="shared" ref="AF310:AF335" si="33">AF311</f>
        <v>2.0810420625438919E-2</v>
      </c>
      <c r="AG310" s="335">
        <f t="shared" si="31"/>
        <v>1.9831904596756142E-2</v>
      </c>
      <c r="AI310" s="378">
        <f>AC310-Y309*'OverNight €'!I310*E310/360</f>
        <v>-2520.6026999999999</v>
      </c>
    </row>
    <row r="311" spans="2:35" x14ac:dyDescent="0.25">
      <c r="B311" s="123" t="str">
        <f t="shared" si="20"/>
        <v>11 2025</v>
      </c>
      <c r="C311" s="122">
        <f t="shared" si="22"/>
        <v>45963</v>
      </c>
      <c r="D311" s="122">
        <f t="shared" si="23"/>
        <v>45964</v>
      </c>
      <c r="E311" s="123">
        <f t="shared" si="21"/>
        <v>1</v>
      </c>
      <c r="F311" s="123" t="s">
        <v>7</v>
      </c>
      <c r="H311" s="383">
        <f t="shared" si="24"/>
        <v>45963</v>
      </c>
      <c r="I311" s="329">
        <v>101.19929999999999</v>
      </c>
      <c r="K311" s="330">
        <v>100000</v>
      </c>
      <c r="L311" s="331"/>
      <c r="M311" s="331"/>
      <c r="N311" s="331"/>
      <c r="O311" s="331"/>
      <c r="P311" s="331"/>
      <c r="Q311" s="331"/>
      <c r="R311" s="331"/>
      <c r="S311" s="331"/>
      <c r="T311" s="331"/>
      <c r="U311" s="331"/>
      <c r="V311" s="331"/>
      <c r="X311" s="330">
        <f t="shared" ref="X311:X369" si="34">X310+L311-N311</f>
        <v>513</v>
      </c>
      <c r="Y311" s="378">
        <f t="shared" si="32"/>
        <v>51852398.399999991</v>
      </c>
      <c r="Z311" s="378">
        <f t="shared" ref="Z311:Z369" si="35">X311*K311*ROUND(I311,4)%</f>
        <v>51915240.899999999</v>
      </c>
      <c r="AB311" s="378">
        <f t="shared" ref="AB311:AB375" si="36">Z311-Y311</f>
        <v>62842.500000007451</v>
      </c>
      <c r="AC311" s="378">
        <f t="shared" ref="AC311:AC369" si="37">Z311+T311-Z310-M311</f>
        <v>0</v>
      </c>
      <c r="AD311" s="331"/>
      <c r="AF311" s="335">
        <f t="shared" si="33"/>
        <v>2.0810420625438919E-2</v>
      </c>
      <c r="AG311" s="335">
        <f t="shared" si="31"/>
        <v>1.8969647875158046E-2</v>
      </c>
      <c r="AI311" s="378">
        <f>AC311-Y310*'OverNight €'!I311*E311/360</f>
        <v>-2520.6026999999999</v>
      </c>
    </row>
    <row r="312" spans="2:35" x14ac:dyDescent="0.25">
      <c r="B312" s="123" t="str">
        <f t="shared" si="20"/>
        <v>11 2025</v>
      </c>
      <c r="C312" s="122">
        <f t="shared" si="22"/>
        <v>45964</v>
      </c>
      <c r="D312" s="122">
        <f t="shared" si="23"/>
        <v>45965</v>
      </c>
      <c r="E312" s="123">
        <f t="shared" si="21"/>
        <v>1</v>
      </c>
      <c r="F312" s="123" t="s">
        <v>7</v>
      </c>
      <c r="H312" s="383">
        <f t="shared" si="24"/>
        <v>45964</v>
      </c>
      <c r="I312" s="329">
        <v>101.2169</v>
      </c>
      <c r="K312" s="330">
        <v>100000</v>
      </c>
      <c r="L312" s="331"/>
      <c r="M312" s="331"/>
      <c r="N312" s="331"/>
      <c r="O312" s="331"/>
      <c r="P312" s="331"/>
      <c r="Q312" s="331"/>
      <c r="R312" s="331"/>
      <c r="S312" s="331"/>
      <c r="T312" s="331"/>
      <c r="U312" s="331"/>
      <c r="V312" s="331"/>
      <c r="X312" s="330">
        <f t="shared" si="34"/>
        <v>513</v>
      </c>
      <c r="Y312" s="378">
        <f t="shared" si="32"/>
        <v>51852398.399999991</v>
      </c>
      <c r="Z312" s="378">
        <f t="shared" si="35"/>
        <v>51924269.699999996</v>
      </c>
      <c r="AB312" s="378">
        <f t="shared" si="36"/>
        <v>71871.30000000447</v>
      </c>
      <c r="AC312" s="378">
        <f t="shared" si="37"/>
        <v>9028.7999999970198</v>
      </c>
      <c r="AD312" s="331"/>
      <c r="AF312" s="335">
        <f t="shared" si="33"/>
        <v>2.0810420625438919E-2</v>
      </c>
      <c r="AG312" s="335">
        <f t="shared" si="31"/>
        <v>2.0791121206842345E-2</v>
      </c>
      <c r="AI312" s="378">
        <f>AC312-Y311*'OverNight €'!I312*E312/360</f>
        <v>6508.1972999970203</v>
      </c>
    </row>
    <row r="313" spans="2:35" x14ac:dyDescent="0.25">
      <c r="B313" s="123" t="str">
        <f t="shared" si="20"/>
        <v>11 2025</v>
      </c>
      <c r="C313" s="122">
        <f t="shared" si="22"/>
        <v>45965</v>
      </c>
      <c r="D313" s="122">
        <f t="shared" si="23"/>
        <v>45966</v>
      </c>
      <c r="E313" s="123">
        <f t="shared" si="21"/>
        <v>1</v>
      </c>
      <c r="F313" s="123" t="s">
        <v>7</v>
      </c>
      <c r="H313" s="383">
        <f t="shared" si="24"/>
        <v>45965</v>
      </c>
      <c r="I313" s="329">
        <v>101.2227</v>
      </c>
      <c r="K313" s="330">
        <v>100000</v>
      </c>
      <c r="L313" s="331"/>
      <c r="M313" s="331"/>
      <c r="N313" s="331"/>
      <c r="O313" s="331"/>
      <c r="P313" s="331"/>
      <c r="Q313" s="331"/>
      <c r="R313" s="331"/>
      <c r="S313" s="331"/>
      <c r="T313" s="331"/>
      <c r="U313" s="331"/>
      <c r="V313" s="331"/>
      <c r="X313" s="330">
        <f t="shared" si="34"/>
        <v>513</v>
      </c>
      <c r="Y313" s="378">
        <f t="shared" si="32"/>
        <v>51852398.399999991</v>
      </c>
      <c r="Z313" s="378">
        <f t="shared" si="35"/>
        <v>51927245.100000001</v>
      </c>
      <c r="AB313" s="378">
        <f t="shared" si="36"/>
        <v>74846.700000010431</v>
      </c>
      <c r="AC313" s="378">
        <f t="shared" si="37"/>
        <v>2975.4000000059605</v>
      </c>
      <c r="AD313" s="331"/>
      <c r="AF313" s="335">
        <f t="shared" si="33"/>
        <v>2.0810420625438919E-2</v>
      </c>
      <c r="AG313" s="335">
        <f t="shared" si="31"/>
        <v>2.0785778734585491E-2</v>
      </c>
      <c r="AI313" s="378">
        <f>AC313-Y312*'OverNight €'!I313*E313/360</f>
        <v>454.79730000596055</v>
      </c>
    </row>
    <row r="314" spans="2:35" x14ac:dyDescent="0.25">
      <c r="B314" s="380" t="str">
        <f t="shared" si="20"/>
        <v>11 2025</v>
      </c>
      <c r="C314" s="381">
        <f t="shared" si="22"/>
        <v>45966</v>
      </c>
      <c r="D314" s="381">
        <f t="shared" si="23"/>
        <v>45967</v>
      </c>
      <c r="E314" s="380">
        <f t="shared" si="21"/>
        <v>1</v>
      </c>
      <c r="F314" s="380" t="s">
        <v>7</v>
      </c>
      <c r="H314" s="385">
        <f t="shared" si="24"/>
        <v>45966</v>
      </c>
      <c r="I314" s="332">
        <v>101.2286</v>
      </c>
      <c r="K314" s="333">
        <v>100000</v>
      </c>
      <c r="L314" s="334"/>
      <c r="M314" s="334"/>
      <c r="N314" s="334"/>
      <c r="O314" s="334"/>
      <c r="P314" s="334">
        <v>149</v>
      </c>
      <c r="Q314" s="334"/>
      <c r="R314" s="334"/>
      <c r="S314" s="334"/>
      <c r="T314" s="379">
        <f>P314*I314%*K314</f>
        <v>15083061.4</v>
      </c>
      <c r="U314" s="379">
        <f>P314*(I314-I288)%*K314</f>
        <v>22618.199999999164</v>
      </c>
      <c r="V314" s="379">
        <f>T314-U314</f>
        <v>15060443.200000001</v>
      </c>
      <c r="X314" s="333">
        <f>X313+L314-P314</f>
        <v>364</v>
      </c>
      <c r="Y314" s="379">
        <f>Y313-V314</f>
        <v>36791955.199999988</v>
      </c>
      <c r="Z314" s="379">
        <f t="shared" si="35"/>
        <v>36847210.399999999</v>
      </c>
      <c r="AB314" s="379">
        <f t="shared" si="36"/>
        <v>55255.200000010431</v>
      </c>
      <c r="AC314" s="379">
        <f t="shared" si="37"/>
        <v>3026.6999999955297</v>
      </c>
      <c r="AD314" s="334"/>
      <c r="AF314" s="337">
        <f t="shared" si="33"/>
        <v>2.0810420625438919E-2</v>
      </c>
      <c r="AG314" s="337">
        <f t="shared" si="31"/>
        <v>2.0794545868546822E-2</v>
      </c>
      <c r="AI314" s="379">
        <f>AC314-Y313*'OverNight €'!I314*E314/360</f>
        <v>506.09729999552974</v>
      </c>
    </row>
    <row r="315" spans="2:35" x14ac:dyDescent="0.25">
      <c r="B315" s="123" t="str">
        <f t="shared" si="20"/>
        <v>11 2025</v>
      </c>
      <c r="C315" s="122">
        <f t="shared" si="22"/>
        <v>45967</v>
      </c>
      <c r="D315" s="122">
        <f t="shared" si="23"/>
        <v>45968</v>
      </c>
      <c r="E315" s="123">
        <f t="shared" si="21"/>
        <v>1</v>
      </c>
      <c r="F315" s="123" t="s">
        <v>7</v>
      </c>
      <c r="H315" s="383">
        <f t="shared" si="24"/>
        <v>45967</v>
      </c>
      <c r="I315" s="329">
        <v>101.23439999999999</v>
      </c>
      <c r="K315" s="330">
        <v>100000</v>
      </c>
      <c r="L315" s="331"/>
      <c r="M315" s="331"/>
      <c r="N315" s="331"/>
      <c r="O315" s="331"/>
      <c r="P315" s="331"/>
      <c r="Q315" s="331"/>
      <c r="R315" s="331"/>
      <c r="S315" s="331"/>
      <c r="T315" s="331"/>
      <c r="U315" s="331"/>
      <c r="V315" s="331"/>
      <c r="X315" s="330">
        <f t="shared" si="34"/>
        <v>364</v>
      </c>
      <c r="Y315" s="378">
        <f t="shared" si="32"/>
        <v>36791955.199999988</v>
      </c>
      <c r="Z315" s="378">
        <f t="shared" si="35"/>
        <v>36849321.599999994</v>
      </c>
      <c r="AB315" s="378">
        <f t="shared" si="36"/>
        <v>57366.40000000596</v>
      </c>
      <c r="AC315" s="378">
        <f t="shared" si="37"/>
        <v>2111.1999999955297</v>
      </c>
      <c r="AD315" s="331"/>
      <c r="AF315" s="335">
        <f t="shared" si="33"/>
        <v>2.0810420625438919E-2</v>
      </c>
      <c r="AG315" s="335">
        <f t="shared" si="31"/>
        <v>2.0789472295653273E-2</v>
      </c>
      <c r="AI315" s="378">
        <f>AC315-Y314*'OverNight €'!I315*E315/360</f>
        <v>322.70217777330777</v>
      </c>
    </row>
    <row r="316" spans="2:35" x14ac:dyDescent="0.25">
      <c r="B316" s="123" t="str">
        <f t="shared" si="20"/>
        <v>11 2025</v>
      </c>
      <c r="C316" s="122">
        <f t="shared" si="22"/>
        <v>45968</v>
      </c>
      <c r="D316" s="122">
        <f t="shared" si="23"/>
        <v>45969</v>
      </c>
      <c r="E316" s="123">
        <f t="shared" si="21"/>
        <v>1</v>
      </c>
      <c r="F316" s="123" t="s">
        <v>7</v>
      </c>
      <c r="H316" s="383">
        <f t="shared" si="24"/>
        <v>45968</v>
      </c>
      <c r="I316" s="329">
        <v>101.2403</v>
      </c>
      <c r="K316" s="330">
        <v>100000</v>
      </c>
      <c r="L316" s="331"/>
      <c r="M316" s="331"/>
      <c r="N316" s="331"/>
      <c r="O316" s="331"/>
      <c r="P316" s="331"/>
      <c r="Q316" s="331"/>
      <c r="R316" s="331"/>
      <c r="S316" s="331"/>
      <c r="T316" s="331"/>
      <c r="U316" s="331"/>
      <c r="V316" s="331"/>
      <c r="X316" s="330">
        <f t="shared" si="34"/>
        <v>364</v>
      </c>
      <c r="Y316" s="378">
        <f t="shared" si="32"/>
        <v>36791955.199999988</v>
      </c>
      <c r="Z316" s="378">
        <f t="shared" si="35"/>
        <v>36851469.199999996</v>
      </c>
      <c r="AB316" s="378">
        <f t="shared" si="36"/>
        <v>59514.000000007451</v>
      </c>
      <c r="AC316" s="378">
        <f t="shared" si="37"/>
        <v>2147.6000000014901</v>
      </c>
      <c r="AD316" s="331"/>
      <c r="AF316" s="335">
        <f t="shared" si="33"/>
        <v>2.0810420625438919E-2</v>
      </c>
      <c r="AG316" s="335">
        <f t="shared" si="31"/>
        <v>2.0797481292867799E-2</v>
      </c>
      <c r="AI316" s="378">
        <f>AC316-Y315*'OverNight €'!I316*E316/360</f>
        <v>359.10217777926823</v>
      </c>
    </row>
    <row r="317" spans="2:35" x14ac:dyDescent="0.25">
      <c r="B317" s="123" t="str">
        <f t="shared" si="20"/>
        <v>11 2025</v>
      </c>
      <c r="C317" s="122">
        <f t="shared" si="22"/>
        <v>45969</v>
      </c>
      <c r="D317" s="122">
        <f t="shared" si="23"/>
        <v>45970</v>
      </c>
      <c r="E317" s="123">
        <f t="shared" si="21"/>
        <v>1</v>
      </c>
      <c r="F317" s="123" t="s">
        <v>7</v>
      </c>
      <c r="H317" s="383">
        <f t="shared" si="24"/>
        <v>45969</v>
      </c>
      <c r="I317" s="329">
        <v>101.2403</v>
      </c>
      <c r="K317" s="330">
        <v>100000</v>
      </c>
      <c r="L317" s="331"/>
      <c r="M317" s="331"/>
      <c r="N317" s="331"/>
      <c r="O317" s="331"/>
      <c r="P317" s="331"/>
      <c r="Q317" s="331"/>
      <c r="R317" s="331"/>
      <c r="S317" s="331"/>
      <c r="T317" s="331"/>
      <c r="U317" s="331"/>
      <c r="V317" s="331"/>
      <c r="X317" s="330">
        <f t="shared" si="34"/>
        <v>364</v>
      </c>
      <c r="Y317" s="378">
        <f t="shared" si="32"/>
        <v>36791955.199999988</v>
      </c>
      <c r="Z317" s="378">
        <f t="shared" si="35"/>
        <v>36851469.199999996</v>
      </c>
      <c r="AB317" s="378">
        <f t="shared" si="36"/>
        <v>59514.000000007451</v>
      </c>
      <c r="AC317" s="378">
        <f t="shared" si="37"/>
        <v>0</v>
      </c>
      <c r="AD317" s="331"/>
      <c r="AF317" s="335">
        <f t="shared" si="33"/>
        <v>2.0810420625438919E-2</v>
      </c>
      <c r="AG317" s="335">
        <f t="shared" si="31"/>
        <v>2.0080326765527533E-2</v>
      </c>
      <c r="AI317" s="378">
        <f>AC317-Y316*'OverNight €'!I317*E317/360</f>
        <v>-1788.4978222222219</v>
      </c>
    </row>
    <row r="318" spans="2:35" x14ac:dyDescent="0.25">
      <c r="B318" s="123" t="str">
        <f t="shared" si="20"/>
        <v>11 2025</v>
      </c>
      <c r="C318" s="122">
        <f t="shared" si="22"/>
        <v>45970</v>
      </c>
      <c r="D318" s="122">
        <f t="shared" si="23"/>
        <v>45971</v>
      </c>
      <c r="E318" s="123">
        <f t="shared" si="21"/>
        <v>1</v>
      </c>
      <c r="F318" s="123" t="s">
        <v>7</v>
      </c>
      <c r="H318" s="383">
        <f t="shared" si="24"/>
        <v>45970</v>
      </c>
      <c r="I318" s="329">
        <v>101.2403</v>
      </c>
      <c r="K318" s="330">
        <v>100000</v>
      </c>
      <c r="L318" s="331"/>
      <c r="M318" s="331"/>
      <c r="N318" s="331"/>
      <c r="O318" s="331"/>
      <c r="P318" s="331"/>
      <c r="Q318" s="331"/>
      <c r="R318" s="331"/>
      <c r="S318" s="331"/>
      <c r="T318" s="331"/>
      <c r="U318" s="331"/>
      <c r="V318" s="331"/>
      <c r="X318" s="330">
        <f t="shared" si="34"/>
        <v>364</v>
      </c>
      <c r="Y318" s="378">
        <f t="shared" si="32"/>
        <v>36791955.199999988</v>
      </c>
      <c r="Z318" s="378">
        <f t="shared" si="35"/>
        <v>36851469.199999996</v>
      </c>
      <c r="AB318" s="378">
        <f t="shared" si="36"/>
        <v>59514.000000007451</v>
      </c>
      <c r="AC318" s="378">
        <f t="shared" si="37"/>
        <v>0</v>
      </c>
      <c r="AD318" s="331"/>
      <c r="AF318" s="335">
        <f t="shared" si="33"/>
        <v>2.0810420625438919E-2</v>
      </c>
      <c r="AG318" s="335">
        <f t="shared" si="31"/>
        <v>1.9410982540009947E-2</v>
      </c>
      <c r="AI318" s="378">
        <f>AC318-Y317*'OverNight €'!I318*E318/360</f>
        <v>-1788.4978222222219</v>
      </c>
    </row>
    <row r="319" spans="2:35" x14ac:dyDescent="0.25">
      <c r="B319" s="123" t="str">
        <f t="shared" si="20"/>
        <v>11 2025</v>
      </c>
      <c r="C319" s="122">
        <f t="shared" si="22"/>
        <v>45971</v>
      </c>
      <c r="D319" s="122">
        <f t="shared" si="23"/>
        <v>45972</v>
      </c>
      <c r="E319" s="123">
        <f t="shared" si="21"/>
        <v>1</v>
      </c>
      <c r="F319" s="123" t="s">
        <v>7</v>
      </c>
      <c r="H319" s="383">
        <f t="shared" si="24"/>
        <v>45971</v>
      </c>
      <c r="I319" s="329">
        <v>101.2578</v>
      </c>
      <c r="K319" s="330">
        <v>100000</v>
      </c>
      <c r="L319" s="331"/>
      <c r="M319" s="331"/>
      <c r="N319" s="331"/>
      <c r="O319" s="331"/>
      <c r="P319" s="331"/>
      <c r="Q319" s="331"/>
      <c r="R319" s="331"/>
      <c r="S319" s="331"/>
      <c r="T319" s="331"/>
      <c r="U319" s="331"/>
      <c r="V319" s="331"/>
      <c r="X319" s="330">
        <f t="shared" si="34"/>
        <v>364</v>
      </c>
      <c r="Y319" s="378">
        <f t="shared" si="32"/>
        <v>36791955.199999988</v>
      </c>
      <c r="Z319" s="378">
        <f t="shared" si="35"/>
        <v>36857839.199999996</v>
      </c>
      <c r="AB319" s="378">
        <f t="shared" si="36"/>
        <v>65884.000000007451</v>
      </c>
      <c r="AC319" s="378">
        <f t="shared" si="37"/>
        <v>6370</v>
      </c>
      <c r="AD319" s="331"/>
      <c r="AF319" s="335">
        <f t="shared" si="33"/>
        <v>2.0810420625438919E-2</v>
      </c>
      <c r="AG319" s="335">
        <f t="shared" si="31"/>
        <v>2.0795429652214214E-2</v>
      </c>
      <c r="AI319" s="378">
        <f>AC319-Y318*'OverNight €'!I319*E319/360</f>
        <v>4581.5021777777783</v>
      </c>
    </row>
    <row r="320" spans="2:35" x14ac:dyDescent="0.25">
      <c r="B320" s="123" t="str">
        <f t="shared" si="20"/>
        <v>11 2025</v>
      </c>
      <c r="C320" s="122">
        <f t="shared" si="22"/>
        <v>45972</v>
      </c>
      <c r="D320" s="122">
        <f t="shared" si="23"/>
        <v>45973</v>
      </c>
      <c r="E320" s="123">
        <f t="shared" si="21"/>
        <v>1</v>
      </c>
      <c r="F320" s="123" t="s">
        <v>7</v>
      </c>
      <c r="H320" s="383">
        <f t="shared" si="24"/>
        <v>45972</v>
      </c>
      <c r="I320" s="329">
        <v>101.2637</v>
      </c>
      <c r="K320" s="330">
        <v>100000</v>
      </c>
      <c r="L320" s="331"/>
      <c r="M320" s="331"/>
      <c r="N320" s="331"/>
      <c r="O320" s="331"/>
      <c r="P320" s="331"/>
      <c r="Q320" s="331"/>
      <c r="R320" s="331"/>
      <c r="S320" s="331"/>
      <c r="T320" s="331"/>
      <c r="U320" s="331"/>
      <c r="V320" s="331"/>
      <c r="X320" s="330">
        <f t="shared" si="34"/>
        <v>364</v>
      </c>
      <c r="Y320" s="378">
        <f t="shared" si="32"/>
        <v>36791955.199999988</v>
      </c>
      <c r="Z320" s="378">
        <f t="shared" si="35"/>
        <v>36859986.799999997</v>
      </c>
      <c r="AB320" s="378">
        <f t="shared" si="36"/>
        <v>68031.600000008941</v>
      </c>
      <c r="AC320" s="378">
        <f t="shared" si="37"/>
        <v>2147.6000000014901</v>
      </c>
      <c r="AD320" s="331"/>
      <c r="AF320" s="335">
        <f t="shared" si="33"/>
        <v>2.0810420625438919E-2</v>
      </c>
      <c r="AG320" s="335">
        <f t="shared" si="31"/>
        <v>2.0802251357381896E-2</v>
      </c>
      <c r="AI320" s="378">
        <f>AC320-Y319*'OverNight €'!I320*E320/360</f>
        <v>359.10217777926823</v>
      </c>
    </row>
    <row r="321" spans="2:35" x14ac:dyDescent="0.25">
      <c r="B321" s="123" t="str">
        <f t="shared" si="20"/>
        <v>11 2025</v>
      </c>
      <c r="C321" s="122">
        <f t="shared" si="22"/>
        <v>45973</v>
      </c>
      <c r="D321" s="122">
        <f t="shared" si="23"/>
        <v>45974</v>
      </c>
      <c r="E321" s="123">
        <f t="shared" si="21"/>
        <v>1</v>
      </c>
      <c r="F321" s="123" t="s">
        <v>7</v>
      </c>
      <c r="H321" s="383">
        <f t="shared" si="24"/>
        <v>45973</v>
      </c>
      <c r="I321" s="329">
        <v>101.26949999999999</v>
      </c>
      <c r="K321" s="330">
        <v>100000</v>
      </c>
      <c r="L321" s="331"/>
      <c r="M321" s="331"/>
      <c r="N321" s="331"/>
      <c r="O321" s="331"/>
      <c r="P321" s="331"/>
      <c r="Q321" s="331"/>
      <c r="R321" s="331"/>
      <c r="S321" s="331"/>
      <c r="T321" s="331"/>
      <c r="U321" s="331"/>
      <c r="V321" s="331"/>
      <c r="X321" s="330">
        <f t="shared" si="34"/>
        <v>364</v>
      </c>
      <c r="Y321" s="378">
        <f t="shared" si="32"/>
        <v>36791955.199999988</v>
      </c>
      <c r="Z321" s="378">
        <f t="shared" si="35"/>
        <v>36862098</v>
      </c>
      <c r="AB321" s="378">
        <f t="shared" si="36"/>
        <v>70142.800000011921</v>
      </c>
      <c r="AC321" s="378">
        <f t="shared" si="37"/>
        <v>2111.2000000029802</v>
      </c>
      <c r="AD321" s="331"/>
      <c r="AF321" s="335">
        <f t="shared" si="33"/>
        <v>2.0810420625438919E-2</v>
      </c>
      <c r="AG321" s="335">
        <f t="shared" si="31"/>
        <v>2.0797866752625505E-2</v>
      </c>
      <c r="AI321" s="378">
        <f>AC321-Y320*'OverNight €'!I321*E321/360</f>
        <v>322.70217778075835</v>
      </c>
    </row>
    <row r="322" spans="2:35" x14ac:dyDescent="0.25">
      <c r="B322" s="123" t="str">
        <f t="shared" si="20"/>
        <v>11 2025</v>
      </c>
      <c r="C322" s="122">
        <f t="shared" si="22"/>
        <v>45974</v>
      </c>
      <c r="D322" s="122">
        <f t="shared" si="23"/>
        <v>45975</v>
      </c>
      <c r="E322" s="123">
        <f t="shared" si="21"/>
        <v>1</v>
      </c>
      <c r="F322" s="123" t="s">
        <v>7</v>
      </c>
      <c r="H322" s="383">
        <f t="shared" si="24"/>
        <v>45974</v>
      </c>
      <c r="I322" s="329">
        <v>101.2754</v>
      </c>
      <c r="K322" s="330">
        <v>100000</v>
      </c>
      <c r="L322" s="331"/>
      <c r="M322" s="331"/>
      <c r="N322" s="331"/>
      <c r="O322" s="331"/>
      <c r="P322" s="331"/>
      <c r="Q322" s="331"/>
      <c r="R322" s="331"/>
      <c r="S322" s="331"/>
      <c r="T322" s="331"/>
      <c r="U322" s="331"/>
      <c r="V322" s="331"/>
      <c r="X322" s="330">
        <f t="shared" si="34"/>
        <v>364</v>
      </c>
      <c r="Y322" s="378">
        <f t="shared" si="32"/>
        <v>36791955.199999988</v>
      </c>
      <c r="Z322" s="378">
        <f t="shared" si="35"/>
        <v>36864245.600000009</v>
      </c>
      <c r="AB322" s="378">
        <f t="shared" si="36"/>
        <v>72290.400000020862</v>
      </c>
      <c r="AC322" s="378">
        <f t="shared" si="37"/>
        <v>2147.6000000089407</v>
      </c>
      <c r="AD322" s="331"/>
      <c r="AF322" s="335">
        <f t="shared" si="33"/>
        <v>2.0810420625438919E-2</v>
      </c>
      <c r="AG322" s="335">
        <f t="shared" si="31"/>
        <v>2.0804215501597109E-2</v>
      </c>
      <c r="AI322" s="378">
        <f>AC322-Y321*'OverNight €'!I322*E322/360</f>
        <v>359.10217778671881</v>
      </c>
    </row>
    <row r="323" spans="2:35" x14ac:dyDescent="0.25">
      <c r="B323" s="123" t="str">
        <f t="shared" si="20"/>
        <v>11 2025</v>
      </c>
      <c r="C323" s="122">
        <f t="shared" si="22"/>
        <v>45975</v>
      </c>
      <c r="D323" s="122">
        <f t="shared" si="23"/>
        <v>45976</v>
      </c>
      <c r="E323" s="123">
        <f t="shared" si="21"/>
        <v>1</v>
      </c>
      <c r="F323" s="123" t="s">
        <v>7</v>
      </c>
      <c r="H323" s="383">
        <f t="shared" si="24"/>
        <v>45975</v>
      </c>
      <c r="I323" s="329">
        <v>101.2812</v>
      </c>
      <c r="K323" s="330">
        <v>100000</v>
      </c>
      <c r="L323" s="331"/>
      <c r="M323" s="331"/>
      <c r="N323" s="331"/>
      <c r="O323" s="331"/>
      <c r="P323" s="331"/>
      <c r="Q323" s="331"/>
      <c r="R323" s="331"/>
      <c r="S323" s="331"/>
      <c r="T323" s="331"/>
      <c r="U323" s="331"/>
      <c r="V323" s="331"/>
      <c r="X323" s="330">
        <f t="shared" si="34"/>
        <v>364</v>
      </c>
      <c r="Y323" s="378">
        <f t="shared" si="32"/>
        <v>36791955.199999988</v>
      </c>
      <c r="Z323" s="378">
        <f t="shared" si="35"/>
        <v>36866356.800000004</v>
      </c>
      <c r="AB323" s="378">
        <f t="shared" si="36"/>
        <v>74401.600000016391</v>
      </c>
      <c r="AC323" s="378">
        <f t="shared" si="37"/>
        <v>2111.1999999955297</v>
      </c>
      <c r="AD323" s="331"/>
      <c r="AF323" s="335">
        <f t="shared" si="33"/>
        <v>2.0810420625438919E-2</v>
      </c>
      <c r="AG323" s="335">
        <f t="shared" si="31"/>
        <v>2.0800025327275509E-2</v>
      </c>
      <c r="AI323" s="378">
        <f>AC323-Y322*'OverNight €'!I323*E323/360</f>
        <v>322.70217777330777</v>
      </c>
    </row>
    <row r="324" spans="2:35" x14ac:dyDescent="0.25">
      <c r="B324" s="123" t="str">
        <f t="shared" si="20"/>
        <v>11 2025</v>
      </c>
      <c r="C324" s="122">
        <f t="shared" si="22"/>
        <v>45976</v>
      </c>
      <c r="D324" s="122">
        <f t="shared" si="23"/>
        <v>45977</v>
      </c>
      <c r="E324" s="123">
        <f t="shared" si="21"/>
        <v>1</v>
      </c>
      <c r="F324" s="123" t="s">
        <v>7</v>
      </c>
      <c r="H324" s="383">
        <f t="shared" si="24"/>
        <v>45976</v>
      </c>
      <c r="I324" s="329">
        <v>101.2812</v>
      </c>
      <c r="K324" s="330">
        <v>100000</v>
      </c>
      <c r="L324" s="331"/>
      <c r="M324" s="331"/>
      <c r="N324" s="331"/>
      <c r="O324" s="331"/>
      <c r="P324" s="331"/>
      <c r="Q324" s="331"/>
      <c r="R324" s="331"/>
      <c r="S324" s="331"/>
      <c r="T324" s="331"/>
      <c r="U324" s="331"/>
      <c r="V324" s="331"/>
      <c r="X324" s="330">
        <f t="shared" si="34"/>
        <v>364</v>
      </c>
      <c r="Y324" s="378">
        <f t="shared" si="32"/>
        <v>36791955.199999988</v>
      </c>
      <c r="Z324" s="378">
        <f t="shared" si="35"/>
        <v>36866356.800000004</v>
      </c>
      <c r="AB324" s="378">
        <f t="shared" si="36"/>
        <v>74401.600000016391</v>
      </c>
      <c r="AC324" s="378">
        <f t="shared" si="37"/>
        <v>0</v>
      </c>
      <c r="AD324" s="331"/>
      <c r="AF324" s="335">
        <f t="shared" si="33"/>
        <v>2.0810420625438919E-2</v>
      </c>
      <c r="AG324" s="335">
        <f t="shared" si="31"/>
        <v>2.0222246845962299E-2</v>
      </c>
      <c r="AI324" s="378">
        <f>AC324-Y323*'OverNight €'!I324*E324/360</f>
        <v>-1788.4978222222219</v>
      </c>
    </row>
    <row r="325" spans="2:35" x14ac:dyDescent="0.25">
      <c r="B325" s="123" t="str">
        <f t="shared" ref="B325:B369" si="38">CONCATENATE(MONTH(D325)," ",YEAR(D325))</f>
        <v>11 2025</v>
      </c>
      <c r="C325" s="122">
        <f t="shared" si="22"/>
        <v>45977</v>
      </c>
      <c r="D325" s="122">
        <f t="shared" si="23"/>
        <v>45978</v>
      </c>
      <c r="E325" s="123">
        <f t="shared" ref="E325:E369" si="39">D325-C325</f>
        <v>1</v>
      </c>
      <c r="F325" s="123" t="s">
        <v>7</v>
      </c>
      <c r="H325" s="383">
        <f t="shared" si="24"/>
        <v>45977</v>
      </c>
      <c r="I325" s="329">
        <v>101.2812</v>
      </c>
      <c r="K325" s="330">
        <v>100000</v>
      </c>
      <c r="L325" s="331"/>
      <c r="M325" s="331"/>
      <c r="N325" s="331"/>
      <c r="O325" s="331"/>
      <c r="P325" s="331"/>
      <c r="Q325" s="331"/>
      <c r="R325" s="331"/>
      <c r="S325" s="331"/>
      <c r="T325" s="331"/>
      <c r="U325" s="331"/>
      <c r="V325" s="331"/>
      <c r="X325" s="330">
        <f t="shared" si="34"/>
        <v>364</v>
      </c>
      <c r="Y325" s="378">
        <f t="shared" si="32"/>
        <v>36791955.199999988</v>
      </c>
      <c r="Z325" s="378">
        <f t="shared" si="35"/>
        <v>36866356.800000004</v>
      </c>
      <c r="AB325" s="378">
        <f t="shared" si="36"/>
        <v>74401.600000016391</v>
      </c>
      <c r="AC325" s="378">
        <f t="shared" si="37"/>
        <v>0</v>
      </c>
      <c r="AD325" s="331"/>
      <c r="AF325" s="335">
        <f t="shared" si="33"/>
        <v>2.0810420625438919E-2</v>
      </c>
      <c r="AG325" s="335">
        <f t="shared" si="31"/>
        <v>1.9675699633909263E-2</v>
      </c>
      <c r="AI325" s="378">
        <f>AC325-Y324*'OverNight €'!I325*E325/360</f>
        <v>-1788.4978222222219</v>
      </c>
    </row>
    <row r="326" spans="2:35" x14ac:dyDescent="0.25">
      <c r="B326" s="123" t="str">
        <f t="shared" si="38"/>
        <v>11 2025</v>
      </c>
      <c r="C326" s="122">
        <f t="shared" ref="C326:C369" si="40">D325</f>
        <v>45978</v>
      </c>
      <c r="D326" s="122">
        <f t="shared" ref="D326:D369" si="41">D325+1</f>
        <v>45979</v>
      </c>
      <c r="E326" s="123">
        <f t="shared" si="39"/>
        <v>1</v>
      </c>
      <c r="F326" s="123" t="s">
        <v>7</v>
      </c>
      <c r="H326" s="383">
        <f t="shared" ref="H326:H369" si="42">C326</f>
        <v>45978</v>
      </c>
      <c r="I326" s="329">
        <v>101.2988</v>
      </c>
      <c r="K326" s="330">
        <v>100000</v>
      </c>
      <c r="L326" s="331"/>
      <c r="M326" s="331"/>
      <c r="N326" s="331"/>
      <c r="O326" s="331"/>
      <c r="P326" s="331"/>
      <c r="Q326" s="331"/>
      <c r="R326" s="331"/>
      <c r="S326" s="331"/>
      <c r="T326" s="331"/>
      <c r="U326" s="331"/>
      <c r="V326" s="331"/>
      <c r="X326" s="330">
        <f t="shared" si="34"/>
        <v>364</v>
      </c>
      <c r="Y326" s="378">
        <f t="shared" si="32"/>
        <v>36791955.199999988</v>
      </c>
      <c r="Z326" s="378">
        <f t="shared" si="35"/>
        <v>36872763.200000003</v>
      </c>
      <c r="AB326" s="378">
        <f t="shared" si="36"/>
        <v>80808.000000014901</v>
      </c>
      <c r="AC326" s="378">
        <f t="shared" si="37"/>
        <v>6406.3999999985099</v>
      </c>
      <c r="AD326" s="331"/>
      <c r="AF326" s="335">
        <f t="shared" si="33"/>
        <v>2.0810420625438919E-2</v>
      </c>
      <c r="AG326" s="335">
        <f t="shared" si="31"/>
        <v>2.0807523533953261E-2</v>
      </c>
      <c r="AI326" s="378">
        <f>AC326-Y325*'OverNight €'!I326*E326/360</f>
        <v>4617.9021777762882</v>
      </c>
    </row>
    <row r="327" spans="2:35" x14ac:dyDescent="0.25">
      <c r="B327" s="123" t="str">
        <f t="shared" si="38"/>
        <v>11 2025</v>
      </c>
      <c r="C327" s="122">
        <f t="shared" si="40"/>
        <v>45979</v>
      </c>
      <c r="D327" s="122">
        <f t="shared" si="41"/>
        <v>45980</v>
      </c>
      <c r="E327" s="123">
        <f t="shared" si="39"/>
        <v>1</v>
      </c>
      <c r="F327" s="123" t="s">
        <v>7</v>
      </c>
      <c r="H327" s="383">
        <f t="shared" si="42"/>
        <v>45979</v>
      </c>
      <c r="I327" s="329">
        <v>101.30459999999999</v>
      </c>
      <c r="K327" s="330">
        <v>100000</v>
      </c>
      <c r="L327" s="331"/>
      <c r="M327" s="331"/>
      <c r="N327" s="331"/>
      <c r="O327" s="331"/>
      <c r="P327" s="331"/>
      <c r="Q327" s="331"/>
      <c r="R327" s="331"/>
      <c r="S327" s="331"/>
      <c r="T327" s="331"/>
      <c r="U327" s="331"/>
      <c r="V327" s="331"/>
      <c r="X327" s="330">
        <f t="shared" si="34"/>
        <v>364</v>
      </c>
      <c r="Y327" s="378">
        <f t="shared" si="32"/>
        <v>36791955.199999988</v>
      </c>
      <c r="Z327" s="378">
        <f t="shared" si="35"/>
        <v>36874874.399999999</v>
      </c>
      <c r="AB327" s="378">
        <f t="shared" si="36"/>
        <v>82919.200000010431</v>
      </c>
      <c r="AC327" s="378">
        <f t="shared" si="37"/>
        <v>2111.1999999955297</v>
      </c>
      <c r="AD327" s="331"/>
      <c r="AF327" s="335">
        <f t="shared" si="33"/>
        <v>2.0810420625438919E-2</v>
      </c>
      <c r="AG327" s="335">
        <f t="shared" si="31"/>
        <v>2.0803678299760129E-2</v>
      </c>
      <c r="AI327" s="378">
        <f>AC327-Y326*'OverNight €'!I327*E327/360</f>
        <v>322.70217777330777</v>
      </c>
    </row>
    <row r="328" spans="2:35" x14ac:dyDescent="0.25">
      <c r="B328" s="123" t="str">
        <f t="shared" si="38"/>
        <v>11 2025</v>
      </c>
      <c r="C328" s="122">
        <f t="shared" si="40"/>
        <v>45980</v>
      </c>
      <c r="D328" s="122">
        <f t="shared" si="41"/>
        <v>45981</v>
      </c>
      <c r="E328" s="123">
        <f t="shared" si="39"/>
        <v>1</v>
      </c>
      <c r="F328" s="123" t="s">
        <v>7</v>
      </c>
      <c r="H328" s="383">
        <f t="shared" si="42"/>
        <v>45980</v>
      </c>
      <c r="I328" s="329">
        <v>101.3105</v>
      </c>
      <c r="K328" s="330">
        <v>100000</v>
      </c>
      <c r="L328" s="331"/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X328" s="330">
        <f t="shared" si="34"/>
        <v>364</v>
      </c>
      <c r="Y328" s="378">
        <f t="shared" si="32"/>
        <v>36791955.199999988</v>
      </c>
      <c r="Z328" s="378">
        <f t="shared" si="35"/>
        <v>36877022.000000007</v>
      </c>
      <c r="AB328" s="378">
        <f t="shared" si="36"/>
        <v>85066.800000019372</v>
      </c>
      <c r="AC328" s="378">
        <f t="shared" si="37"/>
        <v>2147.6000000089407</v>
      </c>
      <c r="AD328" s="331"/>
      <c r="AF328" s="335">
        <f t="shared" si="33"/>
        <v>2.0810420625438919E-2</v>
      </c>
      <c r="AG328" s="335">
        <f t="shared" si="31"/>
        <v>2.0808929447707625E-2</v>
      </c>
      <c r="AI328" s="378">
        <f>AC328-Y327*'OverNight €'!I328*E328/360</f>
        <v>359.10217778671881</v>
      </c>
    </row>
    <row r="329" spans="2:35" x14ac:dyDescent="0.25">
      <c r="B329" s="123" t="str">
        <f t="shared" si="38"/>
        <v>11 2025</v>
      </c>
      <c r="C329" s="122">
        <f t="shared" si="40"/>
        <v>45981</v>
      </c>
      <c r="D329" s="122">
        <f t="shared" si="41"/>
        <v>45982</v>
      </c>
      <c r="E329" s="123">
        <f t="shared" si="39"/>
        <v>1</v>
      </c>
      <c r="F329" s="123" t="s">
        <v>7</v>
      </c>
      <c r="H329" s="383">
        <f t="shared" si="42"/>
        <v>45981</v>
      </c>
      <c r="I329" s="329">
        <v>101.3163</v>
      </c>
      <c r="K329" s="330">
        <v>100000</v>
      </c>
      <c r="L329" s="331"/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X329" s="330">
        <f t="shared" si="34"/>
        <v>364</v>
      </c>
      <c r="Y329" s="378">
        <f t="shared" si="32"/>
        <v>36791955.199999988</v>
      </c>
      <c r="Z329" s="378">
        <f t="shared" si="35"/>
        <v>36879133.200000003</v>
      </c>
      <c r="AB329" s="378">
        <f t="shared" si="36"/>
        <v>87178.000000014901</v>
      </c>
      <c r="AC329" s="378">
        <f t="shared" si="37"/>
        <v>2111.1999999955297</v>
      </c>
      <c r="AD329" s="331"/>
      <c r="AF329" s="335">
        <f t="shared" si="33"/>
        <v>2.0810420625438919E-2</v>
      </c>
      <c r="AG329" s="335">
        <f t="shared" si="31"/>
        <v>2.0805237495332831E-2</v>
      </c>
      <c r="AI329" s="378">
        <f>AC329-Y328*'OverNight €'!I329*E329/360</f>
        <v>322.70217777330777</v>
      </c>
    </row>
    <row r="330" spans="2:35" x14ac:dyDescent="0.25">
      <c r="B330" s="123" t="str">
        <f t="shared" si="38"/>
        <v>11 2025</v>
      </c>
      <c r="C330" s="122">
        <f t="shared" si="40"/>
        <v>45982</v>
      </c>
      <c r="D330" s="122">
        <f t="shared" si="41"/>
        <v>45983</v>
      </c>
      <c r="E330" s="123">
        <f t="shared" si="39"/>
        <v>1</v>
      </c>
      <c r="F330" s="123" t="s">
        <v>7</v>
      </c>
      <c r="H330" s="383">
        <f t="shared" si="42"/>
        <v>45982</v>
      </c>
      <c r="I330" s="329">
        <v>101.3222</v>
      </c>
      <c r="K330" s="330">
        <v>100000</v>
      </c>
      <c r="L330" s="331"/>
      <c r="M330" s="331"/>
      <c r="N330" s="331"/>
      <c r="O330" s="331"/>
      <c r="P330" s="331"/>
      <c r="Q330" s="331"/>
      <c r="R330" s="331"/>
      <c r="S330" s="331"/>
      <c r="T330" s="331"/>
      <c r="U330" s="331"/>
      <c r="V330" s="331"/>
      <c r="X330" s="330">
        <f t="shared" si="34"/>
        <v>364</v>
      </c>
      <c r="Y330" s="378">
        <f t="shared" si="32"/>
        <v>36791955.199999988</v>
      </c>
      <c r="Z330" s="378">
        <f t="shared" si="35"/>
        <v>36881280.799999997</v>
      </c>
      <c r="AB330" s="378">
        <f t="shared" si="36"/>
        <v>89325.600000008941</v>
      </c>
      <c r="AC330" s="378">
        <f t="shared" si="37"/>
        <v>2147.5999999940395</v>
      </c>
      <c r="AD330" s="331"/>
      <c r="AF330" s="335">
        <f t="shared" si="33"/>
        <v>2.0810420625438919E-2</v>
      </c>
      <c r="AG330" s="335">
        <f t="shared" si="31"/>
        <v>2.0810201464910145E-2</v>
      </c>
      <c r="AI330" s="378">
        <f>AC330-Y329*'OverNight €'!I330*E330/360</f>
        <v>359.10217777181765</v>
      </c>
    </row>
    <row r="331" spans="2:35" x14ac:dyDescent="0.25">
      <c r="B331" s="123" t="str">
        <f t="shared" si="38"/>
        <v>11 2025</v>
      </c>
      <c r="C331" s="122">
        <f t="shared" si="40"/>
        <v>45983</v>
      </c>
      <c r="D331" s="122">
        <f t="shared" si="41"/>
        <v>45984</v>
      </c>
      <c r="E331" s="123">
        <f t="shared" si="39"/>
        <v>1</v>
      </c>
      <c r="F331" s="123" t="s">
        <v>7</v>
      </c>
      <c r="H331" s="383">
        <f t="shared" si="42"/>
        <v>45983</v>
      </c>
      <c r="I331" s="329">
        <v>101.3222</v>
      </c>
      <c r="K331" s="330">
        <v>100000</v>
      </c>
      <c r="L331" s="331"/>
      <c r="M331" s="331"/>
      <c r="N331" s="331"/>
      <c r="O331" s="331"/>
      <c r="P331" s="331"/>
      <c r="Q331" s="331"/>
      <c r="R331" s="331"/>
      <c r="S331" s="331"/>
      <c r="T331" s="331"/>
      <c r="U331" s="331"/>
      <c r="V331" s="331"/>
      <c r="X331" s="330">
        <f t="shared" si="34"/>
        <v>364</v>
      </c>
      <c r="Y331" s="378">
        <f t="shared" si="32"/>
        <v>36791955.199999988</v>
      </c>
      <c r="Z331" s="378">
        <f t="shared" si="35"/>
        <v>36881280.799999997</v>
      </c>
      <c r="AB331" s="378">
        <f t="shared" si="36"/>
        <v>89325.600000008941</v>
      </c>
      <c r="AC331" s="378">
        <f t="shared" si="37"/>
        <v>0</v>
      </c>
      <c r="AD331" s="331"/>
      <c r="AF331" s="335">
        <f t="shared" si="33"/>
        <v>2.0810420625438919E-2</v>
      </c>
      <c r="AG331" s="335">
        <f t="shared" si="31"/>
        <v>2.0326243291307586E-2</v>
      </c>
      <c r="AI331" s="378">
        <f>AC331-Y330*'OverNight €'!I331*E331/360</f>
        <v>-1788.4978222222219</v>
      </c>
    </row>
    <row r="332" spans="2:35" x14ac:dyDescent="0.25">
      <c r="B332" s="123" t="str">
        <f t="shared" si="38"/>
        <v>11 2025</v>
      </c>
      <c r="C332" s="122">
        <f t="shared" si="40"/>
        <v>45984</v>
      </c>
      <c r="D332" s="122">
        <f t="shared" si="41"/>
        <v>45985</v>
      </c>
      <c r="E332" s="123">
        <f t="shared" si="39"/>
        <v>1</v>
      </c>
      <c r="F332" s="123" t="s">
        <v>7</v>
      </c>
      <c r="H332" s="383">
        <f t="shared" si="42"/>
        <v>45984</v>
      </c>
      <c r="I332" s="329">
        <v>101.3222</v>
      </c>
      <c r="K332" s="330">
        <v>100000</v>
      </c>
      <c r="L332" s="331"/>
      <c r="M332" s="331"/>
      <c r="N332" s="331"/>
      <c r="O332" s="331"/>
      <c r="P332" s="331"/>
      <c r="Q332" s="331"/>
      <c r="R332" s="331"/>
      <c r="S332" s="331"/>
      <c r="T332" s="331"/>
      <c r="U332" s="331"/>
      <c r="V332" s="331"/>
      <c r="X332" s="330">
        <f t="shared" si="34"/>
        <v>364</v>
      </c>
      <c r="Y332" s="378">
        <f t="shared" si="32"/>
        <v>36791955.199999988</v>
      </c>
      <c r="Z332" s="378">
        <f t="shared" si="35"/>
        <v>36881280.799999997</v>
      </c>
      <c r="AB332" s="378">
        <f t="shared" si="36"/>
        <v>89325.600000008941</v>
      </c>
      <c r="AC332" s="378">
        <f t="shared" si="37"/>
        <v>0</v>
      </c>
      <c r="AD332" s="331"/>
      <c r="AF332" s="335">
        <f t="shared" si="33"/>
        <v>2.0810420625438919E-2</v>
      </c>
      <c r="AG332" s="335">
        <f t="shared" si="31"/>
        <v>1.986428321650514E-2</v>
      </c>
      <c r="AI332" s="378">
        <f>AC332-Y331*'OverNight €'!I332*E332/360</f>
        <v>-1788.4978222222219</v>
      </c>
    </row>
    <row r="333" spans="2:35" x14ac:dyDescent="0.25">
      <c r="B333" s="123" t="str">
        <f t="shared" si="38"/>
        <v>11 2025</v>
      </c>
      <c r="C333" s="122">
        <f t="shared" si="40"/>
        <v>45985</v>
      </c>
      <c r="D333" s="122">
        <f t="shared" si="41"/>
        <v>45986</v>
      </c>
      <c r="E333" s="123">
        <f t="shared" si="39"/>
        <v>1</v>
      </c>
      <c r="F333" s="123" t="s">
        <v>7</v>
      </c>
      <c r="H333" s="383">
        <f t="shared" si="42"/>
        <v>45985</v>
      </c>
      <c r="I333" s="329">
        <v>101.3398</v>
      </c>
      <c r="K333" s="330">
        <v>100000</v>
      </c>
      <c r="L333" s="331"/>
      <c r="M333" s="331"/>
      <c r="N333" s="331"/>
      <c r="O333" s="331"/>
      <c r="P333" s="331"/>
      <c r="Q333" s="331"/>
      <c r="R333" s="331"/>
      <c r="S333" s="331"/>
      <c r="T333" s="331"/>
      <c r="U333" s="331"/>
      <c r="V333" s="331"/>
      <c r="X333" s="330">
        <f t="shared" si="34"/>
        <v>364</v>
      </c>
      <c r="Y333" s="378">
        <f t="shared" si="32"/>
        <v>36791955.199999988</v>
      </c>
      <c r="Z333" s="378">
        <f t="shared" si="35"/>
        <v>36887687.200000003</v>
      </c>
      <c r="AB333" s="378">
        <f t="shared" si="36"/>
        <v>95732.000000014901</v>
      </c>
      <c r="AC333" s="378">
        <f t="shared" si="37"/>
        <v>6406.4000000059605</v>
      </c>
      <c r="AD333" s="331"/>
      <c r="AF333" s="335">
        <f t="shared" si="33"/>
        <v>2.0810420625438919E-2</v>
      </c>
      <c r="AG333" s="335">
        <f t="shared" si="31"/>
        <v>2.0815854874708606E-2</v>
      </c>
      <c r="AI333" s="378">
        <f>AC333-Y332*'OverNight €'!I333*E333/360</f>
        <v>4617.9021777837388</v>
      </c>
    </row>
    <row r="334" spans="2:35" x14ac:dyDescent="0.25">
      <c r="B334" s="123" t="str">
        <f t="shared" si="38"/>
        <v>11 2025</v>
      </c>
      <c r="C334" s="122">
        <f t="shared" si="40"/>
        <v>45986</v>
      </c>
      <c r="D334" s="122">
        <f t="shared" si="41"/>
        <v>45987</v>
      </c>
      <c r="E334" s="123">
        <f t="shared" si="39"/>
        <v>1</v>
      </c>
      <c r="F334" s="123" t="s">
        <v>7</v>
      </c>
      <c r="H334" s="383">
        <f t="shared" si="42"/>
        <v>45986</v>
      </c>
      <c r="I334" s="329">
        <v>101.3456</v>
      </c>
      <c r="K334" s="330">
        <v>100000</v>
      </c>
      <c r="L334" s="331"/>
      <c r="M334" s="331"/>
      <c r="N334" s="331"/>
      <c r="O334" s="331"/>
      <c r="P334" s="331"/>
      <c r="Q334" s="331"/>
      <c r="R334" s="331"/>
      <c r="S334" s="331"/>
      <c r="T334" s="331"/>
      <c r="U334" s="331"/>
      <c r="V334" s="331"/>
      <c r="X334" s="330">
        <f t="shared" si="34"/>
        <v>364</v>
      </c>
      <c r="Y334" s="378">
        <f t="shared" si="32"/>
        <v>36791955.199999988</v>
      </c>
      <c r="Z334" s="378">
        <f t="shared" si="35"/>
        <v>36889798.400000006</v>
      </c>
      <c r="AB334" s="378">
        <f t="shared" si="36"/>
        <v>97843.200000017881</v>
      </c>
      <c r="AC334" s="378">
        <f t="shared" si="37"/>
        <v>2111.2000000029802</v>
      </c>
      <c r="AD334" s="331"/>
      <c r="AF334" s="335">
        <f t="shared" si="33"/>
        <v>2.0810420625438919E-2</v>
      </c>
      <c r="AG334" s="335">
        <f t="shared" si="31"/>
        <v>2.0812413668745831E-2</v>
      </c>
      <c r="AI334" s="378">
        <f>AC334-Y333*'OverNight €'!I334*E334/360</f>
        <v>322.70217778075835</v>
      </c>
    </row>
    <row r="335" spans="2:35" x14ac:dyDescent="0.25">
      <c r="B335" s="123" t="str">
        <f t="shared" si="38"/>
        <v>11 2025</v>
      </c>
      <c r="C335" s="122">
        <f t="shared" si="40"/>
        <v>45987</v>
      </c>
      <c r="D335" s="122">
        <f t="shared" si="41"/>
        <v>45988</v>
      </c>
      <c r="E335" s="123">
        <f t="shared" si="39"/>
        <v>1</v>
      </c>
      <c r="F335" s="123" t="s">
        <v>7</v>
      </c>
      <c r="H335" s="383">
        <f t="shared" si="42"/>
        <v>45987</v>
      </c>
      <c r="I335" s="329">
        <v>101.3514</v>
      </c>
      <c r="K335" s="330">
        <v>100000</v>
      </c>
      <c r="L335" s="331"/>
      <c r="M335" s="331"/>
      <c r="N335" s="331"/>
      <c r="O335" s="331"/>
      <c r="P335" s="331"/>
      <c r="Q335" s="331"/>
      <c r="R335" s="331"/>
      <c r="S335" s="331"/>
      <c r="T335" s="331"/>
      <c r="U335" s="331"/>
      <c r="V335" s="331"/>
      <c r="X335" s="330">
        <f t="shared" si="34"/>
        <v>364</v>
      </c>
      <c r="Y335" s="378">
        <f t="shared" si="32"/>
        <v>36791955.199999988</v>
      </c>
      <c r="Z335" s="378">
        <f t="shared" si="35"/>
        <v>36891909.600000001</v>
      </c>
      <c r="AB335" s="378">
        <f t="shared" si="36"/>
        <v>99954.400000013411</v>
      </c>
      <c r="AC335" s="378">
        <f t="shared" si="37"/>
        <v>2111.1999999955297</v>
      </c>
      <c r="AD335" s="331"/>
      <c r="AF335" s="335">
        <f t="shared" si="33"/>
        <v>2.0810420625438919E-2</v>
      </c>
      <c r="AG335" s="335">
        <f t="shared" si="31"/>
        <v>2.0809118897077646E-2</v>
      </c>
      <c r="AI335" s="378">
        <f>AC335-Y334*'OverNight €'!I335*E335/360</f>
        <v>322.70217777330777</v>
      </c>
    </row>
    <row r="336" spans="2:35" x14ac:dyDescent="0.25">
      <c r="B336" s="123" t="str">
        <f t="shared" si="38"/>
        <v>11 2025</v>
      </c>
      <c r="C336" s="122">
        <f t="shared" si="40"/>
        <v>45988</v>
      </c>
      <c r="D336" s="122">
        <f t="shared" si="41"/>
        <v>45989</v>
      </c>
      <c r="E336" s="123">
        <f t="shared" si="39"/>
        <v>1</v>
      </c>
      <c r="F336" s="123" t="s">
        <v>7</v>
      </c>
      <c r="H336" s="383">
        <f t="shared" si="42"/>
        <v>45988</v>
      </c>
      <c r="I336" s="329">
        <v>101.3573</v>
      </c>
      <c r="K336" s="330">
        <v>100000</v>
      </c>
      <c r="L336" s="331"/>
      <c r="M336" s="331"/>
      <c r="N336" s="331"/>
      <c r="O336" s="331"/>
      <c r="P336" s="331"/>
      <c r="Q336" s="331"/>
      <c r="R336" s="331"/>
      <c r="S336" s="331"/>
      <c r="T336" s="331"/>
      <c r="U336" s="331"/>
      <c r="V336" s="331"/>
      <c r="X336" s="330">
        <f t="shared" si="34"/>
        <v>364</v>
      </c>
      <c r="Y336" s="378">
        <f t="shared" si="32"/>
        <v>36791955.199999988</v>
      </c>
      <c r="Z336" s="378">
        <f t="shared" si="35"/>
        <v>36894057.200000003</v>
      </c>
      <c r="AB336" s="378">
        <f t="shared" si="36"/>
        <v>102102.0000000149</v>
      </c>
      <c r="AC336" s="378">
        <f t="shared" si="37"/>
        <v>2147.6000000014901</v>
      </c>
      <c r="AD336" s="331"/>
      <c r="AF336" s="335">
        <f>AF337</f>
        <v>2.0810420625438919E-2</v>
      </c>
      <c r="AG336" s="335">
        <f t="shared" si="31"/>
        <v>2.0813381507921447E-2</v>
      </c>
      <c r="AI336" s="378">
        <f>AC336-Y335*'OverNight €'!I336*E336/360</f>
        <v>359.10217777926823</v>
      </c>
    </row>
    <row r="337" spans="2:35" x14ac:dyDescent="0.25">
      <c r="B337" s="404" t="str">
        <f t="shared" si="38"/>
        <v>11 2025</v>
      </c>
      <c r="C337" s="405">
        <f t="shared" si="40"/>
        <v>45989</v>
      </c>
      <c r="D337" s="405">
        <f t="shared" si="41"/>
        <v>45990</v>
      </c>
      <c r="E337" s="404">
        <f t="shared" si="39"/>
        <v>1</v>
      </c>
      <c r="F337" s="404" t="s">
        <v>7</v>
      </c>
      <c r="H337" s="390">
        <f t="shared" si="42"/>
        <v>45989</v>
      </c>
      <c r="I337" s="389">
        <v>101.3631</v>
      </c>
      <c r="K337" s="386">
        <v>100000</v>
      </c>
      <c r="L337" s="387"/>
      <c r="M337" s="387"/>
      <c r="N337" s="387"/>
      <c r="O337" s="387"/>
      <c r="P337" s="387"/>
      <c r="Q337" s="387"/>
      <c r="R337" s="387"/>
      <c r="S337" s="387"/>
      <c r="T337" s="387"/>
      <c r="U337" s="387"/>
      <c r="V337" s="387"/>
      <c r="X337" s="386">
        <f t="shared" si="34"/>
        <v>364</v>
      </c>
      <c r="Y337" s="388">
        <f t="shared" si="32"/>
        <v>36791955.199999988</v>
      </c>
      <c r="Z337" s="388">
        <f t="shared" si="35"/>
        <v>36896168.399999999</v>
      </c>
      <c r="AB337" s="388">
        <f t="shared" si="36"/>
        <v>104213.20000001043</v>
      </c>
      <c r="AC337" s="388">
        <f t="shared" si="37"/>
        <v>2111.1999999955297</v>
      </c>
      <c r="AD337" s="388">
        <f>SUM(AC310:AC337)</f>
        <v>63988.89999999851</v>
      </c>
      <c r="AF337" s="391">
        <f>(I337/I309-1)*360/(H337-H309)</f>
        <v>2.0810420625438919E-2</v>
      </c>
      <c r="AG337" s="391">
        <f t="shared" si="31"/>
        <v>2.0810201464911235E-2</v>
      </c>
      <c r="AI337" s="388">
        <f>AC337-Y336*'OverNight €'!I337*E337/360</f>
        <v>322.70217777330777</v>
      </c>
    </row>
    <row r="338" spans="2:35" x14ac:dyDescent="0.25">
      <c r="B338" s="148" t="str">
        <f t="shared" si="38"/>
        <v>11 2025</v>
      </c>
      <c r="C338" s="149">
        <f t="shared" si="40"/>
        <v>45990</v>
      </c>
      <c r="D338" s="149">
        <f t="shared" si="41"/>
        <v>45991</v>
      </c>
      <c r="E338" s="148">
        <f t="shared" si="39"/>
        <v>1</v>
      </c>
      <c r="F338" s="148" t="s">
        <v>7</v>
      </c>
      <c r="H338" s="384">
        <f t="shared" si="42"/>
        <v>45990</v>
      </c>
      <c r="I338" s="329">
        <v>101.3631</v>
      </c>
      <c r="K338" s="330">
        <v>100000</v>
      </c>
      <c r="L338" s="331"/>
      <c r="M338" s="331"/>
      <c r="N338" s="331"/>
      <c r="O338" s="331"/>
      <c r="P338" s="331"/>
      <c r="Q338" s="331"/>
      <c r="R338" s="331"/>
      <c r="S338" s="331"/>
      <c r="T338" s="331"/>
      <c r="U338" s="331"/>
      <c r="V338" s="331"/>
      <c r="X338" s="330">
        <f t="shared" si="34"/>
        <v>364</v>
      </c>
      <c r="Y338" s="378">
        <f t="shared" si="32"/>
        <v>36791955.199999988</v>
      </c>
      <c r="Z338" s="378">
        <f t="shared" si="35"/>
        <v>36896168.399999999</v>
      </c>
      <c r="AB338" s="378">
        <f t="shared" si="36"/>
        <v>104213.20000001043</v>
      </c>
      <c r="AC338" s="378">
        <f t="shared" si="37"/>
        <v>0</v>
      </c>
      <c r="AD338" s="331"/>
      <c r="AF338" s="402">
        <f t="shared" ref="AF338:AF367" si="43">AF339</f>
        <v>2.0814459915079263E-2</v>
      </c>
      <c r="AG338" s="335">
        <f t="shared" si="31"/>
        <v>2.0393997435613008E-2</v>
      </c>
      <c r="AI338" s="378">
        <f>AC338-Y337*'OverNight €'!I338*E338/360</f>
        <v>-1788.4978222222219</v>
      </c>
    </row>
    <row r="339" spans="2:35" x14ac:dyDescent="0.25">
      <c r="B339" s="123" t="str">
        <f t="shared" si="38"/>
        <v>12 2025</v>
      </c>
      <c r="C339" s="122">
        <f t="shared" si="40"/>
        <v>45991</v>
      </c>
      <c r="D339" s="122">
        <f t="shared" si="41"/>
        <v>45992</v>
      </c>
      <c r="E339" s="123">
        <f t="shared" si="39"/>
        <v>1</v>
      </c>
      <c r="F339" s="123" t="s">
        <v>7</v>
      </c>
      <c r="H339" s="383">
        <f t="shared" si="42"/>
        <v>45991</v>
      </c>
      <c r="I339" s="329">
        <v>101.3631</v>
      </c>
      <c r="K339" s="330">
        <v>100000</v>
      </c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X339" s="330">
        <f t="shared" si="34"/>
        <v>364</v>
      </c>
      <c r="Y339" s="378">
        <f t="shared" si="32"/>
        <v>36791955.199999988</v>
      </c>
      <c r="Z339" s="378">
        <f t="shared" si="35"/>
        <v>36896168.399999999</v>
      </c>
      <c r="AB339" s="378">
        <f t="shared" si="36"/>
        <v>104213.20000001043</v>
      </c>
      <c r="AC339" s="378">
        <f t="shared" si="37"/>
        <v>0</v>
      </c>
      <c r="AD339" s="331"/>
      <c r="AF339" s="402">
        <f t="shared" si="43"/>
        <v>2.0814459915079263E-2</v>
      </c>
      <c r="AG339" s="335">
        <f t="shared" si="31"/>
        <v>1.9994115132953932E-2</v>
      </c>
      <c r="AI339" s="378">
        <f>AC339-Y338*'OverNight €'!I339*E339/360</f>
        <v>-1788.4978222222219</v>
      </c>
    </row>
    <row r="340" spans="2:35" x14ac:dyDescent="0.25">
      <c r="B340" s="123" t="str">
        <f t="shared" si="38"/>
        <v>12 2025</v>
      </c>
      <c r="C340" s="122">
        <f t="shared" si="40"/>
        <v>45992</v>
      </c>
      <c r="D340" s="122">
        <f t="shared" si="41"/>
        <v>45993</v>
      </c>
      <c r="E340" s="123">
        <f t="shared" si="39"/>
        <v>1</v>
      </c>
      <c r="F340" s="123" t="s">
        <v>7</v>
      </c>
      <c r="H340" s="383">
        <f t="shared" si="42"/>
        <v>45992</v>
      </c>
      <c r="I340" s="329">
        <v>101.3807</v>
      </c>
      <c r="K340" s="330">
        <v>100000</v>
      </c>
      <c r="L340" s="331"/>
      <c r="M340" s="331"/>
      <c r="N340" s="331"/>
      <c r="O340" s="331"/>
      <c r="P340" s="331"/>
      <c r="Q340" s="331"/>
      <c r="R340" s="331"/>
      <c r="S340" s="331"/>
      <c r="T340" s="331"/>
      <c r="U340" s="331"/>
      <c r="V340" s="331"/>
      <c r="X340" s="330">
        <f t="shared" si="34"/>
        <v>364</v>
      </c>
      <c r="Y340" s="378">
        <f t="shared" si="32"/>
        <v>36791955.199999988</v>
      </c>
      <c r="Z340" s="378">
        <f t="shared" si="35"/>
        <v>36902574.800000004</v>
      </c>
      <c r="AB340" s="378">
        <f t="shared" si="36"/>
        <v>110619.60000001639</v>
      </c>
      <c r="AC340" s="378">
        <f t="shared" si="37"/>
        <v>6406.4000000059605</v>
      </c>
      <c r="AD340" s="331"/>
      <c r="AF340" s="402">
        <f t="shared" si="43"/>
        <v>2.0814459915079263E-2</v>
      </c>
      <c r="AG340" s="335">
        <f>(I340/$I$288-1)*360/(D340-$D$288)</f>
        <v>2.0815093838775223E-2</v>
      </c>
      <c r="AI340" s="378">
        <f>AC340-Y339*'OverNight €'!I340*E340/360</f>
        <v>4617.9021777837388</v>
      </c>
    </row>
    <row r="341" spans="2:35" x14ac:dyDescent="0.25">
      <c r="B341" s="123" t="str">
        <f t="shared" si="38"/>
        <v>12 2025</v>
      </c>
      <c r="C341" s="122">
        <f t="shared" si="40"/>
        <v>45993</v>
      </c>
      <c r="D341" s="122">
        <f t="shared" si="41"/>
        <v>45994</v>
      </c>
      <c r="E341" s="123">
        <f t="shared" si="39"/>
        <v>1</v>
      </c>
      <c r="F341" s="123" t="s">
        <v>7</v>
      </c>
      <c r="H341" s="383">
        <f t="shared" si="42"/>
        <v>45993</v>
      </c>
      <c r="I341" s="329">
        <v>101.3865</v>
      </c>
      <c r="K341" s="330">
        <v>100000</v>
      </c>
      <c r="L341" s="331"/>
      <c r="M341" s="331"/>
      <c r="N341" s="331"/>
      <c r="O341" s="331"/>
      <c r="P341" s="331"/>
      <c r="Q341" s="331"/>
      <c r="R341" s="331"/>
      <c r="S341" s="331"/>
      <c r="T341" s="331"/>
      <c r="U341" s="331"/>
      <c r="V341" s="331"/>
      <c r="X341" s="330">
        <f t="shared" si="34"/>
        <v>364</v>
      </c>
      <c r="Y341" s="378">
        <f t="shared" si="32"/>
        <v>36791955.199999988</v>
      </c>
      <c r="Z341" s="378">
        <f t="shared" si="35"/>
        <v>36904686</v>
      </c>
      <c r="AB341" s="378">
        <f t="shared" si="36"/>
        <v>112730.80000001192</v>
      </c>
      <c r="AC341" s="378">
        <f t="shared" si="37"/>
        <v>2111.1999999955297</v>
      </c>
      <c r="AD341" s="331"/>
      <c r="AF341" s="402">
        <f t="shared" si="43"/>
        <v>2.0814459915079263E-2</v>
      </c>
      <c r="AG341" s="335">
        <f t="shared" ref="AG341:AG369" si="44">(I341/$I$288-1)*360/(D341-$D$288)</f>
        <v>2.0812121490880239E-2</v>
      </c>
      <c r="AI341" s="378">
        <f>AC341-Y340*'OverNight €'!I341*E341/360</f>
        <v>322.70217777330777</v>
      </c>
    </row>
    <row r="342" spans="2:35" x14ac:dyDescent="0.25">
      <c r="B342" s="123" t="str">
        <f t="shared" si="38"/>
        <v>12 2025</v>
      </c>
      <c r="C342" s="122">
        <f t="shared" si="40"/>
        <v>45994</v>
      </c>
      <c r="D342" s="122">
        <f t="shared" si="41"/>
        <v>45995</v>
      </c>
      <c r="E342" s="123">
        <f t="shared" si="39"/>
        <v>1</v>
      </c>
      <c r="F342" s="123" t="s">
        <v>7</v>
      </c>
      <c r="H342" s="383">
        <f t="shared" si="42"/>
        <v>45994</v>
      </c>
      <c r="I342" s="329">
        <v>101.39239999999999</v>
      </c>
      <c r="K342" s="330">
        <v>100000</v>
      </c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X342" s="330">
        <f t="shared" si="34"/>
        <v>364</v>
      </c>
      <c r="Y342" s="378">
        <f t="shared" si="32"/>
        <v>36791955.199999988</v>
      </c>
      <c r="Z342" s="378">
        <f t="shared" si="35"/>
        <v>36906833.600000001</v>
      </c>
      <c r="AB342" s="378">
        <f t="shared" si="36"/>
        <v>114878.40000001341</v>
      </c>
      <c r="AC342" s="378">
        <f t="shared" si="37"/>
        <v>2147.6000000014901</v>
      </c>
      <c r="AD342" s="331"/>
      <c r="AF342" s="402">
        <f t="shared" si="43"/>
        <v>2.0814459915079263E-2</v>
      </c>
      <c r="AG342" s="335">
        <f t="shared" si="44"/>
        <v>2.0815854874708013E-2</v>
      </c>
      <c r="AI342" s="378">
        <f>AC342-Y341*'OverNight €'!I342*E342/360</f>
        <v>359.10217777926823</v>
      </c>
    </row>
    <row r="343" spans="2:35" x14ac:dyDescent="0.25">
      <c r="B343" s="123" t="str">
        <f t="shared" si="38"/>
        <v>12 2025</v>
      </c>
      <c r="C343" s="122">
        <f t="shared" si="40"/>
        <v>45995</v>
      </c>
      <c r="D343" s="122">
        <f t="shared" si="41"/>
        <v>45996</v>
      </c>
      <c r="E343" s="123">
        <f t="shared" si="39"/>
        <v>1</v>
      </c>
      <c r="F343" s="123" t="s">
        <v>7</v>
      </c>
      <c r="H343" s="383">
        <f t="shared" si="42"/>
        <v>45995</v>
      </c>
      <c r="I343" s="329">
        <v>101.3982</v>
      </c>
      <c r="K343" s="330">
        <v>100000</v>
      </c>
      <c r="L343" s="331"/>
      <c r="M343" s="331"/>
      <c r="N343" s="331"/>
      <c r="O343" s="331"/>
      <c r="P343" s="331"/>
      <c r="Q343" s="331"/>
      <c r="R343" s="331"/>
      <c r="S343" s="331"/>
      <c r="T343" s="331"/>
      <c r="U343" s="331"/>
      <c r="V343" s="331"/>
      <c r="X343" s="330">
        <f t="shared" si="34"/>
        <v>364</v>
      </c>
      <c r="Y343" s="378">
        <f t="shared" si="32"/>
        <v>36791955.199999988</v>
      </c>
      <c r="Z343" s="378">
        <f t="shared" si="35"/>
        <v>36908944.799999997</v>
      </c>
      <c r="AB343" s="378">
        <f t="shared" si="36"/>
        <v>116989.60000000894</v>
      </c>
      <c r="AC343" s="378">
        <f t="shared" si="37"/>
        <v>2111.1999999955297</v>
      </c>
      <c r="AD343" s="331"/>
      <c r="AF343" s="402">
        <f t="shared" si="43"/>
        <v>2.0814459915079263E-2</v>
      </c>
      <c r="AG343" s="335">
        <f t="shared" si="44"/>
        <v>2.0812976775175521E-2</v>
      </c>
      <c r="AI343" s="378">
        <f>AC343-Y342*'OverNight €'!I343*E343/360</f>
        <v>322.70217777330777</v>
      </c>
    </row>
    <row r="344" spans="2:35" x14ac:dyDescent="0.25">
      <c r="B344" s="123" t="str">
        <f t="shared" si="38"/>
        <v>12 2025</v>
      </c>
      <c r="C344" s="122">
        <f t="shared" si="40"/>
        <v>45996</v>
      </c>
      <c r="D344" s="122">
        <f t="shared" si="41"/>
        <v>45997</v>
      </c>
      <c r="E344" s="123">
        <f t="shared" si="39"/>
        <v>1</v>
      </c>
      <c r="F344" s="123" t="s">
        <v>7</v>
      </c>
      <c r="H344" s="383">
        <f t="shared" si="42"/>
        <v>45996</v>
      </c>
      <c r="I344" s="329">
        <v>101.4041</v>
      </c>
      <c r="K344" s="330">
        <v>100000</v>
      </c>
      <c r="L344" s="331"/>
      <c r="M344" s="331"/>
      <c r="N344" s="331"/>
      <c r="O344" s="331"/>
      <c r="P344" s="331"/>
      <c r="Q344" s="331"/>
      <c r="R344" s="331"/>
      <c r="S344" s="331"/>
      <c r="T344" s="331"/>
      <c r="U344" s="331"/>
      <c r="V344" s="331"/>
      <c r="X344" s="330">
        <f t="shared" si="34"/>
        <v>364</v>
      </c>
      <c r="Y344" s="378">
        <f t="shared" si="32"/>
        <v>36791955.199999988</v>
      </c>
      <c r="Z344" s="378">
        <f t="shared" si="35"/>
        <v>36911092.399999999</v>
      </c>
      <c r="AB344" s="378">
        <f t="shared" si="36"/>
        <v>119137.20000001043</v>
      </c>
      <c r="AC344" s="378">
        <f t="shared" si="37"/>
        <v>2147.6000000014901</v>
      </c>
      <c r="AD344" s="331"/>
      <c r="AF344" s="402">
        <f t="shared" si="43"/>
        <v>2.0814459915079263E-2</v>
      </c>
      <c r="AG344" s="335">
        <f t="shared" si="44"/>
        <v>2.0816561550932748E-2</v>
      </c>
      <c r="AI344" s="378">
        <f>AC344-Y343*'OverNight €'!I344*E344/360</f>
        <v>359.10217777926823</v>
      </c>
    </row>
    <row r="345" spans="2:35" x14ac:dyDescent="0.25">
      <c r="B345" s="123" t="str">
        <f t="shared" si="38"/>
        <v>12 2025</v>
      </c>
      <c r="C345" s="122">
        <f t="shared" si="40"/>
        <v>45997</v>
      </c>
      <c r="D345" s="122">
        <f t="shared" si="41"/>
        <v>45998</v>
      </c>
      <c r="E345" s="123">
        <f t="shared" si="39"/>
        <v>1</v>
      </c>
      <c r="F345" s="123" t="s">
        <v>7</v>
      </c>
      <c r="H345" s="383">
        <f t="shared" si="42"/>
        <v>45997</v>
      </c>
      <c r="I345" s="329">
        <v>101.4041</v>
      </c>
      <c r="K345" s="330">
        <v>100000</v>
      </c>
      <c r="L345" s="331"/>
      <c r="M345" s="331"/>
      <c r="N345" s="331"/>
      <c r="O345" s="331"/>
      <c r="P345" s="331"/>
      <c r="Q345" s="331"/>
      <c r="R345" s="331"/>
      <c r="S345" s="331"/>
      <c r="T345" s="331"/>
      <c r="U345" s="331"/>
      <c r="V345" s="331"/>
      <c r="X345" s="330">
        <f t="shared" si="34"/>
        <v>364</v>
      </c>
      <c r="Y345" s="378">
        <f t="shared" si="32"/>
        <v>36791955.199999988</v>
      </c>
      <c r="Z345" s="378">
        <f t="shared" si="35"/>
        <v>36911092.399999999</v>
      </c>
      <c r="AB345" s="378">
        <f t="shared" si="36"/>
        <v>119137.20000001043</v>
      </c>
      <c r="AC345" s="378">
        <f t="shared" si="37"/>
        <v>0</v>
      </c>
      <c r="AD345" s="331"/>
      <c r="AF345" s="402">
        <f t="shared" si="43"/>
        <v>2.0814459915079263E-2</v>
      </c>
      <c r="AG345" s="335">
        <f t="shared" si="44"/>
        <v>2.0451358716705857E-2</v>
      </c>
      <c r="AI345" s="378">
        <f>AC345-Y344*'OverNight €'!I345*E345/360</f>
        <v>-1788.4978222222219</v>
      </c>
    </row>
    <row r="346" spans="2:35" x14ac:dyDescent="0.25">
      <c r="B346" s="123" t="str">
        <f t="shared" si="38"/>
        <v>12 2025</v>
      </c>
      <c r="C346" s="122">
        <f t="shared" si="40"/>
        <v>45998</v>
      </c>
      <c r="D346" s="122">
        <f t="shared" si="41"/>
        <v>45999</v>
      </c>
      <c r="E346" s="123">
        <f t="shared" si="39"/>
        <v>1</v>
      </c>
      <c r="F346" s="123" t="s">
        <v>7</v>
      </c>
      <c r="H346" s="383">
        <f t="shared" si="42"/>
        <v>45998</v>
      </c>
      <c r="I346" s="329">
        <v>101.4041</v>
      </c>
      <c r="K346" s="330">
        <v>100000</v>
      </c>
      <c r="L346" s="331"/>
      <c r="M346" s="331"/>
      <c r="N346" s="331"/>
      <c r="O346" s="331"/>
      <c r="P346" s="331"/>
      <c r="Q346" s="331"/>
      <c r="R346" s="331"/>
      <c r="S346" s="331"/>
      <c r="T346" s="331"/>
      <c r="U346" s="331"/>
      <c r="V346" s="331"/>
      <c r="X346" s="330">
        <f t="shared" si="34"/>
        <v>364</v>
      </c>
      <c r="Y346" s="378">
        <f t="shared" si="32"/>
        <v>36791955.199999988</v>
      </c>
      <c r="Z346" s="378">
        <f t="shared" si="35"/>
        <v>36911092.399999999</v>
      </c>
      <c r="AB346" s="378">
        <f t="shared" si="36"/>
        <v>119137.20000001043</v>
      </c>
      <c r="AC346" s="378">
        <f t="shared" si="37"/>
        <v>0</v>
      </c>
      <c r="AD346" s="331"/>
      <c r="AF346" s="402">
        <f t="shared" si="43"/>
        <v>2.0814459915079263E-2</v>
      </c>
      <c r="AG346" s="335">
        <f t="shared" si="44"/>
        <v>2.0098749083659204E-2</v>
      </c>
      <c r="AI346" s="378">
        <f>AC346-Y345*'OverNight €'!I346*E346/360</f>
        <v>-1788.4978222222219</v>
      </c>
    </row>
    <row r="347" spans="2:35" x14ac:dyDescent="0.25">
      <c r="B347" s="123" t="str">
        <f t="shared" si="38"/>
        <v>12 2025</v>
      </c>
      <c r="C347" s="122">
        <f t="shared" si="40"/>
        <v>45999</v>
      </c>
      <c r="D347" s="122">
        <f t="shared" si="41"/>
        <v>46000</v>
      </c>
      <c r="E347" s="123">
        <f t="shared" si="39"/>
        <v>1</v>
      </c>
      <c r="F347" s="123" t="s">
        <v>7</v>
      </c>
      <c r="H347" s="383">
        <f t="shared" si="42"/>
        <v>45999</v>
      </c>
      <c r="I347" s="329">
        <v>101.4216</v>
      </c>
      <c r="K347" s="330">
        <v>100000</v>
      </c>
      <c r="L347" s="331"/>
      <c r="M347" s="331"/>
      <c r="N347" s="331"/>
      <c r="O347" s="331"/>
      <c r="P347" s="331"/>
      <c r="Q347" s="331"/>
      <c r="R347" s="331"/>
      <c r="S347" s="331"/>
      <c r="T347" s="331"/>
      <c r="U347" s="331"/>
      <c r="V347" s="331"/>
      <c r="X347" s="330">
        <f t="shared" si="34"/>
        <v>364</v>
      </c>
      <c r="Y347" s="378">
        <f t="shared" si="32"/>
        <v>36791955.199999988</v>
      </c>
      <c r="Z347" s="378">
        <f t="shared" si="35"/>
        <v>36917462.399999999</v>
      </c>
      <c r="AB347" s="378">
        <f t="shared" si="36"/>
        <v>125507.20000001043</v>
      </c>
      <c r="AC347" s="378">
        <f t="shared" si="37"/>
        <v>6370</v>
      </c>
      <c r="AD347" s="331"/>
      <c r="AF347" s="402">
        <f t="shared" si="43"/>
        <v>2.0814459915079263E-2</v>
      </c>
      <c r="AG347" s="335">
        <f t="shared" si="44"/>
        <v>2.0814513387638237E-2</v>
      </c>
      <c r="AI347" s="378">
        <f>AC347-Y346*'OverNight €'!I347*E347/360</f>
        <v>4581.5021777777783</v>
      </c>
    </row>
    <row r="348" spans="2:35" x14ac:dyDescent="0.25">
      <c r="B348" s="123" t="str">
        <f t="shared" si="38"/>
        <v>12 2025</v>
      </c>
      <c r="C348" s="122">
        <f t="shared" si="40"/>
        <v>46000</v>
      </c>
      <c r="D348" s="122">
        <f t="shared" si="41"/>
        <v>46001</v>
      </c>
      <c r="E348" s="123">
        <f t="shared" si="39"/>
        <v>1</v>
      </c>
      <c r="F348" s="123" t="s">
        <v>7</v>
      </c>
      <c r="H348" s="383">
        <f t="shared" si="42"/>
        <v>46000</v>
      </c>
      <c r="I348" s="329">
        <v>101.42749999999999</v>
      </c>
      <c r="K348" s="330">
        <v>100000</v>
      </c>
      <c r="L348" s="331"/>
      <c r="M348" s="331"/>
      <c r="N348" s="331"/>
      <c r="O348" s="331"/>
      <c r="P348" s="331"/>
      <c r="Q348" s="331"/>
      <c r="R348" s="331"/>
      <c r="S348" s="331"/>
      <c r="T348" s="331"/>
      <c r="U348" s="331"/>
      <c r="V348" s="331"/>
      <c r="X348" s="330">
        <f t="shared" si="34"/>
        <v>364</v>
      </c>
      <c r="Y348" s="378">
        <f t="shared" si="32"/>
        <v>36791955.199999988</v>
      </c>
      <c r="Z348" s="378">
        <f t="shared" si="35"/>
        <v>36919610</v>
      </c>
      <c r="AB348" s="378">
        <f t="shared" si="36"/>
        <v>127654.80000001192</v>
      </c>
      <c r="AC348" s="378">
        <f t="shared" si="37"/>
        <v>2147.6000000014901</v>
      </c>
      <c r="AD348" s="331"/>
      <c r="AF348" s="402">
        <f t="shared" si="43"/>
        <v>2.0814459915079263E-2</v>
      </c>
      <c r="AG348" s="335">
        <f t="shared" si="44"/>
        <v>2.0817833568137267E-2</v>
      </c>
      <c r="AI348" s="378">
        <f>AC348-Y347*'OverNight €'!I348*E348/360</f>
        <v>359.10217777926823</v>
      </c>
    </row>
    <row r="349" spans="2:35" x14ac:dyDescent="0.25">
      <c r="B349" s="123" t="str">
        <f t="shared" si="38"/>
        <v>12 2025</v>
      </c>
      <c r="C349" s="122">
        <f t="shared" si="40"/>
        <v>46001</v>
      </c>
      <c r="D349" s="122">
        <f t="shared" si="41"/>
        <v>46002</v>
      </c>
      <c r="E349" s="123">
        <f t="shared" si="39"/>
        <v>1</v>
      </c>
      <c r="F349" s="123" t="s">
        <v>7</v>
      </c>
      <c r="H349" s="383">
        <f t="shared" si="42"/>
        <v>46001</v>
      </c>
      <c r="I349" s="329">
        <v>101.43340000000001</v>
      </c>
      <c r="K349" s="330">
        <v>100000</v>
      </c>
      <c r="L349" s="331"/>
      <c r="M349" s="331"/>
      <c r="N349" s="331"/>
      <c r="O349" s="331"/>
      <c r="P349" s="331"/>
      <c r="Q349" s="331"/>
      <c r="R349" s="331"/>
      <c r="S349" s="331"/>
      <c r="T349" s="331"/>
      <c r="U349" s="331"/>
      <c r="V349" s="331"/>
      <c r="X349" s="330">
        <f t="shared" si="34"/>
        <v>364</v>
      </c>
      <c r="Y349" s="378">
        <f t="shared" si="32"/>
        <v>36791955.199999988</v>
      </c>
      <c r="Z349" s="378">
        <f t="shared" si="35"/>
        <v>36921757.600000001</v>
      </c>
      <c r="AB349" s="378">
        <f t="shared" si="36"/>
        <v>129802.40000001341</v>
      </c>
      <c r="AC349" s="378">
        <f t="shared" si="37"/>
        <v>2147.6000000014901</v>
      </c>
      <c r="AD349" s="331"/>
      <c r="AF349" s="402">
        <f t="shared" si="43"/>
        <v>2.0814459915079263E-2</v>
      </c>
      <c r="AG349" s="335">
        <f t="shared" si="44"/>
        <v>2.0821044890260591E-2</v>
      </c>
      <c r="AI349" s="378">
        <f>AC349-Y348*'OverNight €'!I349*E349/360</f>
        <v>359.10217777926823</v>
      </c>
    </row>
    <row r="350" spans="2:35" x14ac:dyDescent="0.25">
      <c r="B350" s="123" t="str">
        <f t="shared" si="38"/>
        <v>12 2025</v>
      </c>
      <c r="C350" s="122">
        <f t="shared" si="40"/>
        <v>46002</v>
      </c>
      <c r="D350" s="122">
        <f t="shared" si="41"/>
        <v>46003</v>
      </c>
      <c r="E350" s="123">
        <f t="shared" si="39"/>
        <v>1</v>
      </c>
      <c r="F350" s="123" t="s">
        <v>7</v>
      </c>
      <c r="H350" s="383">
        <f t="shared" si="42"/>
        <v>46002</v>
      </c>
      <c r="I350" s="329">
        <v>101.4392</v>
      </c>
      <c r="K350" s="330">
        <v>100000</v>
      </c>
      <c r="L350" s="331"/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X350" s="330">
        <f t="shared" si="34"/>
        <v>364</v>
      </c>
      <c r="Y350" s="378">
        <f t="shared" si="32"/>
        <v>36791955.199999988</v>
      </c>
      <c r="Z350" s="378">
        <f t="shared" si="35"/>
        <v>36923868.799999997</v>
      </c>
      <c r="AB350" s="378">
        <f t="shared" si="36"/>
        <v>131913.60000000894</v>
      </c>
      <c r="AC350" s="378">
        <f t="shared" si="37"/>
        <v>2111.1999999955297</v>
      </c>
      <c r="AD350" s="331"/>
      <c r="AF350" s="402">
        <f t="shared" si="43"/>
        <v>2.0814459915079263E-2</v>
      </c>
      <c r="AG350" s="335">
        <f t="shared" si="44"/>
        <v>2.0818408027519955E-2</v>
      </c>
      <c r="AI350" s="378">
        <f>AC350-Y349*'OverNight €'!I350*E350/360</f>
        <v>322.70217777330777</v>
      </c>
    </row>
    <row r="351" spans="2:35" x14ac:dyDescent="0.25">
      <c r="B351" s="123" t="str">
        <f t="shared" si="38"/>
        <v>12 2025</v>
      </c>
      <c r="C351" s="122">
        <f t="shared" si="40"/>
        <v>46003</v>
      </c>
      <c r="D351" s="122">
        <f t="shared" si="41"/>
        <v>46004</v>
      </c>
      <c r="E351" s="123">
        <f t="shared" si="39"/>
        <v>1</v>
      </c>
      <c r="F351" s="123" t="s">
        <v>7</v>
      </c>
      <c r="H351" s="383">
        <f t="shared" si="42"/>
        <v>46003</v>
      </c>
      <c r="I351" s="329">
        <v>101.4451</v>
      </c>
      <c r="K351" s="330">
        <v>100000</v>
      </c>
      <c r="L351" s="331"/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X351" s="330">
        <f t="shared" si="34"/>
        <v>364</v>
      </c>
      <c r="Y351" s="378">
        <f t="shared" si="32"/>
        <v>36791955.199999988</v>
      </c>
      <c r="Z351" s="378">
        <f t="shared" si="35"/>
        <v>36926016.399999999</v>
      </c>
      <c r="AB351" s="378">
        <f t="shared" si="36"/>
        <v>134061.20000001043</v>
      </c>
      <c r="AC351" s="378">
        <f t="shared" si="37"/>
        <v>2147.6000000014901</v>
      </c>
      <c r="AD351" s="331"/>
      <c r="AF351" s="402">
        <f t="shared" si="43"/>
        <v>2.0814459915079263E-2</v>
      </c>
      <c r="AG351" s="335">
        <f t="shared" si="44"/>
        <v>2.0821508284506303E-2</v>
      </c>
      <c r="AI351" s="378">
        <f>AC351-Y350*'OverNight €'!I351*E351/360</f>
        <v>359.10217777926823</v>
      </c>
    </row>
    <row r="352" spans="2:35" x14ac:dyDescent="0.25">
      <c r="B352" s="123" t="str">
        <f t="shared" si="38"/>
        <v>12 2025</v>
      </c>
      <c r="C352" s="122">
        <f t="shared" si="40"/>
        <v>46004</v>
      </c>
      <c r="D352" s="122">
        <f t="shared" si="41"/>
        <v>46005</v>
      </c>
      <c r="E352" s="123">
        <f t="shared" si="39"/>
        <v>1</v>
      </c>
      <c r="F352" s="123" t="s">
        <v>7</v>
      </c>
      <c r="H352" s="383">
        <f t="shared" si="42"/>
        <v>46004</v>
      </c>
      <c r="I352" s="329">
        <v>101.4451</v>
      </c>
      <c r="K352" s="330">
        <v>100000</v>
      </c>
      <c r="L352" s="331"/>
      <c r="M352" s="331"/>
      <c r="N352" s="331"/>
      <c r="O352" s="331"/>
      <c r="P352" s="331"/>
      <c r="Q352" s="331"/>
      <c r="R352" s="331"/>
      <c r="S352" s="331"/>
      <c r="T352" s="331"/>
      <c r="U352" s="331"/>
      <c r="V352" s="331"/>
      <c r="X352" s="330">
        <f t="shared" si="34"/>
        <v>364</v>
      </c>
      <c r="Y352" s="378">
        <f t="shared" si="32"/>
        <v>36791955.199999988</v>
      </c>
      <c r="Z352" s="378">
        <f t="shared" si="35"/>
        <v>36926016.399999999</v>
      </c>
      <c r="AB352" s="378">
        <f t="shared" si="36"/>
        <v>134061.20000001043</v>
      </c>
      <c r="AC352" s="378">
        <f t="shared" si="37"/>
        <v>0</v>
      </c>
      <c r="AD352" s="331"/>
      <c r="AF352" s="402">
        <f t="shared" si="43"/>
        <v>2.0814459915079263E-2</v>
      </c>
      <c r="AG352" s="335">
        <f t="shared" si="44"/>
        <v>2.0496172217560893E-2</v>
      </c>
      <c r="AI352" s="378">
        <f>AC352-Y351*'OverNight €'!I352*E352/360</f>
        <v>-1788.4978222222219</v>
      </c>
    </row>
    <row r="353" spans="2:35" x14ac:dyDescent="0.25">
      <c r="B353" s="123" t="str">
        <f t="shared" si="38"/>
        <v>12 2025</v>
      </c>
      <c r="C353" s="122">
        <f t="shared" si="40"/>
        <v>46005</v>
      </c>
      <c r="D353" s="122">
        <f t="shared" si="41"/>
        <v>46006</v>
      </c>
      <c r="E353" s="123">
        <f t="shared" si="39"/>
        <v>1</v>
      </c>
      <c r="F353" s="123" t="s">
        <v>7</v>
      </c>
      <c r="H353" s="383">
        <f t="shared" si="42"/>
        <v>46005</v>
      </c>
      <c r="I353" s="329">
        <v>101.4451</v>
      </c>
      <c r="K353" s="330">
        <v>100000</v>
      </c>
      <c r="L353" s="331"/>
      <c r="M353" s="331"/>
      <c r="N353" s="331"/>
      <c r="O353" s="331"/>
      <c r="P353" s="331"/>
      <c r="Q353" s="331"/>
      <c r="R353" s="331"/>
      <c r="S353" s="331"/>
      <c r="T353" s="331"/>
      <c r="U353" s="331"/>
      <c r="V353" s="331"/>
      <c r="X353" s="330">
        <f t="shared" si="34"/>
        <v>364</v>
      </c>
      <c r="Y353" s="378">
        <f t="shared" si="32"/>
        <v>36791955.199999988</v>
      </c>
      <c r="Z353" s="378">
        <f t="shared" si="35"/>
        <v>36926016.399999999</v>
      </c>
      <c r="AB353" s="378">
        <f t="shared" si="36"/>
        <v>134061.20000001043</v>
      </c>
      <c r="AC353" s="378">
        <f t="shared" si="37"/>
        <v>0</v>
      </c>
      <c r="AD353" s="331"/>
      <c r="AF353" s="402">
        <f t="shared" si="43"/>
        <v>2.0814459915079263E-2</v>
      </c>
      <c r="AG353" s="335">
        <f t="shared" si="44"/>
        <v>2.018084649113688E-2</v>
      </c>
      <c r="AI353" s="378">
        <f>AC353-Y352*'OverNight €'!I353*E353/360</f>
        <v>-1788.4978222222219</v>
      </c>
    </row>
    <row r="354" spans="2:35" x14ac:dyDescent="0.25">
      <c r="B354" s="123" t="str">
        <f t="shared" si="38"/>
        <v>12 2025</v>
      </c>
      <c r="C354" s="122">
        <f t="shared" si="40"/>
        <v>46006</v>
      </c>
      <c r="D354" s="122">
        <f t="shared" si="41"/>
        <v>46007</v>
      </c>
      <c r="E354" s="123">
        <f t="shared" si="39"/>
        <v>1</v>
      </c>
      <c r="F354" s="123" t="s">
        <v>7</v>
      </c>
      <c r="H354" s="383">
        <f t="shared" si="42"/>
        <v>46006</v>
      </c>
      <c r="I354" s="329">
        <v>101.4627</v>
      </c>
      <c r="K354" s="330">
        <v>100000</v>
      </c>
      <c r="L354" s="331"/>
      <c r="M354" s="331"/>
      <c r="N354" s="331"/>
      <c r="O354" s="331"/>
      <c r="P354" s="331"/>
      <c r="Q354" s="331"/>
      <c r="R354" s="331"/>
      <c r="S354" s="331"/>
      <c r="T354" s="331"/>
      <c r="U354" s="331"/>
      <c r="V354" s="331"/>
      <c r="X354" s="330">
        <f t="shared" si="34"/>
        <v>364</v>
      </c>
      <c r="Y354" s="378">
        <f t="shared" ref="Y354:Y369" si="45">Y353</f>
        <v>36791955.199999988</v>
      </c>
      <c r="Z354" s="378">
        <f t="shared" si="35"/>
        <v>36932422.799999997</v>
      </c>
      <c r="AB354" s="378">
        <f t="shared" si="36"/>
        <v>140467.60000000894</v>
      </c>
      <c r="AC354" s="378">
        <f t="shared" si="37"/>
        <v>6406.3999999985099</v>
      </c>
      <c r="AD354" s="331"/>
      <c r="AF354" s="402">
        <f t="shared" si="43"/>
        <v>2.0814459915079263E-2</v>
      </c>
      <c r="AG354" s="335">
        <f t="shared" si="44"/>
        <v>2.0824848935750883E-2</v>
      </c>
      <c r="AI354" s="378">
        <f>AC354-Y353*'OverNight €'!I354*E354/360</f>
        <v>4617.9021777762882</v>
      </c>
    </row>
    <row r="355" spans="2:35" x14ac:dyDescent="0.25">
      <c r="B355" s="123" t="str">
        <f t="shared" si="38"/>
        <v>12 2025</v>
      </c>
      <c r="C355" s="122">
        <f t="shared" si="40"/>
        <v>46007</v>
      </c>
      <c r="D355" s="122">
        <f t="shared" si="41"/>
        <v>46008</v>
      </c>
      <c r="E355" s="123">
        <f t="shared" si="39"/>
        <v>1</v>
      </c>
      <c r="F355" s="123" t="s">
        <v>7</v>
      </c>
      <c r="H355" s="383">
        <f t="shared" si="42"/>
        <v>46007</v>
      </c>
      <c r="I355" s="329">
        <v>101.46850000000001</v>
      </c>
      <c r="K355" s="330">
        <v>100000</v>
      </c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X355" s="330">
        <f t="shared" si="34"/>
        <v>364</v>
      </c>
      <c r="Y355" s="378">
        <f t="shared" si="45"/>
        <v>36791955.199999988</v>
      </c>
      <c r="Z355" s="378">
        <f t="shared" si="35"/>
        <v>36934534</v>
      </c>
      <c r="AB355" s="378">
        <f t="shared" si="36"/>
        <v>142578.80000001192</v>
      </c>
      <c r="AC355" s="378">
        <f t="shared" si="37"/>
        <v>2111.2000000029802</v>
      </c>
      <c r="AD355" s="331"/>
      <c r="AF355" s="402">
        <f t="shared" si="43"/>
        <v>2.0814459915079263E-2</v>
      </c>
      <c r="AG355" s="335">
        <f t="shared" si="44"/>
        <v>2.0822352077013422E-2</v>
      </c>
      <c r="AI355" s="378">
        <f>AC355-Y354*'OverNight €'!I355*E355/360</f>
        <v>322.70217778075835</v>
      </c>
    </row>
    <row r="356" spans="2:35" x14ac:dyDescent="0.25">
      <c r="B356" s="123" t="str">
        <f t="shared" si="38"/>
        <v>12 2025</v>
      </c>
      <c r="C356" s="122">
        <f t="shared" si="40"/>
        <v>46008</v>
      </c>
      <c r="D356" s="122">
        <f t="shared" si="41"/>
        <v>46009</v>
      </c>
      <c r="E356" s="123">
        <f t="shared" si="39"/>
        <v>1</v>
      </c>
      <c r="F356" s="123" t="s">
        <v>7</v>
      </c>
      <c r="H356" s="383">
        <f t="shared" si="42"/>
        <v>46008</v>
      </c>
      <c r="I356" s="329">
        <v>101.4744</v>
      </c>
      <c r="K356" s="330">
        <v>100000</v>
      </c>
      <c r="L356" s="331"/>
      <c r="M356" s="331"/>
      <c r="N356" s="331"/>
      <c r="O356" s="331"/>
      <c r="P356" s="331"/>
      <c r="Q356" s="331"/>
      <c r="R356" s="331"/>
      <c r="S356" s="331"/>
      <c r="T356" s="331"/>
      <c r="U356" s="331"/>
      <c r="V356" s="331"/>
      <c r="X356" s="330">
        <f t="shared" si="34"/>
        <v>364</v>
      </c>
      <c r="Y356" s="378">
        <f t="shared" si="45"/>
        <v>36791955.199999988</v>
      </c>
      <c r="Z356" s="378">
        <f t="shared" si="35"/>
        <v>36936681.600000001</v>
      </c>
      <c r="AB356" s="378">
        <f t="shared" si="36"/>
        <v>144726.40000001341</v>
      </c>
      <c r="AC356" s="378">
        <f t="shared" si="37"/>
        <v>2147.6000000014901</v>
      </c>
      <c r="AD356" s="331"/>
      <c r="AF356" s="402">
        <f t="shared" si="43"/>
        <v>2.0814459915079263E-2</v>
      </c>
      <c r="AG356" s="335">
        <f t="shared" si="44"/>
        <v>2.0825166373199401E-2</v>
      </c>
      <c r="AI356" s="378">
        <f>AC356-Y355*'OverNight €'!I356*E356/360</f>
        <v>359.10217777926823</v>
      </c>
    </row>
    <row r="357" spans="2:35" x14ac:dyDescent="0.25">
      <c r="B357" s="123" t="str">
        <f t="shared" si="38"/>
        <v>12 2025</v>
      </c>
      <c r="C357" s="122">
        <f t="shared" si="40"/>
        <v>46009</v>
      </c>
      <c r="D357" s="122">
        <f t="shared" si="41"/>
        <v>46010</v>
      </c>
      <c r="E357" s="123">
        <f t="shared" si="39"/>
        <v>1</v>
      </c>
      <c r="F357" s="123" t="s">
        <v>7</v>
      </c>
      <c r="H357" s="383">
        <f t="shared" si="42"/>
        <v>46009</v>
      </c>
      <c r="I357" s="329">
        <v>101.4803</v>
      </c>
      <c r="K357" s="330">
        <v>100000</v>
      </c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X357" s="330">
        <f t="shared" si="34"/>
        <v>364</v>
      </c>
      <c r="Y357" s="378">
        <f t="shared" si="45"/>
        <v>36791955.199999988</v>
      </c>
      <c r="Z357" s="378">
        <f t="shared" si="35"/>
        <v>36938829.199999996</v>
      </c>
      <c r="AB357" s="378">
        <f t="shared" si="36"/>
        <v>146874.00000000745</v>
      </c>
      <c r="AC357" s="378">
        <f t="shared" si="37"/>
        <v>2147.5999999940395</v>
      </c>
      <c r="AD357" s="331"/>
      <c r="AF357" s="402">
        <f t="shared" si="43"/>
        <v>2.0814459915079263E-2</v>
      </c>
      <c r="AG357" s="335">
        <f t="shared" si="44"/>
        <v>2.082789909558173E-2</v>
      </c>
      <c r="AI357" s="378">
        <f>AC357-Y356*'OverNight €'!I357*E357/360</f>
        <v>359.10217777181765</v>
      </c>
    </row>
    <row r="358" spans="2:35" x14ac:dyDescent="0.25">
      <c r="B358" s="628" t="str">
        <f t="shared" si="38"/>
        <v>12 2025</v>
      </c>
      <c r="C358" s="631">
        <f t="shared" si="40"/>
        <v>46010</v>
      </c>
      <c r="D358" s="631">
        <f t="shared" si="41"/>
        <v>46011</v>
      </c>
      <c r="E358" s="628">
        <f t="shared" si="39"/>
        <v>1</v>
      </c>
      <c r="F358" s="628" t="s">
        <v>7</v>
      </c>
      <c r="H358" s="629">
        <f t="shared" si="42"/>
        <v>46010</v>
      </c>
      <c r="I358" s="630">
        <v>101.48609999999999</v>
      </c>
      <c r="K358" s="627">
        <v>100000</v>
      </c>
      <c r="L358" s="626">
        <v>296</v>
      </c>
      <c r="M358" s="623">
        <f>ROUND(L358*K358*ROUND(I358,4)%,2)</f>
        <v>30039885.600000001</v>
      </c>
      <c r="N358" s="626"/>
      <c r="O358" s="626"/>
      <c r="P358" s="626"/>
      <c r="Q358" s="626"/>
      <c r="R358" s="626"/>
      <c r="S358" s="626"/>
      <c r="T358" s="626"/>
      <c r="U358" s="626"/>
      <c r="V358" s="626"/>
      <c r="X358" s="627">
        <f t="shared" si="34"/>
        <v>660</v>
      </c>
      <c r="Y358" s="623">
        <f>Y357+M358</f>
        <v>66831840.79999999</v>
      </c>
      <c r="Z358" s="623">
        <f t="shared" si="35"/>
        <v>66980826</v>
      </c>
      <c r="AB358" s="623">
        <f t="shared" si="36"/>
        <v>148985.20000001043</v>
      </c>
      <c r="AC358" s="623">
        <f t="shared" si="37"/>
        <v>2111.2000000029802</v>
      </c>
      <c r="AD358" s="626"/>
      <c r="AF358" s="624">
        <f t="shared" si="43"/>
        <v>2.0814459915079263E-2</v>
      </c>
      <c r="AG358" s="625">
        <f t="shared" si="44"/>
        <v>2.0825465671364007E-2</v>
      </c>
      <c r="AI358" s="623">
        <f>AC358-Y357*'OverNight €'!I358*E358/360</f>
        <v>322.70217778075835</v>
      </c>
    </row>
    <row r="359" spans="2:35" x14ac:dyDescent="0.25">
      <c r="B359" s="123" t="str">
        <f t="shared" si="38"/>
        <v>12 2025</v>
      </c>
      <c r="C359" s="122">
        <f t="shared" si="40"/>
        <v>46011</v>
      </c>
      <c r="D359" s="122">
        <f t="shared" si="41"/>
        <v>46012</v>
      </c>
      <c r="E359" s="123">
        <f t="shared" si="39"/>
        <v>1</v>
      </c>
      <c r="F359" s="123" t="s">
        <v>7</v>
      </c>
      <c r="H359" s="383">
        <f t="shared" si="42"/>
        <v>46011</v>
      </c>
      <c r="I359" s="329">
        <v>101.48609999999999</v>
      </c>
      <c r="K359" s="330">
        <v>100000</v>
      </c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X359" s="330">
        <f t="shared" si="34"/>
        <v>660</v>
      </c>
      <c r="Y359" s="378">
        <f t="shared" si="45"/>
        <v>66831840.79999999</v>
      </c>
      <c r="Z359" s="378">
        <f t="shared" si="35"/>
        <v>66980826</v>
      </c>
      <c r="AB359" s="378">
        <f t="shared" si="36"/>
        <v>148985.20000001043</v>
      </c>
      <c r="AC359" s="378">
        <f t="shared" si="37"/>
        <v>0</v>
      </c>
      <c r="AD359" s="331"/>
      <c r="AF359" s="402">
        <f t="shared" si="43"/>
        <v>2.0814459915079263E-2</v>
      </c>
      <c r="AG359" s="335">
        <f t="shared" si="44"/>
        <v>2.0532149253457473E-2</v>
      </c>
      <c r="AI359" s="378">
        <f>AC359-Y358*'OverNight €'!I359*E359/360</f>
        <v>-3248.7700388888888</v>
      </c>
    </row>
    <row r="360" spans="2:35" x14ac:dyDescent="0.25">
      <c r="B360" s="123" t="str">
        <f t="shared" si="38"/>
        <v>12 2025</v>
      </c>
      <c r="C360" s="122">
        <f t="shared" si="40"/>
        <v>46012</v>
      </c>
      <c r="D360" s="122">
        <f t="shared" si="41"/>
        <v>46013</v>
      </c>
      <c r="E360" s="123">
        <f t="shared" si="39"/>
        <v>1</v>
      </c>
      <c r="F360" s="123" t="s">
        <v>7</v>
      </c>
      <c r="H360" s="383">
        <f t="shared" si="42"/>
        <v>46012</v>
      </c>
      <c r="I360" s="329">
        <v>101.48609999999999</v>
      </c>
      <c r="K360" s="330">
        <v>100000</v>
      </c>
      <c r="L360" s="331"/>
      <c r="M360" s="331"/>
      <c r="N360" s="331"/>
      <c r="O360" s="331"/>
      <c r="P360" s="331"/>
      <c r="Q360" s="331"/>
      <c r="R360" s="331"/>
      <c r="S360" s="331"/>
      <c r="T360" s="331"/>
      <c r="U360" s="331"/>
      <c r="V360" s="331"/>
      <c r="X360" s="330">
        <f t="shared" si="34"/>
        <v>660</v>
      </c>
      <c r="Y360" s="378">
        <f t="shared" si="45"/>
        <v>66831840.79999999</v>
      </c>
      <c r="Z360" s="378">
        <f t="shared" si="35"/>
        <v>66980826</v>
      </c>
      <c r="AB360" s="378">
        <f t="shared" si="36"/>
        <v>148985.20000001043</v>
      </c>
      <c r="AC360" s="378">
        <f t="shared" si="37"/>
        <v>0</v>
      </c>
      <c r="AD360" s="331"/>
      <c r="AF360" s="402">
        <f t="shared" si="43"/>
        <v>2.0814459915079263E-2</v>
      </c>
      <c r="AG360" s="335">
        <f t="shared" si="44"/>
        <v>2.0246980513826118E-2</v>
      </c>
      <c r="AI360" s="378">
        <f>AC360-Y359*'OverNight €'!I360*E360/360</f>
        <v>-3248.7700388888888</v>
      </c>
    </row>
    <row r="361" spans="2:35" x14ac:dyDescent="0.25">
      <c r="B361" s="123" t="str">
        <f t="shared" si="38"/>
        <v>12 2025</v>
      </c>
      <c r="C361" s="122">
        <f t="shared" si="40"/>
        <v>46013</v>
      </c>
      <c r="D361" s="122">
        <f t="shared" si="41"/>
        <v>46014</v>
      </c>
      <c r="E361" s="123">
        <f t="shared" si="39"/>
        <v>1</v>
      </c>
      <c r="F361" s="123" t="s">
        <v>7</v>
      </c>
      <c r="H361" s="383">
        <f t="shared" si="42"/>
        <v>46013</v>
      </c>
      <c r="I361" s="329">
        <v>101.50369999999999</v>
      </c>
      <c r="K361" s="330">
        <v>100000</v>
      </c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X361" s="330">
        <f t="shared" si="34"/>
        <v>660</v>
      </c>
      <c r="Y361" s="378">
        <f t="shared" si="45"/>
        <v>66831840.79999999</v>
      </c>
      <c r="Z361" s="378">
        <f t="shared" si="35"/>
        <v>66992442</v>
      </c>
      <c r="AB361" s="378">
        <f t="shared" si="36"/>
        <v>160601.20000001043</v>
      </c>
      <c r="AC361" s="378">
        <f t="shared" si="37"/>
        <v>11616</v>
      </c>
      <c r="AD361" s="331"/>
      <c r="AF361" s="402">
        <f t="shared" si="43"/>
        <v>2.0814459915079263E-2</v>
      </c>
      <c r="AG361" s="335">
        <f t="shared" si="44"/>
        <v>2.0828323353851257E-2</v>
      </c>
      <c r="AI361" s="378">
        <f>AC361-Y360*'OverNight €'!I361*E361/360</f>
        <v>8367.2299611111121</v>
      </c>
    </row>
    <row r="362" spans="2:35" x14ac:dyDescent="0.25">
      <c r="B362" s="123" t="str">
        <f t="shared" si="38"/>
        <v>12 2025</v>
      </c>
      <c r="C362" s="122">
        <f t="shared" si="40"/>
        <v>46014</v>
      </c>
      <c r="D362" s="122">
        <f t="shared" si="41"/>
        <v>46015</v>
      </c>
      <c r="E362" s="123">
        <f t="shared" si="39"/>
        <v>1</v>
      </c>
      <c r="F362" s="123" t="s">
        <v>7</v>
      </c>
      <c r="H362" s="383">
        <f t="shared" si="42"/>
        <v>46014</v>
      </c>
      <c r="I362" s="329">
        <v>101.50960000000001</v>
      </c>
      <c r="K362" s="330">
        <v>100000</v>
      </c>
      <c r="L362" s="331"/>
      <c r="M362" s="331"/>
      <c r="N362" s="331"/>
      <c r="O362" s="331"/>
      <c r="P362" s="331"/>
      <c r="Q362" s="331"/>
      <c r="R362" s="331"/>
      <c r="S362" s="331"/>
      <c r="T362" s="331"/>
      <c r="U362" s="331"/>
      <c r="V362" s="331"/>
      <c r="X362" s="330">
        <f t="shared" si="34"/>
        <v>660</v>
      </c>
      <c r="Y362" s="378">
        <f t="shared" si="45"/>
        <v>66831840.79999999</v>
      </c>
      <c r="Z362" s="378">
        <f t="shared" si="35"/>
        <v>66996336</v>
      </c>
      <c r="AB362" s="378">
        <f t="shared" si="36"/>
        <v>164495.20000001043</v>
      </c>
      <c r="AC362" s="378">
        <f t="shared" si="37"/>
        <v>3894</v>
      </c>
      <c r="AD362" s="331"/>
      <c r="AF362" s="402">
        <f t="shared" si="43"/>
        <v>2.0814459915079263E-2</v>
      </c>
      <c r="AG362" s="335">
        <f t="shared" si="44"/>
        <v>2.0830828770929753E-2</v>
      </c>
      <c r="AI362" s="378">
        <f>AC362-Y361*'OverNight €'!I362*E362/360</f>
        <v>645.22996111111115</v>
      </c>
    </row>
    <row r="363" spans="2:35" x14ac:dyDescent="0.25">
      <c r="B363" s="123" t="str">
        <f t="shared" si="38"/>
        <v>12 2025</v>
      </c>
      <c r="C363" s="122">
        <f t="shared" si="40"/>
        <v>46015</v>
      </c>
      <c r="D363" s="122">
        <f t="shared" si="41"/>
        <v>46016</v>
      </c>
      <c r="E363" s="123">
        <f t="shared" si="39"/>
        <v>1</v>
      </c>
      <c r="F363" s="123" t="s">
        <v>7</v>
      </c>
      <c r="H363" s="383">
        <f t="shared" si="42"/>
        <v>46015</v>
      </c>
      <c r="I363" s="329">
        <v>101.5155</v>
      </c>
      <c r="K363" s="330">
        <v>100000</v>
      </c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X363" s="330">
        <f t="shared" si="34"/>
        <v>660</v>
      </c>
      <c r="Y363" s="378">
        <f t="shared" si="45"/>
        <v>66831840.79999999</v>
      </c>
      <c r="Z363" s="378">
        <f t="shared" si="35"/>
        <v>67000230</v>
      </c>
      <c r="AB363" s="378">
        <f t="shared" si="36"/>
        <v>168389.20000001043</v>
      </c>
      <c r="AC363" s="378">
        <f t="shared" si="37"/>
        <v>3894</v>
      </c>
      <c r="AD363" s="331"/>
      <c r="AF363" s="402">
        <f t="shared" si="43"/>
        <v>2.0814459915079263E-2</v>
      </c>
      <c r="AG363" s="335">
        <f t="shared" si="44"/>
        <v>2.0833267376885088E-2</v>
      </c>
      <c r="AI363" s="378">
        <f>AC363-Y362*'OverNight €'!I363*E363/360</f>
        <v>645.22996111111115</v>
      </c>
    </row>
    <row r="364" spans="2:35" x14ac:dyDescent="0.25">
      <c r="B364" s="123" t="str">
        <f t="shared" si="38"/>
        <v>12 2025</v>
      </c>
      <c r="C364" s="122">
        <f t="shared" si="40"/>
        <v>46016</v>
      </c>
      <c r="D364" s="122">
        <f t="shared" si="41"/>
        <v>46017</v>
      </c>
      <c r="E364" s="123">
        <f t="shared" si="39"/>
        <v>1</v>
      </c>
      <c r="F364" s="123" t="s">
        <v>7</v>
      </c>
      <c r="H364" s="383">
        <f t="shared" si="42"/>
        <v>46016</v>
      </c>
      <c r="I364" s="329">
        <v>101.5155</v>
      </c>
      <c r="K364" s="330">
        <v>100000</v>
      </c>
      <c r="L364" s="331"/>
      <c r="M364" s="331"/>
      <c r="N364" s="331"/>
      <c r="O364" s="331"/>
      <c r="P364" s="331"/>
      <c r="Q364" s="331"/>
      <c r="R364" s="331"/>
      <c r="S364" s="331"/>
      <c r="T364" s="331"/>
      <c r="U364" s="331"/>
      <c r="V364" s="331"/>
      <c r="X364" s="330">
        <f t="shared" si="34"/>
        <v>660</v>
      </c>
      <c r="Y364" s="378">
        <f t="shared" si="45"/>
        <v>66831840.79999999</v>
      </c>
      <c r="Z364" s="378">
        <f t="shared" si="35"/>
        <v>67000230</v>
      </c>
      <c r="AB364" s="378">
        <f t="shared" si="36"/>
        <v>168389.20000001043</v>
      </c>
      <c r="AC364" s="378">
        <f t="shared" si="37"/>
        <v>0</v>
      </c>
      <c r="AD364" s="331"/>
      <c r="AF364" s="402">
        <f t="shared" si="43"/>
        <v>2.0814459915079263E-2</v>
      </c>
      <c r="AG364" s="335">
        <f t="shared" si="44"/>
        <v>2.0559145437715549E-2</v>
      </c>
      <c r="AI364" s="378">
        <f>AC364-Y363*'OverNight €'!I364*E364/360</f>
        <v>-3248.7700388888888</v>
      </c>
    </row>
    <row r="365" spans="2:35" x14ac:dyDescent="0.25">
      <c r="B365" s="123" t="str">
        <f t="shared" si="38"/>
        <v>12 2025</v>
      </c>
      <c r="C365" s="122">
        <f t="shared" si="40"/>
        <v>46017</v>
      </c>
      <c r="D365" s="122">
        <f t="shared" si="41"/>
        <v>46018</v>
      </c>
      <c r="E365" s="123">
        <f t="shared" si="39"/>
        <v>1</v>
      </c>
      <c r="F365" s="123" t="s">
        <v>7</v>
      </c>
      <c r="H365" s="383">
        <f t="shared" si="42"/>
        <v>46017</v>
      </c>
      <c r="I365" s="329">
        <v>101.5155</v>
      </c>
      <c r="K365" s="330">
        <v>100000</v>
      </c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X365" s="330">
        <f t="shared" si="34"/>
        <v>660</v>
      </c>
      <c r="Y365" s="378">
        <f t="shared" si="45"/>
        <v>66831840.79999999</v>
      </c>
      <c r="Z365" s="378">
        <f t="shared" si="35"/>
        <v>67000230</v>
      </c>
      <c r="AB365" s="378">
        <f t="shared" si="36"/>
        <v>168389.20000001043</v>
      </c>
      <c r="AC365" s="378">
        <f t="shared" si="37"/>
        <v>0</v>
      </c>
      <c r="AD365" s="331"/>
      <c r="AF365" s="402">
        <f t="shared" si="43"/>
        <v>2.0814459915079263E-2</v>
      </c>
      <c r="AG365" s="335">
        <f t="shared" si="44"/>
        <v>2.0292143548914048E-2</v>
      </c>
      <c r="AI365" s="378">
        <f>AC365-Y364*'OverNight €'!I365*E365/360</f>
        <v>-3248.7700388888888</v>
      </c>
    </row>
    <row r="366" spans="2:35" x14ac:dyDescent="0.25">
      <c r="B366" s="123" t="str">
        <f t="shared" si="38"/>
        <v>12 2025</v>
      </c>
      <c r="C366" s="122">
        <f t="shared" si="40"/>
        <v>46018</v>
      </c>
      <c r="D366" s="122">
        <f t="shared" si="41"/>
        <v>46019</v>
      </c>
      <c r="E366" s="123">
        <f t="shared" si="39"/>
        <v>1</v>
      </c>
      <c r="F366" s="123" t="s">
        <v>7</v>
      </c>
      <c r="H366" s="383">
        <f t="shared" si="42"/>
        <v>46018</v>
      </c>
      <c r="I366" s="329">
        <v>101.5155</v>
      </c>
      <c r="K366" s="330">
        <v>100000</v>
      </c>
      <c r="L366" s="331"/>
      <c r="M366" s="331"/>
      <c r="N366" s="331"/>
      <c r="O366" s="331"/>
      <c r="P366" s="331"/>
      <c r="Q366" s="331"/>
      <c r="R366" s="331"/>
      <c r="S366" s="331"/>
      <c r="T366" s="331"/>
      <c r="U366" s="331"/>
      <c r="V366" s="331"/>
      <c r="X366" s="330">
        <f t="shared" si="34"/>
        <v>660</v>
      </c>
      <c r="Y366" s="378">
        <f t="shared" si="45"/>
        <v>66831840.79999999</v>
      </c>
      <c r="Z366" s="378">
        <f t="shared" si="35"/>
        <v>67000230</v>
      </c>
      <c r="AB366" s="378">
        <f t="shared" si="36"/>
        <v>168389.20000001043</v>
      </c>
      <c r="AC366" s="378">
        <f t="shared" si="37"/>
        <v>0</v>
      </c>
      <c r="AD366" s="331"/>
      <c r="AF366" s="402">
        <f t="shared" si="43"/>
        <v>2.0814459915079263E-2</v>
      </c>
      <c r="AG366" s="335">
        <f t="shared" si="44"/>
        <v>2.0031987862389508E-2</v>
      </c>
      <c r="AI366" s="378">
        <f>AC366-Y365*'OverNight €'!I366*E366/360</f>
        <v>-3248.7700388888888</v>
      </c>
    </row>
    <row r="367" spans="2:35" x14ac:dyDescent="0.25">
      <c r="B367" s="123" t="str">
        <f t="shared" si="38"/>
        <v>12 2025</v>
      </c>
      <c r="C367" s="122">
        <f t="shared" si="40"/>
        <v>46019</v>
      </c>
      <c r="D367" s="122">
        <f t="shared" si="41"/>
        <v>46020</v>
      </c>
      <c r="E367" s="123">
        <f t="shared" si="39"/>
        <v>1</v>
      </c>
      <c r="F367" s="123" t="s">
        <v>7</v>
      </c>
      <c r="H367" s="383">
        <f t="shared" si="42"/>
        <v>46019</v>
      </c>
      <c r="I367" s="329">
        <v>101.5155</v>
      </c>
      <c r="K367" s="330">
        <v>100000</v>
      </c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X367" s="330">
        <f t="shared" si="34"/>
        <v>660</v>
      </c>
      <c r="Y367" s="378">
        <f t="shared" si="45"/>
        <v>66831840.79999999</v>
      </c>
      <c r="Z367" s="378">
        <f t="shared" si="35"/>
        <v>67000230</v>
      </c>
      <c r="AB367" s="378">
        <f t="shared" si="36"/>
        <v>168389.20000001043</v>
      </c>
      <c r="AC367" s="378">
        <f t="shared" si="37"/>
        <v>0</v>
      </c>
      <c r="AD367" s="331"/>
      <c r="AF367" s="402">
        <f t="shared" si="43"/>
        <v>2.0814459915079263E-2</v>
      </c>
      <c r="AG367" s="335">
        <f t="shared" si="44"/>
        <v>1.9778418395776983E-2</v>
      </c>
      <c r="AI367" s="378">
        <f>AC367-Y366*'OverNight €'!I367*E367/360</f>
        <v>-3248.7700388888888</v>
      </c>
    </row>
    <row r="368" spans="2:35" x14ac:dyDescent="0.25">
      <c r="B368" s="123" t="str">
        <f t="shared" si="38"/>
        <v>12 2025</v>
      </c>
      <c r="C368" s="122">
        <f t="shared" si="40"/>
        <v>46020</v>
      </c>
      <c r="D368" s="122">
        <f t="shared" si="41"/>
        <v>46021</v>
      </c>
      <c r="E368" s="123">
        <f t="shared" si="39"/>
        <v>1</v>
      </c>
      <c r="F368" s="123" t="s">
        <v>7</v>
      </c>
      <c r="H368" s="383">
        <f t="shared" si="42"/>
        <v>46020</v>
      </c>
      <c r="I368" s="329">
        <v>101.54470000000001</v>
      </c>
      <c r="K368" s="330">
        <v>100000</v>
      </c>
      <c r="L368" s="331"/>
      <c r="M368" s="331"/>
      <c r="N368" s="331"/>
      <c r="O368" s="331"/>
      <c r="P368" s="331"/>
      <c r="Q368" s="331"/>
      <c r="R368" s="331"/>
      <c r="S368" s="331"/>
      <c r="T368" s="331"/>
      <c r="U368" s="331"/>
      <c r="V368" s="331"/>
      <c r="X368" s="330">
        <f t="shared" si="34"/>
        <v>660</v>
      </c>
      <c r="Y368" s="378">
        <f t="shared" si="45"/>
        <v>66831840.79999999</v>
      </c>
      <c r="Z368" s="378">
        <f t="shared" si="35"/>
        <v>67019502</v>
      </c>
      <c r="AB368" s="378">
        <f t="shared" si="36"/>
        <v>187661.20000001043</v>
      </c>
      <c r="AC368" s="378">
        <f t="shared" si="37"/>
        <v>19272</v>
      </c>
      <c r="AD368" s="331"/>
      <c r="AF368" s="402">
        <f>AF369</f>
        <v>2.0814459915079263E-2</v>
      </c>
      <c r="AG368" s="335">
        <f t="shared" si="44"/>
        <v>2.0831189748785062E-2</v>
      </c>
      <c r="AI368" s="378">
        <f>AC368-Y367*'OverNight €'!I368*E368/360</f>
        <v>16023.229961111112</v>
      </c>
    </row>
    <row r="369" spans="2:35" x14ac:dyDescent="0.25">
      <c r="B369" s="148" t="str">
        <f t="shared" si="38"/>
        <v>12 2025</v>
      </c>
      <c r="C369" s="149">
        <f t="shared" si="40"/>
        <v>46021</v>
      </c>
      <c r="D369" s="149">
        <f t="shared" si="41"/>
        <v>46022</v>
      </c>
      <c r="E369" s="148">
        <f t="shared" si="39"/>
        <v>1</v>
      </c>
      <c r="F369" s="148" t="s">
        <v>7</v>
      </c>
      <c r="H369" s="384">
        <f t="shared" si="42"/>
        <v>46021</v>
      </c>
      <c r="I369" s="329">
        <v>101.5506</v>
      </c>
      <c r="K369" s="330">
        <v>100000</v>
      </c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X369" s="330">
        <f t="shared" si="34"/>
        <v>660</v>
      </c>
      <c r="Y369" s="378">
        <f t="shared" si="45"/>
        <v>66831840.79999999</v>
      </c>
      <c r="Z369" s="378">
        <f t="shared" si="35"/>
        <v>67023396</v>
      </c>
      <c r="AB369" s="378">
        <f t="shared" si="36"/>
        <v>191555.20000001043</v>
      </c>
      <c r="AC369" s="378">
        <f t="shared" si="37"/>
        <v>3894</v>
      </c>
      <c r="AD369" s="331"/>
      <c r="AF369" s="402">
        <f>AF373</f>
        <v>2.0814459915079263E-2</v>
      </c>
      <c r="AG369" s="335">
        <f t="shared" si="44"/>
        <v>2.0833443260745495E-2</v>
      </c>
      <c r="AI369" s="378">
        <f>AC369-Y368*'OverNight €'!I369*E369/360</f>
        <v>645.22996111111115</v>
      </c>
    </row>
    <row r="373" spans="2:35" x14ac:dyDescent="0.25">
      <c r="B373" s="452" t="str">
        <f>CONCATENATE(MONTH(D373)," ",YEAR(D373))</f>
        <v>1 2026</v>
      </c>
      <c r="C373" s="453">
        <f>D369</f>
        <v>46022</v>
      </c>
      <c r="D373" s="453">
        <f>D369+1</f>
        <v>46023</v>
      </c>
      <c r="E373" s="454">
        <f>D373-C373</f>
        <v>1</v>
      </c>
      <c r="F373" s="404" t="s">
        <v>7</v>
      </c>
      <c r="H373" s="390">
        <f t="shared" ref="H373" si="46">C373</f>
        <v>46022</v>
      </c>
      <c r="I373" s="389">
        <v>101.5565</v>
      </c>
      <c r="K373" s="386">
        <v>100000</v>
      </c>
      <c r="L373" s="387"/>
      <c r="M373" s="387"/>
      <c r="N373" s="387"/>
      <c r="O373" s="387"/>
      <c r="P373" s="387"/>
      <c r="Q373" s="387"/>
      <c r="R373" s="387"/>
      <c r="S373" s="387"/>
      <c r="T373" s="387"/>
      <c r="U373" s="387"/>
      <c r="V373" s="387"/>
      <c r="X373" s="386">
        <f>X369</f>
        <v>660</v>
      </c>
      <c r="Y373" s="388">
        <f>Y369</f>
        <v>66831840.79999999</v>
      </c>
      <c r="Z373" s="388">
        <f t="shared" ref="Z373:Z403" si="47">X373*K373*ROUND(I373,4)%</f>
        <v>67027290</v>
      </c>
      <c r="AB373" s="388">
        <f t="shared" si="36"/>
        <v>195449.20000001043</v>
      </c>
      <c r="AC373" s="388">
        <f>Z373+T373-Z369-M373</f>
        <v>3894</v>
      </c>
      <c r="AD373" s="388">
        <f>SUM(AC338:AC369,AC373)</f>
        <v>91236</v>
      </c>
      <c r="AF373" s="391">
        <f>(I373/I337-1)*360/(H373-H337)</f>
        <v>2.0814459915079263E-2</v>
      </c>
      <c r="AG373" s="391">
        <f>(I373/$I$288-1)*360/(D373-$D$288)</f>
        <v>2.0835641809000549E-2</v>
      </c>
      <c r="AI373" s="388">
        <f>AC373-Y372*'OverNight €'!I373*E373/360</f>
        <v>3894</v>
      </c>
    </row>
    <row r="374" spans="2:35" x14ac:dyDescent="0.25">
      <c r="B374" s="9" t="str">
        <f t="shared" ref="B374:B403" si="48">CONCATENATE(MONTH(D374)," ",YEAR(D374))</f>
        <v>1 2026</v>
      </c>
      <c r="C374" s="88">
        <f>D373</f>
        <v>46023</v>
      </c>
      <c r="D374" s="88">
        <f>C374+1</f>
        <v>46024</v>
      </c>
      <c r="E374" s="89">
        <f t="shared" ref="E374:E403" si="49">D374-C374</f>
        <v>1</v>
      </c>
      <c r="F374" s="123" t="s">
        <v>7</v>
      </c>
      <c r="H374" s="383">
        <f t="shared" ref="H374:H403" si="50">C374</f>
        <v>46023</v>
      </c>
      <c r="I374" s="329">
        <v>101.5565</v>
      </c>
      <c r="K374" s="330">
        <v>100000</v>
      </c>
      <c r="L374" s="331"/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X374" s="330">
        <f t="shared" ref="X374:X403" si="51">X373+L374-N374</f>
        <v>660</v>
      </c>
      <c r="Y374" s="378">
        <f t="shared" ref="Y374:Y403" si="52">Y373</f>
        <v>66831840.79999999</v>
      </c>
      <c r="Z374" s="378">
        <f t="shared" si="47"/>
        <v>67027290</v>
      </c>
      <c r="AB374" s="378">
        <f t="shared" si="36"/>
        <v>195449.20000001043</v>
      </c>
      <c r="AC374" s="378">
        <f t="shared" ref="AC374:AC403" si="53">Z374+T374-Z373-M374</f>
        <v>0</v>
      </c>
      <c r="AD374" s="331"/>
      <c r="AF374" s="402">
        <f t="shared" ref="AF374:AF401" si="54">AF375</f>
        <v>2.0819937670163213E-2</v>
      </c>
      <c r="AG374" s="335">
        <f>(I374/$I$288-1)*360/(D374-$D$288)</f>
        <v>2.0584609979976447E-2</v>
      </c>
      <c r="AI374" s="378">
        <f>AC374-Y373*'OverNight €'!I374*E374/360</f>
        <v>-3248.7700388888888</v>
      </c>
    </row>
    <row r="375" spans="2:35" x14ac:dyDescent="0.25">
      <c r="B375" s="9" t="str">
        <f t="shared" si="48"/>
        <v>1 2026</v>
      </c>
      <c r="C375" s="88">
        <f>D374</f>
        <v>46024</v>
      </c>
      <c r="D375" s="88">
        <f>D374+1</f>
        <v>46025</v>
      </c>
      <c r="E375" s="89">
        <f t="shared" si="49"/>
        <v>1</v>
      </c>
      <c r="F375" s="123" t="s">
        <v>7</v>
      </c>
      <c r="H375" s="383">
        <f t="shared" si="50"/>
        <v>46024</v>
      </c>
      <c r="I375" s="329">
        <v>101.5682</v>
      </c>
      <c r="K375" s="330">
        <v>100000</v>
      </c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X375" s="331">
        <f t="shared" si="51"/>
        <v>660</v>
      </c>
      <c r="Y375" s="378">
        <f t="shared" si="52"/>
        <v>66831840.79999999</v>
      </c>
      <c r="Z375" s="378">
        <f t="shared" si="47"/>
        <v>67035012</v>
      </c>
      <c r="AB375" s="378">
        <f t="shared" si="36"/>
        <v>203171.20000001043</v>
      </c>
      <c r="AC375" s="378">
        <f t="shared" si="53"/>
        <v>7722</v>
      </c>
      <c r="AD375" s="331"/>
      <c r="AF375" s="402">
        <f t="shared" si="54"/>
        <v>2.0819937670163213E-2</v>
      </c>
      <c r="AG375" s="402">
        <f t="shared" ref="AG375:AG402" si="55">(I375/$I$288-1)*360/(D375-$D$288)</f>
        <v>2.0835641809000549E-2</v>
      </c>
      <c r="AI375" s="378">
        <f>AC375-Y374*'OverNight €'!I375*E375/360</f>
        <v>4473.2299611111112</v>
      </c>
    </row>
    <row r="376" spans="2:35" x14ac:dyDescent="0.25">
      <c r="B376" s="9" t="str">
        <f t="shared" si="48"/>
        <v>1 2026</v>
      </c>
      <c r="C376" s="88">
        <f t="shared" ref="C376:C403" si="56">D375</f>
        <v>46025</v>
      </c>
      <c r="D376" s="88">
        <f t="shared" ref="D376:D439" si="57">D375+1</f>
        <v>46026</v>
      </c>
      <c r="E376" s="89">
        <f t="shared" si="49"/>
        <v>1</v>
      </c>
      <c r="F376" s="123" t="s">
        <v>7</v>
      </c>
      <c r="H376" s="383">
        <f t="shared" si="50"/>
        <v>46025</v>
      </c>
      <c r="I376" s="329">
        <v>101.5682</v>
      </c>
      <c r="K376" s="330">
        <v>100000</v>
      </c>
      <c r="L376" s="331"/>
      <c r="M376" s="331"/>
      <c r="N376" s="331"/>
      <c r="O376" s="331"/>
      <c r="P376" s="331"/>
      <c r="Q376" s="331"/>
      <c r="R376" s="331"/>
      <c r="S376" s="331"/>
      <c r="T376" s="331"/>
      <c r="U376" s="331"/>
      <c r="V376" s="331"/>
      <c r="X376" s="331">
        <f t="shared" si="51"/>
        <v>660</v>
      </c>
      <c r="Y376" s="378">
        <f t="shared" si="52"/>
        <v>66831840.79999999</v>
      </c>
      <c r="Z376" s="378">
        <f t="shared" si="47"/>
        <v>67035012</v>
      </c>
      <c r="AB376" s="378">
        <f t="shared" ref="AB376:AB403" si="58">Z376-Y376</f>
        <v>203171.20000001043</v>
      </c>
      <c r="AC376" s="378">
        <f t="shared" si="53"/>
        <v>0</v>
      </c>
      <c r="AD376" s="331"/>
      <c r="AF376" s="402">
        <f t="shared" si="54"/>
        <v>2.0819937670163213E-2</v>
      </c>
      <c r="AG376" s="402">
        <f t="shared" si="55"/>
        <v>2.0590516611247601E-2</v>
      </c>
      <c r="AI376" s="378">
        <f>AC376-Y375*'OverNight €'!I376*E376/360</f>
        <v>-3248.7700388888888</v>
      </c>
    </row>
    <row r="377" spans="2:35" x14ac:dyDescent="0.25">
      <c r="B377" s="9" t="str">
        <f t="shared" si="48"/>
        <v>1 2026</v>
      </c>
      <c r="C377" s="88">
        <f t="shared" si="56"/>
        <v>46026</v>
      </c>
      <c r="D377" s="88">
        <f t="shared" si="57"/>
        <v>46027</v>
      </c>
      <c r="E377" s="89">
        <f t="shared" si="49"/>
        <v>1</v>
      </c>
      <c r="F377" s="123" t="s">
        <v>7</v>
      </c>
      <c r="H377" s="383">
        <f t="shared" si="50"/>
        <v>46026</v>
      </c>
      <c r="I377" s="329">
        <v>101.5682</v>
      </c>
      <c r="K377" s="330">
        <v>100000</v>
      </c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X377" s="331">
        <f t="shared" si="51"/>
        <v>660</v>
      </c>
      <c r="Y377" s="378">
        <f t="shared" si="52"/>
        <v>66831840.79999999</v>
      </c>
      <c r="Z377" s="378">
        <f t="shared" si="47"/>
        <v>67035012</v>
      </c>
      <c r="AB377" s="378">
        <f t="shared" si="58"/>
        <v>203171.20000001043</v>
      </c>
      <c r="AC377" s="378">
        <f t="shared" si="53"/>
        <v>0</v>
      </c>
      <c r="AD377" s="331"/>
      <c r="AF377" s="402">
        <f t="shared" si="54"/>
        <v>2.0819937670163213E-2</v>
      </c>
      <c r="AG377" s="402">
        <f t="shared" si="55"/>
        <v>2.035109199948891E-2</v>
      </c>
      <c r="AI377" s="378">
        <f>AC377-Y376*'OverNight €'!I377*E377/360</f>
        <v>-3248.7700388888888</v>
      </c>
    </row>
    <row r="378" spans="2:35" x14ac:dyDescent="0.25">
      <c r="B378" s="9" t="str">
        <f t="shared" si="48"/>
        <v>1 2026</v>
      </c>
      <c r="C378" s="88">
        <f t="shared" si="56"/>
        <v>46027</v>
      </c>
      <c r="D378" s="88">
        <f t="shared" si="57"/>
        <v>46028</v>
      </c>
      <c r="E378" s="89">
        <f t="shared" si="49"/>
        <v>1</v>
      </c>
      <c r="F378" s="123" t="s">
        <v>7</v>
      </c>
      <c r="H378" s="383">
        <f t="shared" si="50"/>
        <v>46027</v>
      </c>
      <c r="I378" s="329">
        <v>101.5857</v>
      </c>
      <c r="K378" s="330">
        <v>100000</v>
      </c>
      <c r="L378" s="331"/>
      <c r="M378" s="331"/>
      <c r="N378" s="331"/>
      <c r="O378" s="331"/>
      <c r="P378" s="331"/>
      <c r="Q378" s="331"/>
      <c r="R378" s="331"/>
      <c r="S378" s="331"/>
      <c r="T378" s="331"/>
      <c r="U378" s="331"/>
      <c r="V378" s="331"/>
      <c r="X378" s="331">
        <f t="shared" si="51"/>
        <v>660</v>
      </c>
      <c r="Y378" s="378">
        <f t="shared" si="52"/>
        <v>66831840.79999999</v>
      </c>
      <c r="Z378" s="378">
        <f t="shared" si="47"/>
        <v>67046562</v>
      </c>
      <c r="AB378" s="378">
        <f t="shared" si="58"/>
        <v>214721.20000001043</v>
      </c>
      <c r="AC378" s="378">
        <f t="shared" si="53"/>
        <v>11550</v>
      </c>
      <c r="AD378" s="331"/>
      <c r="AF378" s="402">
        <f t="shared" si="54"/>
        <v>2.0819937670163213E-2</v>
      </c>
      <c r="AG378" s="402">
        <f t="shared" si="55"/>
        <v>2.0833594884763083E-2</v>
      </c>
      <c r="AI378" s="378">
        <f>AC378-Y377*'OverNight €'!I378*E378/360</f>
        <v>8301.2299611111121</v>
      </c>
    </row>
    <row r="379" spans="2:35" x14ac:dyDescent="0.25">
      <c r="B379" s="9" t="str">
        <f t="shared" si="48"/>
        <v>1 2026</v>
      </c>
      <c r="C379" s="88">
        <f t="shared" si="56"/>
        <v>46028</v>
      </c>
      <c r="D379" s="88">
        <f t="shared" si="57"/>
        <v>46029</v>
      </c>
      <c r="E379" s="89">
        <f t="shared" si="49"/>
        <v>1</v>
      </c>
      <c r="F379" s="123" t="s">
        <v>7</v>
      </c>
      <c r="H379" s="383">
        <f t="shared" si="50"/>
        <v>46028</v>
      </c>
      <c r="I379" s="329">
        <v>101.5916</v>
      </c>
      <c r="K379" s="330">
        <v>100000</v>
      </c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X379" s="331">
        <f t="shared" si="51"/>
        <v>660</v>
      </c>
      <c r="Y379" s="378">
        <f t="shared" si="52"/>
        <v>66831840.79999999</v>
      </c>
      <c r="Z379" s="378">
        <f t="shared" si="47"/>
        <v>67050456</v>
      </c>
      <c r="AB379" s="378">
        <f t="shared" si="58"/>
        <v>218615.20000001043</v>
      </c>
      <c r="AC379" s="378">
        <f t="shared" si="53"/>
        <v>3894</v>
      </c>
      <c r="AD379" s="331"/>
      <c r="AF379" s="402">
        <f t="shared" si="54"/>
        <v>2.0819937670163213E-2</v>
      </c>
      <c r="AG379" s="402">
        <f t="shared" si="55"/>
        <v>2.0835641809000549E-2</v>
      </c>
      <c r="AI379" s="378">
        <f>AC379-Y378*'OverNight €'!I379*E379/360</f>
        <v>645.22996111111115</v>
      </c>
    </row>
    <row r="380" spans="2:35" x14ac:dyDescent="0.25">
      <c r="B380" s="9" t="str">
        <f t="shared" si="48"/>
        <v>1 2026</v>
      </c>
      <c r="C380" s="88">
        <f t="shared" si="56"/>
        <v>46029</v>
      </c>
      <c r="D380" s="88">
        <f t="shared" si="57"/>
        <v>46030</v>
      </c>
      <c r="E380" s="89">
        <f t="shared" si="49"/>
        <v>1</v>
      </c>
      <c r="F380" s="123" t="s">
        <v>7</v>
      </c>
      <c r="H380" s="383">
        <f t="shared" si="50"/>
        <v>46029</v>
      </c>
      <c r="I380" s="329">
        <v>101.5975</v>
      </c>
      <c r="K380" s="330">
        <v>100000</v>
      </c>
      <c r="L380" s="331"/>
      <c r="M380" s="331"/>
      <c r="N380" s="331"/>
      <c r="O380" s="331"/>
      <c r="P380" s="331"/>
      <c r="Q380" s="331"/>
      <c r="R380" s="331"/>
      <c r="S380" s="331"/>
      <c r="T380" s="331"/>
      <c r="U380" s="331"/>
      <c r="V380" s="331"/>
      <c r="X380" s="331">
        <f t="shared" si="51"/>
        <v>660</v>
      </c>
      <c r="Y380" s="378">
        <f t="shared" si="52"/>
        <v>66831840.79999999</v>
      </c>
      <c r="Z380" s="378">
        <f t="shared" si="47"/>
        <v>67054350.000000007</v>
      </c>
      <c r="AB380" s="378">
        <f t="shared" si="58"/>
        <v>222509.20000001788</v>
      </c>
      <c r="AC380" s="378">
        <f t="shared" si="53"/>
        <v>3894.0000000074506</v>
      </c>
      <c r="AD380" s="331"/>
      <c r="AF380" s="402">
        <f t="shared" si="54"/>
        <v>2.0819937670163213E-2</v>
      </c>
      <c r="AG380" s="402">
        <f t="shared" si="55"/>
        <v>2.0837642734939644E-2</v>
      </c>
      <c r="AI380" s="378">
        <f>AC380-Y379*'OverNight €'!I380*E380/360</f>
        <v>645.22996111856173</v>
      </c>
    </row>
    <row r="381" spans="2:35" x14ac:dyDescent="0.25">
      <c r="B381" s="9" t="str">
        <f t="shared" si="48"/>
        <v>1 2026</v>
      </c>
      <c r="C381" s="88">
        <f t="shared" si="56"/>
        <v>46030</v>
      </c>
      <c r="D381" s="88">
        <f t="shared" si="57"/>
        <v>46031</v>
      </c>
      <c r="E381" s="89">
        <f t="shared" si="49"/>
        <v>1</v>
      </c>
      <c r="F381" s="123" t="s">
        <v>7</v>
      </c>
      <c r="H381" s="383">
        <f t="shared" si="50"/>
        <v>46030</v>
      </c>
      <c r="I381" s="329">
        <v>101.60339999999999</v>
      </c>
      <c r="K381" s="330">
        <v>100000</v>
      </c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X381" s="331">
        <f t="shared" si="51"/>
        <v>660</v>
      </c>
      <c r="Y381" s="378">
        <f t="shared" si="52"/>
        <v>66831840.79999999</v>
      </c>
      <c r="Z381" s="378">
        <f t="shared" si="47"/>
        <v>67058243.999999993</v>
      </c>
      <c r="AB381" s="378">
        <f t="shared" si="58"/>
        <v>226403.20000000298</v>
      </c>
      <c r="AC381" s="378">
        <f t="shared" si="53"/>
        <v>3893.9999999850988</v>
      </c>
      <c r="AD381" s="331"/>
      <c r="AF381" s="402">
        <f t="shared" si="54"/>
        <v>2.0819937670163213E-2</v>
      </c>
      <c r="AG381" s="402">
        <f t="shared" si="55"/>
        <v>2.083959919585876E-2</v>
      </c>
      <c r="AI381" s="378">
        <f>AC381-Y380*'OverNight €'!I381*E381/360</f>
        <v>645.22996109620999</v>
      </c>
    </row>
    <row r="382" spans="2:35" x14ac:dyDescent="0.25">
      <c r="B382" s="9" t="str">
        <f t="shared" si="48"/>
        <v>1 2026</v>
      </c>
      <c r="C382" s="88">
        <f t="shared" si="56"/>
        <v>46031</v>
      </c>
      <c r="D382" s="88">
        <f t="shared" si="57"/>
        <v>46032</v>
      </c>
      <c r="E382" s="89">
        <f t="shared" si="49"/>
        <v>1</v>
      </c>
      <c r="F382" s="123" t="s">
        <v>7</v>
      </c>
      <c r="H382" s="383">
        <f t="shared" si="50"/>
        <v>46031</v>
      </c>
      <c r="I382" s="329">
        <v>101.6093</v>
      </c>
      <c r="K382" s="330">
        <v>100000</v>
      </c>
      <c r="L382" s="331"/>
      <c r="M382" s="331"/>
      <c r="N382" s="331"/>
      <c r="O382" s="331"/>
      <c r="P382" s="331"/>
      <c r="Q382" s="331"/>
      <c r="R382" s="331"/>
      <c r="S382" s="331"/>
      <c r="T382" s="331"/>
      <c r="U382" s="331"/>
      <c r="V382" s="331"/>
      <c r="X382" s="331">
        <f t="shared" si="51"/>
        <v>660</v>
      </c>
      <c r="Y382" s="378">
        <f t="shared" si="52"/>
        <v>66831840.79999999</v>
      </c>
      <c r="Z382" s="378">
        <f t="shared" si="47"/>
        <v>67062138.000000007</v>
      </c>
      <c r="AB382" s="378">
        <f t="shared" si="58"/>
        <v>230297.20000001788</v>
      </c>
      <c r="AC382" s="378">
        <f t="shared" si="53"/>
        <v>3894.0000000149012</v>
      </c>
      <c r="AD382" s="331"/>
      <c r="AF382" s="402">
        <f t="shared" si="54"/>
        <v>2.0819937670163213E-2</v>
      </c>
      <c r="AG382" s="402">
        <f t="shared" si="55"/>
        <v>2.0841512657636795E-2</v>
      </c>
      <c r="AI382" s="378">
        <f>AC382-Y381*'OverNight €'!I382*E382/360</f>
        <v>645.22996112601231</v>
      </c>
    </row>
    <row r="383" spans="2:35" x14ac:dyDescent="0.25">
      <c r="B383" s="9" t="str">
        <f t="shared" si="48"/>
        <v>1 2026</v>
      </c>
      <c r="C383" s="88">
        <f t="shared" si="56"/>
        <v>46032</v>
      </c>
      <c r="D383" s="88">
        <f t="shared" si="57"/>
        <v>46033</v>
      </c>
      <c r="E383" s="89">
        <f t="shared" si="49"/>
        <v>1</v>
      </c>
      <c r="F383" s="123" t="s">
        <v>7</v>
      </c>
      <c r="H383" s="383">
        <f t="shared" si="50"/>
        <v>46032</v>
      </c>
      <c r="I383" s="329">
        <v>101.6093</v>
      </c>
      <c r="K383" s="330">
        <v>100000</v>
      </c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X383" s="331">
        <f t="shared" si="51"/>
        <v>660</v>
      </c>
      <c r="Y383" s="378">
        <f t="shared" si="52"/>
        <v>66831840.79999999</v>
      </c>
      <c r="Z383" s="378">
        <f t="shared" si="47"/>
        <v>67062138.000000007</v>
      </c>
      <c r="AB383" s="378">
        <f t="shared" si="58"/>
        <v>230297.20000001788</v>
      </c>
      <c r="AC383" s="378">
        <f t="shared" si="53"/>
        <v>0</v>
      </c>
      <c r="AD383" s="331"/>
      <c r="AF383" s="402">
        <f t="shared" si="54"/>
        <v>2.0819937670163213E-2</v>
      </c>
      <c r="AG383" s="402">
        <f t="shared" si="55"/>
        <v>2.0614974476575527E-2</v>
      </c>
      <c r="AI383" s="378">
        <f>AC383-Y382*'OverNight €'!I383*E383/360</f>
        <v>-3248.7700388888888</v>
      </c>
    </row>
    <row r="384" spans="2:35" x14ac:dyDescent="0.25">
      <c r="B384" s="9" t="str">
        <f t="shared" si="48"/>
        <v>1 2026</v>
      </c>
      <c r="C384" s="88">
        <f t="shared" si="56"/>
        <v>46033</v>
      </c>
      <c r="D384" s="88">
        <f t="shared" si="57"/>
        <v>46034</v>
      </c>
      <c r="E384" s="89">
        <f t="shared" si="49"/>
        <v>1</v>
      </c>
      <c r="F384" s="123" t="s">
        <v>7</v>
      </c>
      <c r="H384" s="383">
        <f t="shared" si="50"/>
        <v>46033</v>
      </c>
      <c r="I384" s="329">
        <v>101.6093</v>
      </c>
      <c r="K384" s="330">
        <v>100000</v>
      </c>
      <c r="L384" s="331"/>
      <c r="M384" s="331"/>
      <c r="N384" s="331"/>
      <c r="O384" s="331"/>
      <c r="P384" s="331"/>
      <c r="Q384" s="331"/>
      <c r="R384" s="331"/>
      <c r="S384" s="331"/>
      <c r="T384" s="331"/>
      <c r="U384" s="331"/>
      <c r="V384" s="331"/>
      <c r="X384" s="331">
        <f t="shared" si="51"/>
        <v>660</v>
      </c>
      <c r="Y384" s="378">
        <f t="shared" si="52"/>
        <v>66831840.79999999</v>
      </c>
      <c r="Z384" s="378">
        <f t="shared" si="47"/>
        <v>67062138.000000007</v>
      </c>
      <c r="AB384" s="378">
        <f t="shared" si="58"/>
        <v>230297.20000001788</v>
      </c>
      <c r="AC384" s="378">
        <f t="shared" si="53"/>
        <v>0</v>
      </c>
      <c r="AD384" s="331"/>
      <c r="AF384" s="402">
        <f t="shared" si="54"/>
        <v>2.0819937670163213E-2</v>
      </c>
      <c r="AG384" s="402">
        <f t="shared" si="55"/>
        <v>2.0393308084354283E-2</v>
      </c>
      <c r="AI384" s="378">
        <f>AC384-Y383*'OverNight €'!I384*E384/360</f>
        <v>-3248.7700388888888</v>
      </c>
    </row>
    <row r="385" spans="2:35" x14ac:dyDescent="0.25">
      <c r="B385" s="9" t="str">
        <f t="shared" si="48"/>
        <v>1 2026</v>
      </c>
      <c r="C385" s="88">
        <f t="shared" si="56"/>
        <v>46034</v>
      </c>
      <c r="D385" s="88">
        <f t="shared" si="57"/>
        <v>46035</v>
      </c>
      <c r="E385" s="89">
        <f t="shared" si="49"/>
        <v>1</v>
      </c>
      <c r="F385" s="123" t="s">
        <v>7</v>
      </c>
      <c r="H385" s="383">
        <f t="shared" si="50"/>
        <v>46034</v>
      </c>
      <c r="I385" s="329">
        <v>101.62690000000001</v>
      </c>
      <c r="K385" s="330">
        <v>100000</v>
      </c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X385" s="331">
        <f t="shared" si="51"/>
        <v>660</v>
      </c>
      <c r="Y385" s="378">
        <f t="shared" si="52"/>
        <v>66831840.79999999</v>
      </c>
      <c r="Z385" s="378">
        <f t="shared" si="47"/>
        <v>67073754.000000007</v>
      </c>
      <c r="AB385" s="378">
        <f t="shared" si="58"/>
        <v>241913.20000001788</v>
      </c>
      <c r="AC385" s="378">
        <f t="shared" si="53"/>
        <v>11616</v>
      </c>
      <c r="AD385" s="331"/>
      <c r="AF385" s="402">
        <f t="shared" si="54"/>
        <v>2.0819937670163213E-2</v>
      </c>
      <c r="AG385" s="402">
        <f t="shared" si="55"/>
        <v>2.084321978383542E-2</v>
      </c>
      <c r="AI385" s="378">
        <f>AC385-Y384*'OverNight €'!I385*E385/360</f>
        <v>8367.2299611111121</v>
      </c>
    </row>
    <row r="386" spans="2:35" x14ac:dyDescent="0.25">
      <c r="B386" s="9" t="str">
        <f t="shared" si="48"/>
        <v>1 2026</v>
      </c>
      <c r="C386" s="88">
        <f t="shared" si="56"/>
        <v>46035</v>
      </c>
      <c r="D386" s="88">
        <f t="shared" si="57"/>
        <v>46036</v>
      </c>
      <c r="E386" s="89">
        <f t="shared" si="49"/>
        <v>1</v>
      </c>
      <c r="F386" s="123" t="s">
        <v>7</v>
      </c>
      <c r="H386" s="383">
        <f t="shared" si="50"/>
        <v>46035</v>
      </c>
      <c r="I386" s="329">
        <v>101.6328</v>
      </c>
      <c r="K386" s="330">
        <v>100000</v>
      </c>
      <c r="L386" s="331"/>
      <c r="M386" s="331"/>
      <c r="N386" s="331"/>
      <c r="O386" s="331"/>
      <c r="P386" s="331"/>
      <c r="Q386" s="331"/>
      <c r="R386" s="331"/>
      <c r="S386" s="331"/>
      <c r="T386" s="331"/>
      <c r="U386" s="331"/>
      <c r="V386" s="331"/>
      <c r="X386" s="331">
        <f t="shared" si="51"/>
        <v>660</v>
      </c>
      <c r="Y386" s="378">
        <f t="shared" si="52"/>
        <v>66831840.79999999</v>
      </c>
      <c r="Z386" s="378">
        <f t="shared" si="47"/>
        <v>67077648.000000007</v>
      </c>
      <c r="AB386" s="378">
        <f t="shared" si="58"/>
        <v>245807.20000001788</v>
      </c>
      <c r="AC386" s="378">
        <f t="shared" si="53"/>
        <v>3894</v>
      </c>
      <c r="AD386" s="331"/>
      <c r="AF386" s="402">
        <f t="shared" si="54"/>
        <v>2.0819937670163213E-2</v>
      </c>
      <c r="AG386" s="402">
        <f t="shared" si="55"/>
        <v>2.0845014567349364E-2</v>
      </c>
      <c r="AI386" s="378">
        <f>AC386-Y385*'OverNight €'!I386*E386/360</f>
        <v>645.22996111111115</v>
      </c>
    </row>
    <row r="387" spans="2:35" x14ac:dyDescent="0.25">
      <c r="B387" s="9" t="str">
        <f t="shared" si="48"/>
        <v>1 2026</v>
      </c>
      <c r="C387" s="88">
        <f t="shared" si="56"/>
        <v>46036</v>
      </c>
      <c r="D387" s="88">
        <f t="shared" si="57"/>
        <v>46037</v>
      </c>
      <c r="E387" s="89">
        <f t="shared" si="49"/>
        <v>1</v>
      </c>
      <c r="F387" s="123" t="s">
        <v>7</v>
      </c>
      <c r="H387" s="383">
        <f t="shared" si="50"/>
        <v>46036</v>
      </c>
      <c r="I387" s="329">
        <v>101.6386</v>
      </c>
      <c r="K387" s="330">
        <v>100000</v>
      </c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X387" s="331">
        <f t="shared" si="51"/>
        <v>660</v>
      </c>
      <c r="Y387" s="378">
        <f t="shared" si="52"/>
        <v>66831840.79999999</v>
      </c>
      <c r="Z387" s="378">
        <f t="shared" si="47"/>
        <v>67081476</v>
      </c>
      <c r="AB387" s="378">
        <f t="shared" si="58"/>
        <v>249635.20000001043</v>
      </c>
      <c r="AC387" s="378">
        <f t="shared" si="53"/>
        <v>3827.9999999925494</v>
      </c>
      <c r="AD387" s="331"/>
      <c r="AF387" s="402">
        <f t="shared" si="54"/>
        <v>2.0819937670163213E-2</v>
      </c>
      <c r="AG387" s="402">
        <f t="shared" si="55"/>
        <v>2.0843061909359695E-2</v>
      </c>
      <c r="AI387" s="378">
        <f>AC387-Y386*'OverNight €'!I387*E387/360</f>
        <v>579.22996110366057</v>
      </c>
    </row>
    <row r="388" spans="2:35" x14ac:dyDescent="0.25">
      <c r="B388" s="9" t="str">
        <f t="shared" si="48"/>
        <v>1 2026</v>
      </c>
      <c r="C388" s="88">
        <f t="shared" si="56"/>
        <v>46037</v>
      </c>
      <c r="D388" s="88">
        <f t="shared" si="57"/>
        <v>46038</v>
      </c>
      <c r="E388" s="89">
        <f t="shared" si="49"/>
        <v>1</v>
      </c>
      <c r="F388" s="123" t="s">
        <v>7</v>
      </c>
      <c r="H388" s="383">
        <f t="shared" si="50"/>
        <v>46037</v>
      </c>
      <c r="I388" s="329">
        <v>101.64449999999999</v>
      </c>
      <c r="K388" s="330">
        <v>100000</v>
      </c>
      <c r="L388" s="331"/>
      <c r="M388" s="331"/>
      <c r="N388" s="331"/>
      <c r="O388" s="331"/>
      <c r="P388" s="331"/>
      <c r="Q388" s="331"/>
      <c r="R388" s="331"/>
      <c r="S388" s="331"/>
      <c r="T388" s="331"/>
      <c r="U388" s="331"/>
      <c r="V388" s="331"/>
      <c r="X388" s="331">
        <f t="shared" si="51"/>
        <v>660</v>
      </c>
      <c r="Y388" s="378">
        <f t="shared" si="52"/>
        <v>66831840.79999999</v>
      </c>
      <c r="Z388" s="378">
        <f t="shared" si="47"/>
        <v>67085370</v>
      </c>
      <c r="AB388" s="378">
        <f t="shared" si="58"/>
        <v>253529.20000001043</v>
      </c>
      <c r="AC388" s="378">
        <f t="shared" si="53"/>
        <v>3894</v>
      </c>
      <c r="AD388" s="331"/>
      <c r="AF388" s="402">
        <f t="shared" si="54"/>
        <v>2.0819937670163213E-2</v>
      </c>
      <c r="AG388" s="402">
        <f t="shared" si="55"/>
        <v>2.0844821314599079E-2</v>
      </c>
      <c r="AI388" s="378">
        <f>AC388-Y387*'OverNight €'!I388*E388/360</f>
        <v>645.22996111111115</v>
      </c>
    </row>
    <row r="389" spans="2:35" x14ac:dyDescent="0.25">
      <c r="B389" s="9" t="str">
        <f t="shared" si="48"/>
        <v>1 2026</v>
      </c>
      <c r="C389" s="88">
        <f t="shared" si="56"/>
        <v>46038</v>
      </c>
      <c r="D389" s="88">
        <f t="shared" si="57"/>
        <v>46039</v>
      </c>
      <c r="E389" s="89">
        <f t="shared" si="49"/>
        <v>1</v>
      </c>
      <c r="F389" s="123" t="s">
        <v>7</v>
      </c>
      <c r="H389" s="383">
        <f t="shared" si="50"/>
        <v>46038</v>
      </c>
      <c r="I389" s="329">
        <v>101.6504</v>
      </c>
      <c r="K389" s="330">
        <v>100000</v>
      </c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X389" s="331">
        <f t="shared" si="51"/>
        <v>660</v>
      </c>
      <c r="Y389" s="378">
        <f t="shared" si="52"/>
        <v>66831840.79999999</v>
      </c>
      <c r="Z389" s="378">
        <f t="shared" si="47"/>
        <v>67089264.000000007</v>
      </c>
      <c r="AB389" s="378">
        <f t="shared" si="58"/>
        <v>257423.20000001788</v>
      </c>
      <c r="AC389" s="378">
        <f t="shared" si="53"/>
        <v>3894.0000000074506</v>
      </c>
      <c r="AD389" s="331"/>
      <c r="AF389" s="402">
        <f t="shared" si="54"/>
        <v>2.0819937670163213E-2</v>
      </c>
      <c r="AG389" s="402">
        <f t="shared" si="55"/>
        <v>2.0846544813609907E-2</v>
      </c>
      <c r="AI389" s="378">
        <f>AC389-Y388*'OverNight €'!I389*E389/360</f>
        <v>645.22996111856173</v>
      </c>
    </row>
    <row r="390" spans="2:35" x14ac:dyDescent="0.25">
      <c r="B390" s="9" t="str">
        <f t="shared" si="48"/>
        <v>1 2026</v>
      </c>
      <c r="C390" s="88">
        <f t="shared" si="56"/>
        <v>46039</v>
      </c>
      <c r="D390" s="88">
        <f t="shared" si="57"/>
        <v>46040</v>
      </c>
      <c r="E390" s="89">
        <f t="shared" si="49"/>
        <v>1</v>
      </c>
      <c r="F390" s="123" t="s">
        <v>7</v>
      </c>
      <c r="H390" s="383">
        <f t="shared" si="50"/>
        <v>46039</v>
      </c>
      <c r="I390" s="329">
        <v>101.6504</v>
      </c>
      <c r="K390" s="330">
        <v>100000</v>
      </c>
      <c r="L390" s="331"/>
      <c r="M390" s="331"/>
      <c r="N390" s="331"/>
      <c r="O390" s="331"/>
      <c r="P390" s="331"/>
      <c r="Q390" s="331"/>
      <c r="R390" s="331"/>
      <c r="S390" s="331"/>
      <c r="T390" s="331"/>
      <c r="U390" s="331"/>
      <c r="V390" s="331"/>
      <c r="X390" s="331">
        <f t="shared" si="51"/>
        <v>660</v>
      </c>
      <c r="Y390" s="378">
        <f t="shared" si="52"/>
        <v>66831840.79999999</v>
      </c>
      <c r="Z390" s="378">
        <f t="shared" si="47"/>
        <v>67089264.000000007</v>
      </c>
      <c r="AB390" s="378">
        <f t="shared" si="58"/>
        <v>257423.20000001788</v>
      </c>
      <c r="AC390" s="378">
        <f t="shared" si="53"/>
        <v>0</v>
      </c>
      <c r="AD390" s="331"/>
      <c r="AF390" s="402">
        <f t="shared" si="54"/>
        <v>2.0819937670163213E-2</v>
      </c>
      <c r="AG390" s="402">
        <f t="shared" si="55"/>
        <v>2.0635973653876472E-2</v>
      </c>
      <c r="AI390" s="378">
        <f>AC390-Y389*'OverNight €'!I390*E390/360</f>
        <v>-3248.7700388888888</v>
      </c>
    </row>
    <row r="391" spans="2:35" x14ac:dyDescent="0.25">
      <c r="B391" s="9" t="str">
        <f t="shared" si="48"/>
        <v>1 2026</v>
      </c>
      <c r="C391" s="88">
        <f t="shared" si="56"/>
        <v>46040</v>
      </c>
      <c r="D391" s="88">
        <f t="shared" si="57"/>
        <v>46041</v>
      </c>
      <c r="E391" s="89">
        <f t="shared" si="49"/>
        <v>1</v>
      </c>
      <c r="F391" s="123" t="s">
        <v>7</v>
      </c>
      <c r="H391" s="383">
        <f t="shared" si="50"/>
        <v>46040</v>
      </c>
      <c r="I391" s="329">
        <v>101.6504</v>
      </c>
      <c r="K391" s="330">
        <v>100000</v>
      </c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X391" s="331">
        <f t="shared" si="51"/>
        <v>660</v>
      </c>
      <c r="Y391" s="378">
        <f t="shared" si="52"/>
        <v>66831840.79999999</v>
      </c>
      <c r="Z391" s="378">
        <f t="shared" si="47"/>
        <v>67089264.000000007</v>
      </c>
      <c r="AB391" s="378">
        <f t="shared" si="58"/>
        <v>257423.20000001788</v>
      </c>
      <c r="AC391" s="378">
        <f t="shared" si="53"/>
        <v>0</v>
      </c>
      <c r="AD391" s="331"/>
      <c r="AF391" s="402">
        <f t="shared" si="54"/>
        <v>2.0819937670163213E-2</v>
      </c>
      <c r="AG391" s="402">
        <f t="shared" si="55"/>
        <v>2.0429613917337709E-2</v>
      </c>
      <c r="AI391" s="378">
        <f>AC391-Y390*'OverNight €'!I391*E391/360</f>
        <v>-3248.7700388888888</v>
      </c>
    </row>
    <row r="392" spans="2:35" x14ac:dyDescent="0.25">
      <c r="B392" s="9" t="str">
        <f t="shared" si="48"/>
        <v>1 2026</v>
      </c>
      <c r="C392" s="88">
        <f t="shared" si="56"/>
        <v>46041</v>
      </c>
      <c r="D392" s="88">
        <f t="shared" si="57"/>
        <v>46042</v>
      </c>
      <c r="E392" s="89">
        <f t="shared" si="49"/>
        <v>1</v>
      </c>
      <c r="F392" s="123" t="s">
        <v>7</v>
      </c>
      <c r="H392" s="383">
        <f t="shared" si="50"/>
        <v>46041</v>
      </c>
      <c r="I392" s="329">
        <v>101.66800000000001</v>
      </c>
      <c r="K392" s="330">
        <v>100000</v>
      </c>
      <c r="L392" s="331"/>
      <c r="M392" s="331"/>
      <c r="N392" s="331"/>
      <c r="O392" s="331"/>
      <c r="P392" s="331"/>
      <c r="Q392" s="331"/>
      <c r="R392" s="331"/>
      <c r="S392" s="331"/>
      <c r="T392" s="331"/>
      <c r="U392" s="331"/>
      <c r="V392" s="331"/>
      <c r="X392" s="331">
        <f t="shared" si="51"/>
        <v>660</v>
      </c>
      <c r="Y392" s="378">
        <f t="shared" si="52"/>
        <v>66831840.79999999</v>
      </c>
      <c r="Z392" s="378">
        <f t="shared" si="47"/>
        <v>67100880</v>
      </c>
      <c r="AB392" s="378">
        <f t="shared" si="58"/>
        <v>269039.20000001043</v>
      </c>
      <c r="AC392" s="378">
        <f t="shared" si="53"/>
        <v>11615.999999992549</v>
      </c>
      <c r="AD392" s="331"/>
      <c r="AF392" s="402">
        <f t="shared" si="54"/>
        <v>2.0819937670163213E-2</v>
      </c>
      <c r="AG392" s="402">
        <f t="shared" si="55"/>
        <v>2.0847984154152791E-2</v>
      </c>
      <c r="AI392" s="378">
        <f>AC392-Y391*'OverNight €'!I392*E392/360</f>
        <v>8367.2299611036615</v>
      </c>
    </row>
    <row r="393" spans="2:35" x14ac:dyDescent="0.25">
      <c r="B393" s="9" t="str">
        <f t="shared" si="48"/>
        <v>1 2026</v>
      </c>
      <c r="C393" s="88">
        <f t="shared" si="56"/>
        <v>46042</v>
      </c>
      <c r="D393" s="88">
        <f t="shared" si="57"/>
        <v>46043</v>
      </c>
      <c r="E393" s="89">
        <f t="shared" si="49"/>
        <v>1</v>
      </c>
      <c r="F393" s="123" t="s">
        <v>7</v>
      </c>
      <c r="H393" s="383">
        <f t="shared" si="50"/>
        <v>46042</v>
      </c>
      <c r="I393" s="329">
        <v>101.6739</v>
      </c>
      <c r="K393" s="330">
        <v>100000</v>
      </c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X393" s="331">
        <f t="shared" si="51"/>
        <v>660</v>
      </c>
      <c r="Y393" s="378">
        <f t="shared" si="52"/>
        <v>66831840.79999999</v>
      </c>
      <c r="Z393" s="378">
        <f t="shared" si="47"/>
        <v>67104774.000000007</v>
      </c>
      <c r="AB393" s="378">
        <f t="shared" si="58"/>
        <v>272933.20000001788</v>
      </c>
      <c r="AC393" s="378">
        <f t="shared" si="53"/>
        <v>3894.0000000074506</v>
      </c>
      <c r="AD393" s="331"/>
      <c r="AF393" s="402">
        <f t="shared" si="54"/>
        <v>2.0819937670163213E-2</v>
      </c>
      <c r="AG393" s="402">
        <f t="shared" si="55"/>
        <v>2.0849609056736194E-2</v>
      </c>
      <c r="AI393" s="378">
        <f>AC393-Y392*'OverNight €'!I393*E393/360</f>
        <v>645.22996111856173</v>
      </c>
    </row>
    <row r="394" spans="2:35" x14ac:dyDescent="0.25">
      <c r="B394" s="9" t="str">
        <f t="shared" si="48"/>
        <v>1 2026</v>
      </c>
      <c r="C394" s="88">
        <f t="shared" si="56"/>
        <v>46043</v>
      </c>
      <c r="D394" s="88">
        <f t="shared" si="57"/>
        <v>46044</v>
      </c>
      <c r="E394" s="89">
        <f t="shared" si="49"/>
        <v>1</v>
      </c>
      <c r="F394" s="123" t="s">
        <v>7</v>
      </c>
      <c r="H394" s="383">
        <f t="shared" si="50"/>
        <v>46043</v>
      </c>
      <c r="I394" s="329">
        <v>101.6798</v>
      </c>
      <c r="K394" s="330">
        <v>100000</v>
      </c>
      <c r="L394" s="331"/>
      <c r="M394" s="331"/>
      <c r="N394" s="331"/>
      <c r="O394" s="331"/>
      <c r="P394" s="331"/>
      <c r="Q394" s="331"/>
      <c r="R394" s="331"/>
      <c r="S394" s="331"/>
      <c r="T394" s="331"/>
      <c r="U394" s="331"/>
      <c r="V394" s="331"/>
      <c r="X394" s="331">
        <f t="shared" si="51"/>
        <v>660</v>
      </c>
      <c r="Y394" s="378">
        <f t="shared" si="52"/>
        <v>66831840.79999999</v>
      </c>
      <c r="Z394" s="378">
        <f t="shared" si="47"/>
        <v>67108668.000000007</v>
      </c>
      <c r="AB394" s="378">
        <f t="shared" si="58"/>
        <v>276827.20000001788</v>
      </c>
      <c r="AC394" s="378">
        <f t="shared" si="53"/>
        <v>3894</v>
      </c>
      <c r="AD394" s="331"/>
      <c r="AF394" s="402">
        <f t="shared" si="54"/>
        <v>2.0819937670163213E-2</v>
      </c>
      <c r="AG394" s="402">
        <f t="shared" si="55"/>
        <v>2.0851202407812349E-2</v>
      </c>
      <c r="AI394" s="378">
        <f>AC394-Y393*'OverNight €'!I394*E394/360</f>
        <v>645.22996111111115</v>
      </c>
    </row>
    <row r="395" spans="2:35" x14ac:dyDescent="0.25">
      <c r="B395" s="9" t="str">
        <f t="shared" si="48"/>
        <v>1 2026</v>
      </c>
      <c r="C395" s="88">
        <f t="shared" si="56"/>
        <v>46044</v>
      </c>
      <c r="D395" s="88">
        <f t="shared" si="57"/>
        <v>46045</v>
      </c>
      <c r="E395" s="89">
        <f t="shared" si="49"/>
        <v>1</v>
      </c>
      <c r="F395" s="123" t="s">
        <v>7</v>
      </c>
      <c r="H395" s="383">
        <f t="shared" si="50"/>
        <v>46044</v>
      </c>
      <c r="I395" s="329">
        <v>101.68559999999999</v>
      </c>
      <c r="K395" s="330">
        <v>100000</v>
      </c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X395" s="331">
        <f t="shared" si="51"/>
        <v>660</v>
      </c>
      <c r="Y395" s="378">
        <f t="shared" si="52"/>
        <v>66831840.79999999</v>
      </c>
      <c r="Z395" s="378">
        <f t="shared" si="47"/>
        <v>67112496</v>
      </c>
      <c r="AB395" s="378">
        <f t="shared" si="58"/>
        <v>280655.20000001043</v>
      </c>
      <c r="AC395" s="378">
        <f t="shared" si="53"/>
        <v>3827.9999999925494</v>
      </c>
      <c r="AD395" s="331"/>
      <c r="AF395" s="402">
        <f t="shared" si="54"/>
        <v>2.0819937670163213E-2</v>
      </c>
      <c r="AG395" s="402">
        <f t="shared" si="55"/>
        <v>2.0849340455817433E-2</v>
      </c>
      <c r="AI395" s="378">
        <f>AC395-Y394*'OverNight €'!I395*E395/360</f>
        <v>579.22996110366057</v>
      </c>
    </row>
    <row r="396" spans="2:35" x14ac:dyDescent="0.25">
      <c r="B396" s="9" t="str">
        <f t="shared" si="48"/>
        <v>1 2026</v>
      </c>
      <c r="C396" s="88">
        <f t="shared" si="56"/>
        <v>46045</v>
      </c>
      <c r="D396" s="88">
        <f t="shared" si="57"/>
        <v>46046</v>
      </c>
      <c r="E396" s="89">
        <f t="shared" si="49"/>
        <v>1</v>
      </c>
      <c r="F396" s="123" t="s">
        <v>7</v>
      </c>
      <c r="H396" s="383">
        <f t="shared" si="50"/>
        <v>46045</v>
      </c>
      <c r="I396" s="329">
        <v>101.6915</v>
      </c>
      <c r="K396" s="330">
        <v>100000</v>
      </c>
      <c r="L396" s="331"/>
      <c r="M396" s="331"/>
      <c r="N396" s="331"/>
      <c r="O396" s="331"/>
      <c r="P396" s="331"/>
      <c r="Q396" s="331"/>
      <c r="R396" s="331"/>
      <c r="S396" s="331"/>
      <c r="T396" s="331"/>
      <c r="U396" s="331"/>
      <c r="V396" s="331"/>
      <c r="X396" s="331">
        <f t="shared" si="51"/>
        <v>660</v>
      </c>
      <c r="Y396" s="378">
        <f t="shared" si="52"/>
        <v>66831840.79999999</v>
      </c>
      <c r="Z396" s="378">
        <f t="shared" si="47"/>
        <v>67116390</v>
      </c>
      <c r="AB396" s="378">
        <f t="shared" si="58"/>
        <v>284549.20000001043</v>
      </c>
      <c r="AC396" s="378">
        <f t="shared" si="53"/>
        <v>3894</v>
      </c>
      <c r="AD396" s="331"/>
      <c r="AF396" s="402">
        <f t="shared" si="54"/>
        <v>2.0819937670163213E-2</v>
      </c>
      <c r="AG396" s="402">
        <f t="shared" si="55"/>
        <v>2.0850906015454029E-2</v>
      </c>
      <c r="AI396" s="378">
        <f>AC396-Y395*'OverNight €'!I396*E396/360</f>
        <v>645.22996111111115</v>
      </c>
    </row>
    <row r="397" spans="2:35" x14ac:dyDescent="0.25">
      <c r="B397" s="9" t="str">
        <f t="shared" si="48"/>
        <v>1 2026</v>
      </c>
      <c r="C397" s="88">
        <f t="shared" si="56"/>
        <v>46046</v>
      </c>
      <c r="D397" s="88">
        <f t="shared" si="57"/>
        <v>46047</v>
      </c>
      <c r="E397" s="89">
        <f t="shared" si="49"/>
        <v>1</v>
      </c>
      <c r="F397" s="123" t="s">
        <v>7</v>
      </c>
      <c r="H397" s="383">
        <f t="shared" si="50"/>
        <v>46046</v>
      </c>
      <c r="I397" s="329">
        <v>101.6915</v>
      </c>
      <c r="K397" s="330">
        <v>100000</v>
      </c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X397" s="331">
        <f t="shared" si="51"/>
        <v>660</v>
      </c>
      <c r="Y397" s="378">
        <f t="shared" si="52"/>
        <v>66831840.79999999</v>
      </c>
      <c r="Z397" s="378">
        <f t="shared" si="47"/>
        <v>67116390</v>
      </c>
      <c r="AB397" s="378">
        <f t="shared" si="58"/>
        <v>284549.20000001043</v>
      </c>
      <c r="AC397" s="378">
        <f t="shared" si="53"/>
        <v>0</v>
      </c>
      <c r="AD397" s="331"/>
      <c r="AF397" s="402">
        <f t="shared" si="54"/>
        <v>2.0819937670163213E-2</v>
      </c>
      <c r="AG397" s="402">
        <f t="shared" si="55"/>
        <v>2.0654199354930878E-2</v>
      </c>
      <c r="AI397" s="378">
        <f>AC397-Y396*'OverNight €'!I397*E397/360</f>
        <v>-3248.7700388888888</v>
      </c>
    </row>
    <row r="398" spans="2:35" x14ac:dyDescent="0.25">
      <c r="B398" s="9" t="str">
        <f t="shared" si="48"/>
        <v>1 2026</v>
      </c>
      <c r="C398" s="88">
        <f t="shared" si="56"/>
        <v>46047</v>
      </c>
      <c r="D398" s="88">
        <f t="shared" si="57"/>
        <v>46048</v>
      </c>
      <c r="E398" s="89">
        <f t="shared" si="49"/>
        <v>1</v>
      </c>
      <c r="F398" s="123" t="s">
        <v>7</v>
      </c>
      <c r="H398" s="383">
        <f t="shared" si="50"/>
        <v>46047</v>
      </c>
      <c r="I398" s="329">
        <v>101.6915</v>
      </c>
      <c r="K398" s="330">
        <v>100000</v>
      </c>
      <c r="L398" s="331"/>
      <c r="M398" s="331"/>
      <c r="N398" s="331"/>
      <c r="O398" s="331"/>
      <c r="P398" s="331"/>
      <c r="Q398" s="331"/>
      <c r="R398" s="331"/>
      <c r="S398" s="331"/>
      <c r="T398" s="331"/>
      <c r="U398" s="331"/>
      <c r="V398" s="331"/>
      <c r="X398" s="331">
        <f t="shared" si="51"/>
        <v>660</v>
      </c>
      <c r="Y398" s="378">
        <f t="shared" si="52"/>
        <v>66831840.79999999</v>
      </c>
      <c r="Z398" s="378">
        <f t="shared" si="47"/>
        <v>67116390</v>
      </c>
      <c r="AB398" s="378">
        <f t="shared" si="58"/>
        <v>284549.20000001043</v>
      </c>
      <c r="AC398" s="378">
        <f t="shared" si="53"/>
        <v>0</v>
      </c>
      <c r="AD398" s="331"/>
      <c r="AF398" s="402">
        <f t="shared" si="54"/>
        <v>2.0819937670163213E-2</v>
      </c>
      <c r="AG398" s="402">
        <f t="shared" si="55"/>
        <v>2.0461169454417505E-2</v>
      </c>
      <c r="AI398" s="378">
        <f>AC398-Y397*'OverNight €'!I398*E398/360</f>
        <v>-3248.7700388888888</v>
      </c>
    </row>
    <row r="399" spans="2:35" x14ac:dyDescent="0.25">
      <c r="B399" s="9" t="str">
        <f t="shared" si="48"/>
        <v>1 2026</v>
      </c>
      <c r="C399" s="619">
        <f t="shared" si="56"/>
        <v>46048</v>
      </c>
      <c r="D399" s="619">
        <f t="shared" si="57"/>
        <v>46049</v>
      </c>
      <c r="E399" s="620">
        <f t="shared" si="49"/>
        <v>1</v>
      </c>
      <c r="F399" s="380" t="s">
        <v>7</v>
      </c>
      <c r="H399" s="385">
        <f t="shared" si="50"/>
        <v>46048</v>
      </c>
      <c r="I399" s="332">
        <v>101.7092</v>
      </c>
      <c r="K399" s="333">
        <v>100000</v>
      </c>
      <c r="L399" s="334"/>
      <c r="M399" s="334"/>
      <c r="N399" s="334"/>
      <c r="O399" s="334"/>
      <c r="P399" s="334"/>
      <c r="Q399" s="334"/>
      <c r="R399" s="334">
        <v>196</v>
      </c>
      <c r="S399" s="334"/>
      <c r="T399" s="379">
        <f>R399*K399*I399%</f>
        <v>19935003.199999999</v>
      </c>
      <c r="U399" s="379">
        <f>R399*K399*(I399-I288)%</f>
        <v>123950.399999998</v>
      </c>
      <c r="V399" s="379">
        <f>T399-U399</f>
        <v>19811052.800000001</v>
      </c>
      <c r="X399" s="334">
        <f>X398+L399-R399</f>
        <v>464</v>
      </c>
      <c r="Y399" s="379">
        <f>Y398-V399</f>
        <v>47020787.999999985</v>
      </c>
      <c r="Z399" s="379">
        <f t="shared" si="47"/>
        <v>47193068.799999997</v>
      </c>
      <c r="AB399" s="379">
        <f t="shared" si="58"/>
        <v>172280.80000001192</v>
      </c>
      <c r="AC399" s="379">
        <f t="shared" si="53"/>
        <v>11682</v>
      </c>
      <c r="AD399" s="334"/>
      <c r="AF399" s="455">
        <f t="shared" si="54"/>
        <v>2.0819937670163213E-2</v>
      </c>
      <c r="AG399" s="455">
        <f t="shared" si="55"/>
        <v>2.0855428743291604E-2</v>
      </c>
      <c r="AI399" s="379">
        <f>AC399-Y398*'OverNight €'!I399*E399/360</f>
        <v>8433.2299611111121</v>
      </c>
    </row>
    <row r="400" spans="2:35" x14ac:dyDescent="0.25">
      <c r="B400" s="9" t="str">
        <f t="shared" si="48"/>
        <v>1 2026</v>
      </c>
      <c r="C400" s="88">
        <f t="shared" si="56"/>
        <v>46049</v>
      </c>
      <c r="D400" s="88">
        <f t="shared" si="57"/>
        <v>46050</v>
      </c>
      <c r="E400" s="89">
        <f t="shared" si="49"/>
        <v>1</v>
      </c>
      <c r="F400" s="123" t="s">
        <v>7</v>
      </c>
      <c r="H400" s="383">
        <f t="shared" si="50"/>
        <v>46049</v>
      </c>
      <c r="I400" s="329">
        <v>101.71510000000001</v>
      </c>
      <c r="K400" s="330">
        <v>100000</v>
      </c>
      <c r="L400" s="331"/>
      <c r="M400" s="331"/>
      <c r="N400" s="331"/>
      <c r="O400" s="331"/>
      <c r="P400" s="331"/>
      <c r="Q400" s="331"/>
      <c r="R400" s="331"/>
      <c r="S400" s="331"/>
      <c r="T400" s="331"/>
      <c r="U400" s="331"/>
      <c r="V400" s="331"/>
      <c r="X400" s="331">
        <f t="shared" si="51"/>
        <v>464</v>
      </c>
      <c r="Y400" s="378">
        <f t="shared" si="52"/>
        <v>47020787.999999985</v>
      </c>
      <c r="Z400" s="378">
        <f t="shared" si="47"/>
        <v>47195806.400000006</v>
      </c>
      <c r="AB400" s="378">
        <f t="shared" si="58"/>
        <v>175018.40000002086</v>
      </c>
      <c r="AC400" s="378">
        <f t="shared" si="53"/>
        <v>2737.6000000089407</v>
      </c>
      <c r="AD400" s="331"/>
      <c r="AF400" s="402">
        <f t="shared" si="54"/>
        <v>2.0819937670163213E-2</v>
      </c>
      <c r="AG400" s="402">
        <f t="shared" si="55"/>
        <v>2.0856880995350029E-2</v>
      </c>
      <c r="AI400" s="378">
        <f>AC400-Y399*'OverNight €'!I400*E400/360</f>
        <v>451.86725000894103</v>
      </c>
    </row>
    <row r="401" spans="2:35" x14ac:dyDescent="0.25">
      <c r="B401" s="9" t="str">
        <f t="shared" si="48"/>
        <v>1 2026</v>
      </c>
      <c r="C401" s="88">
        <f t="shared" si="56"/>
        <v>46050</v>
      </c>
      <c r="D401" s="88">
        <f t="shared" si="57"/>
        <v>46051</v>
      </c>
      <c r="E401" s="89">
        <f t="shared" si="49"/>
        <v>1</v>
      </c>
      <c r="F401" s="123" t="s">
        <v>7</v>
      </c>
      <c r="H401" s="383">
        <f t="shared" si="50"/>
        <v>46050</v>
      </c>
      <c r="I401" s="329">
        <v>101.7209</v>
      </c>
      <c r="K401" s="330">
        <v>100000</v>
      </c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X401" s="331">
        <f t="shared" si="51"/>
        <v>464</v>
      </c>
      <c r="Y401" s="378">
        <f t="shared" si="52"/>
        <v>47020787.999999985</v>
      </c>
      <c r="Z401" s="378">
        <f t="shared" si="47"/>
        <v>47198497.600000001</v>
      </c>
      <c r="AB401" s="378">
        <f t="shared" si="58"/>
        <v>177709.60000001639</v>
      </c>
      <c r="AC401" s="378">
        <f t="shared" si="53"/>
        <v>2691.1999999955297</v>
      </c>
      <c r="AD401" s="331"/>
      <c r="AF401" s="402">
        <f t="shared" si="54"/>
        <v>2.0819937670163213E-2</v>
      </c>
      <c r="AG401" s="402">
        <f t="shared" si="55"/>
        <v>2.0855068980850676E-2</v>
      </c>
      <c r="AI401" s="378">
        <f>AC401-Y400*'OverNight €'!I401*E401/360</f>
        <v>405.46724999552998</v>
      </c>
    </row>
    <row r="402" spans="2:35" x14ac:dyDescent="0.25">
      <c r="B402" s="9" t="str">
        <f t="shared" si="48"/>
        <v>1 2026</v>
      </c>
      <c r="C402" s="88">
        <f t="shared" si="56"/>
        <v>46051</v>
      </c>
      <c r="D402" s="88">
        <f t="shared" si="57"/>
        <v>46052</v>
      </c>
      <c r="E402" s="89">
        <f t="shared" si="49"/>
        <v>1</v>
      </c>
      <c r="F402" s="123" t="s">
        <v>7</v>
      </c>
      <c r="H402" s="383">
        <f t="shared" si="50"/>
        <v>46051</v>
      </c>
      <c r="I402" s="329">
        <v>101.7268</v>
      </c>
      <c r="K402" s="330">
        <v>100000</v>
      </c>
      <c r="L402" s="331"/>
      <c r="M402" s="331"/>
      <c r="N402" s="331"/>
      <c r="O402" s="331"/>
      <c r="P402" s="331"/>
      <c r="Q402" s="331"/>
      <c r="R402" s="331"/>
      <c r="S402" s="331"/>
      <c r="T402" s="331"/>
      <c r="U402" s="331"/>
      <c r="V402" s="331"/>
      <c r="X402" s="331">
        <f t="shared" si="51"/>
        <v>464</v>
      </c>
      <c r="Y402" s="378">
        <f t="shared" si="52"/>
        <v>47020787.999999985</v>
      </c>
      <c r="Z402" s="378">
        <f t="shared" si="47"/>
        <v>47201235.200000003</v>
      </c>
      <c r="AB402" s="378">
        <f t="shared" si="58"/>
        <v>180447.20000001788</v>
      </c>
      <c r="AC402" s="378">
        <f t="shared" si="53"/>
        <v>2737.6000000014901</v>
      </c>
      <c r="AD402" s="331"/>
      <c r="AF402" s="402">
        <f>AF403</f>
        <v>2.0819937670163213E-2</v>
      </c>
      <c r="AG402" s="402">
        <f t="shared" si="55"/>
        <v>2.0856498307307698E-2</v>
      </c>
      <c r="AI402" s="378">
        <f>AC402-Y401*'OverNight €'!I402*E402/360</f>
        <v>451.86725000149045</v>
      </c>
    </row>
    <row r="403" spans="2:35" x14ac:dyDescent="0.25">
      <c r="B403" s="9" t="str">
        <f t="shared" si="48"/>
        <v>1 2026</v>
      </c>
      <c r="C403" s="621">
        <f t="shared" si="56"/>
        <v>46052</v>
      </c>
      <c r="D403" s="621">
        <f t="shared" si="57"/>
        <v>46053</v>
      </c>
      <c r="E403" s="622">
        <f t="shared" si="49"/>
        <v>1</v>
      </c>
      <c r="F403" s="404" t="s">
        <v>7</v>
      </c>
      <c r="H403" s="390">
        <f t="shared" si="50"/>
        <v>46052</v>
      </c>
      <c r="I403" s="389">
        <v>101.73269999999999</v>
      </c>
      <c r="K403" s="386">
        <v>100000</v>
      </c>
      <c r="L403" s="387"/>
      <c r="M403" s="387"/>
      <c r="N403" s="387"/>
      <c r="O403" s="387"/>
      <c r="P403" s="387"/>
      <c r="Q403" s="387"/>
      <c r="R403" s="387"/>
      <c r="S403" s="387"/>
      <c r="T403" s="387"/>
      <c r="U403" s="387"/>
      <c r="V403" s="387"/>
      <c r="X403" s="387">
        <f t="shared" si="51"/>
        <v>464</v>
      </c>
      <c r="Y403" s="388">
        <f t="shared" si="52"/>
        <v>47020787.999999985</v>
      </c>
      <c r="Z403" s="388">
        <f t="shared" si="47"/>
        <v>47203972.799999997</v>
      </c>
      <c r="AB403" s="388">
        <f t="shared" si="58"/>
        <v>183184.80000001192</v>
      </c>
      <c r="AC403" s="388">
        <f t="shared" si="53"/>
        <v>2737.5999999940395</v>
      </c>
      <c r="AD403" s="388">
        <f>SUM(AC374:AC403)</f>
        <v>111686</v>
      </c>
      <c r="AF403" s="391">
        <f>(I403/I373-1)*360/(H403-H373)</f>
        <v>2.0819937670163213E-2</v>
      </c>
      <c r="AG403" s="391">
        <f>(I403/$I$288-1)*360/(D403-$D$288)</f>
        <v>2.0857902110077986E-2</v>
      </c>
      <c r="AI403" s="388">
        <f>AC403-Y402*'OverNight €'!I403*E403/360</f>
        <v>451.86724999403987</v>
      </c>
    </row>
    <row r="404" spans="2:35" x14ac:dyDescent="0.25">
      <c r="B404" s="9" t="str">
        <f t="shared" ref="B404" si="59">CONCATENATE(MONTH(D404)," ",YEAR(D404))</f>
        <v>2 2026</v>
      </c>
      <c r="C404" s="88">
        <f t="shared" ref="C404" si="60">D403</f>
        <v>46053</v>
      </c>
      <c r="D404" s="88">
        <f t="shared" si="57"/>
        <v>46054</v>
      </c>
      <c r="E404" s="89">
        <f t="shared" ref="E404" si="61">D404-C404</f>
        <v>1</v>
      </c>
      <c r="F404" s="123" t="s">
        <v>7</v>
      </c>
      <c r="H404" s="383">
        <f t="shared" ref="H404" si="62">C404</f>
        <v>46053</v>
      </c>
      <c r="I404" s="329">
        <v>101.73269999999999</v>
      </c>
      <c r="K404" s="330">
        <v>100000</v>
      </c>
      <c r="L404" s="331"/>
      <c r="M404" s="331"/>
      <c r="N404" s="331"/>
      <c r="O404" s="331"/>
      <c r="P404" s="331"/>
      <c r="Q404" s="331"/>
      <c r="R404" s="331"/>
      <c r="S404" s="331"/>
      <c r="T404" s="331"/>
      <c r="U404" s="331"/>
      <c r="V404" s="331"/>
      <c r="X404" s="331"/>
      <c r="Y404" s="331"/>
      <c r="Z404" s="331"/>
      <c r="AB404" s="331"/>
      <c r="AC404" s="331"/>
      <c r="AD404" s="331"/>
      <c r="AF404" s="331"/>
      <c r="AG404" s="331"/>
      <c r="AI404" s="331"/>
    </row>
    <row r="405" spans="2:35" x14ac:dyDescent="0.25">
      <c r="B405" s="9" t="str">
        <f t="shared" ref="B405:B468" si="63">CONCATENATE(MONTH(D405)," ",YEAR(D405))</f>
        <v>2 2026</v>
      </c>
      <c r="C405" s="88">
        <f t="shared" ref="C405:C468" si="64">D404</f>
        <v>46054</v>
      </c>
      <c r="D405" s="88">
        <f t="shared" si="57"/>
        <v>46055</v>
      </c>
      <c r="E405" s="89">
        <f t="shared" ref="E405:E468" si="65">D405-C405</f>
        <v>1</v>
      </c>
      <c r="F405" s="123" t="s">
        <v>7</v>
      </c>
      <c r="H405" s="383">
        <f t="shared" ref="H405:H468" si="66">C405</f>
        <v>46054</v>
      </c>
      <c r="I405" s="329">
        <v>101.73269999999999</v>
      </c>
      <c r="K405" s="330">
        <v>100000</v>
      </c>
      <c r="L405" s="331"/>
      <c r="M405" s="331"/>
      <c r="N405" s="331"/>
      <c r="O405" s="331"/>
      <c r="P405" s="331"/>
      <c r="Q405" s="331"/>
      <c r="R405" s="331"/>
      <c r="S405" s="331"/>
      <c r="T405" s="331"/>
      <c r="U405" s="331"/>
      <c r="V405" s="331"/>
      <c r="X405" s="331"/>
      <c r="Y405" s="331"/>
      <c r="Z405" s="331"/>
      <c r="AB405" s="331"/>
      <c r="AC405" s="331"/>
      <c r="AD405" s="331"/>
      <c r="AF405" s="331"/>
      <c r="AG405" s="331"/>
      <c r="AI405" s="331"/>
    </row>
    <row r="406" spans="2:35" x14ac:dyDescent="0.25">
      <c r="B406" s="9" t="str">
        <f t="shared" si="63"/>
        <v>2 2026</v>
      </c>
      <c r="C406" s="88">
        <f t="shared" si="64"/>
        <v>46055</v>
      </c>
      <c r="D406" s="88">
        <f t="shared" si="57"/>
        <v>46056</v>
      </c>
      <c r="E406" s="89">
        <f t="shared" si="65"/>
        <v>1</v>
      </c>
      <c r="F406" s="123" t="s">
        <v>7</v>
      </c>
      <c r="H406" s="383">
        <f t="shared" si="66"/>
        <v>46055</v>
      </c>
      <c r="I406" s="329">
        <v>101.7504</v>
      </c>
      <c r="K406" s="330">
        <v>100000</v>
      </c>
      <c r="L406" s="331"/>
      <c r="M406" s="331"/>
      <c r="N406" s="331"/>
      <c r="O406" s="331"/>
      <c r="P406" s="331"/>
      <c r="Q406" s="331"/>
      <c r="R406" s="331"/>
      <c r="S406" s="331"/>
      <c r="T406" s="331"/>
      <c r="U406" s="331"/>
      <c r="V406" s="331"/>
      <c r="X406" s="331"/>
      <c r="Y406" s="331"/>
      <c r="Z406" s="331"/>
      <c r="AB406" s="331"/>
      <c r="AC406" s="331"/>
      <c r="AD406" s="331"/>
      <c r="AF406" s="331"/>
      <c r="AG406" s="331"/>
      <c r="AI406" s="331"/>
    </row>
    <row r="407" spans="2:35" x14ac:dyDescent="0.25">
      <c r="B407" s="9" t="str">
        <f t="shared" si="63"/>
        <v>2 2026</v>
      </c>
      <c r="C407" s="88">
        <f t="shared" si="64"/>
        <v>46056</v>
      </c>
      <c r="D407" s="88">
        <f t="shared" si="57"/>
        <v>46057</v>
      </c>
      <c r="E407" s="89">
        <f t="shared" si="65"/>
        <v>1</v>
      </c>
      <c r="F407" s="123" t="s">
        <v>7</v>
      </c>
      <c r="H407" s="383">
        <f t="shared" si="66"/>
        <v>46056</v>
      </c>
      <c r="I407" s="329">
        <v>101.75620000000001</v>
      </c>
      <c r="K407" s="330">
        <v>100000</v>
      </c>
      <c r="L407" s="331"/>
      <c r="M407" s="331"/>
      <c r="N407" s="331"/>
      <c r="O407" s="331"/>
      <c r="P407" s="331"/>
      <c r="Q407" s="331"/>
      <c r="R407" s="331"/>
      <c r="S407" s="331"/>
      <c r="T407" s="331"/>
      <c r="U407" s="331"/>
      <c r="V407" s="331"/>
      <c r="X407" s="331"/>
      <c r="Y407" s="331"/>
      <c r="Z407" s="331"/>
      <c r="AB407" s="331"/>
      <c r="AC407" s="331"/>
      <c r="AD407" s="331"/>
      <c r="AF407" s="331"/>
      <c r="AG407" s="331"/>
      <c r="AI407" s="331"/>
    </row>
    <row r="408" spans="2:35" x14ac:dyDescent="0.25">
      <c r="B408" s="9" t="str">
        <f t="shared" si="63"/>
        <v>2 2026</v>
      </c>
      <c r="C408" s="88">
        <f t="shared" si="64"/>
        <v>46057</v>
      </c>
      <c r="D408" s="88">
        <f t="shared" si="57"/>
        <v>46058</v>
      </c>
      <c r="E408" s="89">
        <f t="shared" si="65"/>
        <v>1</v>
      </c>
      <c r="F408" s="123" t="s">
        <v>7</v>
      </c>
      <c r="H408" s="383">
        <f t="shared" si="66"/>
        <v>46057</v>
      </c>
      <c r="I408" s="329"/>
      <c r="K408" s="331"/>
      <c r="L408" s="331"/>
      <c r="M408" s="331"/>
      <c r="N408" s="331"/>
      <c r="O408" s="331"/>
      <c r="P408" s="331"/>
      <c r="Q408" s="331"/>
      <c r="R408" s="331"/>
      <c r="S408" s="331"/>
      <c r="T408" s="331"/>
      <c r="U408" s="331"/>
      <c r="V408" s="331"/>
      <c r="X408" s="331"/>
      <c r="Y408" s="331"/>
      <c r="Z408" s="331"/>
      <c r="AB408" s="331"/>
      <c r="AC408" s="331"/>
      <c r="AD408" s="331"/>
      <c r="AF408" s="331"/>
      <c r="AG408" s="331"/>
      <c r="AI408" s="331"/>
    </row>
    <row r="409" spans="2:35" x14ac:dyDescent="0.25">
      <c r="B409" s="9" t="str">
        <f t="shared" si="63"/>
        <v>2 2026</v>
      </c>
      <c r="C409" s="88">
        <f t="shared" si="64"/>
        <v>46058</v>
      </c>
      <c r="D409" s="88">
        <f t="shared" si="57"/>
        <v>46059</v>
      </c>
      <c r="E409" s="89">
        <f t="shared" si="65"/>
        <v>1</v>
      </c>
      <c r="F409" s="123" t="s">
        <v>7</v>
      </c>
      <c r="H409" s="383">
        <f t="shared" si="66"/>
        <v>46058</v>
      </c>
      <c r="I409" s="329"/>
      <c r="K409" s="331"/>
      <c r="L409" s="331"/>
      <c r="M409" s="331"/>
      <c r="N409" s="331"/>
      <c r="O409" s="331"/>
      <c r="P409" s="331"/>
      <c r="Q409" s="331"/>
      <c r="R409" s="331"/>
      <c r="S409" s="331"/>
      <c r="T409" s="331"/>
      <c r="U409" s="331"/>
      <c r="V409" s="331"/>
      <c r="X409" s="331"/>
      <c r="Y409" s="331"/>
      <c r="Z409" s="331"/>
      <c r="AB409" s="331"/>
      <c r="AC409" s="331"/>
      <c r="AD409" s="331"/>
      <c r="AF409" s="331"/>
      <c r="AG409" s="331"/>
      <c r="AI409" s="331"/>
    </row>
    <row r="410" spans="2:35" x14ac:dyDescent="0.25">
      <c r="B410" s="9" t="str">
        <f t="shared" si="63"/>
        <v>2 2026</v>
      </c>
      <c r="C410" s="88">
        <f t="shared" si="64"/>
        <v>46059</v>
      </c>
      <c r="D410" s="88">
        <f t="shared" si="57"/>
        <v>46060</v>
      </c>
      <c r="E410" s="89">
        <f t="shared" si="65"/>
        <v>1</v>
      </c>
      <c r="F410" s="123" t="s">
        <v>7</v>
      </c>
      <c r="H410" s="383">
        <f t="shared" si="66"/>
        <v>46059</v>
      </c>
      <c r="I410" s="329"/>
      <c r="K410" s="331"/>
      <c r="L410" s="331"/>
      <c r="M410" s="331"/>
      <c r="N410" s="331"/>
      <c r="O410" s="331"/>
      <c r="P410" s="331"/>
      <c r="Q410" s="331"/>
      <c r="R410" s="331"/>
      <c r="S410" s="331"/>
      <c r="T410" s="331"/>
      <c r="U410" s="331"/>
      <c r="V410" s="331"/>
      <c r="X410" s="331"/>
      <c r="Y410" s="331"/>
      <c r="Z410" s="331"/>
      <c r="AB410" s="331"/>
      <c r="AC410" s="331"/>
      <c r="AD410" s="331"/>
      <c r="AF410" s="331"/>
      <c r="AG410" s="331"/>
      <c r="AI410" s="331"/>
    </row>
    <row r="411" spans="2:35" x14ac:dyDescent="0.25">
      <c r="B411" s="9" t="str">
        <f t="shared" si="63"/>
        <v>2 2026</v>
      </c>
      <c r="C411" s="88">
        <f t="shared" si="64"/>
        <v>46060</v>
      </c>
      <c r="D411" s="88">
        <f t="shared" si="57"/>
        <v>46061</v>
      </c>
      <c r="E411" s="89">
        <f t="shared" si="65"/>
        <v>1</v>
      </c>
      <c r="F411" s="123" t="s">
        <v>7</v>
      </c>
      <c r="H411" s="383">
        <f t="shared" si="66"/>
        <v>46060</v>
      </c>
      <c r="I411" s="329"/>
      <c r="K411" s="331"/>
      <c r="L411" s="331"/>
      <c r="M411" s="331"/>
      <c r="N411" s="331"/>
      <c r="O411" s="331"/>
      <c r="P411" s="331"/>
      <c r="Q411" s="331"/>
      <c r="R411" s="331"/>
      <c r="S411" s="331"/>
      <c r="T411" s="331"/>
      <c r="U411" s="331"/>
      <c r="V411" s="331"/>
      <c r="X411" s="331"/>
      <c r="Y411" s="331"/>
      <c r="Z411" s="331"/>
      <c r="AB411" s="331"/>
      <c r="AC411" s="331"/>
      <c r="AD411" s="331"/>
      <c r="AF411" s="331"/>
      <c r="AG411" s="331"/>
      <c r="AI411" s="331"/>
    </row>
    <row r="412" spans="2:35" x14ac:dyDescent="0.25">
      <c r="B412" s="9" t="str">
        <f t="shared" si="63"/>
        <v>2 2026</v>
      </c>
      <c r="C412" s="88">
        <f t="shared" si="64"/>
        <v>46061</v>
      </c>
      <c r="D412" s="88">
        <f t="shared" si="57"/>
        <v>46062</v>
      </c>
      <c r="E412" s="89">
        <f t="shared" si="65"/>
        <v>1</v>
      </c>
      <c r="F412" s="123" t="s">
        <v>7</v>
      </c>
      <c r="H412" s="383">
        <f t="shared" si="66"/>
        <v>46061</v>
      </c>
      <c r="I412" s="329"/>
      <c r="K412" s="331"/>
      <c r="L412" s="331"/>
      <c r="M412" s="331"/>
      <c r="N412" s="331"/>
      <c r="O412" s="331"/>
      <c r="P412" s="331"/>
      <c r="Q412" s="331"/>
      <c r="R412" s="331"/>
      <c r="S412" s="331"/>
      <c r="T412" s="331"/>
      <c r="U412" s="331"/>
      <c r="V412" s="331"/>
      <c r="X412" s="331"/>
      <c r="Y412" s="331"/>
      <c r="Z412" s="331"/>
      <c r="AB412" s="331"/>
      <c r="AC412" s="331"/>
      <c r="AD412" s="331"/>
      <c r="AF412" s="331"/>
      <c r="AG412" s="331"/>
      <c r="AI412" s="331"/>
    </row>
    <row r="413" spans="2:35" x14ac:dyDescent="0.25">
      <c r="B413" s="9" t="str">
        <f t="shared" si="63"/>
        <v>2 2026</v>
      </c>
      <c r="C413" s="88">
        <f t="shared" si="64"/>
        <v>46062</v>
      </c>
      <c r="D413" s="88">
        <f t="shared" si="57"/>
        <v>46063</v>
      </c>
      <c r="E413" s="89">
        <f t="shared" si="65"/>
        <v>1</v>
      </c>
      <c r="F413" s="123" t="s">
        <v>7</v>
      </c>
      <c r="H413" s="383">
        <f t="shared" si="66"/>
        <v>46062</v>
      </c>
      <c r="I413" s="329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X413" s="331"/>
      <c r="Y413" s="331"/>
      <c r="Z413" s="331"/>
      <c r="AB413" s="331"/>
      <c r="AC413" s="331"/>
      <c r="AD413" s="331"/>
      <c r="AF413" s="331"/>
      <c r="AG413" s="331"/>
      <c r="AI413" s="331"/>
    </row>
    <row r="414" spans="2:35" x14ac:dyDescent="0.25">
      <c r="B414" s="9" t="str">
        <f t="shared" si="63"/>
        <v>2 2026</v>
      </c>
      <c r="C414" s="88">
        <f t="shared" si="64"/>
        <v>46063</v>
      </c>
      <c r="D414" s="88">
        <f t="shared" si="57"/>
        <v>46064</v>
      </c>
      <c r="E414" s="89">
        <f t="shared" si="65"/>
        <v>1</v>
      </c>
      <c r="F414" s="123" t="s">
        <v>7</v>
      </c>
      <c r="H414" s="383">
        <f t="shared" si="66"/>
        <v>46063</v>
      </c>
      <c r="I414" s="329"/>
      <c r="K414" s="331"/>
      <c r="L414" s="331"/>
      <c r="M414" s="331"/>
      <c r="N414" s="331"/>
      <c r="O414" s="331"/>
      <c r="P414" s="331"/>
      <c r="Q414" s="331"/>
      <c r="R414" s="331"/>
      <c r="S414" s="331"/>
      <c r="T414" s="331"/>
      <c r="U414" s="331"/>
      <c r="V414" s="331"/>
      <c r="X414" s="331"/>
      <c r="Y414" s="331"/>
      <c r="Z414" s="331"/>
      <c r="AB414" s="331"/>
      <c r="AC414" s="331"/>
      <c r="AD414" s="331"/>
      <c r="AF414" s="331"/>
      <c r="AG414" s="331"/>
      <c r="AI414" s="331"/>
    </row>
    <row r="415" spans="2:35" x14ac:dyDescent="0.25">
      <c r="B415" s="9" t="str">
        <f t="shared" si="63"/>
        <v>2 2026</v>
      </c>
      <c r="C415" s="88">
        <f t="shared" si="64"/>
        <v>46064</v>
      </c>
      <c r="D415" s="88">
        <f t="shared" si="57"/>
        <v>46065</v>
      </c>
      <c r="E415" s="89">
        <f t="shared" si="65"/>
        <v>1</v>
      </c>
      <c r="F415" s="123" t="s">
        <v>7</v>
      </c>
      <c r="H415" s="383">
        <f t="shared" si="66"/>
        <v>46064</v>
      </c>
      <c r="I415" s="329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X415" s="331"/>
      <c r="Y415" s="331"/>
      <c r="Z415" s="331"/>
      <c r="AB415" s="331"/>
      <c r="AC415" s="331"/>
      <c r="AD415" s="331"/>
      <c r="AF415" s="331"/>
      <c r="AG415" s="331"/>
      <c r="AI415" s="331"/>
    </row>
    <row r="416" spans="2:35" x14ac:dyDescent="0.25">
      <c r="B416" s="9" t="str">
        <f t="shared" si="63"/>
        <v>2 2026</v>
      </c>
      <c r="C416" s="88">
        <f t="shared" si="64"/>
        <v>46065</v>
      </c>
      <c r="D416" s="88">
        <f t="shared" si="57"/>
        <v>46066</v>
      </c>
      <c r="E416" s="89">
        <f t="shared" si="65"/>
        <v>1</v>
      </c>
      <c r="F416" s="123" t="s">
        <v>7</v>
      </c>
      <c r="H416" s="383">
        <f t="shared" si="66"/>
        <v>46065</v>
      </c>
      <c r="I416" s="329"/>
      <c r="K416" s="331"/>
      <c r="L416" s="331"/>
      <c r="M416" s="331"/>
      <c r="N416" s="331"/>
      <c r="O416" s="331"/>
      <c r="P416" s="331"/>
      <c r="Q416" s="331"/>
      <c r="R416" s="331"/>
      <c r="S416" s="331"/>
      <c r="T416" s="331"/>
      <c r="U416" s="331"/>
      <c r="V416" s="331"/>
      <c r="X416" s="331"/>
      <c r="Y416" s="331"/>
      <c r="Z416" s="331"/>
      <c r="AB416" s="331"/>
      <c r="AC416" s="331"/>
      <c r="AD416" s="331"/>
      <c r="AF416" s="331"/>
      <c r="AG416" s="331"/>
      <c r="AI416" s="331"/>
    </row>
    <row r="417" spans="2:35" x14ac:dyDescent="0.25">
      <c r="B417" s="9" t="str">
        <f t="shared" si="63"/>
        <v>2 2026</v>
      </c>
      <c r="C417" s="88">
        <f t="shared" si="64"/>
        <v>46066</v>
      </c>
      <c r="D417" s="88">
        <f t="shared" si="57"/>
        <v>46067</v>
      </c>
      <c r="E417" s="89">
        <f t="shared" si="65"/>
        <v>1</v>
      </c>
      <c r="F417" s="123" t="s">
        <v>7</v>
      </c>
      <c r="H417" s="383">
        <f t="shared" si="66"/>
        <v>46066</v>
      </c>
      <c r="I417" s="329"/>
      <c r="K417" s="331"/>
      <c r="L417" s="331"/>
      <c r="M417" s="331"/>
      <c r="N417" s="331"/>
      <c r="O417" s="331"/>
      <c r="P417" s="331"/>
      <c r="Q417" s="331"/>
      <c r="R417" s="331"/>
      <c r="S417" s="331"/>
      <c r="T417" s="331"/>
      <c r="U417" s="331"/>
      <c r="V417" s="331"/>
      <c r="X417" s="331"/>
      <c r="Y417" s="331"/>
      <c r="Z417" s="331"/>
      <c r="AB417" s="331"/>
      <c r="AC417" s="331"/>
      <c r="AD417" s="331"/>
      <c r="AF417" s="331"/>
      <c r="AG417" s="331"/>
      <c r="AI417" s="331"/>
    </row>
    <row r="418" spans="2:35" x14ac:dyDescent="0.25">
      <c r="B418" s="9" t="str">
        <f t="shared" si="63"/>
        <v>2 2026</v>
      </c>
      <c r="C418" s="88">
        <f t="shared" si="64"/>
        <v>46067</v>
      </c>
      <c r="D418" s="88">
        <f t="shared" si="57"/>
        <v>46068</v>
      </c>
      <c r="E418" s="89">
        <f t="shared" si="65"/>
        <v>1</v>
      </c>
      <c r="F418" s="123" t="s">
        <v>7</v>
      </c>
      <c r="H418" s="383">
        <f t="shared" si="66"/>
        <v>46067</v>
      </c>
      <c r="I418" s="329"/>
      <c r="K418" s="331"/>
      <c r="L418" s="331"/>
      <c r="M418" s="331"/>
      <c r="N418" s="331"/>
      <c r="O418" s="331"/>
      <c r="P418" s="331"/>
      <c r="Q418" s="331"/>
      <c r="R418" s="331"/>
      <c r="S418" s="331"/>
      <c r="T418" s="331"/>
      <c r="U418" s="331"/>
      <c r="V418" s="331"/>
      <c r="X418" s="331"/>
      <c r="Y418" s="331"/>
      <c r="Z418" s="331"/>
      <c r="AB418" s="331"/>
      <c r="AC418" s="331"/>
      <c r="AD418" s="331"/>
      <c r="AF418" s="331"/>
      <c r="AG418" s="331"/>
      <c r="AI418" s="331"/>
    </row>
    <row r="419" spans="2:35" x14ac:dyDescent="0.25">
      <c r="B419" s="9" t="str">
        <f t="shared" si="63"/>
        <v>2 2026</v>
      </c>
      <c r="C419" s="88">
        <f t="shared" si="64"/>
        <v>46068</v>
      </c>
      <c r="D419" s="88">
        <f t="shared" si="57"/>
        <v>46069</v>
      </c>
      <c r="E419" s="89">
        <f t="shared" si="65"/>
        <v>1</v>
      </c>
      <c r="F419" s="123" t="s">
        <v>7</v>
      </c>
      <c r="H419" s="383">
        <f t="shared" si="66"/>
        <v>46068</v>
      </c>
      <c r="I419" s="329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X419" s="331"/>
      <c r="Y419" s="331"/>
      <c r="Z419" s="331"/>
      <c r="AB419" s="331"/>
      <c r="AC419" s="331"/>
      <c r="AD419" s="331"/>
      <c r="AF419" s="331"/>
      <c r="AG419" s="331"/>
      <c r="AI419" s="331"/>
    </row>
    <row r="420" spans="2:35" x14ac:dyDescent="0.25">
      <c r="B420" s="9" t="str">
        <f t="shared" si="63"/>
        <v>2 2026</v>
      </c>
      <c r="C420" s="88">
        <f t="shared" si="64"/>
        <v>46069</v>
      </c>
      <c r="D420" s="88">
        <f t="shared" si="57"/>
        <v>46070</v>
      </c>
      <c r="E420" s="89">
        <f t="shared" si="65"/>
        <v>1</v>
      </c>
      <c r="F420" s="123" t="s">
        <v>7</v>
      </c>
      <c r="H420" s="383">
        <f t="shared" si="66"/>
        <v>46069</v>
      </c>
      <c r="I420" s="329"/>
      <c r="K420" s="331"/>
      <c r="L420" s="331"/>
      <c r="M420" s="331"/>
      <c r="N420" s="331"/>
      <c r="O420" s="331"/>
      <c r="P420" s="331"/>
      <c r="Q420" s="331"/>
      <c r="R420" s="331"/>
      <c r="S420" s="331"/>
      <c r="T420" s="331"/>
      <c r="U420" s="331"/>
      <c r="V420" s="331"/>
      <c r="X420" s="331"/>
      <c r="Y420" s="331"/>
      <c r="Z420" s="331"/>
      <c r="AB420" s="331"/>
      <c r="AC420" s="331"/>
      <c r="AD420" s="331"/>
      <c r="AF420" s="331"/>
      <c r="AG420" s="331"/>
      <c r="AI420" s="331"/>
    </row>
    <row r="421" spans="2:35" x14ac:dyDescent="0.25">
      <c r="B421" s="9" t="str">
        <f t="shared" si="63"/>
        <v>2 2026</v>
      </c>
      <c r="C421" s="88">
        <f t="shared" si="64"/>
        <v>46070</v>
      </c>
      <c r="D421" s="88">
        <f t="shared" si="57"/>
        <v>46071</v>
      </c>
      <c r="E421" s="89">
        <f t="shared" si="65"/>
        <v>1</v>
      </c>
      <c r="F421" s="123" t="s">
        <v>7</v>
      </c>
      <c r="H421" s="383">
        <f t="shared" si="66"/>
        <v>46070</v>
      </c>
      <c r="I421" s="329"/>
      <c r="K421" s="331"/>
      <c r="L421" s="331"/>
      <c r="M421" s="331"/>
      <c r="N421" s="331"/>
      <c r="O421" s="331"/>
      <c r="P421" s="331"/>
      <c r="Q421" s="331"/>
      <c r="R421" s="331"/>
      <c r="S421" s="331"/>
      <c r="T421" s="331"/>
      <c r="U421" s="331"/>
      <c r="V421" s="331"/>
      <c r="X421" s="331"/>
      <c r="Y421" s="331"/>
      <c r="Z421" s="331"/>
      <c r="AB421" s="331"/>
      <c r="AC421" s="331"/>
      <c r="AD421" s="331"/>
      <c r="AF421" s="331"/>
      <c r="AG421" s="331"/>
      <c r="AI421" s="331"/>
    </row>
    <row r="422" spans="2:35" x14ac:dyDescent="0.25">
      <c r="B422" s="9" t="str">
        <f t="shared" si="63"/>
        <v>2 2026</v>
      </c>
      <c r="C422" s="88">
        <f t="shared" si="64"/>
        <v>46071</v>
      </c>
      <c r="D422" s="88">
        <f t="shared" si="57"/>
        <v>46072</v>
      </c>
      <c r="E422" s="89">
        <f t="shared" si="65"/>
        <v>1</v>
      </c>
      <c r="F422" s="123" t="s">
        <v>7</v>
      </c>
      <c r="H422" s="383">
        <f t="shared" si="66"/>
        <v>46071</v>
      </c>
      <c r="I422" s="329"/>
      <c r="K422" s="331"/>
      <c r="L422" s="331"/>
      <c r="M422" s="331"/>
      <c r="N422" s="331"/>
      <c r="O422" s="331"/>
      <c r="P422" s="331"/>
      <c r="Q422" s="331"/>
      <c r="R422" s="331"/>
      <c r="S422" s="331"/>
      <c r="T422" s="331"/>
      <c r="U422" s="331"/>
      <c r="V422" s="331"/>
      <c r="X422" s="331"/>
      <c r="Y422" s="331"/>
      <c r="Z422" s="331"/>
      <c r="AB422" s="331"/>
      <c r="AC422" s="331"/>
      <c r="AD422" s="331"/>
      <c r="AF422" s="331"/>
      <c r="AG422" s="331"/>
      <c r="AI422" s="331"/>
    </row>
    <row r="423" spans="2:35" x14ac:dyDescent="0.25">
      <c r="B423" s="9" t="str">
        <f t="shared" si="63"/>
        <v>2 2026</v>
      </c>
      <c r="C423" s="88">
        <f t="shared" si="64"/>
        <v>46072</v>
      </c>
      <c r="D423" s="88">
        <f t="shared" si="57"/>
        <v>46073</v>
      </c>
      <c r="E423" s="89">
        <f t="shared" si="65"/>
        <v>1</v>
      </c>
      <c r="F423" s="123" t="s">
        <v>7</v>
      </c>
      <c r="H423" s="383">
        <f t="shared" si="66"/>
        <v>46072</v>
      </c>
      <c r="I423" s="329"/>
      <c r="K423" s="331"/>
      <c r="L423" s="331"/>
      <c r="M423" s="331"/>
      <c r="N423" s="331"/>
      <c r="O423" s="331"/>
      <c r="P423" s="331"/>
      <c r="Q423" s="331"/>
      <c r="R423" s="331"/>
      <c r="S423" s="331"/>
      <c r="T423" s="331"/>
      <c r="U423" s="331"/>
      <c r="V423" s="331"/>
      <c r="X423" s="331"/>
      <c r="Y423" s="331"/>
      <c r="Z423" s="331"/>
      <c r="AB423" s="331"/>
      <c r="AC423" s="331"/>
      <c r="AD423" s="331"/>
      <c r="AF423" s="331"/>
      <c r="AG423" s="331"/>
      <c r="AI423" s="331"/>
    </row>
    <row r="424" spans="2:35" x14ac:dyDescent="0.25">
      <c r="B424" s="9" t="str">
        <f t="shared" si="63"/>
        <v>2 2026</v>
      </c>
      <c r="C424" s="88">
        <f t="shared" si="64"/>
        <v>46073</v>
      </c>
      <c r="D424" s="88">
        <f t="shared" si="57"/>
        <v>46074</v>
      </c>
      <c r="E424" s="89">
        <f t="shared" si="65"/>
        <v>1</v>
      </c>
      <c r="F424" s="123" t="s">
        <v>7</v>
      </c>
      <c r="H424" s="383">
        <f t="shared" si="66"/>
        <v>46073</v>
      </c>
      <c r="I424" s="329"/>
      <c r="K424" s="331"/>
      <c r="L424" s="331"/>
      <c r="M424" s="331"/>
      <c r="N424" s="331"/>
      <c r="O424" s="331"/>
      <c r="P424" s="331"/>
      <c r="Q424" s="331"/>
      <c r="R424" s="331"/>
      <c r="S424" s="331"/>
      <c r="T424" s="331"/>
      <c r="U424" s="331"/>
      <c r="V424" s="331"/>
      <c r="X424" s="331"/>
      <c r="Y424" s="331"/>
      <c r="Z424" s="331"/>
      <c r="AB424" s="331"/>
      <c r="AC424" s="331"/>
      <c r="AD424" s="331"/>
      <c r="AF424" s="331"/>
      <c r="AG424" s="331"/>
      <c r="AI424" s="331"/>
    </row>
    <row r="425" spans="2:35" x14ac:dyDescent="0.25">
      <c r="B425" s="9" t="str">
        <f t="shared" si="63"/>
        <v>2 2026</v>
      </c>
      <c r="C425" s="88">
        <f t="shared" si="64"/>
        <v>46074</v>
      </c>
      <c r="D425" s="88">
        <f t="shared" si="57"/>
        <v>46075</v>
      </c>
      <c r="E425" s="89">
        <f t="shared" si="65"/>
        <v>1</v>
      </c>
      <c r="F425" s="123" t="s">
        <v>7</v>
      </c>
      <c r="H425" s="383">
        <f t="shared" si="66"/>
        <v>46074</v>
      </c>
      <c r="I425" s="329"/>
      <c r="K425" s="331"/>
      <c r="L425" s="331"/>
      <c r="M425" s="331"/>
      <c r="N425" s="331"/>
      <c r="O425" s="331"/>
      <c r="P425" s="331"/>
      <c r="Q425" s="331"/>
      <c r="R425" s="331"/>
      <c r="S425" s="331"/>
      <c r="T425" s="331"/>
      <c r="U425" s="331"/>
      <c r="V425" s="331"/>
      <c r="X425" s="331"/>
      <c r="Y425" s="331"/>
      <c r="Z425" s="331"/>
      <c r="AB425" s="331"/>
      <c r="AC425" s="331"/>
      <c r="AD425" s="331"/>
      <c r="AF425" s="331"/>
      <c r="AG425" s="331"/>
      <c r="AI425" s="331"/>
    </row>
    <row r="426" spans="2:35" x14ac:dyDescent="0.25">
      <c r="B426" s="9" t="str">
        <f t="shared" si="63"/>
        <v>2 2026</v>
      </c>
      <c r="C426" s="88">
        <f t="shared" si="64"/>
        <v>46075</v>
      </c>
      <c r="D426" s="88">
        <f t="shared" si="57"/>
        <v>46076</v>
      </c>
      <c r="E426" s="89">
        <f t="shared" si="65"/>
        <v>1</v>
      </c>
      <c r="F426" s="123" t="s">
        <v>7</v>
      </c>
      <c r="H426" s="383">
        <f t="shared" si="66"/>
        <v>46075</v>
      </c>
      <c r="I426" s="329"/>
      <c r="K426" s="331"/>
      <c r="L426" s="331"/>
      <c r="M426" s="331"/>
      <c r="N426" s="331"/>
      <c r="O426" s="331"/>
      <c r="P426" s="331"/>
      <c r="Q426" s="331"/>
      <c r="R426" s="331"/>
      <c r="S426" s="331"/>
      <c r="T426" s="331"/>
      <c r="U426" s="331"/>
      <c r="V426" s="331"/>
      <c r="X426" s="331"/>
      <c r="Y426" s="331"/>
      <c r="Z426" s="331"/>
      <c r="AB426" s="331"/>
      <c r="AC426" s="331"/>
      <c r="AD426" s="331"/>
      <c r="AF426" s="331"/>
      <c r="AG426" s="331"/>
      <c r="AI426" s="331"/>
    </row>
    <row r="427" spans="2:35" x14ac:dyDescent="0.25">
      <c r="B427" s="9" t="str">
        <f t="shared" si="63"/>
        <v>2 2026</v>
      </c>
      <c r="C427" s="88">
        <f t="shared" si="64"/>
        <v>46076</v>
      </c>
      <c r="D427" s="88">
        <f t="shared" si="57"/>
        <v>46077</v>
      </c>
      <c r="E427" s="89">
        <f t="shared" si="65"/>
        <v>1</v>
      </c>
      <c r="F427" s="123" t="s">
        <v>7</v>
      </c>
      <c r="H427" s="383">
        <f t="shared" si="66"/>
        <v>46076</v>
      </c>
      <c r="I427" s="329"/>
      <c r="K427" s="331"/>
      <c r="L427" s="331"/>
      <c r="M427" s="331"/>
      <c r="N427" s="331"/>
      <c r="O427" s="331"/>
      <c r="P427" s="331"/>
      <c r="Q427" s="331"/>
      <c r="R427" s="331"/>
      <c r="S427" s="331"/>
      <c r="T427" s="331"/>
      <c r="U427" s="331"/>
      <c r="V427" s="331"/>
      <c r="X427" s="331"/>
      <c r="Y427" s="331"/>
      <c r="Z427" s="331"/>
      <c r="AB427" s="331"/>
      <c r="AC427" s="331"/>
      <c r="AD427" s="331"/>
      <c r="AF427" s="331"/>
      <c r="AG427" s="331"/>
      <c r="AI427" s="331"/>
    </row>
    <row r="428" spans="2:35" x14ac:dyDescent="0.25">
      <c r="B428" s="9" t="str">
        <f t="shared" si="63"/>
        <v>2 2026</v>
      </c>
      <c r="C428" s="88">
        <f t="shared" si="64"/>
        <v>46077</v>
      </c>
      <c r="D428" s="88">
        <f t="shared" si="57"/>
        <v>46078</v>
      </c>
      <c r="E428" s="89">
        <f t="shared" si="65"/>
        <v>1</v>
      </c>
      <c r="F428" s="123" t="s">
        <v>7</v>
      </c>
      <c r="H428" s="383">
        <f t="shared" si="66"/>
        <v>46077</v>
      </c>
      <c r="I428" s="329"/>
      <c r="K428" s="331"/>
      <c r="L428" s="331"/>
      <c r="M428" s="331"/>
      <c r="N428" s="331"/>
      <c r="O428" s="331"/>
      <c r="P428" s="331"/>
      <c r="Q428" s="331"/>
      <c r="R428" s="331"/>
      <c r="S428" s="331"/>
      <c r="T428" s="331"/>
      <c r="U428" s="331"/>
      <c r="V428" s="331"/>
      <c r="X428" s="331"/>
      <c r="Y428" s="331"/>
      <c r="Z428" s="331"/>
      <c r="AB428" s="331"/>
      <c r="AC428" s="331"/>
      <c r="AD428" s="331"/>
      <c r="AF428" s="331"/>
      <c r="AG428" s="331"/>
      <c r="AI428" s="331"/>
    </row>
    <row r="429" spans="2:35" x14ac:dyDescent="0.25">
      <c r="B429" s="9" t="str">
        <f t="shared" si="63"/>
        <v>2 2026</v>
      </c>
      <c r="C429" s="88">
        <f t="shared" si="64"/>
        <v>46078</v>
      </c>
      <c r="D429" s="88">
        <f t="shared" si="57"/>
        <v>46079</v>
      </c>
      <c r="E429" s="89">
        <f t="shared" si="65"/>
        <v>1</v>
      </c>
      <c r="F429" s="123" t="s">
        <v>7</v>
      </c>
      <c r="H429" s="383">
        <f t="shared" si="66"/>
        <v>46078</v>
      </c>
      <c r="I429" s="329"/>
      <c r="K429" s="331"/>
      <c r="L429" s="331"/>
      <c r="M429" s="331"/>
      <c r="N429" s="331"/>
      <c r="O429" s="331"/>
      <c r="P429" s="331"/>
      <c r="Q429" s="331"/>
      <c r="R429" s="331"/>
      <c r="S429" s="331"/>
      <c r="T429" s="331"/>
      <c r="U429" s="331"/>
      <c r="V429" s="331"/>
      <c r="X429" s="331"/>
      <c r="Y429" s="331"/>
      <c r="Z429" s="331"/>
      <c r="AB429" s="331"/>
      <c r="AC429" s="331"/>
      <c r="AD429" s="331"/>
      <c r="AF429" s="331"/>
      <c r="AG429" s="331"/>
      <c r="AI429" s="331"/>
    </row>
    <row r="430" spans="2:35" x14ac:dyDescent="0.25">
      <c r="B430" s="9" t="str">
        <f t="shared" si="63"/>
        <v>2 2026</v>
      </c>
      <c r="C430" s="88">
        <f t="shared" si="64"/>
        <v>46079</v>
      </c>
      <c r="D430" s="88">
        <f t="shared" si="57"/>
        <v>46080</v>
      </c>
      <c r="E430" s="89">
        <f t="shared" si="65"/>
        <v>1</v>
      </c>
      <c r="F430" s="123" t="s">
        <v>7</v>
      </c>
      <c r="H430" s="383">
        <f t="shared" si="66"/>
        <v>46079</v>
      </c>
      <c r="I430" s="329"/>
      <c r="K430" s="331"/>
      <c r="L430" s="331"/>
      <c r="M430" s="331"/>
      <c r="N430" s="331"/>
      <c r="O430" s="331"/>
      <c r="P430" s="331"/>
      <c r="Q430" s="331"/>
      <c r="R430" s="331"/>
      <c r="S430" s="331"/>
      <c r="T430" s="331"/>
      <c r="U430" s="331"/>
      <c r="V430" s="331"/>
      <c r="X430" s="331"/>
      <c r="Y430" s="331"/>
      <c r="Z430" s="331"/>
      <c r="AB430" s="331"/>
      <c r="AC430" s="331"/>
      <c r="AD430" s="331"/>
      <c r="AF430" s="331"/>
      <c r="AG430" s="331"/>
      <c r="AI430" s="331"/>
    </row>
    <row r="431" spans="2:35" x14ac:dyDescent="0.25">
      <c r="B431" s="9" t="str">
        <f t="shared" si="63"/>
        <v>2 2026</v>
      </c>
      <c r="C431" s="88">
        <f t="shared" si="64"/>
        <v>46080</v>
      </c>
      <c r="D431" s="88">
        <f t="shared" si="57"/>
        <v>46081</v>
      </c>
      <c r="E431" s="89">
        <f t="shared" si="65"/>
        <v>1</v>
      </c>
      <c r="F431" s="123" t="s">
        <v>7</v>
      </c>
      <c r="H431" s="383">
        <f t="shared" si="66"/>
        <v>46080</v>
      </c>
      <c r="I431" s="329"/>
      <c r="K431" s="331"/>
      <c r="L431" s="331"/>
      <c r="M431" s="331"/>
      <c r="N431" s="331"/>
      <c r="O431" s="331"/>
      <c r="P431" s="331"/>
      <c r="Q431" s="331"/>
      <c r="R431" s="331"/>
      <c r="S431" s="331"/>
      <c r="T431" s="331"/>
      <c r="U431" s="331"/>
      <c r="V431" s="331"/>
      <c r="X431" s="331"/>
      <c r="Y431" s="331"/>
      <c r="Z431" s="331"/>
      <c r="AB431" s="331"/>
      <c r="AC431" s="331"/>
      <c r="AD431" s="331"/>
      <c r="AF431" s="331"/>
      <c r="AG431" s="331"/>
      <c r="AI431" s="331"/>
    </row>
    <row r="432" spans="2:35" x14ac:dyDescent="0.25">
      <c r="B432" s="9" t="str">
        <f t="shared" si="63"/>
        <v>3 2026</v>
      </c>
      <c r="C432" s="88">
        <f t="shared" si="64"/>
        <v>46081</v>
      </c>
      <c r="D432" s="88">
        <f t="shared" si="57"/>
        <v>46082</v>
      </c>
      <c r="E432" s="89">
        <f t="shared" si="65"/>
        <v>1</v>
      </c>
      <c r="F432" s="123" t="s">
        <v>7</v>
      </c>
      <c r="H432" s="383">
        <f t="shared" si="66"/>
        <v>46081</v>
      </c>
      <c r="I432" s="329"/>
      <c r="K432" s="331"/>
      <c r="L432" s="331"/>
      <c r="M432" s="331"/>
      <c r="N432" s="331"/>
      <c r="O432" s="331"/>
      <c r="P432" s="331"/>
      <c r="Q432" s="331"/>
      <c r="R432" s="331"/>
      <c r="S432" s="331"/>
      <c r="T432" s="331"/>
      <c r="U432" s="331"/>
      <c r="V432" s="331"/>
      <c r="X432" s="331"/>
      <c r="Y432" s="331"/>
      <c r="Z432" s="331"/>
      <c r="AB432" s="331"/>
      <c r="AC432" s="331"/>
      <c r="AD432" s="331"/>
      <c r="AF432" s="331"/>
      <c r="AG432" s="331"/>
      <c r="AI432" s="331"/>
    </row>
    <row r="433" spans="2:35" x14ac:dyDescent="0.25">
      <c r="B433" s="9" t="str">
        <f t="shared" si="63"/>
        <v>3 2026</v>
      </c>
      <c r="C433" s="88">
        <f t="shared" si="64"/>
        <v>46082</v>
      </c>
      <c r="D433" s="88">
        <f t="shared" si="57"/>
        <v>46083</v>
      </c>
      <c r="E433" s="89">
        <f t="shared" si="65"/>
        <v>1</v>
      </c>
      <c r="F433" s="123" t="s">
        <v>7</v>
      </c>
      <c r="H433" s="383">
        <f t="shared" si="66"/>
        <v>46082</v>
      </c>
      <c r="I433" s="329"/>
      <c r="K433" s="331"/>
      <c r="L433" s="331"/>
      <c r="M433" s="331"/>
      <c r="N433" s="331"/>
      <c r="O433" s="331"/>
      <c r="P433" s="331"/>
      <c r="Q433" s="331"/>
      <c r="R433" s="331"/>
      <c r="S433" s="331"/>
      <c r="T433" s="331"/>
      <c r="U433" s="331"/>
      <c r="V433" s="331"/>
      <c r="X433" s="331"/>
      <c r="Y433" s="331"/>
      <c r="Z433" s="331"/>
      <c r="AB433" s="331"/>
      <c r="AC433" s="331"/>
      <c r="AD433" s="331"/>
      <c r="AF433" s="331"/>
      <c r="AG433" s="331"/>
      <c r="AI433" s="331"/>
    </row>
    <row r="434" spans="2:35" x14ac:dyDescent="0.25">
      <c r="B434" s="9" t="str">
        <f t="shared" si="63"/>
        <v>3 2026</v>
      </c>
      <c r="C434" s="88">
        <f t="shared" si="64"/>
        <v>46083</v>
      </c>
      <c r="D434" s="88">
        <f t="shared" si="57"/>
        <v>46084</v>
      </c>
      <c r="E434" s="89">
        <f t="shared" si="65"/>
        <v>1</v>
      </c>
      <c r="F434" s="123" t="s">
        <v>7</v>
      </c>
      <c r="H434" s="383">
        <f t="shared" si="66"/>
        <v>46083</v>
      </c>
      <c r="I434" s="329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X434" s="331"/>
      <c r="Y434" s="331"/>
      <c r="Z434" s="331"/>
      <c r="AB434" s="331"/>
      <c r="AC434" s="331"/>
      <c r="AD434" s="331"/>
      <c r="AF434" s="331"/>
      <c r="AG434" s="331"/>
      <c r="AI434" s="331"/>
    </row>
    <row r="435" spans="2:35" x14ac:dyDescent="0.25">
      <c r="B435" s="9" t="str">
        <f t="shared" si="63"/>
        <v>3 2026</v>
      </c>
      <c r="C435" s="88">
        <f t="shared" si="64"/>
        <v>46084</v>
      </c>
      <c r="D435" s="88">
        <f t="shared" si="57"/>
        <v>46085</v>
      </c>
      <c r="E435" s="89">
        <f t="shared" si="65"/>
        <v>1</v>
      </c>
      <c r="F435" s="123" t="s">
        <v>7</v>
      </c>
      <c r="H435" s="383">
        <f t="shared" si="66"/>
        <v>46084</v>
      </c>
      <c r="I435" s="329"/>
      <c r="K435" s="331"/>
      <c r="L435" s="331"/>
      <c r="M435" s="331"/>
      <c r="N435" s="331"/>
      <c r="O435" s="331"/>
      <c r="P435" s="331"/>
      <c r="Q435" s="331"/>
      <c r="R435" s="331"/>
      <c r="S435" s="331"/>
      <c r="T435" s="331"/>
      <c r="U435" s="331"/>
      <c r="V435" s="331"/>
      <c r="X435" s="331"/>
      <c r="Y435" s="331"/>
      <c r="Z435" s="331"/>
      <c r="AB435" s="331"/>
      <c r="AC435" s="331"/>
      <c r="AD435" s="331"/>
      <c r="AF435" s="331"/>
      <c r="AG435" s="331"/>
      <c r="AI435" s="331"/>
    </row>
    <row r="436" spans="2:35" x14ac:dyDescent="0.25">
      <c r="B436" s="9" t="str">
        <f t="shared" si="63"/>
        <v>3 2026</v>
      </c>
      <c r="C436" s="88">
        <f t="shared" si="64"/>
        <v>46085</v>
      </c>
      <c r="D436" s="88">
        <f t="shared" si="57"/>
        <v>46086</v>
      </c>
      <c r="E436" s="89">
        <f t="shared" si="65"/>
        <v>1</v>
      </c>
      <c r="F436" s="123" t="s">
        <v>7</v>
      </c>
      <c r="H436" s="383">
        <f t="shared" si="66"/>
        <v>46085</v>
      </c>
      <c r="I436" s="329"/>
      <c r="K436" s="331"/>
      <c r="L436" s="331"/>
      <c r="M436" s="331"/>
      <c r="N436" s="331"/>
      <c r="O436" s="331"/>
      <c r="P436" s="331"/>
      <c r="Q436" s="331"/>
      <c r="R436" s="331"/>
      <c r="S436" s="331"/>
      <c r="T436" s="331"/>
      <c r="U436" s="331"/>
      <c r="V436" s="331"/>
      <c r="X436" s="331"/>
      <c r="Y436" s="331"/>
      <c r="Z436" s="331"/>
      <c r="AB436" s="331"/>
      <c r="AC436" s="331"/>
      <c r="AD436" s="331"/>
      <c r="AF436" s="331"/>
      <c r="AG436" s="331"/>
      <c r="AI436" s="331"/>
    </row>
    <row r="437" spans="2:35" x14ac:dyDescent="0.25">
      <c r="B437" s="9" t="str">
        <f t="shared" si="63"/>
        <v>3 2026</v>
      </c>
      <c r="C437" s="88">
        <f t="shared" si="64"/>
        <v>46086</v>
      </c>
      <c r="D437" s="88">
        <f t="shared" si="57"/>
        <v>46087</v>
      </c>
      <c r="E437" s="89">
        <f t="shared" si="65"/>
        <v>1</v>
      </c>
      <c r="F437" s="123" t="s">
        <v>7</v>
      </c>
      <c r="H437" s="383">
        <f t="shared" si="66"/>
        <v>46086</v>
      </c>
      <c r="I437" s="329"/>
      <c r="K437" s="331"/>
      <c r="L437" s="331"/>
      <c r="M437" s="331"/>
      <c r="N437" s="331"/>
      <c r="O437" s="331"/>
      <c r="P437" s="331"/>
      <c r="Q437" s="331"/>
      <c r="R437" s="331"/>
      <c r="S437" s="331"/>
      <c r="T437" s="331"/>
      <c r="U437" s="331"/>
      <c r="V437" s="331"/>
      <c r="X437" s="331"/>
      <c r="Y437" s="331"/>
      <c r="Z437" s="331"/>
      <c r="AB437" s="331"/>
      <c r="AC437" s="331"/>
      <c r="AD437" s="331"/>
      <c r="AF437" s="331"/>
      <c r="AG437" s="331"/>
      <c r="AI437" s="331"/>
    </row>
    <row r="438" spans="2:35" x14ac:dyDescent="0.25">
      <c r="B438" s="9" t="str">
        <f t="shared" si="63"/>
        <v>3 2026</v>
      </c>
      <c r="C438" s="88">
        <f t="shared" si="64"/>
        <v>46087</v>
      </c>
      <c r="D438" s="88">
        <f t="shared" si="57"/>
        <v>46088</v>
      </c>
      <c r="E438" s="89">
        <f t="shared" si="65"/>
        <v>1</v>
      </c>
      <c r="F438" s="123" t="s">
        <v>7</v>
      </c>
      <c r="H438" s="383">
        <f t="shared" si="66"/>
        <v>46087</v>
      </c>
      <c r="I438" s="329"/>
      <c r="K438" s="331"/>
      <c r="L438" s="331"/>
      <c r="M438" s="331"/>
      <c r="N438" s="331"/>
      <c r="O438" s="331"/>
      <c r="P438" s="331"/>
      <c r="Q438" s="331"/>
      <c r="R438" s="331"/>
      <c r="S438" s="331"/>
      <c r="T438" s="331"/>
      <c r="U438" s="331"/>
      <c r="V438" s="331"/>
      <c r="X438" s="331"/>
      <c r="Y438" s="331"/>
      <c r="Z438" s="331"/>
      <c r="AB438" s="331"/>
      <c r="AC438" s="331"/>
      <c r="AD438" s="331"/>
      <c r="AF438" s="331"/>
      <c r="AG438" s="331"/>
      <c r="AI438" s="331"/>
    </row>
    <row r="439" spans="2:35" x14ac:dyDescent="0.25">
      <c r="B439" s="9" t="str">
        <f t="shared" si="63"/>
        <v>3 2026</v>
      </c>
      <c r="C439" s="88">
        <f t="shared" si="64"/>
        <v>46088</v>
      </c>
      <c r="D439" s="88">
        <f t="shared" si="57"/>
        <v>46089</v>
      </c>
      <c r="E439" s="89">
        <f t="shared" si="65"/>
        <v>1</v>
      </c>
      <c r="F439" s="123" t="s">
        <v>7</v>
      </c>
      <c r="H439" s="383">
        <f t="shared" si="66"/>
        <v>46088</v>
      </c>
      <c r="I439" s="329"/>
      <c r="K439" s="331"/>
      <c r="L439" s="331"/>
      <c r="M439" s="331"/>
      <c r="N439" s="331"/>
      <c r="O439" s="331"/>
      <c r="P439" s="331"/>
      <c r="Q439" s="331"/>
      <c r="R439" s="331"/>
      <c r="S439" s="331"/>
      <c r="T439" s="331"/>
      <c r="U439" s="331"/>
      <c r="V439" s="331"/>
      <c r="X439" s="331"/>
      <c r="Y439" s="331"/>
      <c r="Z439" s="331"/>
      <c r="AB439" s="331"/>
      <c r="AC439" s="331"/>
      <c r="AD439" s="331"/>
      <c r="AF439" s="331"/>
      <c r="AG439" s="331"/>
      <c r="AI439" s="331"/>
    </row>
    <row r="440" spans="2:35" x14ac:dyDescent="0.25">
      <c r="B440" s="9" t="str">
        <f t="shared" si="63"/>
        <v>3 2026</v>
      </c>
      <c r="C440" s="88">
        <f t="shared" si="64"/>
        <v>46089</v>
      </c>
      <c r="D440" s="88">
        <f t="shared" ref="D440:D503" si="67">D439+1</f>
        <v>46090</v>
      </c>
      <c r="E440" s="89">
        <f t="shared" si="65"/>
        <v>1</v>
      </c>
      <c r="F440" s="123" t="s">
        <v>7</v>
      </c>
      <c r="H440" s="383">
        <f t="shared" si="66"/>
        <v>46089</v>
      </c>
      <c r="I440" s="329"/>
      <c r="K440" s="331"/>
      <c r="L440" s="331"/>
      <c r="M440" s="331"/>
      <c r="N440" s="331"/>
      <c r="O440" s="331"/>
      <c r="P440" s="331"/>
      <c r="Q440" s="331"/>
      <c r="R440" s="331"/>
      <c r="S440" s="331"/>
      <c r="T440" s="331"/>
      <c r="U440" s="331"/>
      <c r="V440" s="331"/>
      <c r="X440" s="331"/>
      <c r="Y440" s="331"/>
      <c r="Z440" s="331"/>
      <c r="AB440" s="331"/>
      <c r="AC440" s="331"/>
      <c r="AD440" s="331"/>
      <c r="AF440" s="331"/>
      <c r="AG440" s="331"/>
      <c r="AI440" s="331"/>
    </row>
    <row r="441" spans="2:35" x14ac:dyDescent="0.25">
      <c r="B441" s="9" t="str">
        <f t="shared" si="63"/>
        <v>3 2026</v>
      </c>
      <c r="C441" s="88">
        <f t="shared" si="64"/>
        <v>46090</v>
      </c>
      <c r="D441" s="88">
        <f t="shared" si="67"/>
        <v>46091</v>
      </c>
      <c r="E441" s="89">
        <f t="shared" si="65"/>
        <v>1</v>
      </c>
      <c r="F441" s="123" t="s">
        <v>7</v>
      </c>
      <c r="H441" s="383">
        <f t="shared" si="66"/>
        <v>46090</v>
      </c>
      <c r="I441" s="329"/>
      <c r="K441" s="331"/>
      <c r="L441" s="331"/>
      <c r="M441" s="331"/>
      <c r="N441" s="331"/>
      <c r="O441" s="331"/>
      <c r="P441" s="331"/>
      <c r="Q441" s="331"/>
      <c r="R441" s="331"/>
      <c r="S441" s="331"/>
      <c r="T441" s="331"/>
      <c r="U441" s="331"/>
      <c r="V441" s="331"/>
      <c r="X441" s="331"/>
      <c r="Y441" s="331"/>
      <c r="Z441" s="331"/>
      <c r="AB441" s="331"/>
      <c r="AC441" s="331"/>
      <c r="AD441" s="331"/>
      <c r="AF441" s="331"/>
      <c r="AG441" s="331"/>
      <c r="AI441" s="331"/>
    </row>
    <row r="442" spans="2:35" x14ac:dyDescent="0.25">
      <c r="B442" s="9" t="str">
        <f t="shared" si="63"/>
        <v>3 2026</v>
      </c>
      <c r="C442" s="88">
        <f t="shared" si="64"/>
        <v>46091</v>
      </c>
      <c r="D442" s="88">
        <f t="shared" si="67"/>
        <v>46092</v>
      </c>
      <c r="E442" s="89">
        <f t="shared" si="65"/>
        <v>1</v>
      </c>
      <c r="F442" s="123" t="s">
        <v>7</v>
      </c>
      <c r="H442" s="383">
        <f t="shared" si="66"/>
        <v>46091</v>
      </c>
      <c r="I442" s="329"/>
      <c r="K442" s="331"/>
      <c r="L442" s="331"/>
      <c r="M442" s="331"/>
      <c r="N442" s="331"/>
      <c r="O442" s="331"/>
      <c r="P442" s="331"/>
      <c r="Q442" s="331"/>
      <c r="R442" s="331"/>
      <c r="S442" s="331"/>
      <c r="T442" s="331"/>
      <c r="U442" s="331"/>
      <c r="V442" s="331"/>
      <c r="X442" s="331"/>
      <c r="Y442" s="331"/>
      <c r="Z442" s="331"/>
      <c r="AB442" s="331"/>
      <c r="AC442" s="331"/>
      <c r="AD442" s="331"/>
      <c r="AF442" s="331"/>
      <c r="AG442" s="331"/>
      <c r="AI442" s="331"/>
    </row>
    <row r="443" spans="2:35" x14ac:dyDescent="0.25">
      <c r="B443" s="9" t="str">
        <f t="shared" si="63"/>
        <v>3 2026</v>
      </c>
      <c r="C443" s="88">
        <f t="shared" si="64"/>
        <v>46092</v>
      </c>
      <c r="D443" s="88">
        <f t="shared" si="67"/>
        <v>46093</v>
      </c>
      <c r="E443" s="89">
        <f t="shared" si="65"/>
        <v>1</v>
      </c>
      <c r="F443" s="123" t="s">
        <v>7</v>
      </c>
      <c r="H443" s="383">
        <f t="shared" si="66"/>
        <v>46092</v>
      </c>
      <c r="I443" s="329"/>
      <c r="K443" s="331"/>
      <c r="L443" s="331"/>
      <c r="M443" s="331"/>
      <c r="N443" s="331"/>
      <c r="O443" s="331"/>
      <c r="P443" s="331"/>
      <c r="Q443" s="331"/>
      <c r="R443" s="331"/>
      <c r="S443" s="331"/>
      <c r="T443" s="331"/>
      <c r="U443" s="331"/>
      <c r="V443" s="331"/>
      <c r="X443" s="331"/>
      <c r="Y443" s="331"/>
      <c r="Z443" s="331"/>
      <c r="AB443" s="331"/>
      <c r="AC443" s="331"/>
      <c r="AD443" s="331"/>
      <c r="AF443" s="331"/>
      <c r="AG443" s="331"/>
      <c r="AI443" s="331"/>
    </row>
    <row r="444" spans="2:35" x14ac:dyDescent="0.25">
      <c r="B444" s="9" t="str">
        <f t="shared" si="63"/>
        <v>3 2026</v>
      </c>
      <c r="C444" s="88">
        <f t="shared" si="64"/>
        <v>46093</v>
      </c>
      <c r="D444" s="88">
        <f t="shared" si="67"/>
        <v>46094</v>
      </c>
      <c r="E444" s="89">
        <f t="shared" si="65"/>
        <v>1</v>
      </c>
      <c r="F444" s="123" t="s">
        <v>7</v>
      </c>
      <c r="H444" s="383">
        <f t="shared" si="66"/>
        <v>46093</v>
      </c>
      <c r="I444" s="329"/>
      <c r="K444" s="331"/>
      <c r="L444" s="331"/>
      <c r="M444" s="331"/>
      <c r="N444" s="331"/>
      <c r="O444" s="331"/>
      <c r="P444" s="331"/>
      <c r="Q444" s="331"/>
      <c r="R444" s="331"/>
      <c r="S444" s="331"/>
      <c r="T444" s="331"/>
      <c r="U444" s="331"/>
      <c r="V444" s="331"/>
      <c r="X444" s="331"/>
      <c r="Y444" s="331"/>
      <c r="Z444" s="331"/>
      <c r="AB444" s="331"/>
      <c r="AC444" s="331"/>
      <c r="AD444" s="331"/>
      <c r="AF444" s="331"/>
      <c r="AG444" s="331"/>
      <c r="AI444" s="331"/>
    </row>
    <row r="445" spans="2:35" x14ac:dyDescent="0.25">
      <c r="B445" s="9" t="str">
        <f t="shared" si="63"/>
        <v>3 2026</v>
      </c>
      <c r="C445" s="88">
        <f t="shared" si="64"/>
        <v>46094</v>
      </c>
      <c r="D445" s="88">
        <f t="shared" si="67"/>
        <v>46095</v>
      </c>
      <c r="E445" s="89">
        <f t="shared" si="65"/>
        <v>1</v>
      </c>
      <c r="F445" s="123" t="s">
        <v>7</v>
      </c>
      <c r="H445" s="383">
        <f t="shared" si="66"/>
        <v>46094</v>
      </c>
      <c r="I445" s="329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X445" s="331"/>
      <c r="Y445" s="331"/>
      <c r="Z445" s="331"/>
      <c r="AB445" s="331"/>
      <c r="AC445" s="331"/>
      <c r="AD445" s="331"/>
      <c r="AF445" s="331"/>
      <c r="AG445" s="331"/>
      <c r="AI445" s="331"/>
    </row>
    <row r="446" spans="2:35" x14ac:dyDescent="0.25">
      <c r="B446" s="9" t="str">
        <f t="shared" si="63"/>
        <v>3 2026</v>
      </c>
      <c r="C446" s="88">
        <f t="shared" si="64"/>
        <v>46095</v>
      </c>
      <c r="D446" s="88">
        <f t="shared" si="67"/>
        <v>46096</v>
      </c>
      <c r="E446" s="89">
        <f t="shared" si="65"/>
        <v>1</v>
      </c>
      <c r="F446" s="123" t="s">
        <v>7</v>
      </c>
      <c r="H446" s="383">
        <f t="shared" si="66"/>
        <v>46095</v>
      </c>
      <c r="I446" s="329"/>
      <c r="K446" s="331"/>
      <c r="L446" s="331"/>
      <c r="M446" s="331"/>
      <c r="N446" s="331"/>
      <c r="O446" s="331"/>
      <c r="P446" s="331"/>
      <c r="Q446" s="331"/>
      <c r="R446" s="331"/>
      <c r="S446" s="331"/>
      <c r="T446" s="331"/>
      <c r="U446" s="331"/>
      <c r="V446" s="331"/>
      <c r="X446" s="331"/>
      <c r="Y446" s="331"/>
      <c r="Z446" s="331"/>
      <c r="AB446" s="331"/>
      <c r="AC446" s="331"/>
      <c r="AD446" s="331"/>
      <c r="AF446" s="331"/>
      <c r="AG446" s="331"/>
      <c r="AI446" s="331"/>
    </row>
    <row r="447" spans="2:35" x14ac:dyDescent="0.25">
      <c r="B447" s="9" t="str">
        <f t="shared" si="63"/>
        <v>3 2026</v>
      </c>
      <c r="C447" s="88">
        <f t="shared" si="64"/>
        <v>46096</v>
      </c>
      <c r="D447" s="88">
        <f t="shared" si="67"/>
        <v>46097</v>
      </c>
      <c r="E447" s="89">
        <f t="shared" si="65"/>
        <v>1</v>
      </c>
      <c r="F447" s="123" t="s">
        <v>7</v>
      </c>
      <c r="H447" s="383">
        <f t="shared" si="66"/>
        <v>46096</v>
      </c>
      <c r="I447" s="329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X447" s="331"/>
      <c r="Y447" s="331"/>
      <c r="Z447" s="331"/>
      <c r="AB447" s="331"/>
      <c r="AC447" s="331"/>
      <c r="AD447" s="331"/>
      <c r="AF447" s="331"/>
      <c r="AG447" s="331"/>
      <c r="AI447" s="331"/>
    </row>
    <row r="448" spans="2:35" x14ac:dyDescent="0.25">
      <c r="B448" s="9" t="str">
        <f t="shared" si="63"/>
        <v>3 2026</v>
      </c>
      <c r="C448" s="88">
        <f t="shared" si="64"/>
        <v>46097</v>
      </c>
      <c r="D448" s="88">
        <f t="shared" si="67"/>
        <v>46098</v>
      </c>
      <c r="E448" s="89">
        <f t="shared" si="65"/>
        <v>1</v>
      </c>
      <c r="F448" s="123" t="s">
        <v>7</v>
      </c>
      <c r="H448" s="383">
        <f t="shared" si="66"/>
        <v>46097</v>
      </c>
      <c r="I448" s="329"/>
      <c r="K448" s="331"/>
      <c r="L448" s="331"/>
      <c r="M448" s="331"/>
      <c r="N448" s="331"/>
      <c r="O448" s="331"/>
      <c r="P448" s="331"/>
      <c r="Q448" s="331"/>
      <c r="R448" s="331"/>
      <c r="S448" s="331"/>
      <c r="T448" s="331"/>
      <c r="U448" s="331"/>
      <c r="V448" s="331"/>
      <c r="X448" s="331"/>
      <c r="Y448" s="331"/>
      <c r="Z448" s="331"/>
      <c r="AB448" s="331"/>
      <c r="AC448" s="331"/>
      <c r="AD448" s="331"/>
      <c r="AF448" s="331"/>
      <c r="AG448" s="331"/>
      <c r="AI448" s="331"/>
    </row>
    <row r="449" spans="2:35" x14ac:dyDescent="0.25">
      <c r="B449" s="9" t="str">
        <f t="shared" si="63"/>
        <v>3 2026</v>
      </c>
      <c r="C449" s="88">
        <f t="shared" si="64"/>
        <v>46098</v>
      </c>
      <c r="D449" s="88">
        <f t="shared" si="67"/>
        <v>46099</v>
      </c>
      <c r="E449" s="89">
        <f t="shared" si="65"/>
        <v>1</v>
      </c>
      <c r="F449" s="123" t="s">
        <v>7</v>
      </c>
      <c r="H449" s="383">
        <f t="shared" si="66"/>
        <v>46098</v>
      </c>
      <c r="I449" s="329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X449" s="331"/>
      <c r="Y449" s="331"/>
      <c r="Z449" s="331"/>
      <c r="AB449" s="331"/>
      <c r="AC449" s="331"/>
      <c r="AD449" s="331"/>
      <c r="AF449" s="331"/>
      <c r="AG449" s="331"/>
      <c r="AI449" s="331"/>
    </row>
    <row r="450" spans="2:35" x14ac:dyDescent="0.25">
      <c r="B450" s="9" t="str">
        <f t="shared" si="63"/>
        <v>3 2026</v>
      </c>
      <c r="C450" s="88">
        <f t="shared" si="64"/>
        <v>46099</v>
      </c>
      <c r="D450" s="88">
        <f t="shared" si="67"/>
        <v>46100</v>
      </c>
      <c r="E450" s="89">
        <f t="shared" si="65"/>
        <v>1</v>
      </c>
      <c r="F450" s="123" t="s">
        <v>7</v>
      </c>
      <c r="H450" s="383">
        <f t="shared" si="66"/>
        <v>46099</v>
      </c>
      <c r="I450" s="329"/>
      <c r="K450" s="331"/>
      <c r="L450" s="331"/>
      <c r="M450" s="331"/>
      <c r="N450" s="331"/>
      <c r="O450" s="331"/>
      <c r="P450" s="331"/>
      <c r="Q450" s="331"/>
      <c r="R450" s="331"/>
      <c r="S450" s="331"/>
      <c r="T450" s="331"/>
      <c r="U450" s="331"/>
      <c r="V450" s="331"/>
      <c r="X450" s="331"/>
      <c r="Y450" s="331"/>
      <c r="Z450" s="331"/>
      <c r="AB450" s="331"/>
      <c r="AC450" s="331"/>
      <c r="AD450" s="331"/>
      <c r="AF450" s="331"/>
      <c r="AG450" s="331"/>
      <c r="AI450" s="331"/>
    </row>
    <row r="451" spans="2:35" x14ac:dyDescent="0.25">
      <c r="B451" s="9" t="str">
        <f t="shared" si="63"/>
        <v>3 2026</v>
      </c>
      <c r="C451" s="88">
        <f t="shared" si="64"/>
        <v>46100</v>
      </c>
      <c r="D451" s="88">
        <f t="shared" si="67"/>
        <v>46101</v>
      </c>
      <c r="E451" s="89">
        <f t="shared" si="65"/>
        <v>1</v>
      </c>
      <c r="F451" s="123" t="s">
        <v>7</v>
      </c>
      <c r="H451" s="383">
        <f t="shared" si="66"/>
        <v>46100</v>
      </c>
      <c r="I451" s="329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X451" s="331"/>
      <c r="Y451" s="331"/>
      <c r="Z451" s="331"/>
      <c r="AB451" s="331"/>
      <c r="AC451" s="331"/>
      <c r="AD451" s="331"/>
      <c r="AF451" s="331"/>
      <c r="AG451" s="331"/>
      <c r="AI451" s="331"/>
    </row>
    <row r="452" spans="2:35" x14ac:dyDescent="0.25">
      <c r="B452" s="9" t="str">
        <f t="shared" si="63"/>
        <v>3 2026</v>
      </c>
      <c r="C452" s="88">
        <f t="shared" si="64"/>
        <v>46101</v>
      </c>
      <c r="D452" s="88">
        <f t="shared" si="67"/>
        <v>46102</v>
      </c>
      <c r="E452" s="89">
        <f t="shared" si="65"/>
        <v>1</v>
      </c>
      <c r="F452" s="123" t="s">
        <v>7</v>
      </c>
      <c r="H452" s="383">
        <f t="shared" si="66"/>
        <v>46101</v>
      </c>
      <c r="I452" s="329"/>
      <c r="K452" s="331"/>
      <c r="L452" s="331"/>
      <c r="M452" s="331"/>
      <c r="N452" s="331"/>
      <c r="O452" s="331"/>
      <c r="P452" s="331"/>
      <c r="Q452" s="331"/>
      <c r="R452" s="331"/>
      <c r="S452" s="331"/>
      <c r="T452" s="331"/>
      <c r="U452" s="331"/>
      <c r="V452" s="331"/>
      <c r="X452" s="331"/>
      <c r="Y452" s="331"/>
      <c r="Z452" s="331"/>
      <c r="AB452" s="331"/>
      <c r="AC452" s="331"/>
      <c r="AD452" s="331"/>
      <c r="AF452" s="331"/>
      <c r="AG452" s="331"/>
      <c r="AI452" s="331"/>
    </row>
    <row r="453" spans="2:35" x14ac:dyDescent="0.25">
      <c r="B453" s="9" t="str">
        <f t="shared" si="63"/>
        <v>3 2026</v>
      </c>
      <c r="C453" s="88">
        <f t="shared" si="64"/>
        <v>46102</v>
      </c>
      <c r="D453" s="88">
        <f t="shared" si="67"/>
        <v>46103</v>
      </c>
      <c r="E453" s="89">
        <f t="shared" si="65"/>
        <v>1</v>
      </c>
      <c r="F453" s="123" t="s">
        <v>7</v>
      </c>
      <c r="H453" s="383">
        <f t="shared" si="66"/>
        <v>46102</v>
      </c>
      <c r="I453" s="329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X453" s="331"/>
      <c r="Y453" s="331"/>
      <c r="Z453" s="331"/>
      <c r="AB453" s="331"/>
      <c r="AC453" s="331"/>
      <c r="AD453" s="331"/>
      <c r="AF453" s="331"/>
      <c r="AG453" s="331"/>
      <c r="AI453" s="331"/>
    </row>
    <row r="454" spans="2:35" x14ac:dyDescent="0.25">
      <c r="B454" s="9" t="str">
        <f t="shared" si="63"/>
        <v>3 2026</v>
      </c>
      <c r="C454" s="88">
        <f t="shared" si="64"/>
        <v>46103</v>
      </c>
      <c r="D454" s="88">
        <f t="shared" si="67"/>
        <v>46104</v>
      </c>
      <c r="E454" s="89">
        <f t="shared" si="65"/>
        <v>1</v>
      </c>
      <c r="F454" s="123" t="s">
        <v>7</v>
      </c>
      <c r="H454" s="383">
        <f t="shared" si="66"/>
        <v>46103</v>
      </c>
      <c r="I454" s="329"/>
      <c r="K454" s="331"/>
      <c r="L454" s="331"/>
      <c r="M454" s="331"/>
      <c r="N454" s="331"/>
      <c r="O454" s="331"/>
      <c r="P454" s="331"/>
      <c r="Q454" s="331"/>
      <c r="R454" s="331"/>
      <c r="S454" s="331"/>
      <c r="T454" s="331"/>
      <c r="U454" s="331"/>
      <c r="V454" s="331"/>
      <c r="X454" s="331"/>
      <c r="Y454" s="331"/>
      <c r="Z454" s="331"/>
      <c r="AB454" s="331"/>
      <c r="AC454" s="331"/>
      <c r="AD454" s="331"/>
      <c r="AF454" s="331"/>
      <c r="AG454" s="331"/>
      <c r="AI454" s="331"/>
    </row>
    <row r="455" spans="2:35" x14ac:dyDescent="0.25">
      <c r="B455" s="9" t="str">
        <f t="shared" si="63"/>
        <v>3 2026</v>
      </c>
      <c r="C455" s="88">
        <f t="shared" si="64"/>
        <v>46104</v>
      </c>
      <c r="D455" s="88">
        <f t="shared" si="67"/>
        <v>46105</v>
      </c>
      <c r="E455" s="89">
        <f t="shared" si="65"/>
        <v>1</v>
      </c>
      <c r="F455" s="123" t="s">
        <v>7</v>
      </c>
      <c r="H455" s="383">
        <f t="shared" si="66"/>
        <v>46104</v>
      </c>
      <c r="I455" s="329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X455" s="331"/>
      <c r="Y455" s="331"/>
      <c r="Z455" s="331"/>
      <c r="AB455" s="331"/>
      <c r="AC455" s="331"/>
      <c r="AD455" s="331"/>
      <c r="AF455" s="331"/>
      <c r="AG455" s="331"/>
      <c r="AI455" s="331"/>
    </row>
    <row r="456" spans="2:35" x14ac:dyDescent="0.25">
      <c r="B456" s="9" t="str">
        <f t="shared" si="63"/>
        <v>3 2026</v>
      </c>
      <c r="C456" s="88">
        <f t="shared" si="64"/>
        <v>46105</v>
      </c>
      <c r="D456" s="88">
        <f t="shared" si="67"/>
        <v>46106</v>
      </c>
      <c r="E456" s="89">
        <f t="shared" si="65"/>
        <v>1</v>
      </c>
      <c r="F456" s="123" t="s">
        <v>7</v>
      </c>
      <c r="H456" s="383">
        <f t="shared" si="66"/>
        <v>46105</v>
      </c>
      <c r="I456" s="329"/>
      <c r="K456" s="331"/>
      <c r="L456" s="331"/>
      <c r="M456" s="331"/>
      <c r="N456" s="331"/>
      <c r="O456" s="331"/>
      <c r="P456" s="331"/>
      <c r="Q456" s="331"/>
      <c r="R456" s="331"/>
      <c r="S456" s="331"/>
      <c r="T456" s="331"/>
      <c r="U456" s="331"/>
      <c r="V456" s="331"/>
      <c r="X456" s="331"/>
      <c r="Y456" s="331"/>
      <c r="Z456" s="331"/>
      <c r="AB456" s="331"/>
      <c r="AC456" s="331"/>
      <c r="AD456" s="331"/>
      <c r="AF456" s="331"/>
      <c r="AG456" s="331"/>
      <c r="AI456" s="331"/>
    </row>
    <row r="457" spans="2:35" x14ac:dyDescent="0.25">
      <c r="B457" s="9" t="str">
        <f t="shared" si="63"/>
        <v>3 2026</v>
      </c>
      <c r="C457" s="88">
        <f t="shared" si="64"/>
        <v>46106</v>
      </c>
      <c r="D457" s="88">
        <f t="shared" si="67"/>
        <v>46107</v>
      </c>
      <c r="E457" s="89">
        <f t="shared" si="65"/>
        <v>1</v>
      </c>
      <c r="F457" s="123" t="s">
        <v>7</v>
      </c>
      <c r="H457" s="383">
        <f t="shared" si="66"/>
        <v>46106</v>
      </c>
      <c r="I457" s="329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X457" s="331"/>
      <c r="Y457" s="331"/>
      <c r="Z457" s="331"/>
      <c r="AB457" s="331"/>
      <c r="AC457" s="331"/>
      <c r="AD457" s="331"/>
      <c r="AF457" s="331"/>
      <c r="AG457" s="331"/>
      <c r="AI457" s="331"/>
    </row>
    <row r="458" spans="2:35" x14ac:dyDescent="0.25">
      <c r="B458" s="9" t="str">
        <f t="shared" si="63"/>
        <v>3 2026</v>
      </c>
      <c r="C458" s="88">
        <f t="shared" si="64"/>
        <v>46107</v>
      </c>
      <c r="D458" s="88">
        <f t="shared" si="67"/>
        <v>46108</v>
      </c>
      <c r="E458" s="89">
        <f t="shared" si="65"/>
        <v>1</v>
      </c>
      <c r="F458" s="123" t="s">
        <v>7</v>
      </c>
      <c r="H458" s="383">
        <f t="shared" si="66"/>
        <v>46107</v>
      </c>
      <c r="I458" s="329"/>
      <c r="K458" s="331"/>
      <c r="L458" s="331"/>
      <c r="M458" s="331"/>
      <c r="N458" s="331"/>
      <c r="O458" s="331"/>
      <c r="P458" s="331"/>
      <c r="Q458" s="331"/>
      <c r="R458" s="331"/>
      <c r="S458" s="331"/>
      <c r="T458" s="331"/>
      <c r="U458" s="331"/>
      <c r="V458" s="331"/>
      <c r="X458" s="331"/>
      <c r="Y458" s="331"/>
      <c r="Z458" s="331"/>
      <c r="AB458" s="331"/>
      <c r="AC458" s="331"/>
      <c r="AD458" s="331"/>
      <c r="AF458" s="331"/>
      <c r="AG458" s="331"/>
      <c r="AI458" s="331"/>
    </row>
    <row r="459" spans="2:35" x14ac:dyDescent="0.25">
      <c r="B459" s="9" t="str">
        <f t="shared" si="63"/>
        <v>3 2026</v>
      </c>
      <c r="C459" s="88">
        <f t="shared" si="64"/>
        <v>46108</v>
      </c>
      <c r="D459" s="88">
        <f t="shared" si="67"/>
        <v>46109</v>
      </c>
      <c r="E459" s="89">
        <f t="shared" si="65"/>
        <v>1</v>
      </c>
      <c r="F459" s="123" t="s">
        <v>7</v>
      </c>
      <c r="H459" s="383">
        <f t="shared" si="66"/>
        <v>46108</v>
      </c>
      <c r="I459" s="329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X459" s="331"/>
      <c r="Y459" s="331"/>
      <c r="Z459" s="331"/>
      <c r="AB459" s="331"/>
      <c r="AC459" s="331"/>
      <c r="AD459" s="331"/>
      <c r="AF459" s="331"/>
      <c r="AG459" s="331"/>
      <c r="AI459" s="331"/>
    </row>
    <row r="460" spans="2:35" x14ac:dyDescent="0.25">
      <c r="B460" s="9" t="str">
        <f t="shared" si="63"/>
        <v>3 2026</v>
      </c>
      <c r="C460" s="88">
        <f t="shared" si="64"/>
        <v>46109</v>
      </c>
      <c r="D460" s="88">
        <f t="shared" si="67"/>
        <v>46110</v>
      </c>
      <c r="E460" s="89">
        <f t="shared" si="65"/>
        <v>1</v>
      </c>
      <c r="F460" s="123" t="s">
        <v>7</v>
      </c>
      <c r="H460" s="383">
        <f t="shared" si="66"/>
        <v>46109</v>
      </c>
      <c r="I460" s="329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X460" s="331"/>
      <c r="Y460" s="331"/>
      <c r="Z460" s="331"/>
      <c r="AB460" s="331"/>
      <c r="AC460" s="331"/>
      <c r="AD460" s="331"/>
      <c r="AF460" s="331"/>
      <c r="AG460" s="331"/>
      <c r="AI460" s="331"/>
    </row>
    <row r="461" spans="2:35" x14ac:dyDescent="0.25">
      <c r="B461" s="9" t="str">
        <f t="shared" si="63"/>
        <v>3 2026</v>
      </c>
      <c r="C461" s="88">
        <f t="shared" si="64"/>
        <v>46110</v>
      </c>
      <c r="D461" s="88">
        <f t="shared" si="67"/>
        <v>46111</v>
      </c>
      <c r="E461" s="89">
        <f t="shared" si="65"/>
        <v>1</v>
      </c>
      <c r="F461" s="123" t="s">
        <v>7</v>
      </c>
      <c r="H461" s="383">
        <f t="shared" si="66"/>
        <v>46110</v>
      </c>
      <c r="I461" s="329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X461" s="331"/>
      <c r="Y461" s="331"/>
      <c r="Z461" s="331"/>
      <c r="AB461" s="331"/>
      <c r="AC461" s="331"/>
      <c r="AD461" s="331"/>
      <c r="AF461" s="331"/>
      <c r="AG461" s="331"/>
      <c r="AI461" s="331"/>
    </row>
    <row r="462" spans="2:35" x14ac:dyDescent="0.25">
      <c r="B462" s="9" t="str">
        <f t="shared" si="63"/>
        <v>3 2026</v>
      </c>
      <c r="C462" s="88">
        <f t="shared" si="64"/>
        <v>46111</v>
      </c>
      <c r="D462" s="88">
        <f t="shared" si="67"/>
        <v>46112</v>
      </c>
      <c r="E462" s="89">
        <f t="shared" si="65"/>
        <v>1</v>
      </c>
      <c r="F462" s="123" t="s">
        <v>7</v>
      </c>
      <c r="H462" s="383">
        <f t="shared" si="66"/>
        <v>46111</v>
      </c>
      <c r="I462" s="329"/>
      <c r="K462" s="331"/>
      <c r="L462" s="331"/>
      <c r="M462" s="331"/>
      <c r="N462" s="331"/>
      <c r="O462" s="331"/>
      <c r="P462" s="331"/>
      <c r="Q462" s="331"/>
      <c r="R462" s="331"/>
      <c r="S462" s="331"/>
      <c r="T462" s="331"/>
      <c r="U462" s="331"/>
      <c r="V462" s="331"/>
      <c r="X462" s="331"/>
      <c r="Y462" s="331"/>
      <c r="Z462" s="331"/>
      <c r="AB462" s="331"/>
      <c r="AC462" s="331"/>
      <c r="AD462" s="331"/>
      <c r="AF462" s="331"/>
      <c r="AG462" s="331"/>
      <c r="AI462" s="331"/>
    </row>
    <row r="463" spans="2:35" x14ac:dyDescent="0.25">
      <c r="B463" s="9" t="str">
        <f t="shared" si="63"/>
        <v>4 2026</v>
      </c>
      <c r="C463" s="88">
        <f t="shared" si="64"/>
        <v>46112</v>
      </c>
      <c r="D463" s="88">
        <f t="shared" si="67"/>
        <v>46113</v>
      </c>
      <c r="E463" s="89">
        <f t="shared" si="65"/>
        <v>1</v>
      </c>
      <c r="F463" s="123" t="s">
        <v>7</v>
      </c>
      <c r="H463" s="383">
        <f t="shared" si="66"/>
        <v>46112</v>
      </c>
      <c r="I463" s="329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X463" s="331"/>
      <c r="Y463" s="331"/>
      <c r="Z463" s="331"/>
      <c r="AB463" s="331"/>
      <c r="AC463" s="331"/>
      <c r="AD463" s="331"/>
      <c r="AF463" s="331"/>
      <c r="AG463" s="331"/>
      <c r="AI463" s="331"/>
    </row>
    <row r="464" spans="2:35" x14ac:dyDescent="0.25">
      <c r="B464" s="9" t="str">
        <f t="shared" si="63"/>
        <v>4 2026</v>
      </c>
      <c r="C464" s="88">
        <f t="shared" si="64"/>
        <v>46113</v>
      </c>
      <c r="D464" s="88">
        <f t="shared" si="67"/>
        <v>46114</v>
      </c>
      <c r="E464" s="89">
        <f t="shared" si="65"/>
        <v>1</v>
      </c>
      <c r="F464" s="123" t="s">
        <v>7</v>
      </c>
      <c r="H464" s="383">
        <f t="shared" si="66"/>
        <v>46113</v>
      </c>
      <c r="I464" s="329"/>
      <c r="K464" s="331"/>
      <c r="L464" s="331"/>
      <c r="M464" s="331"/>
      <c r="N464" s="331"/>
      <c r="O464" s="331"/>
      <c r="P464" s="331"/>
      <c r="Q464" s="331"/>
      <c r="R464" s="331"/>
      <c r="S464" s="331"/>
      <c r="T464" s="331"/>
      <c r="U464" s="331"/>
      <c r="V464" s="331"/>
      <c r="X464" s="331"/>
      <c r="Y464" s="331"/>
      <c r="Z464" s="331"/>
      <c r="AB464" s="331"/>
      <c r="AC464" s="331"/>
      <c r="AD464" s="331"/>
      <c r="AF464" s="331"/>
      <c r="AG464" s="331"/>
      <c r="AI464" s="331"/>
    </row>
    <row r="465" spans="2:35" x14ac:dyDescent="0.25">
      <c r="B465" s="9" t="str">
        <f t="shared" si="63"/>
        <v>4 2026</v>
      </c>
      <c r="C465" s="88">
        <f t="shared" si="64"/>
        <v>46114</v>
      </c>
      <c r="D465" s="88">
        <f t="shared" si="67"/>
        <v>46115</v>
      </c>
      <c r="E465" s="89">
        <f t="shared" si="65"/>
        <v>1</v>
      </c>
      <c r="F465" s="123" t="s">
        <v>7</v>
      </c>
      <c r="H465" s="383">
        <f t="shared" si="66"/>
        <v>46114</v>
      </c>
      <c r="I465" s="329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X465" s="331"/>
      <c r="Y465" s="331"/>
      <c r="Z465" s="331"/>
      <c r="AB465" s="331"/>
      <c r="AC465" s="331"/>
      <c r="AD465" s="331"/>
      <c r="AF465" s="331"/>
      <c r="AG465" s="331"/>
      <c r="AI465" s="331"/>
    </row>
    <row r="466" spans="2:35" x14ac:dyDescent="0.25">
      <c r="B466" s="9" t="str">
        <f t="shared" si="63"/>
        <v>4 2026</v>
      </c>
      <c r="C466" s="88">
        <f t="shared" si="64"/>
        <v>46115</v>
      </c>
      <c r="D466" s="88">
        <f t="shared" si="67"/>
        <v>46116</v>
      </c>
      <c r="E466" s="89">
        <f t="shared" si="65"/>
        <v>1</v>
      </c>
      <c r="F466" s="123" t="s">
        <v>7</v>
      </c>
      <c r="H466" s="383">
        <f t="shared" si="66"/>
        <v>46115</v>
      </c>
      <c r="I466" s="329"/>
      <c r="K466" s="331"/>
      <c r="L466" s="331"/>
      <c r="M466" s="331"/>
      <c r="N466" s="331"/>
      <c r="O466" s="331"/>
      <c r="P466" s="331"/>
      <c r="Q466" s="331"/>
      <c r="R466" s="331"/>
      <c r="S466" s="331"/>
      <c r="T466" s="331"/>
      <c r="U466" s="331"/>
      <c r="V466" s="331"/>
      <c r="X466" s="331"/>
      <c r="Y466" s="331"/>
      <c r="Z466" s="331"/>
      <c r="AB466" s="331"/>
      <c r="AC466" s="331"/>
      <c r="AD466" s="331"/>
      <c r="AF466" s="331"/>
      <c r="AG466" s="331"/>
      <c r="AI466" s="331"/>
    </row>
    <row r="467" spans="2:35" x14ac:dyDescent="0.25">
      <c r="B467" s="9" t="str">
        <f t="shared" si="63"/>
        <v>4 2026</v>
      </c>
      <c r="C467" s="88">
        <f t="shared" si="64"/>
        <v>46116</v>
      </c>
      <c r="D467" s="88">
        <f t="shared" si="67"/>
        <v>46117</v>
      </c>
      <c r="E467" s="89">
        <f t="shared" si="65"/>
        <v>1</v>
      </c>
      <c r="F467" s="123" t="s">
        <v>7</v>
      </c>
      <c r="H467" s="383">
        <f t="shared" si="66"/>
        <v>46116</v>
      </c>
      <c r="I467" s="329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X467" s="331"/>
      <c r="Y467" s="331"/>
      <c r="Z467" s="331"/>
      <c r="AB467" s="331"/>
      <c r="AC467" s="331"/>
      <c r="AD467" s="331"/>
      <c r="AF467" s="331"/>
      <c r="AG467" s="331"/>
      <c r="AI467" s="331"/>
    </row>
    <row r="468" spans="2:35" x14ac:dyDescent="0.25">
      <c r="B468" s="9" t="str">
        <f t="shared" si="63"/>
        <v>4 2026</v>
      </c>
      <c r="C468" s="88">
        <f t="shared" si="64"/>
        <v>46117</v>
      </c>
      <c r="D468" s="88">
        <f t="shared" si="67"/>
        <v>46118</v>
      </c>
      <c r="E468" s="89">
        <f t="shared" si="65"/>
        <v>1</v>
      </c>
      <c r="F468" s="123" t="s">
        <v>7</v>
      </c>
      <c r="H468" s="383">
        <f t="shared" si="66"/>
        <v>46117</v>
      </c>
      <c r="I468" s="329"/>
      <c r="K468" s="331"/>
      <c r="L468" s="331"/>
      <c r="M468" s="331"/>
      <c r="N468" s="331"/>
      <c r="O468" s="331"/>
      <c r="P468" s="331"/>
      <c r="Q468" s="331"/>
      <c r="R468" s="331"/>
      <c r="S468" s="331"/>
      <c r="T468" s="331"/>
      <c r="U468" s="331"/>
      <c r="V468" s="331"/>
      <c r="X468" s="331"/>
      <c r="Y468" s="331"/>
      <c r="Z468" s="331"/>
      <c r="AB468" s="331"/>
      <c r="AC468" s="331"/>
      <c r="AD468" s="331"/>
      <c r="AF468" s="331"/>
      <c r="AG468" s="331"/>
      <c r="AI468" s="331"/>
    </row>
    <row r="469" spans="2:35" x14ac:dyDescent="0.25">
      <c r="B469" s="9" t="str">
        <f t="shared" ref="B469:B532" si="68">CONCATENATE(MONTH(D469)," ",YEAR(D469))</f>
        <v>4 2026</v>
      </c>
      <c r="C469" s="88">
        <f t="shared" ref="C469:C532" si="69">D468</f>
        <v>46118</v>
      </c>
      <c r="D469" s="88">
        <f t="shared" si="67"/>
        <v>46119</v>
      </c>
      <c r="E469" s="89">
        <f t="shared" ref="E469:E532" si="70">D469-C469</f>
        <v>1</v>
      </c>
      <c r="F469" s="123" t="s">
        <v>7</v>
      </c>
      <c r="H469" s="383">
        <f t="shared" ref="H469:H532" si="71">C469</f>
        <v>46118</v>
      </c>
      <c r="I469" s="329"/>
      <c r="K469" s="331"/>
      <c r="L469" s="331"/>
      <c r="M469" s="331"/>
      <c r="N469" s="331"/>
      <c r="O469" s="331"/>
      <c r="P469" s="331"/>
      <c r="Q469" s="331"/>
      <c r="R469" s="331"/>
      <c r="S469" s="331"/>
      <c r="T469" s="331"/>
      <c r="U469" s="331"/>
      <c r="V469" s="331"/>
      <c r="X469" s="331"/>
      <c r="Y469" s="331"/>
      <c r="Z469" s="331"/>
      <c r="AB469" s="331"/>
      <c r="AC469" s="331"/>
      <c r="AD469" s="331"/>
      <c r="AF469" s="331"/>
      <c r="AG469" s="331"/>
      <c r="AI469" s="331"/>
    </row>
    <row r="470" spans="2:35" x14ac:dyDescent="0.25">
      <c r="B470" s="9" t="str">
        <f t="shared" si="68"/>
        <v>4 2026</v>
      </c>
      <c r="C470" s="88">
        <f t="shared" si="69"/>
        <v>46119</v>
      </c>
      <c r="D470" s="88">
        <f t="shared" si="67"/>
        <v>46120</v>
      </c>
      <c r="E470" s="89">
        <f t="shared" si="70"/>
        <v>1</v>
      </c>
      <c r="F470" s="123" t="s">
        <v>7</v>
      </c>
      <c r="H470" s="383">
        <f t="shared" si="71"/>
        <v>46119</v>
      </c>
      <c r="I470" s="329"/>
      <c r="K470" s="331"/>
      <c r="L470" s="331"/>
      <c r="M470" s="331"/>
      <c r="N470" s="331"/>
      <c r="O470" s="331"/>
      <c r="P470" s="331"/>
      <c r="Q470" s="331"/>
      <c r="R470" s="331"/>
      <c r="S470" s="331"/>
      <c r="T470" s="331"/>
      <c r="U470" s="331"/>
      <c r="V470" s="331"/>
      <c r="X470" s="331"/>
      <c r="Y470" s="331"/>
      <c r="Z470" s="331"/>
      <c r="AB470" s="331"/>
      <c r="AC470" s="331"/>
      <c r="AD470" s="331"/>
      <c r="AF470" s="331"/>
      <c r="AG470" s="331"/>
      <c r="AI470" s="331"/>
    </row>
    <row r="471" spans="2:35" x14ac:dyDescent="0.25">
      <c r="B471" s="9" t="str">
        <f t="shared" si="68"/>
        <v>4 2026</v>
      </c>
      <c r="C471" s="88">
        <f t="shared" si="69"/>
        <v>46120</v>
      </c>
      <c r="D471" s="88">
        <f t="shared" si="67"/>
        <v>46121</v>
      </c>
      <c r="E471" s="89">
        <f t="shared" si="70"/>
        <v>1</v>
      </c>
      <c r="F471" s="123" t="s">
        <v>7</v>
      </c>
      <c r="H471" s="383">
        <f t="shared" si="71"/>
        <v>46120</v>
      </c>
      <c r="I471" s="329"/>
      <c r="K471" s="331"/>
      <c r="L471" s="331"/>
      <c r="M471" s="331"/>
      <c r="N471" s="331"/>
      <c r="O471" s="331"/>
      <c r="P471" s="331"/>
      <c r="Q471" s="331"/>
      <c r="R471" s="331"/>
      <c r="S471" s="331"/>
      <c r="T471" s="331"/>
      <c r="U471" s="331"/>
      <c r="V471" s="331"/>
      <c r="X471" s="331"/>
      <c r="Y471" s="331"/>
      <c r="Z471" s="331"/>
      <c r="AB471" s="331"/>
      <c r="AC471" s="331"/>
      <c r="AD471" s="331"/>
      <c r="AF471" s="331"/>
      <c r="AG471" s="331"/>
      <c r="AI471" s="331"/>
    </row>
    <row r="472" spans="2:35" x14ac:dyDescent="0.25">
      <c r="B472" s="9" t="str">
        <f t="shared" si="68"/>
        <v>4 2026</v>
      </c>
      <c r="C472" s="88">
        <f t="shared" si="69"/>
        <v>46121</v>
      </c>
      <c r="D472" s="88">
        <f t="shared" si="67"/>
        <v>46122</v>
      </c>
      <c r="E472" s="89">
        <f t="shared" si="70"/>
        <v>1</v>
      </c>
      <c r="F472" s="123" t="s">
        <v>7</v>
      </c>
      <c r="H472" s="383">
        <f t="shared" si="71"/>
        <v>46121</v>
      </c>
      <c r="I472" s="329"/>
      <c r="K472" s="331"/>
      <c r="L472" s="331"/>
      <c r="M472" s="331"/>
      <c r="N472" s="331"/>
      <c r="O472" s="331"/>
      <c r="P472" s="331"/>
      <c r="Q472" s="331"/>
      <c r="R472" s="331"/>
      <c r="S472" s="331"/>
      <c r="T472" s="331"/>
      <c r="U472" s="331"/>
      <c r="V472" s="331"/>
      <c r="X472" s="331"/>
      <c r="Y472" s="331"/>
      <c r="Z472" s="331"/>
      <c r="AB472" s="331"/>
      <c r="AC472" s="331"/>
      <c r="AD472" s="331"/>
      <c r="AF472" s="331"/>
      <c r="AG472" s="331"/>
      <c r="AI472" s="331"/>
    </row>
    <row r="473" spans="2:35" x14ac:dyDescent="0.25">
      <c r="B473" s="9" t="str">
        <f t="shared" si="68"/>
        <v>4 2026</v>
      </c>
      <c r="C473" s="88">
        <f t="shared" si="69"/>
        <v>46122</v>
      </c>
      <c r="D473" s="88">
        <f t="shared" si="67"/>
        <v>46123</v>
      </c>
      <c r="E473" s="89">
        <f t="shared" si="70"/>
        <v>1</v>
      </c>
      <c r="F473" s="123" t="s">
        <v>7</v>
      </c>
      <c r="H473" s="383">
        <f t="shared" si="71"/>
        <v>46122</v>
      </c>
      <c r="I473" s="329"/>
      <c r="K473" s="331"/>
      <c r="L473" s="331"/>
      <c r="M473" s="331"/>
      <c r="N473" s="331"/>
      <c r="O473" s="331"/>
      <c r="P473" s="331"/>
      <c r="Q473" s="331"/>
      <c r="R473" s="331"/>
      <c r="S473" s="331"/>
      <c r="T473" s="331"/>
      <c r="U473" s="331"/>
      <c r="V473" s="331"/>
      <c r="X473" s="331"/>
      <c r="Y473" s="331"/>
      <c r="Z473" s="331"/>
      <c r="AB473" s="331"/>
      <c r="AC473" s="331"/>
      <c r="AD473" s="331"/>
      <c r="AF473" s="331"/>
      <c r="AG473" s="331"/>
      <c r="AI473" s="331"/>
    </row>
    <row r="474" spans="2:35" x14ac:dyDescent="0.25">
      <c r="B474" s="9" t="str">
        <f t="shared" si="68"/>
        <v>4 2026</v>
      </c>
      <c r="C474" s="88">
        <f t="shared" si="69"/>
        <v>46123</v>
      </c>
      <c r="D474" s="88">
        <f t="shared" si="67"/>
        <v>46124</v>
      </c>
      <c r="E474" s="89">
        <f t="shared" si="70"/>
        <v>1</v>
      </c>
      <c r="F474" s="123" t="s">
        <v>7</v>
      </c>
      <c r="H474" s="383">
        <f t="shared" si="71"/>
        <v>46123</v>
      </c>
      <c r="I474" s="329"/>
      <c r="K474" s="331"/>
      <c r="L474" s="331"/>
      <c r="M474" s="331"/>
      <c r="N474" s="331"/>
      <c r="O474" s="331"/>
      <c r="P474" s="331"/>
      <c r="Q474" s="331"/>
      <c r="R474" s="331"/>
      <c r="S474" s="331"/>
      <c r="T474" s="331"/>
      <c r="U474" s="331"/>
      <c r="V474" s="331"/>
      <c r="X474" s="331"/>
      <c r="Y474" s="331"/>
      <c r="Z474" s="331"/>
      <c r="AB474" s="331"/>
      <c r="AC474" s="331"/>
      <c r="AD474" s="331"/>
      <c r="AF474" s="331"/>
      <c r="AG474" s="331"/>
      <c r="AI474" s="331"/>
    </row>
    <row r="475" spans="2:35" x14ac:dyDescent="0.25">
      <c r="B475" s="9" t="str">
        <f t="shared" si="68"/>
        <v>4 2026</v>
      </c>
      <c r="C475" s="88">
        <f t="shared" si="69"/>
        <v>46124</v>
      </c>
      <c r="D475" s="88">
        <f t="shared" si="67"/>
        <v>46125</v>
      </c>
      <c r="E475" s="89">
        <f t="shared" si="70"/>
        <v>1</v>
      </c>
      <c r="F475" s="123" t="s">
        <v>7</v>
      </c>
      <c r="H475" s="383">
        <f t="shared" si="71"/>
        <v>46124</v>
      </c>
      <c r="I475" s="329"/>
      <c r="K475" s="331"/>
      <c r="L475" s="331"/>
      <c r="M475" s="331"/>
      <c r="N475" s="331"/>
      <c r="O475" s="331"/>
      <c r="P475" s="331"/>
      <c r="Q475" s="331"/>
      <c r="R475" s="331"/>
      <c r="S475" s="331"/>
      <c r="T475" s="331"/>
      <c r="U475" s="331"/>
      <c r="V475" s="331"/>
      <c r="X475" s="331"/>
      <c r="Y475" s="331"/>
      <c r="Z475" s="331"/>
      <c r="AB475" s="331"/>
      <c r="AC475" s="331"/>
      <c r="AD475" s="331"/>
      <c r="AF475" s="331"/>
      <c r="AG475" s="331"/>
      <c r="AI475" s="331"/>
    </row>
    <row r="476" spans="2:35" x14ac:dyDescent="0.25">
      <c r="B476" s="9" t="str">
        <f t="shared" si="68"/>
        <v>4 2026</v>
      </c>
      <c r="C476" s="88">
        <f t="shared" si="69"/>
        <v>46125</v>
      </c>
      <c r="D476" s="88">
        <f t="shared" si="67"/>
        <v>46126</v>
      </c>
      <c r="E476" s="89">
        <f t="shared" si="70"/>
        <v>1</v>
      </c>
      <c r="F476" s="123" t="s">
        <v>7</v>
      </c>
      <c r="H476" s="383">
        <f t="shared" si="71"/>
        <v>46125</v>
      </c>
      <c r="I476" s="329"/>
      <c r="K476" s="331"/>
      <c r="L476" s="331"/>
      <c r="M476" s="331"/>
      <c r="N476" s="331"/>
      <c r="O476" s="331"/>
      <c r="P476" s="331"/>
      <c r="Q476" s="331"/>
      <c r="R476" s="331"/>
      <c r="S476" s="331"/>
      <c r="T476" s="331"/>
      <c r="U476" s="331"/>
      <c r="V476" s="331"/>
      <c r="X476" s="331"/>
      <c r="Y476" s="331"/>
      <c r="Z476" s="331"/>
      <c r="AB476" s="331"/>
      <c r="AC476" s="331"/>
      <c r="AD476" s="331"/>
      <c r="AF476" s="331"/>
      <c r="AG476" s="331"/>
      <c r="AI476" s="331"/>
    </row>
    <row r="477" spans="2:35" x14ac:dyDescent="0.25">
      <c r="B477" s="9" t="str">
        <f t="shared" si="68"/>
        <v>4 2026</v>
      </c>
      <c r="C477" s="88">
        <f t="shared" si="69"/>
        <v>46126</v>
      </c>
      <c r="D477" s="88">
        <f t="shared" si="67"/>
        <v>46127</v>
      </c>
      <c r="E477" s="89">
        <f t="shared" si="70"/>
        <v>1</v>
      </c>
      <c r="F477" s="123" t="s">
        <v>7</v>
      </c>
      <c r="H477" s="383">
        <f t="shared" si="71"/>
        <v>46126</v>
      </c>
      <c r="I477" s="329"/>
      <c r="K477" s="331"/>
      <c r="L477" s="331"/>
      <c r="M477" s="331"/>
      <c r="N477" s="331"/>
      <c r="O477" s="331"/>
      <c r="P477" s="331"/>
      <c r="Q477" s="331"/>
      <c r="R477" s="331"/>
      <c r="S477" s="331"/>
      <c r="T477" s="331"/>
      <c r="U477" s="331"/>
      <c r="V477" s="331"/>
      <c r="X477" s="331"/>
      <c r="Y477" s="331"/>
      <c r="Z477" s="331"/>
      <c r="AB477" s="331"/>
      <c r="AC477" s="331"/>
      <c r="AD477" s="331"/>
      <c r="AF477" s="331"/>
      <c r="AG477" s="331"/>
      <c r="AI477" s="331"/>
    </row>
    <row r="478" spans="2:35" x14ac:dyDescent="0.25">
      <c r="B478" s="9" t="str">
        <f t="shared" si="68"/>
        <v>4 2026</v>
      </c>
      <c r="C478" s="88">
        <f t="shared" si="69"/>
        <v>46127</v>
      </c>
      <c r="D478" s="88">
        <f t="shared" si="67"/>
        <v>46128</v>
      </c>
      <c r="E478" s="89">
        <f t="shared" si="70"/>
        <v>1</v>
      </c>
      <c r="F478" s="123" t="s">
        <v>7</v>
      </c>
      <c r="H478" s="383">
        <f t="shared" si="71"/>
        <v>46127</v>
      </c>
      <c r="I478" s="329"/>
      <c r="K478" s="331"/>
      <c r="L478" s="331"/>
      <c r="M478" s="331"/>
      <c r="N478" s="331"/>
      <c r="O478" s="331"/>
      <c r="P478" s="331"/>
      <c r="Q478" s="331"/>
      <c r="R478" s="331"/>
      <c r="S478" s="331"/>
      <c r="T478" s="331"/>
      <c r="U478" s="331"/>
      <c r="V478" s="331"/>
      <c r="X478" s="331"/>
      <c r="Y478" s="331"/>
      <c r="Z478" s="331"/>
      <c r="AB478" s="331"/>
      <c r="AC478" s="331"/>
      <c r="AD478" s="331"/>
      <c r="AF478" s="331"/>
      <c r="AG478" s="331"/>
      <c r="AI478" s="331"/>
    </row>
    <row r="479" spans="2:35" x14ac:dyDescent="0.25">
      <c r="B479" s="9" t="str">
        <f t="shared" si="68"/>
        <v>4 2026</v>
      </c>
      <c r="C479" s="88">
        <f t="shared" si="69"/>
        <v>46128</v>
      </c>
      <c r="D479" s="88">
        <f t="shared" si="67"/>
        <v>46129</v>
      </c>
      <c r="E479" s="89">
        <f t="shared" si="70"/>
        <v>1</v>
      </c>
      <c r="F479" s="123" t="s">
        <v>7</v>
      </c>
      <c r="H479" s="383">
        <f t="shared" si="71"/>
        <v>46128</v>
      </c>
      <c r="I479" s="329"/>
      <c r="K479" s="331"/>
      <c r="L479" s="331"/>
      <c r="M479" s="331"/>
      <c r="N479" s="331"/>
      <c r="O479" s="331"/>
      <c r="P479" s="331"/>
      <c r="Q479" s="331"/>
      <c r="R479" s="331"/>
      <c r="S479" s="331"/>
      <c r="T479" s="331"/>
      <c r="U479" s="331"/>
      <c r="V479" s="331"/>
      <c r="X479" s="331"/>
      <c r="Y479" s="331"/>
      <c r="Z479" s="331"/>
      <c r="AB479" s="331"/>
      <c r="AC479" s="331"/>
      <c r="AD479" s="331"/>
      <c r="AF479" s="331"/>
      <c r="AG479" s="331"/>
      <c r="AI479" s="331"/>
    </row>
    <row r="480" spans="2:35" x14ac:dyDescent="0.25">
      <c r="B480" s="9" t="str">
        <f t="shared" si="68"/>
        <v>4 2026</v>
      </c>
      <c r="C480" s="88">
        <f t="shared" si="69"/>
        <v>46129</v>
      </c>
      <c r="D480" s="88">
        <f t="shared" si="67"/>
        <v>46130</v>
      </c>
      <c r="E480" s="89">
        <f t="shared" si="70"/>
        <v>1</v>
      </c>
      <c r="F480" s="123" t="s">
        <v>7</v>
      </c>
      <c r="H480" s="383">
        <f t="shared" si="71"/>
        <v>46129</v>
      </c>
      <c r="I480" s="329"/>
      <c r="K480" s="331"/>
      <c r="L480" s="331"/>
      <c r="M480" s="331"/>
      <c r="N480" s="331"/>
      <c r="O480" s="331"/>
      <c r="P480" s="331"/>
      <c r="Q480" s="331"/>
      <c r="R480" s="331"/>
      <c r="S480" s="331"/>
      <c r="T480" s="331"/>
      <c r="U480" s="331"/>
      <c r="V480" s="331"/>
      <c r="X480" s="331"/>
      <c r="Y480" s="331"/>
      <c r="Z480" s="331"/>
      <c r="AB480" s="331"/>
      <c r="AC480" s="331"/>
      <c r="AD480" s="331"/>
      <c r="AF480" s="331"/>
      <c r="AG480" s="331"/>
      <c r="AI480" s="331"/>
    </row>
    <row r="481" spans="2:35" x14ac:dyDescent="0.25">
      <c r="B481" s="9" t="str">
        <f t="shared" si="68"/>
        <v>4 2026</v>
      </c>
      <c r="C481" s="88">
        <f t="shared" si="69"/>
        <v>46130</v>
      </c>
      <c r="D481" s="88">
        <f t="shared" si="67"/>
        <v>46131</v>
      </c>
      <c r="E481" s="89">
        <f t="shared" si="70"/>
        <v>1</v>
      </c>
      <c r="F481" s="123" t="s">
        <v>7</v>
      </c>
      <c r="H481" s="383">
        <f t="shared" si="71"/>
        <v>46130</v>
      </c>
      <c r="I481" s="329"/>
      <c r="K481" s="331"/>
      <c r="L481" s="331"/>
      <c r="M481" s="331"/>
      <c r="N481" s="331"/>
      <c r="O481" s="331"/>
      <c r="P481" s="331"/>
      <c r="Q481" s="331"/>
      <c r="R481" s="331"/>
      <c r="S481" s="331"/>
      <c r="T481" s="331"/>
      <c r="U481" s="331"/>
      <c r="V481" s="331"/>
      <c r="X481" s="331"/>
      <c r="Y481" s="331"/>
      <c r="Z481" s="331"/>
      <c r="AB481" s="331"/>
      <c r="AC481" s="331"/>
      <c r="AD481" s="331"/>
      <c r="AF481" s="331"/>
      <c r="AG481" s="331"/>
      <c r="AI481" s="331"/>
    </row>
    <row r="482" spans="2:35" x14ac:dyDescent="0.25">
      <c r="B482" s="9" t="str">
        <f t="shared" si="68"/>
        <v>4 2026</v>
      </c>
      <c r="C482" s="88">
        <f t="shared" si="69"/>
        <v>46131</v>
      </c>
      <c r="D482" s="88">
        <f t="shared" si="67"/>
        <v>46132</v>
      </c>
      <c r="E482" s="89">
        <f t="shared" si="70"/>
        <v>1</v>
      </c>
      <c r="F482" s="123" t="s">
        <v>7</v>
      </c>
      <c r="H482" s="383">
        <f t="shared" si="71"/>
        <v>46131</v>
      </c>
      <c r="I482" s="329"/>
      <c r="K482" s="331"/>
      <c r="L482" s="331"/>
      <c r="M482" s="331"/>
      <c r="N482" s="331"/>
      <c r="O482" s="331"/>
      <c r="P482" s="331"/>
      <c r="Q482" s="331"/>
      <c r="R482" s="331"/>
      <c r="S482" s="331"/>
      <c r="T482" s="331"/>
      <c r="U482" s="331"/>
      <c r="V482" s="331"/>
      <c r="X482" s="331"/>
      <c r="Y482" s="331"/>
      <c r="Z482" s="331"/>
      <c r="AB482" s="331"/>
      <c r="AC482" s="331"/>
      <c r="AD482" s="331"/>
      <c r="AF482" s="331"/>
      <c r="AG482" s="331"/>
      <c r="AI482" s="331"/>
    </row>
    <row r="483" spans="2:35" x14ac:dyDescent="0.25">
      <c r="B483" s="9" t="str">
        <f t="shared" si="68"/>
        <v>4 2026</v>
      </c>
      <c r="C483" s="88">
        <f t="shared" si="69"/>
        <v>46132</v>
      </c>
      <c r="D483" s="88">
        <f t="shared" si="67"/>
        <v>46133</v>
      </c>
      <c r="E483" s="89">
        <f t="shared" si="70"/>
        <v>1</v>
      </c>
      <c r="F483" s="123" t="s">
        <v>7</v>
      </c>
      <c r="H483" s="383">
        <f t="shared" si="71"/>
        <v>46132</v>
      </c>
      <c r="I483" s="329"/>
      <c r="K483" s="331"/>
      <c r="L483" s="331"/>
      <c r="M483" s="331"/>
      <c r="N483" s="331"/>
      <c r="O483" s="331"/>
      <c r="P483" s="331"/>
      <c r="Q483" s="331"/>
      <c r="R483" s="331"/>
      <c r="S483" s="331"/>
      <c r="T483" s="331"/>
      <c r="U483" s="331"/>
      <c r="V483" s="331"/>
      <c r="X483" s="331"/>
      <c r="Y483" s="331"/>
      <c r="Z483" s="331"/>
      <c r="AB483" s="331"/>
      <c r="AC483" s="331"/>
      <c r="AD483" s="331"/>
      <c r="AF483" s="331"/>
      <c r="AG483" s="331"/>
      <c r="AI483" s="331"/>
    </row>
    <row r="484" spans="2:35" x14ac:dyDescent="0.25">
      <c r="B484" s="9" t="str">
        <f t="shared" si="68"/>
        <v>4 2026</v>
      </c>
      <c r="C484" s="88">
        <f t="shared" si="69"/>
        <v>46133</v>
      </c>
      <c r="D484" s="88">
        <f t="shared" si="67"/>
        <v>46134</v>
      </c>
      <c r="E484" s="89">
        <f t="shared" si="70"/>
        <v>1</v>
      </c>
      <c r="F484" s="123" t="s">
        <v>7</v>
      </c>
      <c r="H484" s="383">
        <f t="shared" si="71"/>
        <v>46133</v>
      </c>
      <c r="I484" s="329"/>
      <c r="K484" s="331"/>
      <c r="L484" s="331"/>
      <c r="M484" s="331"/>
      <c r="N484" s="331"/>
      <c r="O484" s="331"/>
      <c r="P484" s="331"/>
      <c r="Q484" s="331"/>
      <c r="R484" s="331"/>
      <c r="S484" s="331"/>
      <c r="T484" s="331"/>
      <c r="U484" s="331"/>
      <c r="V484" s="331"/>
      <c r="X484" s="331"/>
      <c r="Y484" s="331"/>
      <c r="Z484" s="331"/>
      <c r="AB484" s="331"/>
      <c r="AC484" s="331"/>
      <c r="AD484" s="331"/>
      <c r="AF484" s="331"/>
      <c r="AG484" s="331"/>
      <c r="AI484" s="331"/>
    </row>
    <row r="485" spans="2:35" x14ac:dyDescent="0.25">
      <c r="B485" s="9" t="str">
        <f t="shared" si="68"/>
        <v>4 2026</v>
      </c>
      <c r="C485" s="88">
        <f t="shared" si="69"/>
        <v>46134</v>
      </c>
      <c r="D485" s="88">
        <f t="shared" si="67"/>
        <v>46135</v>
      </c>
      <c r="E485" s="89">
        <f t="shared" si="70"/>
        <v>1</v>
      </c>
      <c r="F485" s="123" t="s">
        <v>7</v>
      </c>
      <c r="H485" s="383">
        <f t="shared" si="71"/>
        <v>46134</v>
      </c>
      <c r="I485" s="329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X485" s="331"/>
      <c r="Y485" s="331"/>
      <c r="Z485" s="331"/>
      <c r="AB485" s="331"/>
      <c r="AC485" s="331"/>
      <c r="AD485" s="331"/>
      <c r="AF485" s="331"/>
      <c r="AG485" s="331"/>
      <c r="AI485" s="331"/>
    </row>
    <row r="486" spans="2:35" x14ac:dyDescent="0.25">
      <c r="B486" s="9" t="str">
        <f t="shared" si="68"/>
        <v>4 2026</v>
      </c>
      <c r="C486" s="88">
        <f t="shared" si="69"/>
        <v>46135</v>
      </c>
      <c r="D486" s="88">
        <f t="shared" si="67"/>
        <v>46136</v>
      </c>
      <c r="E486" s="89">
        <f t="shared" si="70"/>
        <v>1</v>
      </c>
      <c r="F486" s="123" t="s">
        <v>7</v>
      </c>
      <c r="H486" s="383">
        <f t="shared" si="71"/>
        <v>46135</v>
      </c>
      <c r="I486" s="329"/>
      <c r="K486" s="331"/>
      <c r="L486" s="331"/>
      <c r="M486" s="331"/>
      <c r="N486" s="331"/>
      <c r="O486" s="331"/>
      <c r="P486" s="331"/>
      <c r="Q486" s="331"/>
      <c r="R486" s="331"/>
      <c r="S486" s="331"/>
      <c r="T486" s="331"/>
      <c r="U486" s="331"/>
      <c r="V486" s="331"/>
      <c r="X486" s="331"/>
      <c r="Y486" s="331"/>
      <c r="Z486" s="331"/>
      <c r="AB486" s="331"/>
      <c r="AC486" s="331"/>
      <c r="AD486" s="331"/>
      <c r="AF486" s="331"/>
      <c r="AG486" s="331"/>
      <c r="AI486" s="331"/>
    </row>
    <row r="487" spans="2:35" x14ac:dyDescent="0.25">
      <c r="B487" s="9" t="str">
        <f t="shared" si="68"/>
        <v>4 2026</v>
      </c>
      <c r="C487" s="88">
        <f t="shared" si="69"/>
        <v>46136</v>
      </c>
      <c r="D487" s="88">
        <f t="shared" si="67"/>
        <v>46137</v>
      </c>
      <c r="E487" s="89">
        <f t="shared" si="70"/>
        <v>1</v>
      </c>
      <c r="F487" s="123" t="s">
        <v>7</v>
      </c>
      <c r="H487" s="383">
        <f t="shared" si="71"/>
        <v>46136</v>
      </c>
      <c r="I487" s="329"/>
      <c r="K487" s="331"/>
      <c r="L487" s="331"/>
      <c r="M487" s="331"/>
      <c r="N487" s="331"/>
      <c r="O487" s="331"/>
      <c r="P487" s="331"/>
      <c r="Q487" s="331"/>
      <c r="R487" s="331"/>
      <c r="S487" s="331"/>
      <c r="T487" s="331"/>
      <c r="U487" s="331"/>
      <c r="V487" s="331"/>
      <c r="X487" s="331"/>
      <c r="Y487" s="331"/>
      <c r="Z487" s="331"/>
      <c r="AB487" s="331"/>
      <c r="AC487" s="331"/>
      <c r="AD487" s="331"/>
      <c r="AF487" s="331"/>
      <c r="AG487" s="331"/>
      <c r="AI487" s="331"/>
    </row>
    <row r="488" spans="2:35" x14ac:dyDescent="0.25">
      <c r="B488" s="9" t="str">
        <f t="shared" si="68"/>
        <v>4 2026</v>
      </c>
      <c r="C488" s="88">
        <f t="shared" si="69"/>
        <v>46137</v>
      </c>
      <c r="D488" s="88">
        <f t="shared" si="67"/>
        <v>46138</v>
      </c>
      <c r="E488" s="89">
        <f t="shared" si="70"/>
        <v>1</v>
      </c>
      <c r="F488" s="123" t="s">
        <v>7</v>
      </c>
      <c r="H488" s="383">
        <f t="shared" si="71"/>
        <v>46137</v>
      </c>
      <c r="I488" s="329"/>
      <c r="K488" s="331"/>
      <c r="L488" s="331"/>
      <c r="M488" s="331"/>
      <c r="N488" s="331"/>
      <c r="O488" s="331"/>
      <c r="P488" s="331"/>
      <c r="Q488" s="331"/>
      <c r="R488" s="331"/>
      <c r="S488" s="331"/>
      <c r="T488" s="331"/>
      <c r="U488" s="331"/>
      <c r="V488" s="331"/>
      <c r="X488" s="331"/>
      <c r="Y488" s="331"/>
      <c r="Z488" s="331"/>
      <c r="AB488" s="331"/>
      <c r="AC488" s="331"/>
      <c r="AD488" s="331"/>
      <c r="AF488" s="331"/>
      <c r="AG488" s="331"/>
      <c r="AI488" s="331"/>
    </row>
    <row r="489" spans="2:35" x14ac:dyDescent="0.25">
      <c r="B489" s="9" t="str">
        <f t="shared" si="68"/>
        <v>4 2026</v>
      </c>
      <c r="C489" s="88">
        <f t="shared" si="69"/>
        <v>46138</v>
      </c>
      <c r="D489" s="88">
        <f t="shared" si="67"/>
        <v>46139</v>
      </c>
      <c r="E489" s="89">
        <f t="shared" si="70"/>
        <v>1</v>
      </c>
      <c r="F489" s="123" t="s">
        <v>7</v>
      </c>
      <c r="H489" s="383">
        <f t="shared" si="71"/>
        <v>46138</v>
      </c>
      <c r="I489" s="329"/>
      <c r="K489" s="331"/>
      <c r="L489" s="331"/>
      <c r="M489" s="331"/>
      <c r="N489" s="331"/>
      <c r="O489" s="331"/>
      <c r="P489" s="331"/>
      <c r="Q489" s="331"/>
      <c r="R489" s="331"/>
      <c r="S489" s="331"/>
      <c r="T489" s="331"/>
      <c r="U489" s="331"/>
      <c r="V489" s="331"/>
      <c r="X489" s="331"/>
      <c r="Y489" s="331"/>
      <c r="Z489" s="331"/>
      <c r="AB489" s="331"/>
      <c r="AC489" s="331"/>
      <c r="AD489" s="331"/>
      <c r="AF489" s="331"/>
      <c r="AG489" s="331"/>
      <c r="AI489" s="331"/>
    </row>
    <row r="490" spans="2:35" x14ac:dyDescent="0.25">
      <c r="B490" s="9" t="str">
        <f t="shared" si="68"/>
        <v>4 2026</v>
      </c>
      <c r="C490" s="88">
        <f t="shared" si="69"/>
        <v>46139</v>
      </c>
      <c r="D490" s="88">
        <f t="shared" si="67"/>
        <v>46140</v>
      </c>
      <c r="E490" s="89">
        <f t="shared" si="70"/>
        <v>1</v>
      </c>
      <c r="F490" s="123" t="s">
        <v>7</v>
      </c>
      <c r="H490" s="383">
        <f t="shared" si="71"/>
        <v>46139</v>
      </c>
      <c r="I490" s="329"/>
      <c r="K490" s="331"/>
      <c r="L490" s="331"/>
      <c r="M490" s="331"/>
      <c r="N490" s="331"/>
      <c r="O490" s="331"/>
      <c r="P490" s="331"/>
      <c r="Q490" s="331"/>
      <c r="R490" s="331"/>
      <c r="S490" s="331"/>
      <c r="T490" s="331"/>
      <c r="U490" s="331"/>
      <c r="V490" s="331"/>
      <c r="X490" s="331"/>
      <c r="Y490" s="331"/>
      <c r="Z490" s="331"/>
      <c r="AB490" s="331"/>
      <c r="AC490" s="331"/>
      <c r="AD490" s="331"/>
      <c r="AF490" s="331"/>
      <c r="AG490" s="331"/>
      <c r="AI490" s="331"/>
    </row>
    <row r="491" spans="2:35" x14ac:dyDescent="0.25">
      <c r="B491" s="9" t="str">
        <f t="shared" si="68"/>
        <v>4 2026</v>
      </c>
      <c r="C491" s="88">
        <f t="shared" si="69"/>
        <v>46140</v>
      </c>
      <c r="D491" s="88">
        <f t="shared" si="67"/>
        <v>46141</v>
      </c>
      <c r="E491" s="89">
        <f t="shared" si="70"/>
        <v>1</v>
      </c>
      <c r="F491" s="123" t="s">
        <v>7</v>
      </c>
      <c r="H491" s="383">
        <f t="shared" si="71"/>
        <v>46140</v>
      </c>
      <c r="I491" s="329"/>
      <c r="K491" s="331"/>
      <c r="L491" s="331"/>
      <c r="M491" s="331"/>
      <c r="N491" s="331"/>
      <c r="O491" s="331"/>
      <c r="P491" s="331"/>
      <c r="Q491" s="331"/>
      <c r="R491" s="331"/>
      <c r="S491" s="331"/>
      <c r="T491" s="331"/>
      <c r="U491" s="331"/>
      <c r="V491" s="331"/>
      <c r="X491" s="331"/>
      <c r="Y491" s="331"/>
      <c r="Z491" s="331"/>
      <c r="AB491" s="331"/>
      <c r="AC491" s="331"/>
      <c r="AD491" s="331"/>
      <c r="AF491" s="331"/>
      <c r="AG491" s="331"/>
      <c r="AI491" s="331"/>
    </row>
    <row r="492" spans="2:35" x14ac:dyDescent="0.25">
      <c r="B492" s="9" t="str">
        <f t="shared" si="68"/>
        <v>4 2026</v>
      </c>
      <c r="C492" s="88">
        <f t="shared" si="69"/>
        <v>46141</v>
      </c>
      <c r="D492" s="88">
        <f t="shared" si="67"/>
        <v>46142</v>
      </c>
      <c r="E492" s="89">
        <f t="shared" si="70"/>
        <v>1</v>
      </c>
      <c r="F492" s="123" t="s">
        <v>7</v>
      </c>
      <c r="H492" s="383">
        <f t="shared" si="71"/>
        <v>46141</v>
      </c>
      <c r="I492" s="329"/>
      <c r="K492" s="331"/>
      <c r="L492" s="331"/>
      <c r="M492" s="331"/>
      <c r="N492" s="331"/>
      <c r="O492" s="331"/>
      <c r="P492" s="331"/>
      <c r="Q492" s="331"/>
      <c r="R492" s="331"/>
      <c r="S492" s="331"/>
      <c r="T492" s="331"/>
      <c r="U492" s="331"/>
      <c r="V492" s="331"/>
      <c r="X492" s="331"/>
      <c r="Y492" s="331"/>
      <c r="Z492" s="331"/>
      <c r="AB492" s="331"/>
      <c r="AC492" s="331"/>
      <c r="AD492" s="331"/>
      <c r="AF492" s="331"/>
      <c r="AG492" s="331"/>
      <c r="AI492" s="331"/>
    </row>
    <row r="493" spans="2:35" x14ac:dyDescent="0.25">
      <c r="B493" s="9" t="str">
        <f t="shared" si="68"/>
        <v>5 2026</v>
      </c>
      <c r="C493" s="88">
        <f t="shared" si="69"/>
        <v>46142</v>
      </c>
      <c r="D493" s="88">
        <f t="shared" si="67"/>
        <v>46143</v>
      </c>
      <c r="E493" s="89">
        <f t="shared" si="70"/>
        <v>1</v>
      </c>
      <c r="F493" s="123" t="s">
        <v>7</v>
      </c>
      <c r="H493" s="383">
        <f t="shared" si="71"/>
        <v>46142</v>
      </c>
      <c r="I493" s="329"/>
      <c r="K493" s="331"/>
      <c r="L493" s="331"/>
      <c r="M493" s="331"/>
      <c r="N493" s="331"/>
      <c r="O493" s="331"/>
      <c r="P493" s="331"/>
      <c r="Q493" s="331"/>
      <c r="R493" s="331"/>
      <c r="S493" s="331"/>
      <c r="T493" s="331"/>
      <c r="U493" s="331"/>
      <c r="V493" s="331"/>
      <c r="X493" s="331"/>
      <c r="Y493" s="331"/>
      <c r="Z493" s="331"/>
      <c r="AB493" s="331"/>
      <c r="AC493" s="331"/>
      <c r="AD493" s="331"/>
      <c r="AF493" s="331"/>
      <c r="AG493" s="331"/>
      <c r="AI493" s="331"/>
    </row>
    <row r="494" spans="2:35" x14ac:dyDescent="0.25">
      <c r="B494" s="9" t="str">
        <f t="shared" si="68"/>
        <v>5 2026</v>
      </c>
      <c r="C494" s="88">
        <f t="shared" si="69"/>
        <v>46143</v>
      </c>
      <c r="D494" s="88">
        <f t="shared" si="67"/>
        <v>46144</v>
      </c>
      <c r="E494" s="89">
        <f t="shared" si="70"/>
        <v>1</v>
      </c>
      <c r="F494" s="123" t="s">
        <v>7</v>
      </c>
      <c r="H494" s="383">
        <f t="shared" si="71"/>
        <v>46143</v>
      </c>
      <c r="I494" s="329"/>
      <c r="K494" s="331"/>
      <c r="L494" s="331"/>
      <c r="M494" s="331"/>
      <c r="N494" s="331"/>
      <c r="O494" s="331"/>
      <c r="P494" s="331"/>
      <c r="Q494" s="331"/>
      <c r="R494" s="331"/>
      <c r="S494" s="331"/>
      <c r="T494" s="331"/>
      <c r="U494" s="331"/>
      <c r="V494" s="331"/>
      <c r="X494" s="331"/>
      <c r="Y494" s="331"/>
      <c r="Z494" s="331"/>
      <c r="AB494" s="331"/>
      <c r="AC494" s="331"/>
      <c r="AD494" s="331"/>
      <c r="AF494" s="331"/>
      <c r="AG494" s="331"/>
      <c r="AI494" s="331"/>
    </row>
    <row r="495" spans="2:35" x14ac:dyDescent="0.25">
      <c r="B495" s="9" t="str">
        <f t="shared" si="68"/>
        <v>5 2026</v>
      </c>
      <c r="C495" s="88">
        <f t="shared" si="69"/>
        <v>46144</v>
      </c>
      <c r="D495" s="88">
        <f t="shared" si="67"/>
        <v>46145</v>
      </c>
      <c r="E495" s="89">
        <f t="shared" si="70"/>
        <v>1</v>
      </c>
      <c r="F495" s="123" t="s">
        <v>7</v>
      </c>
      <c r="H495" s="383">
        <f t="shared" si="71"/>
        <v>46144</v>
      </c>
      <c r="I495" s="329"/>
      <c r="K495" s="331"/>
      <c r="L495" s="331"/>
      <c r="M495" s="331"/>
      <c r="N495" s="331"/>
      <c r="O495" s="331"/>
      <c r="P495" s="331"/>
      <c r="Q495" s="331"/>
      <c r="R495" s="331"/>
      <c r="S495" s="331"/>
      <c r="T495" s="331"/>
      <c r="U495" s="331"/>
      <c r="V495" s="331"/>
      <c r="X495" s="331"/>
      <c r="Y495" s="331"/>
      <c r="Z495" s="331"/>
      <c r="AB495" s="331"/>
      <c r="AC495" s="331"/>
      <c r="AD495" s="331"/>
      <c r="AF495" s="331"/>
      <c r="AG495" s="331"/>
      <c r="AI495" s="331"/>
    </row>
    <row r="496" spans="2:35" x14ac:dyDescent="0.25">
      <c r="B496" s="9" t="str">
        <f t="shared" si="68"/>
        <v>5 2026</v>
      </c>
      <c r="C496" s="88">
        <f t="shared" si="69"/>
        <v>46145</v>
      </c>
      <c r="D496" s="88">
        <f t="shared" si="67"/>
        <v>46146</v>
      </c>
      <c r="E496" s="89">
        <f t="shared" si="70"/>
        <v>1</v>
      </c>
      <c r="F496" s="123" t="s">
        <v>7</v>
      </c>
      <c r="H496" s="383">
        <f t="shared" si="71"/>
        <v>46145</v>
      </c>
      <c r="I496" s="329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X496" s="331"/>
      <c r="Y496" s="331"/>
      <c r="Z496" s="331"/>
      <c r="AB496" s="331"/>
      <c r="AC496" s="331"/>
      <c r="AD496" s="331"/>
      <c r="AF496" s="331"/>
      <c r="AG496" s="331"/>
      <c r="AI496" s="331"/>
    </row>
    <row r="497" spans="2:35" x14ac:dyDescent="0.25">
      <c r="B497" s="9" t="str">
        <f t="shared" si="68"/>
        <v>5 2026</v>
      </c>
      <c r="C497" s="88">
        <f t="shared" si="69"/>
        <v>46146</v>
      </c>
      <c r="D497" s="88">
        <f t="shared" si="67"/>
        <v>46147</v>
      </c>
      <c r="E497" s="89">
        <f t="shared" si="70"/>
        <v>1</v>
      </c>
      <c r="F497" s="123" t="s">
        <v>7</v>
      </c>
      <c r="H497" s="383">
        <f t="shared" si="71"/>
        <v>46146</v>
      </c>
      <c r="I497" s="329"/>
      <c r="K497" s="331"/>
      <c r="L497" s="331"/>
      <c r="M497" s="331"/>
      <c r="N497" s="331"/>
      <c r="O497" s="331"/>
      <c r="P497" s="331"/>
      <c r="Q497" s="331"/>
      <c r="R497" s="331"/>
      <c r="S497" s="331"/>
      <c r="T497" s="331"/>
      <c r="U497" s="331"/>
      <c r="V497" s="331"/>
      <c r="X497" s="331"/>
      <c r="Y497" s="331"/>
      <c r="Z497" s="331"/>
      <c r="AB497" s="331"/>
      <c r="AC497" s="331"/>
      <c r="AD497" s="331"/>
      <c r="AF497" s="331"/>
      <c r="AG497" s="331"/>
      <c r="AI497" s="331"/>
    </row>
    <row r="498" spans="2:35" x14ac:dyDescent="0.25">
      <c r="B498" s="9" t="str">
        <f t="shared" si="68"/>
        <v>5 2026</v>
      </c>
      <c r="C498" s="88">
        <f t="shared" si="69"/>
        <v>46147</v>
      </c>
      <c r="D498" s="88">
        <f t="shared" si="67"/>
        <v>46148</v>
      </c>
      <c r="E498" s="89">
        <f t="shared" si="70"/>
        <v>1</v>
      </c>
      <c r="F498" s="123" t="s">
        <v>7</v>
      </c>
      <c r="H498" s="383">
        <f t="shared" si="71"/>
        <v>46147</v>
      </c>
      <c r="I498" s="329"/>
      <c r="K498" s="331"/>
      <c r="L498" s="331"/>
      <c r="M498" s="331"/>
      <c r="N498" s="331"/>
      <c r="O498" s="331"/>
      <c r="P498" s="331"/>
      <c r="Q498" s="331"/>
      <c r="R498" s="331"/>
      <c r="S498" s="331"/>
      <c r="T498" s="331"/>
      <c r="U498" s="331"/>
      <c r="V498" s="331"/>
      <c r="X498" s="331"/>
      <c r="Y498" s="331"/>
      <c r="Z498" s="331"/>
      <c r="AB498" s="331"/>
      <c r="AC498" s="331"/>
      <c r="AD498" s="331"/>
      <c r="AF498" s="331"/>
      <c r="AG498" s="331"/>
      <c r="AI498" s="331"/>
    </row>
    <row r="499" spans="2:35" x14ac:dyDescent="0.25">
      <c r="B499" s="9" t="str">
        <f t="shared" si="68"/>
        <v>5 2026</v>
      </c>
      <c r="C499" s="88">
        <f t="shared" si="69"/>
        <v>46148</v>
      </c>
      <c r="D499" s="88">
        <f t="shared" si="67"/>
        <v>46149</v>
      </c>
      <c r="E499" s="89">
        <f t="shared" si="70"/>
        <v>1</v>
      </c>
      <c r="F499" s="123" t="s">
        <v>7</v>
      </c>
      <c r="H499" s="383">
        <f t="shared" si="71"/>
        <v>46148</v>
      </c>
      <c r="I499" s="329"/>
      <c r="K499" s="331"/>
      <c r="L499" s="331"/>
      <c r="M499" s="331"/>
      <c r="N499" s="331"/>
      <c r="O499" s="331"/>
      <c r="P499" s="331"/>
      <c r="Q499" s="331"/>
      <c r="R499" s="331"/>
      <c r="S499" s="331"/>
      <c r="T499" s="331"/>
      <c r="U499" s="331"/>
      <c r="V499" s="331"/>
      <c r="X499" s="331"/>
      <c r="Y499" s="331"/>
      <c r="Z499" s="331"/>
      <c r="AB499" s="331"/>
      <c r="AC499" s="331"/>
      <c r="AD499" s="331"/>
      <c r="AF499" s="331"/>
      <c r="AG499" s="331"/>
      <c r="AI499" s="331"/>
    </row>
    <row r="500" spans="2:35" x14ac:dyDescent="0.25">
      <c r="B500" s="9" t="str">
        <f t="shared" si="68"/>
        <v>5 2026</v>
      </c>
      <c r="C500" s="88">
        <f t="shared" si="69"/>
        <v>46149</v>
      </c>
      <c r="D500" s="88">
        <f t="shared" si="67"/>
        <v>46150</v>
      </c>
      <c r="E500" s="89">
        <f t="shared" si="70"/>
        <v>1</v>
      </c>
      <c r="F500" s="123" t="s">
        <v>7</v>
      </c>
      <c r="H500" s="383">
        <f t="shared" si="71"/>
        <v>46149</v>
      </c>
      <c r="I500" s="329"/>
      <c r="K500" s="331"/>
      <c r="L500" s="331"/>
      <c r="M500" s="331"/>
      <c r="N500" s="331"/>
      <c r="O500" s="331"/>
      <c r="P500" s="331"/>
      <c r="Q500" s="331"/>
      <c r="R500" s="331"/>
      <c r="S500" s="331"/>
      <c r="T500" s="331"/>
      <c r="U500" s="331"/>
      <c r="V500" s="331"/>
      <c r="X500" s="331"/>
      <c r="Y500" s="331"/>
      <c r="Z500" s="331"/>
      <c r="AB500" s="331"/>
      <c r="AC500" s="331"/>
      <c r="AD500" s="331"/>
      <c r="AF500" s="331"/>
      <c r="AG500" s="331"/>
      <c r="AI500" s="331"/>
    </row>
    <row r="501" spans="2:35" x14ac:dyDescent="0.25">
      <c r="B501" s="9" t="str">
        <f t="shared" si="68"/>
        <v>5 2026</v>
      </c>
      <c r="C501" s="88">
        <f t="shared" si="69"/>
        <v>46150</v>
      </c>
      <c r="D501" s="88">
        <f t="shared" si="67"/>
        <v>46151</v>
      </c>
      <c r="E501" s="89">
        <f t="shared" si="70"/>
        <v>1</v>
      </c>
      <c r="F501" s="123" t="s">
        <v>7</v>
      </c>
      <c r="H501" s="383">
        <f t="shared" si="71"/>
        <v>46150</v>
      </c>
      <c r="I501" s="329"/>
      <c r="K501" s="331"/>
      <c r="L501" s="331"/>
      <c r="M501" s="331"/>
      <c r="N501" s="331"/>
      <c r="O501" s="331"/>
      <c r="P501" s="331"/>
      <c r="Q501" s="331"/>
      <c r="R501" s="331"/>
      <c r="S501" s="331"/>
      <c r="T501" s="331"/>
      <c r="U501" s="331"/>
      <c r="V501" s="331"/>
      <c r="X501" s="331"/>
      <c r="Y501" s="331"/>
      <c r="Z501" s="331"/>
      <c r="AB501" s="331"/>
      <c r="AC501" s="331"/>
      <c r="AD501" s="331"/>
      <c r="AF501" s="331"/>
      <c r="AG501" s="331"/>
      <c r="AI501" s="331"/>
    </row>
    <row r="502" spans="2:35" x14ac:dyDescent="0.25">
      <c r="B502" s="9" t="str">
        <f t="shared" si="68"/>
        <v>5 2026</v>
      </c>
      <c r="C502" s="88">
        <f t="shared" si="69"/>
        <v>46151</v>
      </c>
      <c r="D502" s="88">
        <f t="shared" si="67"/>
        <v>46152</v>
      </c>
      <c r="E502" s="89">
        <f t="shared" si="70"/>
        <v>1</v>
      </c>
      <c r="F502" s="123" t="s">
        <v>7</v>
      </c>
      <c r="H502" s="383">
        <f t="shared" si="71"/>
        <v>46151</v>
      </c>
      <c r="I502" s="329"/>
      <c r="K502" s="331"/>
      <c r="L502" s="331"/>
      <c r="M502" s="331"/>
      <c r="N502" s="331"/>
      <c r="O502" s="331"/>
      <c r="P502" s="331"/>
      <c r="Q502" s="331"/>
      <c r="R502" s="331"/>
      <c r="S502" s="331"/>
      <c r="T502" s="331"/>
      <c r="U502" s="331"/>
      <c r="V502" s="331"/>
      <c r="X502" s="331"/>
      <c r="Y502" s="331"/>
      <c r="Z502" s="331"/>
      <c r="AB502" s="331"/>
      <c r="AC502" s="331"/>
      <c r="AD502" s="331"/>
      <c r="AF502" s="331"/>
      <c r="AG502" s="331"/>
      <c r="AI502" s="331"/>
    </row>
    <row r="503" spans="2:35" x14ac:dyDescent="0.25">
      <c r="B503" s="9" t="str">
        <f t="shared" si="68"/>
        <v>5 2026</v>
      </c>
      <c r="C503" s="88">
        <f t="shared" si="69"/>
        <v>46152</v>
      </c>
      <c r="D503" s="88">
        <f t="shared" si="67"/>
        <v>46153</v>
      </c>
      <c r="E503" s="89">
        <f t="shared" si="70"/>
        <v>1</v>
      </c>
      <c r="F503" s="123" t="s">
        <v>7</v>
      </c>
      <c r="H503" s="383">
        <f t="shared" si="71"/>
        <v>46152</v>
      </c>
      <c r="I503" s="329"/>
      <c r="K503" s="331"/>
      <c r="L503" s="331"/>
      <c r="M503" s="331"/>
      <c r="N503" s="331"/>
      <c r="O503" s="331"/>
      <c r="P503" s="331"/>
      <c r="Q503" s="331"/>
      <c r="R503" s="331"/>
      <c r="S503" s="331"/>
      <c r="T503" s="331"/>
      <c r="U503" s="331"/>
      <c r="V503" s="331"/>
      <c r="X503" s="331"/>
      <c r="Y503" s="331"/>
      <c r="Z503" s="331"/>
      <c r="AB503" s="331"/>
      <c r="AC503" s="331"/>
      <c r="AD503" s="331"/>
      <c r="AF503" s="331"/>
      <c r="AG503" s="331"/>
      <c r="AI503" s="331"/>
    </row>
    <row r="504" spans="2:35" x14ac:dyDescent="0.25">
      <c r="B504" s="9" t="str">
        <f t="shared" si="68"/>
        <v>5 2026</v>
      </c>
      <c r="C504" s="88">
        <f t="shared" si="69"/>
        <v>46153</v>
      </c>
      <c r="D504" s="88">
        <f t="shared" ref="D504:D567" si="72">D503+1</f>
        <v>46154</v>
      </c>
      <c r="E504" s="89">
        <f t="shared" si="70"/>
        <v>1</v>
      </c>
      <c r="F504" s="123" t="s">
        <v>7</v>
      </c>
      <c r="H504" s="383">
        <f t="shared" si="71"/>
        <v>46153</v>
      </c>
      <c r="I504" s="329"/>
      <c r="K504" s="331"/>
      <c r="L504" s="331"/>
      <c r="M504" s="331"/>
      <c r="N504" s="331"/>
      <c r="O504" s="331"/>
      <c r="P504" s="331"/>
      <c r="Q504" s="331"/>
      <c r="R504" s="331"/>
      <c r="S504" s="331"/>
      <c r="T504" s="331"/>
      <c r="U504" s="331"/>
      <c r="V504" s="331"/>
      <c r="X504" s="331"/>
      <c r="Y504" s="331"/>
      <c r="Z504" s="331"/>
      <c r="AB504" s="331"/>
      <c r="AC504" s="331"/>
      <c r="AD504" s="331"/>
      <c r="AF504" s="331"/>
      <c r="AG504" s="331"/>
      <c r="AI504" s="331"/>
    </row>
    <row r="505" spans="2:35" x14ac:dyDescent="0.25">
      <c r="B505" s="9" t="str">
        <f t="shared" si="68"/>
        <v>5 2026</v>
      </c>
      <c r="C505" s="88">
        <f t="shared" si="69"/>
        <v>46154</v>
      </c>
      <c r="D505" s="88">
        <f t="shared" si="72"/>
        <v>46155</v>
      </c>
      <c r="E505" s="89">
        <f t="shared" si="70"/>
        <v>1</v>
      </c>
      <c r="F505" s="123" t="s">
        <v>7</v>
      </c>
      <c r="H505" s="383">
        <f t="shared" si="71"/>
        <v>46154</v>
      </c>
      <c r="I505" s="329"/>
      <c r="K505" s="331"/>
      <c r="L505" s="331"/>
      <c r="M505" s="331"/>
      <c r="N505" s="331"/>
      <c r="O505" s="331"/>
      <c r="P505" s="331"/>
      <c r="Q505" s="331"/>
      <c r="R505" s="331"/>
      <c r="S505" s="331"/>
      <c r="T505" s="331"/>
      <c r="U505" s="331"/>
      <c r="V505" s="331"/>
      <c r="X505" s="331"/>
      <c r="Y505" s="331"/>
      <c r="Z505" s="331"/>
      <c r="AB505" s="331"/>
      <c r="AC505" s="331"/>
      <c r="AD505" s="331"/>
      <c r="AF505" s="331"/>
      <c r="AG505" s="331"/>
      <c r="AI505" s="331"/>
    </row>
    <row r="506" spans="2:35" x14ac:dyDescent="0.25">
      <c r="B506" s="9" t="str">
        <f t="shared" si="68"/>
        <v>5 2026</v>
      </c>
      <c r="C506" s="88">
        <f t="shared" si="69"/>
        <v>46155</v>
      </c>
      <c r="D506" s="88">
        <f t="shared" si="72"/>
        <v>46156</v>
      </c>
      <c r="E506" s="89">
        <f t="shared" si="70"/>
        <v>1</v>
      </c>
      <c r="F506" s="123" t="s">
        <v>7</v>
      </c>
      <c r="H506" s="383">
        <f t="shared" si="71"/>
        <v>46155</v>
      </c>
      <c r="I506" s="329"/>
      <c r="K506" s="331"/>
      <c r="L506" s="331"/>
      <c r="M506" s="331"/>
      <c r="N506" s="331"/>
      <c r="O506" s="331"/>
      <c r="P506" s="331"/>
      <c r="Q506" s="331"/>
      <c r="R506" s="331"/>
      <c r="S506" s="331"/>
      <c r="T506" s="331"/>
      <c r="U506" s="331"/>
      <c r="V506" s="331"/>
      <c r="X506" s="331"/>
      <c r="Y506" s="331"/>
      <c r="Z506" s="331"/>
      <c r="AB506" s="331"/>
      <c r="AC506" s="331"/>
      <c r="AD506" s="331"/>
      <c r="AF506" s="331"/>
      <c r="AG506" s="331"/>
      <c r="AI506" s="331"/>
    </row>
    <row r="507" spans="2:35" x14ac:dyDescent="0.25">
      <c r="B507" s="9" t="str">
        <f t="shared" si="68"/>
        <v>5 2026</v>
      </c>
      <c r="C507" s="88">
        <f t="shared" si="69"/>
        <v>46156</v>
      </c>
      <c r="D507" s="88">
        <f t="shared" si="72"/>
        <v>46157</v>
      </c>
      <c r="E507" s="89">
        <f t="shared" si="70"/>
        <v>1</v>
      </c>
      <c r="F507" s="123" t="s">
        <v>7</v>
      </c>
      <c r="H507" s="383">
        <f t="shared" si="71"/>
        <v>46156</v>
      </c>
      <c r="I507" s="329"/>
      <c r="K507" s="331"/>
      <c r="L507" s="331"/>
      <c r="M507" s="331"/>
      <c r="N507" s="331"/>
      <c r="O507" s="331"/>
      <c r="P507" s="331"/>
      <c r="Q507" s="331"/>
      <c r="R507" s="331"/>
      <c r="S507" s="331"/>
      <c r="T507" s="331"/>
      <c r="U507" s="331"/>
      <c r="V507" s="331"/>
      <c r="X507" s="331"/>
      <c r="Y507" s="331"/>
      <c r="Z507" s="331"/>
      <c r="AB507" s="331"/>
      <c r="AC507" s="331"/>
      <c r="AD507" s="331"/>
      <c r="AF507" s="331"/>
      <c r="AG507" s="331"/>
      <c r="AI507" s="331"/>
    </row>
    <row r="508" spans="2:35" x14ac:dyDescent="0.25">
      <c r="B508" s="9" t="str">
        <f t="shared" si="68"/>
        <v>5 2026</v>
      </c>
      <c r="C508" s="88">
        <f t="shared" si="69"/>
        <v>46157</v>
      </c>
      <c r="D508" s="88">
        <f t="shared" si="72"/>
        <v>46158</v>
      </c>
      <c r="E508" s="89">
        <f t="shared" si="70"/>
        <v>1</v>
      </c>
      <c r="F508" s="123" t="s">
        <v>7</v>
      </c>
      <c r="H508" s="383">
        <f t="shared" si="71"/>
        <v>46157</v>
      </c>
      <c r="I508" s="329"/>
      <c r="K508" s="331"/>
      <c r="L508" s="331"/>
      <c r="M508" s="331"/>
      <c r="N508" s="331"/>
      <c r="O508" s="331"/>
      <c r="P508" s="331"/>
      <c r="Q508" s="331"/>
      <c r="R508" s="331"/>
      <c r="S508" s="331"/>
      <c r="T508" s="331"/>
      <c r="U508" s="331"/>
      <c r="V508" s="331"/>
      <c r="X508" s="331"/>
      <c r="Y508" s="331"/>
      <c r="Z508" s="331"/>
      <c r="AB508" s="331"/>
      <c r="AC508" s="331"/>
      <c r="AD508" s="331"/>
      <c r="AF508" s="331"/>
      <c r="AG508" s="331"/>
      <c r="AI508" s="331"/>
    </row>
    <row r="509" spans="2:35" x14ac:dyDescent="0.25">
      <c r="B509" s="9" t="str">
        <f t="shared" si="68"/>
        <v>5 2026</v>
      </c>
      <c r="C509" s="88">
        <f t="shared" si="69"/>
        <v>46158</v>
      </c>
      <c r="D509" s="88">
        <f t="shared" si="72"/>
        <v>46159</v>
      </c>
      <c r="E509" s="89">
        <f t="shared" si="70"/>
        <v>1</v>
      </c>
      <c r="F509" s="123" t="s">
        <v>7</v>
      </c>
      <c r="H509" s="383">
        <f t="shared" si="71"/>
        <v>46158</v>
      </c>
      <c r="I509" s="329"/>
      <c r="K509" s="331"/>
      <c r="L509" s="331"/>
      <c r="M509" s="331"/>
      <c r="N509" s="331"/>
      <c r="O509" s="331"/>
      <c r="P509" s="331"/>
      <c r="Q509" s="331"/>
      <c r="R509" s="331"/>
      <c r="S509" s="331"/>
      <c r="T509" s="331"/>
      <c r="U509" s="331"/>
      <c r="V509" s="331"/>
      <c r="X509" s="331"/>
      <c r="Y509" s="331"/>
      <c r="Z509" s="331"/>
      <c r="AB509" s="331"/>
      <c r="AC509" s="331"/>
      <c r="AD509" s="331"/>
      <c r="AF509" s="331"/>
      <c r="AG509" s="331"/>
      <c r="AI509" s="331"/>
    </row>
    <row r="510" spans="2:35" x14ac:dyDescent="0.25">
      <c r="B510" s="9" t="str">
        <f t="shared" si="68"/>
        <v>5 2026</v>
      </c>
      <c r="C510" s="88">
        <f t="shared" si="69"/>
        <v>46159</v>
      </c>
      <c r="D510" s="88">
        <f t="shared" si="72"/>
        <v>46160</v>
      </c>
      <c r="E510" s="89">
        <f t="shared" si="70"/>
        <v>1</v>
      </c>
      <c r="F510" s="123" t="s">
        <v>7</v>
      </c>
      <c r="H510" s="383">
        <f t="shared" si="71"/>
        <v>46159</v>
      </c>
      <c r="I510" s="329"/>
      <c r="K510" s="331"/>
      <c r="L510" s="331"/>
      <c r="M510" s="331"/>
      <c r="N510" s="331"/>
      <c r="O510" s="331"/>
      <c r="P510" s="331"/>
      <c r="Q510" s="331"/>
      <c r="R510" s="331"/>
      <c r="S510" s="331"/>
      <c r="T510" s="331"/>
      <c r="U510" s="331"/>
      <c r="V510" s="331"/>
      <c r="X510" s="331"/>
      <c r="Y510" s="331"/>
      <c r="Z510" s="331"/>
      <c r="AB510" s="331"/>
      <c r="AC510" s="331"/>
      <c r="AD510" s="331"/>
      <c r="AF510" s="331"/>
      <c r="AG510" s="331"/>
      <c r="AI510" s="331"/>
    </row>
    <row r="511" spans="2:35" x14ac:dyDescent="0.25">
      <c r="B511" s="9" t="str">
        <f t="shared" si="68"/>
        <v>5 2026</v>
      </c>
      <c r="C511" s="88">
        <f t="shared" si="69"/>
        <v>46160</v>
      </c>
      <c r="D511" s="88">
        <f t="shared" si="72"/>
        <v>46161</v>
      </c>
      <c r="E511" s="89">
        <f t="shared" si="70"/>
        <v>1</v>
      </c>
      <c r="F511" s="123" t="s">
        <v>7</v>
      </c>
      <c r="H511" s="383">
        <f t="shared" si="71"/>
        <v>46160</v>
      </c>
      <c r="I511" s="329"/>
      <c r="K511" s="331"/>
      <c r="L511" s="331"/>
      <c r="M511" s="331"/>
      <c r="N511" s="331"/>
      <c r="O511" s="331"/>
      <c r="P511" s="331"/>
      <c r="Q511" s="331"/>
      <c r="R511" s="331"/>
      <c r="S511" s="331"/>
      <c r="T511" s="331"/>
      <c r="U511" s="331"/>
      <c r="V511" s="331"/>
      <c r="X511" s="331"/>
      <c r="Y511" s="331"/>
      <c r="Z511" s="331"/>
      <c r="AB511" s="331"/>
      <c r="AC511" s="331"/>
      <c r="AD511" s="331"/>
      <c r="AF511" s="331"/>
      <c r="AG511" s="331"/>
      <c r="AI511" s="331"/>
    </row>
    <row r="512" spans="2:35" x14ac:dyDescent="0.25">
      <c r="B512" s="9" t="str">
        <f t="shared" si="68"/>
        <v>5 2026</v>
      </c>
      <c r="C512" s="88">
        <f t="shared" si="69"/>
        <v>46161</v>
      </c>
      <c r="D512" s="88">
        <f t="shared" si="72"/>
        <v>46162</v>
      </c>
      <c r="E512" s="89">
        <f t="shared" si="70"/>
        <v>1</v>
      </c>
      <c r="F512" s="123" t="s">
        <v>7</v>
      </c>
      <c r="H512" s="383">
        <f t="shared" si="71"/>
        <v>46161</v>
      </c>
      <c r="I512" s="329"/>
      <c r="K512" s="331"/>
      <c r="L512" s="331"/>
      <c r="M512" s="331"/>
      <c r="N512" s="331"/>
      <c r="O512" s="331"/>
      <c r="P512" s="331"/>
      <c r="Q512" s="331"/>
      <c r="R512" s="331"/>
      <c r="S512" s="331"/>
      <c r="T512" s="331"/>
      <c r="U512" s="331"/>
      <c r="V512" s="331"/>
      <c r="X512" s="331"/>
      <c r="Y512" s="331"/>
      <c r="Z512" s="331"/>
      <c r="AB512" s="331"/>
      <c r="AC512" s="331"/>
      <c r="AD512" s="331"/>
      <c r="AF512" s="331"/>
      <c r="AG512" s="331"/>
      <c r="AI512" s="331"/>
    </row>
    <row r="513" spans="2:35" x14ac:dyDescent="0.25">
      <c r="B513" s="9" t="str">
        <f t="shared" si="68"/>
        <v>5 2026</v>
      </c>
      <c r="C513" s="88">
        <f t="shared" si="69"/>
        <v>46162</v>
      </c>
      <c r="D513" s="88">
        <f t="shared" si="72"/>
        <v>46163</v>
      </c>
      <c r="E513" s="89">
        <f t="shared" si="70"/>
        <v>1</v>
      </c>
      <c r="F513" s="123" t="s">
        <v>7</v>
      </c>
      <c r="H513" s="383">
        <f t="shared" si="71"/>
        <v>46162</v>
      </c>
      <c r="I513" s="329"/>
      <c r="K513" s="331"/>
      <c r="L513" s="331"/>
      <c r="M513" s="331"/>
      <c r="N513" s="331"/>
      <c r="O513" s="331"/>
      <c r="P513" s="331"/>
      <c r="Q513" s="331"/>
      <c r="R513" s="331"/>
      <c r="S513" s="331"/>
      <c r="T513" s="331"/>
      <c r="U513" s="331"/>
      <c r="V513" s="331"/>
      <c r="X513" s="331"/>
      <c r="Y513" s="331"/>
      <c r="Z513" s="331"/>
      <c r="AB513" s="331"/>
      <c r="AC513" s="331"/>
      <c r="AD513" s="331"/>
      <c r="AF513" s="331"/>
      <c r="AG513" s="331"/>
      <c r="AI513" s="331"/>
    </row>
    <row r="514" spans="2:35" x14ac:dyDescent="0.25">
      <c r="B514" s="9" t="str">
        <f t="shared" si="68"/>
        <v>5 2026</v>
      </c>
      <c r="C514" s="88">
        <f t="shared" si="69"/>
        <v>46163</v>
      </c>
      <c r="D514" s="88">
        <f t="shared" si="72"/>
        <v>46164</v>
      </c>
      <c r="E514" s="89">
        <f t="shared" si="70"/>
        <v>1</v>
      </c>
      <c r="F514" s="123" t="s">
        <v>7</v>
      </c>
      <c r="H514" s="383">
        <f t="shared" si="71"/>
        <v>46163</v>
      </c>
      <c r="I514" s="329"/>
      <c r="K514" s="331"/>
      <c r="L514" s="331"/>
      <c r="M514" s="331"/>
      <c r="N514" s="331"/>
      <c r="O514" s="331"/>
      <c r="P514" s="331"/>
      <c r="Q514" s="331"/>
      <c r="R514" s="331"/>
      <c r="S514" s="331"/>
      <c r="T514" s="331"/>
      <c r="U514" s="331"/>
      <c r="V514" s="331"/>
      <c r="X514" s="331"/>
      <c r="Y514" s="331"/>
      <c r="Z514" s="331"/>
      <c r="AB514" s="331"/>
      <c r="AC514" s="331"/>
      <c r="AD514" s="331"/>
      <c r="AF514" s="331"/>
      <c r="AG514" s="331"/>
      <c r="AI514" s="331"/>
    </row>
    <row r="515" spans="2:35" x14ac:dyDescent="0.25">
      <c r="B515" s="9" t="str">
        <f t="shared" si="68"/>
        <v>5 2026</v>
      </c>
      <c r="C515" s="88">
        <f t="shared" si="69"/>
        <v>46164</v>
      </c>
      <c r="D515" s="88">
        <f t="shared" si="72"/>
        <v>46165</v>
      </c>
      <c r="E515" s="89">
        <f t="shared" si="70"/>
        <v>1</v>
      </c>
      <c r="F515" s="123" t="s">
        <v>7</v>
      </c>
      <c r="H515" s="383">
        <f t="shared" si="71"/>
        <v>46164</v>
      </c>
      <c r="I515" s="329"/>
      <c r="K515" s="331"/>
      <c r="L515" s="331"/>
      <c r="M515" s="331"/>
      <c r="N515" s="331"/>
      <c r="O515" s="331"/>
      <c r="P515" s="331"/>
      <c r="Q515" s="331"/>
      <c r="R515" s="331"/>
      <c r="S515" s="331"/>
      <c r="T515" s="331"/>
      <c r="U515" s="331"/>
      <c r="V515" s="331"/>
      <c r="X515" s="331"/>
      <c r="Y515" s="331"/>
      <c r="Z515" s="331"/>
      <c r="AB515" s="331"/>
      <c r="AC515" s="331"/>
      <c r="AD515" s="331"/>
      <c r="AF515" s="331"/>
      <c r="AG515" s="331"/>
      <c r="AI515" s="331"/>
    </row>
    <row r="516" spans="2:35" x14ac:dyDescent="0.25">
      <c r="B516" s="9" t="str">
        <f t="shared" si="68"/>
        <v>5 2026</v>
      </c>
      <c r="C516" s="88">
        <f t="shared" si="69"/>
        <v>46165</v>
      </c>
      <c r="D516" s="88">
        <f t="shared" si="72"/>
        <v>46166</v>
      </c>
      <c r="E516" s="89">
        <f t="shared" si="70"/>
        <v>1</v>
      </c>
      <c r="F516" s="123" t="s">
        <v>7</v>
      </c>
      <c r="H516" s="383">
        <f t="shared" si="71"/>
        <v>46165</v>
      </c>
      <c r="I516" s="329"/>
      <c r="K516" s="331"/>
      <c r="L516" s="331"/>
      <c r="M516" s="331"/>
      <c r="N516" s="331"/>
      <c r="O516" s="331"/>
      <c r="P516" s="331"/>
      <c r="Q516" s="331"/>
      <c r="R516" s="331"/>
      <c r="S516" s="331"/>
      <c r="T516" s="331"/>
      <c r="U516" s="331"/>
      <c r="V516" s="331"/>
      <c r="X516" s="331"/>
      <c r="Y516" s="331"/>
      <c r="Z516" s="331"/>
      <c r="AB516" s="331"/>
      <c r="AC516" s="331"/>
      <c r="AD516" s="331"/>
      <c r="AF516" s="331"/>
      <c r="AG516" s="331"/>
      <c r="AI516" s="331"/>
    </row>
    <row r="517" spans="2:35" x14ac:dyDescent="0.25">
      <c r="B517" s="9" t="str">
        <f t="shared" si="68"/>
        <v>5 2026</v>
      </c>
      <c r="C517" s="88">
        <f t="shared" si="69"/>
        <v>46166</v>
      </c>
      <c r="D517" s="88">
        <f t="shared" si="72"/>
        <v>46167</v>
      </c>
      <c r="E517" s="89">
        <f t="shared" si="70"/>
        <v>1</v>
      </c>
      <c r="F517" s="123" t="s">
        <v>7</v>
      </c>
      <c r="H517" s="383">
        <f t="shared" si="71"/>
        <v>46166</v>
      </c>
      <c r="I517" s="329"/>
      <c r="K517" s="331"/>
      <c r="L517" s="331"/>
      <c r="M517" s="331"/>
      <c r="N517" s="331"/>
      <c r="O517" s="331"/>
      <c r="P517" s="331"/>
      <c r="Q517" s="331"/>
      <c r="R517" s="331"/>
      <c r="S517" s="331"/>
      <c r="T517" s="331"/>
      <c r="U517" s="331"/>
      <c r="V517" s="331"/>
      <c r="X517" s="331"/>
      <c r="Y517" s="331"/>
      <c r="Z517" s="331"/>
      <c r="AB517" s="331"/>
      <c r="AC517" s="331"/>
      <c r="AD517" s="331"/>
      <c r="AF517" s="331"/>
      <c r="AG517" s="331"/>
      <c r="AI517" s="331"/>
    </row>
    <row r="518" spans="2:35" x14ac:dyDescent="0.25">
      <c r="B518" s="9" t="str">
        <f t="shared" si="68"/>
        <v>5 2026</v>
      </c>
      <c r="C518" s="88">
        <f t="shared" si="69"/>
        <v>46167</v>
      </c>
      <c r="D518" s="88">
        <f t="shared" si="72"/>
        <v>46168</v>
      </c>
      <c r="E518" s="89">
        <f t="shared" si="70"/>
        <v>1</v>
      </c>
      <c r="F518" s="123" t="s">
        <v>7</v>
      </c>
      <c r="H518" s="383">
        <f t="shared" si="71"/>
        <v>46167</v>
      </c>
      <c r="I518" s="329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X518" s="331"/>
      <c r="Y518" s="331"/>
      <c r="Z518" s="331"/>
      <c r="AB518" s="331"/>
      <c r="AC518" s="331"/>
      <c r="AD518" s="331"/>
      <c r="AF518" s="331"/>
      <c r="AG518" s="331"/>
      <c r="AI518" s="331"/>
    </row>
    <row r="519" spans="2:35" x14ac:dyDescent="0.25">
      <c r="B519" s="9" t="str">
        <f t="shared" si="68"/>
        <v>5 2026</v>
      </c>
      <c r="C519" s="88">
        <f t="shared" si="69"/>
        <v>46168</v>
      </c>
      <c r="D519" s="88">
        <f t="shared" si="72"/>
        <v>46169</v>
      </c>
      <c r="E519" s="89">
        <f t="shared" si="70"/>
        <v>1</v>
      </c>
      <c r="F519" s="123" t="s">
        <v>7</v>
      </c>
      <c r="H519" s="383">
        <f t="shared" si="71"/>
        <v>46168</v>
      </c>
      <c r="I519" s="329"/>
      <c r="K519" s="331"/>
      <c r="L519" s="331"/>
      <c r="M519" s="331"/>
      <c r="N519" s="331"/>
      <c r="O519" s="331"/>
      <c r="P519" s="331"/>
      <c r="Q519" s="331"/>
      <c r="R519" s="331"/>
      <c r="S519" s="331"/>
      <c r="T519" s="331"/>
      <c r="U519" s="331"/>
      <c r="V519" s="331"/>
      <c r="X519" s="331"/>
      <c r="Y519" s="331"/>
      <c r="Z519" s="331"/>
      <c r="AB519" s="331"/>
      <c r="AC519" s="331"/>
      <c r="AD519" s="331"/>
      <c r="AF519" s="331"/>
      <c r="AG519" s="331"/>
      <c r="AI519" s="331"/>
    </row>
    <row r="520" spans="2:35" x14ac:dyDescent="0.25">
      <c r="B520" s="9" t="str">
        <f t="shared" si="68"/>
        <v>5 2026</v>
      </c>
      <c r="C520" s="88">
        <f t="shared" si="69"/>
        <v>46169</v>
      </c>
      <c r="D520" s="88">
        <f t="shared" si="72"/>
        <v>46170</v>
      </c>
      <c r="E520" s="89">
        <f t="shared" si="70"/>
        <v>1</v>
      </c>
      <c r="F520" s="123" t="s">
        <v>7</v>
      </c>
      <c r="H520" s="383">
        <f t="shared" si="71"/>
        <v>46169</v>
      </c>
      <c r="I520" s="329"/>
      <c r="K520" s="331"/>
      <c r="L520" s="331"/>
      <c r="M520" s="331"/>
      <c r="N520" s="331"/>
      <c r="O520" s="331"/>
      <c r="P520" s="331"/>
      <c r="Q520" s="331"/>
      <c r="R520" s="331"/>
      <c r="S520" s="331"/>
      <c r="T520" s="331"/>
      <c r="U520" s="331"/>
      <c r="V520" s="331"/>
      <c r="X520" s="331"/>
      <c r="Y520" s="331"/>
      <c r="Z520" s="331"/>
      <c r="AB520" s="331"/>
      <c r="AC520" s="331"/>
      <c r="AD520" s="331"/>
      <c r="AF520" s="331"/>
      <c r="AG520" s="331"/>
      <c r="AI520" s="331"/>
    </row>
    <row r="521" spans="2:35" x14ac:dyDescent="0.25">
      <c r="B521" s="9" t="str">
        <f t="shared" si="68"/>
        <v>5 2026</v>
      </c>
      <c r="C521" s="88">
        <f t="shared" si="69"/>
        <v>46170</v>
      </c>
      <c r="D521" s="88">
        <f t="shared" si="72"/>
        <v>46171</v>
      </c>
      <c r="E521" s="89">
        <f t="shared" si="70"/>
        <v>1</v>
      </c>
      <c r="F521" s="123" t="s">
        <v>7</v>
      </c>
      <c r="H521" s="383">
        <f t="shared" si="71"/>
        <v>46170</v>
      </c>
      <c r="I521" s="329"/>
      <c r="K521" s="331"/>
      <c r="L521" s="331"/>
      <c r="M521" s="331"/>
      <c r="N521" s="331"/>
      <c r="O521" s="331"/>
      <c r="P521" s="331"/>
      <c r="Q521" s="331"/>
      <c r="R521" s="331"/>
      <c r="S521" s="331"/>
      <c r="T521" s="331"/>
      <c r="U521" s="331"/>
      <c r="V521" s="331"/>
      <c r="X521" s="331"/>
      <c r="Y521" s="331"/>
      <c r="Z521" s="331"/>
      <c r="AB521" s="331"/>
      <c r="AC521" s="331"/>
      <c r="AD521" s="331"/>
      <c r="AF521" s="331"/>
      <c r="AG521" s="331"/>
      <c r="AI521" s="331"/>
    </row>
    <row r="522" spans="2:35" x14ac:dyDescent="0.25">
      <c r="B522" s="9" t="str">
        <f t="shared" si="68"/>
        <v>5 2026</v>
      </c>
      <c r="C522" s="88">
        <f t="shared" si="69"/>
        <v>46171</v>
      </c>
      <c r="D522" s="88">
        <f t="shared" si="72"/>
        <v>46172</v>
      </c>
      <c r="E522" s="89">
        <f t="shared" si="70"/>
        <v>1</v>
      </c>
      <c r="F522" s="123" t="s">
        <v>7</v>
      </c>
      <c r="H522" s="383">
        <f t="shared" si="71"/>
        <v>46171</v>
      </c>
      <c r="I522" s="329"/>
      <c r="K522" s="331"/>
      <c r="L522" s="331"/>
      <c r="M522" s="331"/>
      <c r="N522" s="331"/>
      <c r="O522" s="331"/>
      <c r="P522" s="331"/>
      <c r="Q522" s="331"/>
      <c r="R522" s="331"/>
      <c r="S522" s="331"/>
      <c r="T522" s="331"/>
      <c r="U522" s="331"/>
      <c r="V522" s="331"/>
      <c r="X522" s="331"/>
      <c r="Y522" s="331"/>
      <c r="Z522" s="331"/>
      <c r="AB522" s="331"/>
      <c r="AC522" s="331"/>
      <c r="AD522" s="331"/>
      <c r="AF522" s="331"/>
      <c r="AG522" s="331"/>
      <c r="AI522" s="331"/>
    </row>
    <row r="523" spans="2:35" x14ac:dyDescent="0.25">
      <c r="B523" s="9" t="str">
        <f t="shared" si="68"/>
        <v>5 2026</v>
      </c>
      <c r="C523" s="88">
        <f t="shared" si="69"/>
        <v>46172</v>
      </c>
      <c r="D523" s="88">
        <f t="shared" si="72"/>
        <v>46173</v>
      </c>
      <c r="E523" s="89">
        <f t="shared" si="70"/>
        <v>1</v>
      </c>
      <c r="F523" s="123" t="s">
        <v>7</v>
      </c>
      <c r="H523" s="383">
        <f t="shared" si="71"/>
        <v>46172</v>
      </c>
      <c r="I523" s="329"/>
      <c r="K523" s="331"/>
      <c r="L523" s="331"/>
      <c r="M523" s="331"/>
      <c r="N523" s="331"/>
      <c r="O523" s="331"/>
      <c r="P523" s="331"/>
      <c r="Q523" s="331"/>
      <c r="R523" s="331"/>
      <c r="S523" s="331"/>
      <c r="T523" s="331"/>
      <c r="U523" s="331"/>
      <c r="V523" s="331"/>
      <c r="X523" s="331"/>
      <c r="Y523" s="331"/>
      <c r="Z523" s="331"/>
      <c r="AB523" s="331"/>
      <c r="AC523" s="331"/>
      <c r="AD523" s="331"/>
      <c r="AF523" s="331"/>
      <c r="AG523" s="331"/>
      <c r="AI523" s="331"/>
    </row>
    <row r="524" spans="2:35" x14ac:dyDescent="0.25">
      <c r="B524" s="9" t="str">
        <f t="shared" si="68"/>
        <v>6 2026</v>
      </c>
      <c r="C524" s="88">
        <f t="shared" si="69"/>
        <v>46173</v>
      </c>
      <c r="D524" s="88">
        <f t="shared" si="72"/>
        <v>46174</v>
      </c>
      <c r="E524" s="89">
        <f t="shared" si="70"/>
        <v>1</v>
      </c>
      <c r="F524" s="123" t="s">
        <v>7</v>
      </c>
      <c r="H524" s="383">
        <f t="shared" si="71"/>
        <v>46173</v>
      </c>
      <c r="I524" s="329"/>
      <c r="K524" s="331"/>
      <c r="L524" s="331"/>
      <c r="M524" s="331"/>
      <c r="N524" s="331"/>
      <c r="O524" s="331"/>
      <c r="P524" s="331"/>
      <c r="Q524" s="331"/>
      <c r="R524" s="331"/>
      <c r="S524" s="331"/>
      <c r="T524" s="331"/>
      <c r="U524" s="331"/>
      <c r="V524" s="331"/>
      <c r="X524" s="331"/>
      <c r="Y524" s="331"/>
      <c r="Z524" s="331"/>
      <c r="AB524" s="331"/>
      <c r="AC524" s="331"/>
      <c r="AD524" s="331"/>
      <c r="AF524" s="331"/>
      <c r="AG524" s="331"/>
      <c r="AI524" s="331"/>
    </row>
    <row r="525" spans="2:35" x14ac:dyDescent="0.25">
      <c r="B525" s="9" t="str">
        <f t="shared" si="68"/>
        <v>6 2026</v>
      </c>
      <c r="C525" s="88">
        <f t="shared" si="69"/>
        <v>46174</v>
      </c>
      <c r="D525" s="88">
        <f t="shared" si="72"/>
        <v>46175</v>
      </c>
      <c r="E525" s="89">
        <f t="shared" si="70"/>
        <v>1</v>
      </c>
      <c r="F525" s="123" t="s">
        <v>7</v>
      </c>
      <c r="H525" s="383">
        <f t="shared" si="71"/>
        <v>46174</v>
      </c>
      <c r="I525" s="329"/>
      <c r="K525" s="331"/>
      <c r="L525" s="331"/>
      <c r="M525" s="331"/>
      <c r="N525" s="331"/>
      <c r="O525" s="331"/>
      <c r="P525" s="331"/>
      <c r="Q525" s="331"/>
      <c r="R525" s="331"/>
      <c r="S525" s="331"/>
      <c r="T525" s="331"/>
      <c r="U525" s="331"/>
      <c r="V525" s="331"/>
      <c r="X525" s="331"/>
      <c r="Y525" s="331"/>
      <c r="Z525" s="331"/>
      <c r="AB525" s="331"/>
      <c r="AC525" s="331"/>
      <c r="AD525" s="331"/>
      <c r="AF525" s="331"/>
      <c r="AG525" s="331"/>
      <c r="AI525" s="331"/>
    </row>
    <row r="526" spans="2:35" x14ac:dyDescent="0.25">
      <c r="B526" s="9" t="str">
        <f t="shared" si="68"/>
        <v>6 2026</v>
      </c>
      <c r="C526" s="88">
        <f t="shared" si="69"/>
        <v>46175</v>
      </c>
      <c r="D526" s="88">
        <f t="shared" si="72"/>
        <v>46176</v>
      </c>
      <c r="E526" s="89">
        <f t="shared" si="70"/>
        <v>1</v>
      </c>
      <c r="F526" s="123" t="s">
        <v>7</v>
      </c>
      <c r="H526" s="383">
        <f t="shared" si="71"/>
        <v>46175</v>
      </c>
      <c r="I526" s="329"/>
      <c r="K526" s="331"/>
      <c r="L526" s="331"/>
      <c r="M526" s="331"/>
      <c r="N526" s="331"/>
      <c r="O526" s="331"/>
      <c r="P526" s="331"/>
      <c r="Q526" s="331"/>
      <c r="R526" s="331"/>
      <c r="S526" s="331"/>
      <c r="T526" s="331"/>
      <c r="U526" s="331"/>
      <c r="V526" s="331"/>
      <c r="X526" s="331"/>
      <c r="Y526" s="331"/>
      <c r="Z526" s="331"/>
      <c r="AB526" s="331"/>
      <c r="AC526" s="331"/>
      <c r="AD526" s="331"/>
      <c r="AF526" s="331"/>
      <c r="AG526" s="331"/>
      <c r="AI526" s="331"/>
    </row>
    <row r="527" spans="2:35" x14ac:dyDescent="0.25">
      <c r="B527" s="9" t="str">
        <f t="shared" si="68"/>
        <v>6 2026</v>
      </c>
      <c r="C527" s="88">
        <f t="shared" si="69"/>
        <v>46176</v>
      </c>
      <c r="D527" s="88">
        <f t="shared" si="72"/>
        <v>46177</v>
      </c>
      <c r="E527" s="89">
        <f t="shared" si="70"/>
        <v>1</v>
      </c>
      <c r="F527" s="123" t="s">
        <v>7</v>
      </c>
      <c r="H527" s="383">
        <f t="shared" si="71"/>
        <v>46176</v>
      </c>
      <c r="I527" s="329"/>
      <c r="K527" s="331"/>
      <c r="L527" s="331"/>
      <c r="M527" s="331"/>
      <c r="N527" s="331"/>
      <c r="O527" s="331"/>
      <c r="P527" s="331"/>
      <c r="Q527" s="331"/>
      <c r="R527" s="331"/>
      <c r="S527" s="331"/>
      <c r="T527" s="331"/>
      <c r="U527" s="331"/>
      <c r="V527" s="331"/>
      <c r="X527" s="331"/>
      <c r="Y527" s="331"/>
      <c r="Z527" s="331"/>
      <c r="AB527" s="331"/>
      <c r="AC527" s="331"/>
      <c r="AD527" s="331"/>
      <c r="AF527" s="331"/>
      <c r="AG527" s="331"/>
      <c r="AI527" s="331"/>
    </row>
    <row r="528" spans="2:35" x14ac:dyDescent="0.25">
      <c r="B528" s="9" t="str">
        <f t="shared" si="68"/>
        <v>6 2026</v>
      </c>
      <c r="C528" s="88">
        <f t="shared" si="69"/>
        <v>46177</v>
      </c>
      <c r="D528" s="88">
        <f t="shared" si="72"/>
        <v>46178</v>
      </c>
      <c r="E528" s="89">
        <f t="shared" si="70"/>
        <v>1</v>
      </c>
      <c r="F528" s="123" t="s">
        <v>7</v>
      </c>
      <c r="H528" s="383">
        <f t="shared" si="71"/>
        <v>46177</v>
      </c>
      <c r="I528" s="329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X528" s="331"/>
      <c r="Y528" s="331"/>
      <c r="Z528" s="331"/>
      <c r="AB528" s="331"/>
      <c r="AC528" s="331"/>
      <c r="AD528" s="331"/>
      <c r="AF528" s="331"/>
      <c r="AG528" s="331"/>
      <c r="AI528" s="331"/>
    </row>
    <row r="529" spans="2:35" x14ac:dyDescent="0.25">
      <c r="B529" s="9" t="str">
        <f t="shared" si="68"/>
        <v>6 2026</v>
      </c>
      <c r="C529" s="88">
        <f t="shared" si="69"/>
        <v>46178</v>
      </c>
      <c r="D529" s="88">
        <f t="shared" si="72"/>
        <v>46179</v>
      </c>
      <c r="E529" s="89">
        <f t="shared" si="70"/>
        <v>1</v>
      </c>
      <c r="F529" s="123" t="s">
        <v>7</v>
      </c>
      <c r="H529" s="383">
        <f t="shared" si="71"/>
        <v>46178</v>
      </c>
      <c r="I529" s="329"/>
      <c r="K529" s="331"/>
      <c r="L529" s="331"/>
      <c r="M529" s="331"/>
      <c r="N529" s="331"/>
      <c r="O529" s="331"/>
      <c r="P529" s="331"/>
      <c r="Q529" s="331"/>
      <c r="R529" s="331"/>
      <c r="S529" s="331"/>
      <c r="T529" s="331"/>
      <c r="U529" s="331"/>
      <c r="V529" s="331"/>
      <c r="X529" s="331"/>
      <c r="Y529" s="331"/>
      <c r="Z529" s="331"/>
      <c r="AB529" s="331"/>
      <c r="AC529" s="331"/>
      <c r="AD529" s="331"/>
      <c r="AF529" s="331"/>
      <c r="AG529" s="331"/>
      <c r="AI529" s="331"/>
    </row>
    <row r="530" spans="2:35" x14ac:dyDescent="0.25">
      <c r="B530" s="9" t="str">
        <f t="shared" si="68"/>
        <v>6 2026</v>
      </c>
      <c r="C530" s="88">
        <f t="shared" si="69"/>
        <v>46179</v>
      </c>
      <c r="D530" s="88">
        <f t="shared" si="72"/>
        <v>46180</v>
      </c>
      <c r="E530" s="89">
        <f t="shared" si="70"/>
        <v>1</v>
      </c>
      <c r="F530" s="123" t="s">
        <v>7</v>
      </c>
      <c r="H530" s="383">
        <f t="shared" si="71"/>
        <v>46179</v>
      </c>
      <c r="I530" s="329"/>
      <c r="K530" s="331"/>
      <c r="L530" s="331"/>
      <c r="M530" s="331"/>
      <c r="N530" s="331"/>
      <c r="O530" s="331"/>
      <c r="P530" s="331"/>
      <c r="Q530" s="331"/>
      <c r="R530" s="331"/>
      <c r="S530" s="331"/>
      <c r="T530" s="331"/>
      <c r="U530" s="331"/>
      <c r="V530" s="331"/>
      <c r="X530" s="331"/>
      <c r="Y530" s="331"/>
      <c r="Z530" s="331"/>
      <c r="AB530" s="331"/>
      <c r="AC530" s="331"/>
      <c r="AD530" s="331"/>
      <c r="AF530" s="331"/>
      <c r="AG530" s="331"/>
      <c r="AI530" s="331"/>
    </row>
    <row r="531" spans="2:35" x14ac:dyDescent="0.25">
      <c r="B531" s="9" t="str">
        <f t="shared" si="68"/>
        <v>6 2026</v>
      </c>
      <c r="C531" s="88">
        <f t="shared" si="69"/>
        <v>46180</v>
      </c>
      <c r="D531" s="88">
        <f t="shared" si="72"/>
        <v>46181</v>
      </c>
      <c r="E531" s="89">
        <f t="shared" si="70"/>
        <v>1</v>
      </c>
      <c r="F531" s="123" t="s">
        <v>7</v>
      </c>
      <c r="H531" s="383">
        <f t="shared" si="71"/>
        <v>46180</v>
      </c>
      <c r="I531" s="329"/>
      <c r="K531" s="331"/>
      <c r="L531" s="331"/>
      <c r="M531" s="331"/>
      <c r="N531" s="331"/>
      <c r="O531" s="331"/>
      <c r="P531" s="331"/>
      <c r="Q531" s="331"/>
      <c r="R531" s="331"/>
      <c r="S531" s="331"/>
      <c r="T531" s="331"/>
      <c r="U531" s="331"/>
      <c r="V531" s="331"/>
      <c r="X531" s="331"/>
      <c r="Y531" s="331"/>
      <c r="Z531" s="331"/>
      <c r="AB531" s="331"/>
      <c r="AC531" s="331"/>
      <c r="AD531" s="331"/>
      <c r="AF531" s="331"/>
      <c r="AG531" s="331"/>
      <c r="AI531" s="331"/>
    </row>
    <row r="532" spans="2:35" x14ac:dyDescent="0.25">
      <c r="B532" s="9" t="str">
        <f t="shared" si="68"/>
        <v>6 2026</v>
      </c>
      <c r="C532" s="88">
        <f t="shared" si="69"/>
        <v>46181</v>
      </c>
      <c r="D532" s="88">
        <f t="shared" si="72"/>
        <v>46182</v>
      </c>
      <c r="E532" s="89">
        <f t="shared" si="70"/>
        <v>1</v>
      </c>
      <c r="F532" s="123" t="s">
        <v>7</v>
      </c>
      <c r="H532" s="383">
        <f t="shared" si="71"/>
        <v>46181</v>
      </c>
      <c r="I532" s="329"/>
      <c r="K532" s="331"/>
      <c r="L532" s="331"/>
      <c r="M532" s="331"/>
      <c r="N532" s="331"/>
      <c r="O532" s="331"/>
      <c r="P532" s="331"/>
      <c r="Q532" s="331"/>
      <c r="R532" s="331"/>
      <c r="S532" s="331"/>
      <c r="T532" s="331"/>
      <c r="U532" s="331"/>
      <c r="V532" s="331"/>
      <c r="X532" s="331"/>
      <c r="Y532" s="331"/>
      <c r="Z532" s="331"/>
      <c r="AB532" s="331"/>
      <c r="AC532" s="331"/>
      <c r="AD532" s="331"/>
      <c r="AF532" s="331"/>
      <c r="AG532" s="331"/>
      <c r="AI532" s="331"/>
    </row>
    <row r="533" spans="2:35" x14ac:dyDescent="0.25">
      <c r="B533" s="9" t="str">
        <f t="shared" ref="B533:B596" si="73">CONCATENATE(MONTH(D533)," ",YEAR(D533))</f>
        <v>6 2026</v>
      </c>
      <c r="C533" s="88">
        <f t="shared" ref="C533:C596" si="74">D532</f>
        <v>46182</v>
      </c>
      <c r="D533" s="88">
        <f t="shared" si="72"/>
        <v>46183</v>
      </c>
      <c r="E533" s="89">
        <f t="shared" ref="E533:E596" si="75">D533-C533</f>
        <v>1</v>
      </c>
      <c r="F533" s="123" t="s">
        <v>7</v>
      </c>
      <c r="H533" s="383">
        <f t="shared" ref="H533:H596" si="76">C533</f>
        <v>46182</v>
      </c>
      <c r="I533" s="329"/>
      <c r="K533" s="331"/>
      <c r="L533" s="331"/>
      <c r="M533" s="331"/>
      <c r="N533" s="331"/>
      <c r="O533" s="331"/>
      <c r="P533" s="331"/>
      <c r="Q533" s="331"/>
      <c r="R533" s="331"/>
      <c r="S533" s="331"/>
      <c r="T533" s="331"/>
      <c r="U533" s="331"/>
      <c r="V533" s="331"/>
      <c r="X533" s="331"/>
      <c r="Y533" s="331"/>
      <c r="Z533" s="331"/>
      <c r="AB533" s="331"/>
      <c r="AC533" s="331"/>
      <c r="AD533" s="331"/>
      <c r="AF533" s="331"/>
      <c r="AG533" s="331"/>
      <c r="AI533" s="331"/>
    </row>
    <row r="534" spans="2:35" x14ac:dyDescent="0.25">
      <c r="B534" s="9" t="str">
        <f t="shared" si="73"/>
        <v>6 2026</v>
      </c>
      <c r="C534" s="88">
        <f t="shared" si="74"/>
        <v>46183</v>
      </c>
      <c r="D534" s="88">
        <f t="shared" si="72"/>
        <v>46184</v>
      </c>
      <c r="E534" s="89">
        <f t="shared" si="75"/>
        <v>1</v>
      </c>
      <c r="F534" s="123" t="s">
        <v>7</v>
      </c>
      <c r="H534" s="383">
        <f t="shared" si="76"/>
        <v>46183</v>
      </c>
      <c r="I534" s="329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X534" s="331"/>
      <c r="Y534" s="331"/>
      <c r="Z534" s="331"/>
      <c r="AB534" s="331"/>
      <c r="AC534" s="331"/>
      <c r="AD534" s="331"/>
      <c r="AF534" s="331"/>
      <c r="AG534" s="331"/>
      <c r="AI534" s="331"/>
    </row>
    <row r="535" spans="2:35" x14ac:dyDescent="0.25">
      <c r="B535" s="9" t="str">
        <f t="shared" si="73"/>
        <v>6 2026</v>
      </c>
      <c r="C535" s="88">
        <f t="shared" si="74"/>
        <v>46184</v>
      </c>
      <c r="D535" s="88">
        <f t="shared" si="72"/>
        <v>46185</v>
      </c>
      <c r="E535" s="89">
        <f t="shared" si="75"/>
        <v>1</v>
      </c>
      <c r="F535" s="123" t="s">
        <v>7</v>
      </c>
      <c r="H535" s="383">
        <f t="shared" si="76"/>
        <v>46184</v>
      </c>
      <c r="I535" s="329"/>
      <c r="K535" s="331"/>
      <c r="L535" s="331"/>
      <c r="M535" s="331"/>
      <c r="N535" s="331"/>
      <c r="O535" s="331"/>
      <c r="P535" s="331"/>
      <c r="Q535" s="331"/>
      <c r="R535" s="331"/>
      <c r="S535" s="331"/>
      <c r="T535" s="331"/>
      <c r="U535" s="331"/>
      <c r="V535" s="331"/>
      <c r="X535" s="331"/>
      <c r="Y535" s="331"/>
      <c r="Z535" s="331"/>
      <c r="AB535" s="331"/>
      <c r="AC535" s="331"/>
      <c r="AD535" s="331"/>
      <c r="AF535" s="331"/>
      <c r="AG535" s="331"/>
      <c r="AI535" s="331"/>
    </row>
    <row r="536" spans="2:35" x14ac:dyDescent="0.25">
      <c r="B536" s="9" t="str">
        <f t="shared" si="73"/>
        <v>6 2026</v>
      </c>
      <c r="C536" s="88">
        <f t="shared" si="74"/>
        <v>46185</v>
      </c>
      <c r="D536" s="88">
        <f t="shared" si="72"/>
        <v>46186</v>
      </c>
      <c r="E536" s="89">
        <f t="shared" si="75"/>
        <v>1</v>
      </c>
      <c r="F536" s="123" t="s">
        <v>7</v>
      </c>
      <c r="H536" s="383">
        <f t="shared" si="76"/>
        <v>46185</v>
      </c>
      <c r="I536" s="329"/>
      <c r="K536" s="331"/>
      <c r="L536" s="331"/>
      <c r="M536" s="331"/>
      <c r="N536" s="331"/>
      <c r="O536" s="331"/>
      <c r="P536" s="331"/>
      <c r="Q536" s="331"/>
      <c r="R536" s="331"/>
      <c r="S536" s="331"/>
      <c r="T536" s="331"/>
      <c r="U536" s="331"/>
      <c r="V536" s="331"/>
      <c r="X536" s="331"/>
      <c r="Y536" s="331"/>
      <c r="Z536" s="331"/>
      <c r="AB536" s="331"/>
      <c r="AC536" s="331"/>
      <c r="AD536" s="331"/>
      <c r="AF536" s="331"/>
      <c r="AG536" s="331"/>
      <c r="AI536" s="331"/>
    </row>
    <row r="537" spans="2:35" x14ac:dyDescent="0.25">
      <c r="B537" s="9" t="str">
        <f t="shared" si="73"/>
        <v>6 2026</v>
      </c>
      <c r="C537" s="88">
        <f t="shared" si="74"/>
        <v>46186</v>
      </c>
      <c r="D537" s="88">
        <f t="shared" si="72"/>
        <v>46187</v>
      </c>
      <c r="E537" s="89">
        <f t="shared" si="75"/>
        <v>1</v>
      </c>
      <c r="F537" s="123" t="s">
        <v>7</v>
      </c>
      <c r="H537" s="383">
        <f t="shared" si="76"/>
        <v>46186</v>
      </c>
      <c r="I537" s="329"/>
      <c r="K537" s="331"/>
      <c r="L537" s="331"/>
      <c r="M537" s="331"/>
      <c r="N537" s="331"/>
      <c r="O537" s="331"/>
      <c r="P537" s="331"/>
      <c r="Q537" s="331"/>
      <c r="R537" s="331"/>
      <c r="S537" s="331"/>
      <c r="T537" s="331"/>
      <c r="U537" s="331"/>
      <c r="V537" s="331"/>
      <c r="X537" s="331"/>
      <c r="Y537" s="331"/>
      <c r="Z537" s="331"/>
      <c r="AB537" s="331"/>
      <c r="AC537" s="331"/>
      <c r="AD537" s="331"/>
      <c r="AF537" s="331"/>
      <c r="AG537" s="331"/>
      <c r="AI537" s="331"/>
    </row>
    <row r="538" spans="2:35" x14ac:dyDescent="0.25">
      <c r="B538" s="9" t="str">
        <f t="shared" si="73"/>
        <v>6 2026</v>
      </c>
      <c r="C538" s="88">
        <f t="shared" si="74"/>
        <v>46187</v>
      </c>
      <c r="D538" s="88">
        <f t="shared" si="72"/>
        <v>46188</v>
      </c>
      <c r="E538" s="89">
        <f t="shared" si="75"/>
        <v>1</v>
      </c>
      <c r="F538" s="123" t="s">
        <v>7</v>
      </c>
      <c r="H538" s="383">
        <f t="shared" si="76"/>
        <v>46187</v>
      </c>
      <c r="I538" s="329"/>
      <c r="K538" s="331"/>
      <c r="L538" s="331"/>
      <c r="M538" s="331"/>
      <c r="N538" s="331"/>
      <c r="O538" s="331"/>
      <c r="P538" s="331"/>
      <c r="Q538" s="331"/>
      <c r="R538" s="331"/>
      <c r="S538" s="331"/>
      <c r="T538" s="331"/>
      <c r="U538" s="331"/>
      <c r="V538" s="331"/>
      <c r="X538" s="331"/>
      <c r="Y538" s="331"/>
      <c r="Z538" s="331"/>
      <c r="AB538" s="331"/>
      <c r="AC538" s="331"/>
      <c r="AD538" s="331"/>
      <c r="AF538" s="331"/>
      <c r="AG538" s="331"/>
      <c r="AI538" s="331"/>
    </row>
    <row r="539" spans="2:35" x14ac:dyDescent="0.25">
      <c r="B539" s="9" t="str">
        <f t="shared" si="73"/>
        <v>6 2026</v>
      </c>
      <c r="C539" s="88">
        <f t="shared" si="74"/>
        <v>46188</v>
      </c>
      <c r="D539" s="88">
        <f t="shared" si="72"/>
        <v>46189</v>
      </c>
      <c r="E539" s="89">
        <f t="shared" si="75"/>
        <v>1</v>
      </c>
      <c r="F539" s="123" t="s">
        <v>7</v>
      </c>
      <c r="H539" s="383">
        <f t="shared" si="76"/>
        <v>46188</v>
      </c>
      <c r="I539" s="329"/>
      <c r="K539" s="331"/>
      <c r="L539" s="331"/>
      <c r="M539" s="331"/>
      <c r="N539" s="331"/>
      <c r="O539" s="331"/>
      <c r="P539" s="331"/>
      <c r="Q539" s="331"/>
      <c r="R539" s="331"/>
      <c r="S539" s="331"/>
      <c r="T539" s="331"/>
      <c r="U539" s="331"/>
      <c r="V539" s="331"/>
      <c r="X539" s="331"/>
      <c r="Y539" s="331"/>
      <c r="Z539" s="331"/>
      <c r="AB539" s="331"/>
      <c r="AC539" s="331"/>
      <c r="AD539" s="331"/>
      <c r="AF539" s="331"/>
      <c r="AG539" s="331"/>
      <c r="AI539" s="331"/>
    </row>
    <row r="540" spans="2:35" x14ac:dyDescent="0.25">
      <c r="B540" s="9" t="str">
        <f t="shared" si="73"/>
        <v>6 2026</v>
      </c>
      <c r="C540" s="88">
        <f t="shared" si="74"/>
        <v>46189</v>
      </c>
      <c r="D540" s="88">
        <f t="shared" si="72"/>
        <v>46190</v>
      </c>
      <c r="E540" s="89">
        <f t="shared" si="75"/>
        <v>1</v>
      </c>
      <c r="F540" s="123" t="s">
        <v>7</v>
      </c>
      <c r="H540" s="383">
        <f t="shared" si="76"/>
        <v>46189</v>
      </c>
      <c r="I540" s="329"/>
      <c r="K540" s="331"/>
      <c r="L540" s="331"/>
      <c r="M540" s="331"/>
      <c r="N540" s="331"/>
      <c r="O540" s="331"/>
      <c r="P540" s="331"/>
      <c r="Q540" s="331"/>
      <c r="R540" s="331"/>
      <c r="S540" s="331"/>
      <c r="T540" s="331"/>
      <c r="U540" s="331"/>
      <c r="V540" s="331"/>
      <c r="X540" s="331"/>
      <c r="Y540" s="331"/>
      <c r="Z540" s="331"/>
      <c r="AB540" s="331"/>
      <c r="AC540" s="331"/>
      <c r="AD540" s="331"/>
      <c r="AF540" s="331"/>
      <c r="AG540" s="331"/>
      <c r="AI540" s="331"/>
    </row>
    <row r="541" spans="2:35" x14ac:dyDescent="0.25">
      <c r="B541" s="9" t="str">
        <f t="shared" si="73"/>
        <v>6 2026</v>
      </c>
      <c r="C541" s="88">
        <f t="shared" si="74"/>
        <v>46190</v>
      </c>
      <c r="D541" s="88">
        <f t="shared" si="72"/>
        <v>46191</v>
      </c>
      <c r="E541" s="89">
        <f t="shared" si="75"/>
        <v>1</v>
      </c>
      <c r="F541" s="123" t="s">
        <v>7</v>
      </c>
      <c r="H541" s="383">
        <f t="shared" si="76"/>
        <v>46190</v>
      </c>
      <c r="I541" s="329"/>
      <c r="K541" s="331"/>
      <c r="L541" s="331"/>
      <c r="M541" s="331"/>
      <c r="N541" s="331"/>
      <c r="O541" s="331"/>
      <c r="P541" s="331"/>
      <c r="Q541" s="331"/>
      <c r="R541" s="331"/>
      <c r="S541" s="331"/>
      <c r="T541" s="331"/>
      <c r="U541" s="331"/>
      <c r="V541" s="331"/>
      <c r="X541" s="331"/>
      <c r="Y541" s="331"/>
      <c r="Z541" s="331"/>
      <c r="AB541" s="331"/>
      <c r="AC541" s="331"/>
      <c r="AD541" s="331"/>
      <c r="AF541" s="331"/>
      <c r="AG541" s="331"/>
      <c r="AI541" s="331"/>
    </row>
    <row r="542" spans="2:35" x14ac:dyDescent="0.25">
      <c r="B542" s="9" t="str">
        <f t="shared" si="73"/>
        <v>6 2026</v>
      </c>
      <c r="C542" s="88">
        <f t="shared" si="74"/>
        <v>46191</v>
      </c>
      <c r="D542" s="88">
        <f t="shared" si="72"/>
        <v>46192</v>
      </c>
      <c r="E542" s="89">
        <f t="shared" si="75"/>
        <v>1</v>
      </c>
      <c r="F542" s="123" t="s">
        <v>7</v>
      </c>
      <c r="H542" s="383">
        <f t="shared" si="76"/>
        <v>46191</v>
      </c>
      <c r="I542" s="329"/>
      <c r="K542" s="331"/>
      <c r="L542" s="331"/>
      <c r="M542" s="331"/>
      <c r="N542" s="331"/>
      <c r="O542" s="331"/>
      <c r="P542" s="331"/>
      <c r="Q542" s="331"/>
      <c r="R542" s="331"/>
      <c r="S542" s="331"/>
      <c r="T542" s="331"/>
      <c r="U542" s="331"/>
      <c r="V542" s="331"/>
      <c r="X542" s="331"/>
      <c r="Y542" s="331"/>
      <c r="Z542" s="331"/>
      <c r="AB542" s="331"/>
      <c r="AC542" s="331"/>
      <c r="AD542" s="331"/>
      <c r="AF542" s="331"/>
      <c r="AG542" s="331"/>
      <c r="AI542" s="331"/>
    </row>
    <row r="543" spans="2:35" x14ac:dyDescent="0.25">
      <c r="B543" s="9" t="str">
        <f t="shared" si="73"/>
        <v>6 2026</v>
      </c>
      <c r="C543" s="88">
        <f t="shared" si="74"/>
        <v>46192</v>
      </c>
      <c r="D543" s="88">
        <f t="shared" si="72"/>
        <v>46193</v>
      </c>
      <c r="E543" s="89">
        <f t="shared" si="75"/>
        <v>1</v>
      </c>
      <c r="F543" s="123" t="s">
        <v>7</v>
      </c>
      <c r="H543" s="383">
        <f t="shared" si="76"/>
        <v>46192</v>
      </c>
      <c r="I543" s="329"/>
      <c r="K543" s="331"/>
      <c r="L543" s="331"/>
      <c r="M543" s="331"/>
      <c r="N543" s="331"/>
      <c r="O543" s="331"/>
      <c r="P543" s="331"/>
      <c r="Q543" s="331"/>
      <c r="R543" s="331"/>
      <c r="S543" s="331"/>
      <c r="T543" s="331"/>
      <c r="U543" s="331"/>
      <c r="V543" s="331"/>
      <c r="X543" s="331"/>
      <c r="Y543" s="331"/>
      <c r="Z543" s="331"/>
      <c r="AB543" s="331"/>
      <c r="AC543" s="331"/>
      <c r="AD543" s="331"/>
      <c r="AF543" s="331"/>
      <c r="AG543" s="331"/>
      <c r="AI543" s="331"/>
    </row>
    <row r="544" spans="2:35" x14ac:dyDescent="0.25">
      <c r="B544" s="9" t="str">
        <f t="shared" si="73"/>
        <v>6 2026</v>
      </c>
      <c r="C544" s="88">
        <f t="shared" si="74"/>
        <v>46193</v>
      </c>
      <c r="D544" s="88">
        <f t="shared" si="72"/>
        <v>46194</v>
      </c>
      <c r="E544" s="89">
        <f t="shared" si="75"/>
        <v>1</v>
      </c>
      <c r="F544" s="123" t="s">
        <v>7</v>
      </c>
      <c r="H544" s="383">
        <f t="shared" si="76"/>
        <v>46193</v>
      </c>
      <c r="I544" s="329"/>
      <c r="K544" s="331"/>
      <c r="L544" s="331"/>
      <c r="M544" s="331"/>
      <c r="N544" s="331"/>
      <c r="O544" s="331"/>
      <c r="P544" s="331"/>
      <c r="Q544" s="331"/>
      <c r="R544" s="331"/>
      <c r="S544" s="331"/>
      <c r="T544" s="331"/>
      <c r="U544" s="331"/>
      <c r="V544" s="331"/>
      <c r="X544" s="331"/>
      <c r="Y544" s="331"/>
      <c r="Z544" s="331"/>
      <c r="AB544" s="331"/>
      <c r="AC544" s="331"/>
      <c r="AD544" s="331"/>
      <c r="AF544" s="331"/>
      <c r="AG544" s="331"/>
      <c r="AI544" s="331"/>
    </row>
    <row r="545" spans="2:35" x14ac:dyDescent="0.25">
      <c r="B545" s="9" t="str">
        <f t="shared" si="73"/>
        <v>6 2026</v>
      </c>
      <c r="C545" s="88">
        <f t="shared" si="74"/>
        <v>46194</v>
      </c>
      <c r="D545" s="88">
        <f t="shared" si="72"/>
        <v>46195</v>
      </c>
      <c r="E545" s="89">
        <f t="shared" si="75"/>
        <v>1</v>
      </c>
      <c r="F545" s="123" t="s">
        <v>7</v>
      </c>
      <c r="H545" s="383">
        <f t="shared" si="76"/>
        <v>46194</v>
      </c>
      <c r="I545" s="329"/>
      <c r="K545" s="331"/>
      <c r="L545" s="331"/>
      <c r="M545" s="331"/>
      <c r="N545" s="331"/>
      <c r="O545" s="331"/>
      <c r="P545" s="331"/>
      <c r="Q545" s="331"/>
      <c r="R545" s="331"/>
      <c r="S545" s="331"/>
      <c r="T545" s="331"/>
      <c r="U545" s="331"/>
      <c r="V545" s="331"/>
      <c r="X545" s="331"/>
      <c r="Y545" s="331"/>
      <c r="Z545" s="331"/>
      <c r="AB545" s="331"/>
      <c r="AC545" s="331"/>
      <c r="AD545" s="331"/>
      <c r="AF545" s="331"/>
      <c r="AG545" s="331"/>
      <c r="AI545" s="331"/>
    </row>
    <row r="546" spans="2:35" x14ac:dyDescent="0.25">
      <c r="B546" s="9" t="str">
        <f t="shared" si="73"/>
        <v>6 2026</v>
      </c>
      <c r="C546" s="88">
        <f t="shared" si="74"/>
        <v>46195</v>
      </c>
      <c r="D546" s="88">
        <f t="shared" si="72"/>
        <v>46196</v>
      </c>
      <c r="E546" s="89">
        <f t="shared" si="75"/>
        <v>1</v>
      </c>
      <c r="F546" s="123" t="s">
        <v>7</v>
      </c>
      <c r="H546" s="383">
        <f t="shared" si="76"/>
        <v>46195</v>
      </c>
      <c r="I546" s="329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X546" s="331"/>
      <c r="Y546" s="331"/>
      <c r="Z546" s="331"/>
      <c r="AB546" s="331"/>
      <c r="AC546" s="331"/>
      <c r="AD546" s="331"/>
      <c r="AF546" s="331"/>
      <c r="AG546" s="331"/>
      <c r="AI546" s="331"/>
    </row>
    <row r="547" spans="2:35" x14ac:dyDescent="0.25">
      <c r="B547" s="9" t="str">
        <f t="shared" si="73"/>
        <v>6 2026</v>
      </c>
      <c r="C547" s="88">
        <f t="shared" si="74"/>
        <v>46196</v>
      </c>
      <c r="D547" s="88">
        <f t="shared" si="72"/>
        <v>46197</v>
      </c>
      <c r="E547" s="89">
        <f t="shared" si="75"/>
        <v>1</v>
      </c>
      <c r="F547" s="123" t="s">
        <v>7</v>
      </c>
      <c r="H547" s="383">
        <f t="shared" si="76"/>
        <v>46196</v>
      </c>
      <c r="I547" s="329"/>
      <c r="K547" s="331"/>
      <c r="L547" s="331"/>
      <c r="M547" s="331"/>
      <c r="N547" s="331"/>
      <c r="O547" s="331"/>
      <c r="P547" s="331"/>
      <c r="Q547" s="331"/>
      <c r="R547" s="331"/>
      <c r="S547" s="331"/>
      <c r="T547" s="331"/>
      <c r="U547" s="331"/>
      <c r="V547" s="331"/>
      <c r="X547" s="331"/>
      <c r="Y547" s="331"/>
      <c r="Z547" s="331"/>
      <c r="AB547" s="331"/>
      <c r="AC547" s="331"/>
      <c r="AD547" s="331"/>
      <c r="AF547" s="331"/>
      <c r="AG547" s="331"/>
      <c r="AI547" s="331"/>
    </row>
    <row r="548" spans="2:35" x14ac:dyDescent="0.25">
      <c r="B548" s="9" t="str">
        <f t="shared" si="73"/>
        <v>6 2026</v>
      </c>
      <c r="C548" s="88">
        <f t="shared" si="74"/>
        <v>46197</v>
      </c>
      <c r="D548" s="88">
        <f t="shared" si="72"/>
        <v>46198</v>
      </c>
      <c r="E548" s="89">
        <f t="shared" si="75"/>
        <v>1</v>
      </c>
      <c r="F548" s="123" t="s">
        <v>7</v>
      </c>
      <c r="H548" s="383">
        <f t="shared" si="76"/>
        <v>46197</v>
      </c>
      <c r="I548" s="329"/>
      <c r="K548" s="331"/>
      <c r="L548" s="331"/>
      <c r="M548" s="331"/>
      <c r="N548" s="331"/>
      <c r="O548" s="331"/>
      <c r="P548" s="331"/>
      <c r="Q548" s="331"/>
      <c r="R548" s="331"/>
      <c r="S548" s="331"/>
      <c r="T548" s="331"/>
      <c r="U548" s="331"/>
      <c r="V548" s="331"/>
      <c r="X548" s="331"/>
      <c r="Y548" s="331"/>
      <c r="Z548" s="331"/>
      <c r="AB548" s="331"/>
      <c r="AC548" s="331"/>
      <c r="AD548" s="331"/>
      <c r="AF548" s="331"/>
      <c r="AG548" s="331"/>
      <c r="AI548" s="331"/>
    </row>
    <row r="549" spans="2:35" x14ac:dyDescent="0.25">
      <c r="B549" s="9" t="str">
        <f t="shared" si="73"/>
        <v>6 2026</v>
      </c>
      <c r="C549" s="88">
        <f t="shared" si="74"/>
        <v>46198</v>
      </c>
      <c r="D549" s="88">
        <f t="shared" si="72"/>
        <v>46199</v>
      </c>
      <c r="E549" s="89">
        <f t="shared" si="75"/>
        <v>1</v>
      </c>
      <c r="F549" s="123" t="s">
        <v>7</v>
      </c>
      <c r="H549" s="383">
        <f t="shared" si="76"/>
        <v>46198</v>
      </c>
      <c r="I549" s="329"/>
      <c r="K549" s="331"/>
      <c r="L549" s="331"/>
      <c r="M549" s="331"/>
      <c r="N549" s="331"/>
      <c r="O549" s="331"/>
      <c r="P549" s="331"/>
      <c r="Q549" s="331"/>
      <c r="R549" s="331"/>
      <c r="S549" s="331"/>
      <c r="T549" s="331"/>
      <c r="U549" s="331"/>
      <c r="V549" s="331"/>
      <c r="X549" s="331"/>
      <c r="Y549" s="331"/>
      <c r="Z549" s="331"/>
      <c r="AB549" s="331"/>
      <c r="AC549" s="331"/>
      <c r="AD549" s="331"/>
      <c r="AF549" s="331"/>
      <c r="AG549" s="331"/>
      <c r="AI549" s="331"/>
    </row>
    <row r="550" spans="2:35" x14ac:dyDescent="0.25">
      <c r="B550" s="9" t="str">
        <f t="shared" si="73"/>
        <v>6 2026</v>
      </c>
      <c r="C550" s="88">
        <f t="shared" si="74"/>
        <v>46199</v>
      </c>
      <c r="D550" s="88">
        <f t="shared" si="72"/>
        <v>46200</v>
      </c>
      <c r="E550" s="89">
        <f t="shared" si="75"/>
        <v>1</v>
      </c>
      <c r="F550" s="123" t="s">
        <v>7</v>
      </c>
      <c r="H550" s="383">
        <f t="shared" si="76"/>
        <v>46199</v>
      </c>
      <c r="I550" s="329"/>
      <c r="K550" s="331"/>
      <c r="L550" s="331"/>
      <c r="M550" s="331"/>
      <c r="N550" s="331"/>
      <c r="O550" s="331"/>
      <c r="P550" s="331"/>
      <c r="Q550" s="331"/>
      <c r="R550" s="331"/>
      <c r="S550" s="331"/>
      <c r="T550" s="331"/>
      <c r="U550" s="331"/>
      <c r="V550" s="331"/>
      <c r="X550" s="331"/>
      <c r="Y550" s="331"/>
      <c r="Z550" s="331"/>
      <c r="AB550" s="331"/>
      <c r="AC550" s="331"/>
      <c r="AD550" s="331"/>
      <c r="AF550" s="331"/>
      <c r="AG550" s="331"/>
      <c r="AI550" s="331"/>
    </row>
    <row r="551" spans="2:35" x14ac:dyDescent="0.25">
      <c r="B551" s="9" t="str">
        <f t="shared" si="73"/>
        <v>6 2026</v>
      </c>
      <c r="C551" s="88">
        <f t="shared" si="74"/>
        <v>46200</v>
      </c>
      <c r="D551" s="88">
        <f t="shared" si="72"/>
        <v>46201</v>
      </c>
      <c r="E551" s="89">
        <f t="shared" si="75"/>
        <v>1</v>
      </c>
      <c r="F551" s="123" t="s">
        <v>7</v>
      </c>
      <c r="H551" s="383">
        <f t="shared" si="76"/>
        <v>46200</v>
      </c>
      <c r="I551" s="329"/>
      <c r="K551" s="331"/>
      <c r="L551" s="331"/>
      <c r="M551" s="331"/>
      <c r="N551" s="331"/>
      <c r="O551" s="331"/>
      <c r="P551" s="331"/>
      <c r="Q551" s="331"/>
      <c r="R551" s="331"/>
      <c r="S551" s="331"/>
      <c r="T551" s="331"/>
      <c r="U551" s="331"/>
      <c r="V551" s="331"/>
      <c r="X551" s="331"/>
      <c r="Y551" s="331"/>
      <c r="Z551" s="331"/>
      <c r="AB551" s="331"/>
      <c r="AC551" s="331"/>
      <c r="AD551" s="331"/>
      <c r="AF551" s="331"/>
      <c r="AG551" s="331"/>
      <c r="AI551" s="331"/>
    </row>
    <row r="552" spans="2:35" x14ac:dyDescent="0.25">
      <c r="B552" s="9" t="str">
        <f t="shared" si="73"/>
        <v>6 2026</v>
      </c>
      <c r="C552" s="88">
        <f t="shared" si="74"/>
        <v>46201</v>
      </c>
      <c r="D552" s="88">
        <f t="shared" si="72"/>
        <v>46202</v>
      </c>
      <c r="E552" s="89">
        <f t="shared" si="75"/>
        <v>1</v>
      </c>
      <c r="F552" s="123" t="s">
        <v>7</v>
      </c>
      <c r="H552" s="383">
        <f t="shared" si="76"/>
        <v>46201</v>
      </c>
      <c r="I552" s="329"/>
      <c r="K552" s="331"/>
      <c r="L552" s="331"/>
      <c r="M552" s="331"/>
      <c r="N552" s="331"/>
      <c r="O552" s="331"/>
      <c r="P552" s="331"/>
      <c r="Q552" s="331"/>
      <c r="R552" s="331"/>
      <c r="S552" s="331"/>
      <c r="T552" s="331"/>
      <c r="U552" s="331"/>
      <c r="V552" s="331"/>
      <c r="X552" s="331"/>
      <c r="Y552" s="331"/>
      <c r="Z552" s="331"/>
      <c r="AB552" s="331"/>
      <c r="AC552" s="331"/>
      <c r="AD552" s="331"/>
      <c r="AF552" s="331"/>
      <c r="AG552" s="331"/>
      <c r="AI552" s="331"/>
    </row>
    <row r="553" spans="2:35" x14ac:dyDescent="0.25">
      <c r="B553" s="9" t="str">
        <f t="shared" si="73"/>
        <v>6 2026</v>
      </c>
      <c r="C553" s="88">
        <f t="shared" si="74"/>
        <v>46202</v>
      </c>
      <c r="D553" s="88">
        <f t="shared" si="72"/>
        <v>46203</v>
      </c>
      <c r="E553" s="89">
        <f t="shared" si="75"/>
        <v>1</v>
      </c>
      <c r="F553" s="123" t="s">
        <v>7</v>
      </c>
      <c r="H553" s="383">
        <f t="shared" si="76"/>
        <v>46202</v>
      </c>
      <c r="I553" s="329"/>
      <c r="K553" s="331"/>
      <c r="L553" s="331"/>
      <c r="M553" s="331"/>
      <c r="N553" s="331"/>
      <c r="O553" s="331"/>
      <c r="P553" s="331"/>
      <c r="Q553" s="331"/>
      <c r="R553" s="331"/>
      <c r="S553" s="331"/>
      <c r="T553" s="331"/>
      <c r="U553" s="331"/>
      <c r="V553" s="331"/>
      <c r="X553" s="331"/>
      <c r="Y553" s="331"/>
      <c r="Z553" s="331"/>
      <c r="AB553" s="331"/>
      <c r="AC553" s="331"/>
      <c r="AD553" s="331"/>
      <c r="AF553" s="331"/>
      <c r="AG553" s="331"/>
      <c r="AI553" s="331"/>
    </row>
    <row r="554" spans="2:35" x14ac:dyDescent="0.25">
      <c r="B554" s="9" t="str">
        <f t="shared" si="73"/>
        <v>7 2026</v>
      </c>
      <c r="C554" s="88">
        <f t="shared" si="74"/>
        <v>46203</v>
      </c>
      <c r="D554" s="88">
        <f t="shared" si="72"/>
        <v>46204</v>
      </c>
      <c r="E554" s="89">
        <f t="shared" si="75"/>
        <v>1</v>
      </c>
      <c r="F554" s="123" t="s">
        <v>7</v>
      </c>
      <c r="H554" s="383">
        <f t="shared" si="76"/>
        <v>46203</v>
      </c>
      <c r="I554" s="329"/>
      <c r="K554" s="331"/>
      <c r="L554" s="331"/>
      <c r="M554" s="331"/>
      <c r="N554" s="331"/>
      <c r="O554" s="331"/>
      <c r="P554" s="331"/>
      <c r="Q554" s="331"/>
      <c r="R554" s="331"/>
      <c r="S554" s="331"/>
      <c r="T554" s="331"/>
      <c r="U554" s="331"/>
      <c r="V554" s="331"/>
      <c r="X554" s="331"/>
      <c r="Y554" s="331"/>
      <c r="Z554" s="331"/>
      <c r="AB554" s="331"/>
      <c r="AC554" s="331"/>
      <c r="AD554" s="331"/>
      <c r="AF554" s="331"/>
      <c r="AG554" s="331"/>
      <c r="AI554" s="331"/>
    </row>
    <row r="555" spans="2:35" x14ac:dyDescent="0.25">
      <c r="B555" s="9" t="str">
        <f t="shared" si="73"/>
        <v>7 2026</v>
      </c>
      <c r="C555" s="88">
        <f t="shared" si="74"/>
        <v>46204</v>
      </c>
      <c r="D555" s="88">
        <f t="shared" si="72"/>
        <v>46205</v>
      </c>
      <c r="E555" s="89">
        <f t="shared" si="75"/>
        <v>1</v>
      </c>
      <c r="F555" s="123" t="s">
        <v>7</v>
      </c>
      <c r="H555" s="383">
        <f t="shared" si="76"/>
        <v>46204</v>
      </c>
      <c r="I555" s="329"/>
      <c r="K555" s="331"/>
      <c r="L555" s="331"/>
      <c r="M555" s="331"/>
      <c r="N555" s="331"/>
      <c r="O555" s="331"/>
      <c r="P555" s="331"/>
      <c r="Q555" s="331"/>
      <c r="R555" s="331"/>
      <c r="S555" s="331"/>
      <c r="T555" s="331"/>
      <c r="U555" s="331"/>
      <c r="V555" s="331"/>
      <c r="X555" s="331"/>
      <c r="Y555" s="331"/>
      <c r="Z555" s="331"/>
      <c r="AB555" s="331"/>
      <c r="AC555" s="331"/>
      <c r="AD555" s="331"/>
      <c r="AF555" s="331"/>
      <c r="AG555" s="331"/>
      <c r="AI555" s="331"/>
    </row>
    <row r="556" spans="2:35" x14ac:dyDescent="0.25">
      <c r="B556" s="9" t="str">
        <f t="shared" si="73"/>
        <v>7 2026</v>
      </c>
      <c r="C556" s="88">
        <f t="shared" si="74"/>
        <v>46205</v>
      </c>
      <c r="D556" s="88">
        <f t="shared" si="72"/>
        <v>46206</v>
      </c>
      <c r="E556" s="89">
        <f t="shared" si="75"/>
        <v>1</v>
      </c>
      <c r="F556" s="123" t="s">
        <v>7</v>
      </c>
      <c r="H556" s="383">
        <f t="shared" si="76"/>
        <v>46205</v>
      </c>
      <c r="I556" s="329"/>
      <c r="K556" s="331"/>
      <c r="L556" s="331"/>
      <c r="M556" s="331"/>
      <c r="N556" s="331"/>
      <c r="O556" s="331"/>
      <c r="P556" s="331"/>
      <c r="Q556" s="331"/>
      <c r="R556" s="331"/>
      <c r="S556" s="331"/>
      <c r="T556" s="331"/>
      <c r="U556" s="331"/>
      <c r="V556" s="331"/>
      <c r="X556" s="331"/>
      <c r="Y556" s="331"/>
      <c r="Z556" s="331"/>
      <c r="AB556" s="331"/>
      <c r="AC556" s="331"/>
      <c r="AD556" s="331"/>
      <c r="AF556" s="331"/>
      <c r="AG556" s="331"/>
      <c r="AI556" s="331"/>
    </row>
    <row r="557" spans="2:35" x14ac:dyDescent="0.25">
      <c r="B557" s="9" t="str">
        <f t="shared" si="73"/>
        <v>7 2026</v>
      </c>
      <c r="C557" s="88">
        <f t="shared" si="74"/>
        <v>46206</v>
      </c>
      <c r="D557" s="88">
        <f t="shared" si="72"/>
        <v>46207</v>
      </c>
      <c r="E557" s="89">
        <f t="shared" si="75"/>
        <v>1</v>
      </c>
      <c r="F557" s="123" t="s">
        <v>7</v>
      </c>
      <c r="H557" s="383">
        <f t="shared" si="76"/>
        <v>46206</v>
      </c>
      <c r="I557" s="329"/>
      <c r="K557" s="331"/>
      <c r="L557" s="331"/>
      <c r="M557" s="331"/>
      <c r="N557" s="331"/>
      <c r="O557" s="331"/>
      <c r="P557" s="331"/>
      <c r="Q557" s="331"/>
      <c r="R557" s="331"/>
      <c r="S557" s="331"/>
      <c r="T557" s="331"/>
      <c r="U557" s="331"/>
      <c r="V557" s="331"/>
      <c r="X557" s="331"/>
      <c r="Y557" s="331"/>
      <c r="Z557" s="331"/>
      <c r="AB557" s="331"/>
      <c r="AC557" s="331"/>
      <c r="AD557" s="331"/>
      <c r="AF557" s="331"/>
      <c r="AG557" s="331"/>
      <c r="AI557" s="331"/>
    </row>
    <row r="558" spans="2:35" x14ac:dyDescent="0.25">
      <c r="B558" s="9" t="str">
        <f t="shared" si="73"/>
        <v>7 2026</v>
      </c>
      <c r="C558" s="88">
        <f t="shared" si="74"/>
        <v>46207</v>
      </c>
      <c r="D558" s="88">
        <f t="shared" si="72"/>
        <v>46208</v>
      </c>
      <c r="E558" s="89">
        <f t="shared" si="75"/>
        <v>1</v>
      </c>
      <c r="F558" s="123" t="s">
        <v>7</v>
      </c>
      <c r="H558" s="383">
        <f t="shared" si="76"/>
        <v>46207</v>
      </c>
      <c r="I558" s="329"/>
      <c r="K558" s="331"/>
      <c r="L558" s="331"/>
      <c r="M558" s="331"/>
      <c r="N558" s="331"/>
      <c r="O558" s="331"/>
      <c r="P558" s="331"/>
      <c r="Q558" s="331"/>
      <c r="R558" s="331"/>
      <c r="S558" s="331"/>
      <c r="T558" s="331"/>
      <c r="U558" s="331"/>
      <c r="V558" s="331"/>
      <c r="X558" s="331"/>
      <c r="Y558" s="331"/>
      <c r="Z558" s="331"/>
      <c r="AB558" s="331"/>
      <c r="AC558" s="331"/>
      <c r="AD558" s="331"/>
      <c r="AF558" s="331"/>
      <c r="AG558" s="331"/>
      <c r="AI558" s="331"/>
    </row>
    <row r="559" spans="2:35" x14ac:dyDescent="0.25">
      <c r="B559" s="9" t="str">
        <f t="shared" si="73"/>
        <v>7 2026</v>
      </c>
      <c r="C559" s="88">
        <f t="shared" si="74"/>
        <v>46208</v>
      </c>
      <c r="D559" s="88">
        <f t="shared" si="72"/>
        <v>46209</v>
      </c>
      <c r="E559" s="89">
        <f t="shared" si="75"/>
        <v>1</v>
      </c>
      <c r="F559" s="123" t="s">
        <v>7</v>
      </c>
      <c r="H559" s="383">
        <f t="shared" si="76"/>
        <v>46208</v>
      </c>
      <c r="I559" s="329"/>
      <c r="K559" s="331"/>
      <c r="L559" s="331"/>
      <c r="M559" s="331"/>
      <c r="N559" s="331"/>
      <c r="O559" s="331"/>
      <c r="P559" s="331"/>
      <c r="Q559" s="331"/>
      <c r="R559" s="331"/>
      <c r="S559" s="331"/>
      <c r="T559" s="331"/>
      <c r="U559" s="331"/>
      <c r="V559" s="331"/>
      <c r="X559" s="331"/>
      <c r="Y559" s="331"/>
      <c r="Z559" s="331"/>
      <c r="AB559" s="331"/>
      <c r="AC559" s="331"/>
      <c r="AD559" s="331"/>
      <c r="AF559" s="331"/>
      <c r="AG559" s="331"/>
      <c r="AI559" s="331"/>
    </row>
    <row r="560" spans="2:35" x14ac:dyDescent="0.25">
      <c r="B560" s="9" t="str">
        <f t="shared" si="73"/>
        <v>7 2026</v>
      </c>
      <c r="C560" s="88">
        <f t="shared" si="74"/>
        <v>46209</v>
      </c>
      <c r="D560" s="88">
        <f t="shared" si="72"/>
        <v>46210</v>
      </c>
      <c r="E560" s="89">
        <f t="shared" si="75"/>
        <v>1</v>
      </c>
      <c r="F560" s="123" t="s">
        <v>7</v>
      </c>
      <c r="H560" s="383">
        <f t="shared" si="76"/>
        <v>46209</v>
      </c>
      <c r="I560" s="329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X560" s="331"/>
      <c r="Y560" s="331"/>
      <c r="Z560" s="331"/>
      <c r="AB560" s="331"/>
      <c r="AC560" s="331"/>
      <c r="AD560" s="331"/>
      <c r="AF560" s="331"/>
      <c r="AG560" s="331"/>
      <c r="AI560" s="331"/>
    </row>
    <row r="561" spans="2:35" x14ac:dyDescent="0.25">
      <c r="B561" s="9" t="str">
        <f t="shared" si="73"/>
        <v>7 2026</v>
      </c>
      <c r="C561" s="88">
        <f t="shared" si="74"/>
        <v>46210</v>
      </c>
      <c r="D561" s="88">
        <f t="shared" si="72"/>
        <v>46211</v>
      </c>
      <c r="E561" s="89">
        <f t="shared" si="75"/>
        <v>1</v>
      </c>
      <c r="F561" s="123" t="s">
        <v>7</v>
      </c>
      <c r="H561" s="383">
        <f t="shared" si="76"/>
        <v>46210</v>
      </c>
      <c r="I561" s="329"/>
      <c r="K561" s="331"/>
      <c r="L561" s="331"/>
      <c r="M561" s="331"/>
      <c r="N561" s="331"/>
      <c r="O561" s="331"/>
      <c r="P561" s="331"/>
      <c r="Q561" s="331"/>
      <c r="R561" s="331"/>
      <c r="S561" s="331"/>
      <c r="T561" s="331"/>
      <c r="U561" s="331"/>
      <c r="V561" s="331"/>
      <c r="X561" s="331"/>
      <c r="Y561" s="331"/>
      <c r="Z561" s="331"/>
      <c r="AB561" s="331"/>
      <c r="AC561" s="331"/>
      <c r="AD561" s="331"/>
      <c r="AF561" s="331"/>
      <c r="AG561" s="331"/>
      <c r="AI561" s="331"/>
    </row>
    <row r="562" spans="2:35" x14ac:dyDescent="0.25">
      <c r="B562" s="9" t="str">
        <f t="shared" si="73"/>
        <v>7 2026</v>
      </c>
      <c r="C562" s="88">
        <f t="shared" si="74"/>
        <v>46211</v>
      </c>
      <c r="D562" s="88">
        <f t="shared" si="72"/>
        <v>46212</v>
      </c>
      <c r="E562" s="89">
        <f t="shared" si="75"/>
        <v>1</v>
      </c>
      <c r="F562" s="123" t="s">
        <v>7</v>
      </c>
      <c r="H562" s="383">
        <f t="shared" si="76"/>
        <v>46211</v>
      </c>
      <c r="I562" s="329"/>
      <c r="K562" s="331"/>
      <c r="L562" s="331"/>
      <c r="M562" s="331"/>
      <c r="N562" s="331"/>
      <c r="O562" s="331"/>
      <c r="P562" s="331"/>
      <c r="Q562" s="331"/>
      <c r="R562" s="331"/>
      <c r="S562" s="331"/>
      <c r="T562" s="331"/>
      <c r="U562" s="331"/>
      <c r="V562" s="331"/>
      <c r="X562" s="331"/>
      <c r="Y562" s="331"/>
      <c r="Z562" s="331"/>
      <c r="AB562" s="331"/>
      <c r="AC562" s="331"/>
      <c r="AD562" s="331"/>
      <c r="AF562" s="331"/>
      <c r="AG562" s="331"/>
      <c r="AI562" s="331"/>
    </row>
    <row r="563" spans="2:35" x14ac:dyDescent="0.25">
      <c r="B563" s="9" t="str">
        <f t="shared" si="73"/>
        <v>7 2026</v>
      </c>
      <c r="C563" s="88">
        <f t="shared" si="74"/>
        <v>46212</v>
      </c>
      <c r="D563" s="88">
        <f t="shared" si="72"/>
        <v>46213</v>
      </c>
      <c r="E563" s="89">
        <f t="shared" si="75"/>
        <v>1</v>
      </c>
      <c r="F563" s="123" t="s">
        <v>7</v>
      </c>
      <c r="H563" s="383">
        <f t="shared" si="76"/>
        <v>46212</v>
      </c>
      <c r="I563" s="329"/>
      <c r="K563" s="331"/>
      <c r="L563" s="331"/>
      <c r="M563" s="331"/>
      <c r="N563" s="331"/>
      <c r="O563" s="331"/>
      <c r="P563" s="331"/>
      <c r="Q563" s="331"/>
      <c r="R563" s="331"/>
      <c r="S563" s="331"/>
      <c r="T563" s="331"/>
      <c r="U563" s="331"/>
      <c r="V563" s="331"/>
      <c r="X563" s="331"/>
      <c r="Y563" s="331"/>
      <c r="Z563" s="331"/>
      <c r="AB563" s="331"/>
      <c r="AC563" s="331"/>
      <c r="AD563" s="331"/>
      <c r="AF563" s="331"/>
      <c r="AG563" s="331"/>
      <c r="AI563" s="331"/>
    </row>
    <row r="564" spans="2:35" x14ac:dyDescent="0.25">
      <c r="B564" s="9" t="str">
        <f t="shared" si="73"/>
        <v>7 2026</v>
      </c>
      <c r="C564" s="88">
        <f t="shared" si="74"/>
        <v>46213</v>
      </c>
      <c r="D564" s="88">
        <f t="shared" si="72"/>
        <v>46214</v>
      </c>
      <c r="E564" s="89">
        <f t="shared" si="75"/>
        <v>1</v>
      </c>
      <c r="F564" s="123" t="s">
        <v>7</v>
      </c>
      <c r="H564" s="383">
        <f t="shared" si="76"/>
        <v>46213</v>
      </c>
      <c r="I564" s="329"/>
      <c r="K564" s="331"/>
      <c r="L564" s="331"/>
      <c r="M564" s="331"/>
      <c r="N564" s="331"/>
      <c r="O564" s="331"/>
      <c r="P564" s="331"/>
      <c r="Q564" s="331"/>
      <c r="R564" s="331"/>
      <c r="S564" s="331"/>
      <c r="T564" s="331"/>
      <c r="U564" s="331"/>
      <c r="V564" s="331"/>
      <c r="X564" s="331"/>
      <c r="Y564" s="331"/>
      <c r="Z564" s="331"/>
      <c r="AB564" s="331"/>
      <c r="AC564" s="331"/>
      <c r="AD564" s="331"/>
      <c r="AF564" s="331"/>
      <c r="AG564" s="331"/>
      <c r="AI564" s="331"/>
    </row>
    <row r="565" spans="2:35" x14ac:dyDescent="0.25">
      <c r="B565" s="9" t="str">
        <f t="shared" si="73"/>
        <v>7 2026</v>
      </c>
      <c r="C565" s="88">
        <f t="shared" si="74"/>
        <v>46214</v>
      </c>
      <c r="D565" s="88">
        <f t="shared" si="72"/>
        <v>46215</v>
      </c>
      <c r="E565" s="89">
        <f t="shared" si="75"/>
        <v>1</v>
      </c>
      <c r="F565" s="123" t="s">
        <v>7</v>
      </c>
      <c r="H565" s="383">
        <f t="shared" si="76"/>
        <v>46214</v>
      </c>
      <c r="I565" s="329"/>
      <c r="K565" s="331"/>
      <c r="L565" s="331"/>
      <c r="M565" s="331"/>
      <c r="N565" s="331"/>
      <c r="O565" s="331"/>
      <c r="P565" s="331"/>
      <c r="Q565" s="331"/>
      <c r="R565" s="331"/>
      <c r="S565" s="331"/>
      <c r="T565" s="331"/>
      <c r="U565" s="331"/>
      <c r="V565" s="331"/>
      <c r="X565" s="331"/>
      <c r="Y565" s="331"/>
      <c r="Z565" s="331"/>
      <c r="AB565" s="331"/>
      <c r="AC565" s="331"/>
      <c r="AD565" s="331"/>
      <c r="AF565" s="331"/>
      <c r="AG565" s="331"/>
      <c r="AI565" s="331"/>
    </row>
    <row r="566" spans="2:35" x14ac:dyDescent="0.25">
      <c r="B566" s="9" t="str">
        <f t="shared" si="73"/>
        <v>7 2026</v>
      </c>
      <c r="C566" s="88">
        <f t="shared" si="74"/>
        <v>46215</v>
      </c>
      <c r="D566" s="88">
        <f t="shared" si="72"/>
        <v>46216</v>
      </c>
      <c r="E566" s="89">
        <f t="shared" si="75"/>
        <v>1</v>
      </c>
      <c r="F566" s="123" t="s">
        <v>7</v>
      </c>
      <c r="H566" s="383">
        <f t="shared" si="76"/>
        <v>46215</v>
      </c>
      <c r="I566" s="329"/>
      <c r="K566" s="331"/>
      <c r="L566" s="331"/>
      <c r="M566" s="331"/>
      <c r="N566" s="331"/>
      <c r="O566" s="331"/>
      <c r="P566" s="331"/>
      <c r="Q566" s="331"/>
      <c r="R566" s="331"/>
      <c r="S566" s="331"/>
      <c r="T566" s="331"/>
      <c r="U566" s="331"/>
      <c r="V566" s="331"/>
      <c r="X566" s="331"/>
      <c r="Y566" s="331"/>
      <c r="Z566" s="331"/>
      <c r="AB566" s="331"/>
      <c r="AC566" s="331"/>
      <c r="AD566" s="331"/>
      <c r="AF566" s="331"/>
      <c r="AG566" s="331"/>
      <c r="AI566" s="331"/>
    </row>
    <row r="567" spans="2:35" x14ac:dyDescent="0.25">
      <c r="B567" s="9" t="str">
        <f t="shared" si="73"/>
        <v>7 2026</v>
      </c>
      <c r="C567" s="88">
        <f t="shared" si="74"/>
        <v>46216</v>
      </c>
      <c r="D567" s="88">
        <f t="shared" si="72"/>
        <v>46217</v>
      </c>
      <c r="E567" s="89">
        <f t="shared" si="75"/>
        <v>1</v>
      </c>
      <c r="F567" s="123" t="s">
        <v>7</v>
      </c>
      <c r="H567" s="383">
        <f t="shared" si="76"/>
        <v>46216</v>
      </c>
      <c r="I567" s="329"/>
      <c r="K567" s="331"/>
      <c r="L567" s="331"/>
      <c r="M567" s="331"/>
      <c r="N567" s="331"/>
      <c r="O567" s="331"/>
      <c r="P567" s="331"/>
      <c r="Q567" s="331"/>
      <c r="R567" s="331"/>
      <c r="S567" s="331"/>
      <c r="T567" s="331"/>
      <c r="U567" s="331"/>
      <c r="V567" s="331"/>
      <c r="X567" s="331"/>
      <c r="Y567" s="331"/>
      <c r="Z567" s="331"/>
      <c r="AB567" s="331"/>
      <c r="AC567" s="331"/>
      <c r="AD567" s="331"/>
      <c r="AF567" s="331"/>
      <c r="AG567" s="331"/>
      <c r="AI567" s="331"/>
    </row>
    <row r="568" spans="2:35" x14ac:dyDescent="0.25">
      <c r="B568" s="9" t="str">
        <f t="shared" si="73"/>
        <v>7 2026</v>
      </c>
      <c r="C568" s="88">
        <f t="shared" si="74"/>
        <v>46217</v>
      </c>
      <c r="D568" s="88">
        <f t="shared" ref="D568:D631" si="77">D567+1</f>
        <v>46218</v>
      </c>
      <c r="E568" s="89">
        <f t="shared" si="75"/>
        <v>1</v>
      </c>
      <c r="F568" s="123" t="s">
        <v>7</v>
      </c>
      <c r="H568" s="383">
        <f t="shared" si="76"/>
        <v>46217</v>
      </c>
      <c r="I568" s="329"/>
      <c r="K568" s="331"/>
      <c r="L568" s="331"/>
      <c r="M568" s="331"/>
      <c r="N568" s="331"/>
      <c r="O568" s="331"/>
      <c r="P568" s="331"/>
      <c r="Q568" s="331"/>
      <c r="R568" s="331"/>
      <c r="S568" s="331"/>
      <c r="T568" s="331"/>
      <c r="U568" s="331"/>
      <c r="V568" s="331"/>
      <c r="X568" s="331"/>
      <c r="Y568" s="331"/>
      <c r="Z568" s="331"/>
      <c r="AB568" s="331"/>
      <c r="AC568" s="331"/>
      <c r="AD568" s="331"/>
      <c r="AF568" s="331"/>
      <c r="AG568" s="331"/>
      <c r="AI568" s="331"/>
    </row>
    <row r="569" spans="2:35" x14ac:dyDescent="0.25">
      <c r="B569" s="9" t="str">
        <f t="shared" si="73"/>
        <v>7 2026</v>
      </c>
      <c r="C569" s="88">
        <f t="shared" si="74"/>
        <v>46218</v>
      </c>
      <c r="D569" s="88">
        <f t="shared" si="77"/>
        <v>46219</v>
      </c>
      <c r="E569" s="89">
        <f t="shared" si="75"/>
        <v>1</v>
      </c>
      <c r="F569" s="123" t="s">
        <v>7</v>
      </c>
      <c r="H569" s="383">
        <f t="shared" si="76"/>
        <v>46218</v>
      </c>
      <c r="I569" s="329"/>
      <c r="K569" s="331"/>
      <c r="L569" s="331"/>
      <c r="M569" s="331"/>
      <c r="N569" s="331"/>
      <c r="O569" s="331"/>
      <c r="P569" s="331"/>
      <c r="Q569" s="331"/>
      <c r="R569" s="331"/>
      <c r="S569" s="331"/>
      <c r="T569" s="331"/>
      <c r="U569" s="331"/>
      <c r="V569" s="331"/>
      <c r="X569" s="331"/>
      <c r="Y569" s="331"/>
      <c r="Z569" s="331"/>
      <c r="AB569" s="331"/>
      <c r="AC569" s="331"/>
      <c r="AD569" s="331"/>
      <c r="AF569" s="331"/>
      <c r="AG569" s="331"/>
      <c r="AI569" s="331"/>
    </row>
    <row r="570" spans="2:35" x14ac:dyDescent="0.25">
      <c r="B570" s="9" t="str">
        <f t="shared" si="73"/>
        <v>7 2026</v>
      </c>
      <c r="C570" s="88">
        <f t="shared" si="74"/>
        <v>46219</v>
      </c>
      <c r="D570" s="88">
        <f t="shared" si="77"/>
        <v>46220</v>
      </c>
      <c r="E570" s="89">
        <f t="shared" si="75"/>
        <v>1</v>
      </c>
      <c r="F570" s="123" t="s">
        <v>7</v>
      </c>
      <c r="H570" s="383">
        <f t="shared" si="76"/>
        <v>46219</v>
      </c>
      <c r="I570" s="329"/>
      <c r="K570" s="331"/>
      <c r="L570" s="331"/>
      <c r="M570" s="331"/>
      <c r="N570" s="331"/>
      <c r="O570" s="331"/>
      <c r="P570" s="331"/>
      <c r="Q570" s="331"/>
      <c r="R570" s="331"/>
      <c r="S570" s="331"/>
      <c r="T570" s="331"/>
      <c r="U570" s="331"/>
      <c r="V570" s="331"/>
      <c r="X570" s="331"/>
      <c r="Y570" s="331"/>
      <c r="Z570" s="331"/>
      <c r="AB570" s="331"/>
      <c r="AC570" s="331"/>
      <c r="AD570" s="331"/>
      <c r="AF570" s="331"/>
      <c r="AG570" s="331"/>
      <c r="AI570" s="331"/>
    </row>
    <row r="571" spans="2:35" x14ac:dyDescent="0.25">
      <c r="B571" s="9" t="str">
        <f t="shared" si="73"/>
        <v>7 2026</v>
      </c>
      <c r="C571" s="88">
        <f t="shared" si="74"/>
        <v>46220</v>
      </c>
      <c r="D571" s="88">
        <f t="shared" si="77"/>
        <v>46221</v>
      </c>
      <c r="E571" s="89">
        <f t="shared" si="75"/>
        <v>1</v>
      </c>
      <c r="F571" s="123" t="s">
        <v>7</v>
      </c>
      <c r="H571" s="383">
        <f t="shared" si="76"/>
        <v>46220</v>
      </c>
      <c r="I571" s="329"/>
      <c r="K571" s="331"/>
      <c r="L571" s="331"/>
      <c r="M571" s="331"/>
      <c r="N571" s="331"/>
      <c r="O571" s="331"/>
      <c r="P571" s="331"/>
      <c r="Q571" s="331"/>
      <c r="R571" s="331"/>
      <c r="S571" s="331"/>
      <c r="T571" s="331"/>
      <c r="U571" s="331"/>
      <c r="V571" s="331"/>
      <c r="X571" s="331"/>
      <c r="Y571" s="331"/>
      <c r="Z571" s="331"/>
      <c r="AB571" s="331"/>
      <c r="AC571" s="331"/>
      <c r="AD571" s="331"/>
      <c r="AF571" s="331"/>
      <c r="AG571" s="331"/>
      <c r="AI571" s="331"/>
    </row>
    <row r="572" spans="2:35" x14ac:dyDescent="0.25">
      <c r="B572" s="9" t="str">
        <f t="shared" si="73"/>
        <v>7 2026</v>
      </c>
      <c r="C572" s="88">
        <f t="shared" si="74"/>
        <v>46221</v>
      </c>
      <c r="D572" s="88">
        <f t="shared" si="77"/>
        <v>46222</v>
      </c>
      <c r="E572" s="89">
        <f t="shared" si="75"/>
        <v>1</v>
      </c>
      <c r="F572" s="123" t="s">
        <v>7</v>
      </c>
      <c r="H572" s="383">
        <f t="shared" si="76"/>
        <v>46221</v>
      </c>
      <c r="I572" s="329"/>
      <c r="K572" s="331"/>
      <c r="L572" s="331"/>
      <c r="M572" s="331"/>
      <c r="N572" s="331"/>
      <c r="O572" s="331"/>
      <c r="P572" s="331"/>
      <c r="Q572" s="331"/>
      <c r="R572" s="331"/>
      <c r="S572" s="331"/>
      <c r="T572" s="331"/>
      <c r="U572" s="331"/>
      <c r="V572" s="331"/>
      <c r="X572" s="331"/>
      <c r="Y572" s="331"/>
      <c r="Z572" s="331"/>
      <c r="AB572" s="331"/>
      <c r="AC572" s="331"/>
      <c r="AD572" s="331"/>
      <c r="AF572" s="331"/>
      <c r="AG572" s="331"/>
      <c r="AI572" s="331"/>
    </row>
    <row r="573" spans="2:35" x14ac:dyDescent="0.25">
      <c r="B573" s="9" t="str">
        <f t="shared" si="73"/>
        <v>7 2026</v>
      </c>
      <c r="C573" s="88">
        <f t="shared" si="74"/>
        <v>46222</v>
      </c>
      <c r="D573" s="88">
        <f t="shared" si="77"/>
        <v>46223</v>
      </c>
      <c r="E573" s="89">
        <f t="shared" si="75"/>
        <v>1</v>
      </c>
      <c r="F573" s="123" t="s">
        <v>7</v>
      </c>
      <c r="H573" s="383">
        <f t="shared" si="76"/>
        <v>46222</v>
      </c>
      <c r="I573" s="329"/>
      <c r="K573" s="331"/>
      <c r="L573" s="331"/>
      <c r="M573" s="331"/>
      <c r="N573" s="331"/>
      <c r="O573" s="331"/>
      <c r="P573" s="331"/>
      <c r="Q573" s="331"/>
      <c r="R573" s="331"/>
      <c r="S573" s="331"/>
      <c r="T573" s="331"/>
      <c r="U573" s="331"/>
      <c r="V573" s="331"/>
      <c r="X573" s="331"/>
      <c r="Y573" s="331"/>
      <c r="Z573" s="331"/>
      <c r="AB573" s="331"/>
      <c r="AC573" s="331"/>
      <c r="AD573" s="331"/>
      <c r="AF573" s="331"/>
      <c r="AG573" s="331"/>
      <c r="AI573" s="331"/>
    </row>
    <row r="574" spans="2:35" x14ac:dyDescent="0.25">
      <c r="B574" s="9" t="str">
        <f t="shared" si="73"/>
        <v>7 2026</v>
      </c>
      <c r="C574" s="88">
        <f t="shared" si="74"/>
        <v>46223</v>
      </c>
      <c r="D574" s="88">
        <f t="shared" si="77"/>
        <v>46224</v>
      </c>
      <c r="E574" s="89">
        <f t="shared" si="75"/>
        <v>1</v>
      </c>
      <c r="F574" s="123" t="s">
        <v>7</v>
      </c>
      <c r="H574" s="383">
        <f t="shared" si="76"/>
        <v>46223</v>
      </c>
      <c r="I574" s="329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X574" s="331"/>
      <c r="Y574" s="331"/>
      <c r="Z574" s="331"/>
      <c r="AB574" s="331"/>
      <c r="AC574" s="331"/>
      <c r="AD574" s="331"/>
      <c r="AF574" s="331"/>
      <c r="AG574" s="331"/>
      <c r="AI574" s="331"/>
    </row>
    <row r="575" spans="2:35" x14ac:dyDescent="0.25">
      <c r="B575" s="9" t="str">
        <f t="shared" si="73"/>
        <v>7 2026</v>
      </c>
      <c r="C575" s="88">
        <f t="shared" si="74"/>
        <v>46224</v>
      </c>
      <c r="D575" s="88">
        <f t="shared" si="77"/>
        <v>46225</v>
      </c>
      <c r="E575" s="89">
        <f t="shared" si="75"/>
        <v>1</v>
      </c>
      <c r="F575" s="123" t="s">
        <v>7</v>
      </c>
      <c r="H575" s="383">
        <f t="shared" si="76"/>
        <v>46224</v>
      </c>
      <c r="I575" s="329"/>
      <c r="K575" s="331"/>
      <c r="L575" s="331"/>
      <c r="M575" s="331"/>
      <c r="N575" s="331"/>
      <c r="O575" s="331"/>
      <c r="P575" s="331"/>
      <c r="Q575" s="331"/>
      <c r="R575" s="331"/>
      <c r="S575" s="331"/>
      <c r="T575" s="331"/>
      <c r="U575" s="331"/>
      <c r="V575" s="331"/>
      <c r="X575" s="331"/>
      <c r="Y575" s="331"/>
      <c r="Z575" s="331"/>
      <c r="AB575" s="331"/>
      <c r="AC575" s="331"/>
      <c r="AD575" s="331"/>
      <c r="AF575" s="331"/>
      <c r="AG575" s="331"/>
      <c r="AI575" s="331"/>
    </row>
    <row r="576" spans="2:35" x14ac:dyDescent="0.25">
      <c r="B576" s="9" t="str">
        <f t="shared" si="73"/>
        <v>7 2026</v>
      </c>
      <c r="C576" s="88">
        <f t="shared" si="74"/>
        <v>46225</v>
      </c>
      <c r="D576" s="88">
        <f t="shared" si="77"/>
        <v>46226</v>
      </c>
      <c r="E576" s="89">
        <f t="shared" si="75"/>
        <v>1</v>
      </c>
      <c r="F576" s="123" t="s">
        <v>7</v>
      </c>
      <c r="H576" s="383">
        <f t="shared" si="76"/>
        <v>46225</v>
      </c>
      <c r="I576" s="329"/>
      <c r="K576" s="331"/>
      <c r="L576" s="331"/>
      <c r="M576" s="331"/>
      <c r="N576" s="331"/>
      <c r="O576" s="331"/>
      <c r="P576" s="331"/>
      <c r="Q576" s="331"/>
      <c r="R576" s="331"/>
      <c r="S576" s="331"/>
      <c r="T576" s="331"/>
      <c r="U576" s="331"/>
      <c r="V576" s="331"/>
      <c r="X576" s="331"/>
      <c r="Y576" s="331"/>
      <c r="Z576" s="331"/>
      <c r="AB576" s="331"/>
      <c r="AC576" s="331"/>
      <c r="AD576" s="331"/>
      <c r="AF576" s="331"/>
      <c r="AG576" s="331"/>
      <c r="AI576" s="331"/>
    </row>
    <row r="577" spans="2:35" x14ac:dyDescent="0.25">
      <c r="B577" s="9" t="str">
        <f t="shared" si="73"/>
        <v>7 2026</v>
      </c>
      <c r="C577" s="88">
        <f t="shared" si="74"/>
        <v>46226</v>
      </c>
      <c r="D577" s="88">
        <f t="shared" si="77"/>
        <v>46227</v>
      </c>
      <c r="E577" s="89">
        <f t="shared" si="75"/>
        <v>1</v>
      </c>
      <c r="F577" s="123" t="s">
        <v>7</v>
      </c>
      <c r="H577" s="383">
        <f t="shared" si="76"/>
        <v>46226</v>
      </c>
      <c r="I577" s="329"/>
      <c r="K577" s="331"/>
      <c r="L577" s="331"/>
      <c r="M577" s="331"/>
      <c r="N577" s="331"/>
      <c r="O577" s="331"/>
      <c r="P577" s="331"/>
      <c r="Q577" s="331"/>
      <c r="R577" s="331"/>
      <c r="S577" s="331"/>
      <c r="T577" s="331"/>
      <c r="U577" s="331"/>
      <c r="V577" s="331"/>
      <c r="X577" s="331"/>
      <c r="Y577" s="331"/>
      <c r="Z577" s="331"/>
      <c r="AB577" s="331"/>
      <c r="AC577" s="331"/>
      <c r="AD577" s="331"/>
      <c r="AF577" s="331"/>
      <c r="AG577" s="331"/>
      <c r="AI577" s="331"/>
    </row>
    <row r="578" spans="2:35" x14ac:dyDescent="0.25">
      <c r="B578" s="9" t="str">
        <f t="shared" si="73"/>
        <v>7 2026</v>
      </c>
      <c r="C578" s="88">
        <f t="shared" si="74"/>
        <v>46227</v>
      </c>
      <c r="D578" s="88">
        <f t="shared" si="77"/>
        <v>46228</v>
      </c>
      <c r="E578" s="89">
        <f t="shared" si="75"/>
        <v>1</v>
      </c>
      <c r="F578" s="123" t="s">
        <v>7</v>
      </c>
      <c r="H578" s="383">
        <f t="shared" si="76"/>
        <v>46227</v>
      </c>
      <c r="I578" s="329"/>
      <c r="K578" s="331"/>
      <c r="L578" s="331"/>
      <c r="M578" s="331"/>
      <c r="N578" s="331"/>
      <c r="O578" s="331"/>
      <c r="P578" s="331"/>
      <c r="Q578" s="331"/>
      <c r="R578" s="331"/>
      <c r="S578" s="331"/>
      <c r="T578" s="331"/>
      <c r="U578" s="331"/>
      <c r="V578" s="331"/>
      <c r="X578" s="331"/>
      <c r="Y578" s="331"/>
      <c r="Z578" s="331"/>
      <c r="AB578" s="331"/>
      <c r="AC578" s="331"/>
      <c r="AD578" s="331"/>
      <c r="AF578" s="331"/>
      <c r="AG578" s="331"/>
      <c r="AI578" s="331"/>
    </row>
    <row r="579" spans="2:35" x14ac:dyDescent="0.25">
      <c r="B579" s="9" t="str">
        <f t="shared" si="73"/>
        <v>7 2026</v>
      </c>
      <c r="C579" s="88">
        <f t="shared" si="74"/>
        <v>46228</v>
      </c>
      <c r="D579" s="88">
        <f t="shared" si="77"/>
        <v>46229</v>
      </c>
      <c r="E579" s="89">
        <f t="shared" si="75"/>
        <v>1</v>
      </c>
      <c r="F579" s="123" t="s">
        <v>7</v>
      </c>
      <c r="H579" s="383">
        <f t="shared" si="76"/>
        <v>46228</v>
      </c>
      <c r="I579" s="329"/>
      <c r="K579" s="331"/>
      <c r="L579" s="331"/>
      <c r="M579" s="331"/>
      <c r="N579" s="331"/>
      <c r="O579" s="331"/>
      <c r="P579" s="331"/>
      <c r="Q579" s="331"/>
      <c r="R579" s="331"/>
      <c r="S579" s="331"/>
      <c r="T579" s="331"/>
      <c r="U579" s="331"/>
      <c r="V579" s="331"/>
      <c r="X579" s="331"/>
      <c r="Y579" s="331"/>
      <c r="Z579" s="331"/>
      <c r="AB579" s="331"/>
      <c r="AC579" s="331"/>
      <c r="AD579" s="331"/>
      <c r="AF579" s="331"/>
      <c r="AG579" s="331"/>
      <c r="AI579" s="331"/>
    </row>
    <row r="580" spans="2:35" x14ac:dyDescent="0.25">
      <c r="B580" s="9" t="str">
        <f t="shared" si="73"/>
        <v>7 2026</v>
      </c>
      <c r="C580" s="88">
        <f t="shared" si="74"/>
        <v>46229</v>
      </c>
      <c r="D580" s="88">
        <f t="shared" si="77"/>
        <v>46230</v>
      </c>
      <c r="E580" s="89">
        <f t="shared" si="75"/>
        <v>1</v>
      </c>
      <c r="F580" s="123" t="s">
        <v>7</v>
      </c>
      <c r="H580" s="383">
        <f t="shared" si="76"/>
        <v>46229</v>
      </c>
      <c r="I580" s="329"/>
      <c r="K580" s="331"/>
      <c r="L580" s="331"/>
      <c r="M580" s="331"/>
      <c r="N580" s="331"/>
      <c r="O580" s="331"/>
      <c r="P580" s="331"/>
      <c r="Q580" s="331"/>
      <c r="R580" s="331"/>
      <c r="S580" s="331"/>
      <c r="T580" s="331"/>
      <c r="U580" s="331"/>
      <c r="V580" s="331"/>
      <c r="X580" s="331"/>
      <c r="Y580" s="331"/>
      <c r="Z580" s="331"/>
      <c r="AB580" s="331"/>
      <c r="AC580" s="331"/>
      <c r="AD580" s="331"/>
      <c r="AF580" s="331"/>
      <c r="AG580" s="331"/>
      <c r="AI580" s="331"/>
    </row>
    <row r="581" spans="2:35" x14ac:dyDescent="0.25">
      <c r="B581" s="9" t="str">
        <f t="shared" si="73"/>
        <v>7 2026</v>
      </c>
      <c r="C581" s="88">
        <f t="shared" si="74"/>
        <v>46230</v>
      </c>
      <c r="D581" s="88">
        <f t="shared" si="77"/>
        <v>46231</v>
      </c>
      <c r="E581" s="89">
        <f t="shared" si="75"/>
        <v>1</v>
      </c>
      <c r="F581" s="123" t="s">
        <v>7</v>
      </c>
      <c r="H581" s="383">
        <f t="shared" si="76"/>
        <v>46230</v>
      </c>
      <c r="I581" s="329"/>
      <c r="K581" s="331"/>
      <c r="L581" s="331"/>
      <c r="M581" s="331"/>
      <c r="N581" s="331"/>
      <c r="O581" s="331"/>
      <c r="P581" s="331"/>
      <c r="Q581" s="331"/>
      <c r="R581" s="331"/>
      <c r="S581" s="331"/>
      <c r="T581" s="331"/>
      <c r="U581" s="331"/>
      <c r="V581" s="331"/>
      <c r="X581" s="331"/>
      <c r="Y581" s="331"/>
      <c r="Z581" s="331"/>
      <c r="AB581" s="331"/>
      <c r="AC581" s="331"/>
      <c r="AD581" s="331"/>
      <c r="AF581" s="331"/>
      <c r="AG581" s="331"/>
      <c r="AI581" s="331"/>
    </row>
    <row r="582" spans="2:35" x14ac:dyDescent="0.25">
      <c r="B582" s="9" t="str">
        <f t="shared" si="73"/>
        <v>7 2026</v>
      </c>
      <c r="C582" s="88">
        <f t="shared" si="74"/>
        <v>46231</v>
      </c>
      <c r="D582" s="88">
        <f t="shared" si="77"/>
        <v>46232</v>
      </c>
      <c r="E582" s="89">
        <f t="shared" si="75"/>
        <v>1</v>
      </c>
      <c r="F582" s="123" t="s">
        <v>7</v>
      </c>
      <c r="H582" s="383">
        <f t="shared" si="76"/>
        <v>46231</v>
      </c>
      <c r="I582" s="329"/>
      <c r="K582" s="331"/>
      <c r="L582" s="331"/>
      <c r="M582" s="331"/>
      <c r="N582" s="331"/>
      <c r="O582" s="331"/>
      <c r="P582" s="331"/>
      <c r="Q582" s="331"/>
      <c r="R582" s="331"/>
      <c r="S582" s="331"/>
      <c r="T582" s="331"/>
      <c r="U582" s="331"/>
      <c r="V582" s="331"/>
      <c r="X582" s="331"/>
      <c r="Y582" s="331"/>
      <c r="Z582" s="331"/>
      <c r="AB582" s="331"/>
      <c r="AC582" s="331"/>
      <c r="AD582" s="331"/>
      <c r="AF582" s="331"/>
      <c r="AG582" s="331"/>
      <c r="AI582" s="331"/>
    </row>
    <row r="583" spans="2:35" x14ac:dyDescent="0.25">
      <c r="B583" s="9" t="str">
        <f t="shared" si="73"/>
        <v>7 2026</v>
      </c>
      <c r="C583" s="88">
        <f t="shared" si="74"/>
        <v>46232</v>
      </c>
      <c r="D583" s="88">
        <f t="shared" si="77"/>
        <v>46233</v>
      </c>
      <c r="E583" s="89">
        <f t="shared" si="75"/>
        <v>1</v>
      </c>
      <c r="F583" s="123" t="s">
        <v>7</v>
      </c>
      <c r="H583" s="383">
        <f t="shared" si="76"/>
        <v>46232</v>
      </c>
      <c r="I583" s="329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X583" s="331"/>
      <c r="Y583" s="331"/>
      <c r="Z583" s="331"/>
      <c r="AB583" s="331"/>
      <c r="AC583" s="331"/>
      <c r="AD583" s="331"/>
      <c r="AF583" s="331"/>
      <c r="AG583" s="331"/>
      <c r="AI583" s="331"/>
    </row>
    <row r="584" spans="2:35" x14ac:dyDescent="0.25">
      <c r="B584" s="9" t="str">
        <f t="shared" si="73"/>
        <v>7 2026</v>
      </c>
      <c r="C584" s="88">
        <f t="shared" si="74"/>
        <v>46233</v>
      </c>
      <c r="D584" s="88">
        <f t="shared" si="77"/>
        <v>46234</v>
      </c>
      <c r="E584" s="89">
        <f t="shared" si="75"/>
        <v>1</v>
      </c>
      <c r="F584" s="123" t="s">
        <v>7</v>
      </c>
      <c r="H584" s="383">
        <f t="shared" si="76"/>
        <v>46233</v>
      </c>
      <c r="I584" s="329"/>
      <c r="K584" s="331"/>
      <c r="L584" s="331"/>
      <c r="M584" s="331"/>
      <c r="N584" s="331"/>
      <c r="O584" s="331"/>
      <c r="P584" s="331"/>
      <c r="Q584" s="331"/>
      <c r="R584" s="331"/>
      <c r="S584" s="331"/>
      <c r="T584" s="331"/>
      <c r="U584" s="331"/>
      <c r="V584" s="331"/>
      <c r="X584" s="331"/>
      <c r="Y584" s="331"/>
      <c r="Z584" s="331"/>
      <c r="AB584" s="331"/>
      <c r="AC584" s="331"/>
      <c r="AD584" s="331"/>
      <c r="AF584" s="331"/>
      <c r="AG584" s="331"/>
      <c r="AI584" s="331"/>
    </row>
    <row r="585" spans="2:35" x14ac:dyDescent="0.25">
      <c r="B585" s="9" t="str">
        <f t="shared" si="73"/>
        <v>8 2026</v>
      </c>
      <c r="C585" s="88">
        <f t="shared" si="74"/>
        <v>46234</v>
      </c>
      <c r="D585" s="88">
        <f t="shared" si="77"/>
        <v>46235</v>
      </c>
      <c r="E585" s="89">
        <f t="shared" si="75"/>
        <v>1</v>
      </c>
      <c r="F585" s="123" t="s">
        <v>7</v>
      </c>
      <c r="H585" s="383">
        <f t="shared" si="76"/>
        <v>46234</v>
      </c>
      <c r="I585" s="329"/>
      <c r="K585" s="331"/>
      <c r="L585" s="331"/>
      <c r="M585" s="331"/>
      <c r="N585" s="331"/>
      <c r="O585" s="331"/>
      <c r="P585" s="331"/>
      <c r="Q585" s="331"/>
      <c r="R585" s="331"/>
      <c r="S585" s="331"/>
      <c r="T585" s="331"/>
      <c r="U585" s="331"/>
      <c r="V585" s="331"/>
      <c r="X585" s="331"/>
      <c r="Y585" s="331"/>
      <c r="Z585" s="331"/>
      <c r="AB585" s="331"/>
      <c r="AC585" s="331"/>
      <c r="AD585" s="331"/>
      <c r="AF585" s="331"/>
      <c r="AG585" s="331"/>
      <c r="AI585" s="331"/>
    </row>
    <row r="586" spans="2:35" x14ac:dyDescent="0.25">
      <c r="B586" s="9" t="str">
        <f t="shared" si="73"/>
        <v>8 2026</v>
      </c>
      <c r="C586" s="88">
        <f t="shared" si="74"/>
        <v>46235</v>
      </c>
      <c r="D586" s="88">
        <f t="shared" si="77"/>
        <v>46236</v>
      </c>
      <c r="E586" s="89">
        <f t="shared" si="75"/>
        <v>1</v>
      </c>
      <c r="F586" s="123" t="s">
        <v>7</v>
      </c>
      <c r="H586" s="383">
        <f t="shared" si="76"/>
        <v>46235</v>
      </c>
      <c r="I586" s="329"/>
      <c r="K586" s="331"/>
      <c r="L586" s="331"/>
      <c r="M586" s="331"/>
      <c r="N586" s="331"/>
      <c r="O586" s="331"/>
      <c r="P586" s="331"/>
      <c r="Q586" s="331"/>
      <c r="R586" s="331"/>
      <c r="S586" s="331"/>
      <c r="T586" s="331"/>
      <c r="U586" s="331"/>
      <c r="V586" s="331"/>
      <c r="X586" s="331"/>
      <c r="Y586" s="331"/>
      <c r="Z586" s="331"/>
      <c r="AB586" s="331"/>
      <c r="AC586" s="331"/>
      <c r="AD586" s="331"/>
      <c r="AF586" s="331"/>
      <c r="AG586" s="331"/>
      <c r="AI586" s="331"/>
    </row>
    <row r="587" spans="2:35" x14ac:dyDescent="0.25">
      <c r="B587" s="9" t="str">
        <f t="shared" si="73"/>
        <v>8 2026</v>
      </c>
      <c r="C587" s="88">
        <f t="shared" si="74"/>
        <v>46236</v>
      </c>
      <c r="D587" s="88">
        <f t="shared" si="77"/>
        <v>46237</v>
      </c>
      <c r="E587" s="89">
        <f t="shared" si="75"/>
        <v>1</v>
      </c>
      <c r="F587" s="123" t="s">
        <v>7</v>
      </c>
      <c r="H587" s="383">
        <f t="shared" si="76"/>
        <v>46236</v>
      </c>
      <c r="I587" s="329"/>
      <c r="K587" s="331"/>
      <c r="L587" s="331"/>
      <c r="M587" s="331"/>
      <c r="N587" s="331"/>
      <c r="O587" s="331"/>
      <c r="P587" s="331"/>
      <c r="Q587" s="331"/>
      <c r="R587" s="331"/>
      <c r="S587" s="331"/>
      <c r="T587" s="331"/>
      <c r="U587" s="331"/>
      <c r="V587" s="331"/>
      <c r="X587" s="331"/>
      <c r="Y587" s="331"/>
      <c r="Z587" s="331"/>
      <c r="AB587" s="331"/>
      <c r="AC587" s="331"/>
      <c r="AD587" s="331"/>
      <c r="AF587" s="331"/>
      <c r="AG587" s="331"/>
      <c r="AI587" s="331"/>
    </row>
    <row r="588" spans="2:35" x14ac:dyDescent="0.25">
      <c r="B588" s="9" t="str">
        <f t="shared" si="73"/>
        <v>8 2026</v>
      </c>
      <c r="C588" s="88">
        <f t="shared" si="74"/>
        <v>46237</v>
      </c>
      <c r="D588" s="88">
        <f t="shared" si="77"/>
        <v>46238</v>
      </c>
      <c r="E588" s="89">
        <f t="shared" si="75"/>
        <v>1</v>
      </c>
      <c r="F588" s="123" t="s">
        <v>7</v>
      </c>
      <c r="H588" s="383">
        <f t="shared" si="76"/>
        <v>46237</v>
      </c>
      <c r="I588" s="329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31"/>
      <c r="X588" s="331"/>
      <c r="Y588" s="331"/>
      <c r="Z588" s="331"/>
      <c r="AB588" s="331"/>
      <c r="AC588" s="331"/>
      <c r="AD588" s="331"/>
      <c r="AF588" s="331"/>
      <c r="AG588" s="331"/>
      <c r="AI588" s="331"/>
    </row>
    <row r="589" spans="2:35" x14ac:dyDescent="0.25">
      <c r="B589" s="9" t="str">
        <f t="shared" si="73"/>
        <v>8 2026</v>
      </c>
      <c r="C589" s="88">
        <f t="shared" si="74"/>
        <v>46238</v>
      </c>
      <c r="D589" s="88">
        <f t="shared" si="77"/>
        <v>46239</v>
      </c>
      <c r="E589" s="89">
        <f t="shared" si="75"/>
        <v>1</v>
      </c>
      <c r="F589" s="123" t="s">
        <v>7</v>
      </c>
      <c r="H589" s="383">
        <f t="shared" si="76"/>
        <v>46238</v>
      </c>
      <c r="I589" s="329"/>
      <c r="K589" s="331"/>
      <c r="L589" s="331"/>
      <c r="M589" s="331"/>
      <c r="N589" s="331"/>
      <c r="O589" s="331"/>
      <c r="P589" s="331"/>
      <c r="Q589" s="331"/>
      <c r="R589" s="331"/>
      <c r="S589" s="331"/>
      <c r="T589" s="331"/>
      <c r="U589" s="331"/>
      <c r="V589" s="331"/>
      <c r="X589" s="331"/>
      <c r="Y589" s="331"/>
      <c r="Z589" s="331"/>
      <c r="AB589" s="331"/>
      <c r="AC589" s="331"/>
      <c r="AD589" s="331"/>
      <c r="AF589" s="331"/>
      <c r="AG589" s="331"/>
      <c r="AI589" s="331"/>
    </row>
    <row r="590" spans="2:35" x14ac:dyDescent="0.25">
      <c r="B590" s="9" t="str">
        <f t="shared" si="73"/>
        <v>8 2026</v>
      </c>
      <c r="C590" s="88">
        <f t="shared" si="74"/>
        <v>46239</v>
      </c>
      <c r="D590" s="88">
        <f t="shared" si="77"/>
        <v>46240</v>
      </c>
      <c r="E590" s="89">
        <f t="shared" si="75"/>
        <v>1</v>
      </c>
      <c r="F590" s="123" t="s">
        <v>7</v>
      </c>
      <c r="H590" s="383">
        <f t="shared" si="76"/>
        <v>46239</v>
      </c>
      <c r="I590" s="329"/>
      <c r="K590" s="331"/>
      <c r="L590" s="331"/>
      <c r="M590" s="331"/>
      <c r="N590" s="331"/>
      <c r="O590" s="331"/>
      <c r="P590" s="331"/>
      <c r="Q590" s="331"/>
      <c r="R590" s="331"/>
      <c r="S590" s="331"/>
      <c r="T590" s="331"/>
      <c r="U590" s="331"/>
      <c r="V590" s="331"/>
      <c r="X590" s="331"/>
      <c r="Y590" s="331"/>
      <c r="Z590" s="331"/>
      <c r="AB590" s="331"/>
      <c r="AC590" s="331"/>
      <c r="AD590" s="331"/>
      <c r="AF590" s="331"/>
      <c r="AG590" s="331"/>
      <c r="AI590" s="331"/>
    </row>
    <row r="591" spans="2:35" x14ac:dyDescent="0.25">
      <c r="B591" s="9" t="str">
        <f t="shared" si="73"/>
        <v>8 2026</v>
      </c>
      <c r="C591" s="88">
        <f t="shared" si="74"/>
        <v>46240</v>
      </c>
      <c r="D591" s="88">
        <f t="shared" si="77"/>
        <v>46241</v>
      </c>
      <c r="E591" s="89">
        <f t="shared" si="75"/>
        <v>1</v>
      </c>
      <c r="F591" s="123" t="s">
        <v>7</v>
      </c>
      <c r="H591" s="383">
        <f t="shared" si="76"/>
        <v>46240</v>
      </c>
      <c r="I591" s="329"/>
      <c r="K591" s="331"/>
      <c r="L591" s="331"/>
      <c r="M591" s="331"/>
      <c r="N591" s="331"/>
      <c r="O591" s="331"/>
      <c r="P591" s="331"/>
      <c r="Q591" s="331"/>
      <c r="R591" s="331"/>
      <c r="S591" s="331"/>
      <c r="T591" s="331"/>
      <c r="U591" s="331"/>
      <c r="V591" s="331"/>
      <c r="X591" s="331"/>
      <c r="Y591" s="331"/>
      <c r="Z591" s="331"/>
      <c r="AB591" s="331"/>
      <c r="AC591" s="331"/>
      <c r="AD591" s="331"/>
      <c r="AF591" s="331"/>
      <c r="AG591" s="331"/>
      <c r="AI591" s="331"/>
    </row>
    <row r="592" spans="2:35" x14ac:dyDescent="0.25">
      <c r="B592" s="9" t="str">
        <f t="shared" si="73"/>
        <v>8 2026</v>
      </c>
      <c r="C592" s="88">
        <f t="shared" si="74"/>
        <v>46241</v>
      </c>
      <c r="D592" s="88">
        <f t="shared" si="77"/>
        <v>46242</v>
      </c>
      <c r="E592" s="89">
        <f t="shared" si="75"/>
        <v>1</v>
      </c>
      <c r="F592" s="123" t="s">
        <v>7</v>
      </c>
      <c r="H592" s="383">
        <f t="shared" si="76"/>
        <v>46241</v>
      </c>
      <c r="I592" s="329"/>
      <c r="K592" s="331"/>
      <c r="L592" s="331"/>
      <c r="M592" s="331"/>
      <c r="N592" s="331"/>
      <c r="O592" s="331"/>
      <c r="P592" s="331"/>
      <c r="Q592" s="331"/>
      <c r="R592" s="331"/>
      <c r="S592" s="331"/>
      <c r="T592" s="331"/>
      <c r="U592" s="331"/>
      <c r="V592" s="331"/>
      <c r="X592" s="331"/>
      <c r="Y592" s="331"/>
      <c r="Z592" s="331"/>
      <c r="AB592" s="331"/>
      <c r="AC592" s="331"/>
      <c r="AD592" s="331"/>
      <c r="AF592" s="331"/>
      <c r="AG592" s="331"/>
      <c r="AI592" s="331"/>
    </row>
    <row r="593" spans="2:35" x14ac:dyDescent="0.25">
      <c r="B593" s="9" t="str">
        <f t="shared" si="73"/>
        <v>8 2026</v>
      </c>
      <c r="C593" s="88">
        <f t="shared" si="74"/>
        <v>46242</v>
      </c>
      <c r="D593" s="88">
        <f t="shared" si="77"/>
        <v>46243</v>
      </c>
      <c r="E593" s="89">
        <f t="shared" si="75"/>
        <v>1</v>
      </c>
      <c r="F593" s="123" t="s">
        <v>7</v>
      </c>
      <c r="H593" s="383">
        <f t="shared" si="76"/>
        <v>46242</v>
      </c>
      <c r="I593" s="329"/>
      <c r="K593" s="331"/>
      <c r="L593" s="331"/>
      <c r="M593" s="331"/>
      <c r="N593" s="331"/>
      <c r="O593" s="331"/>
      <c r="P593" s="331"/>
      <c r="Q593" s="331"/>
      <c r="R593" s="331"/>
      <c r="S593" s="331"/>
      <c r="T593" s="331"/>
      <c r="U593" s="331"/>
      <c r="V593" s="331"/>
      <c r="X593" s="331"/>
      <c r="Y593" s="331"/>
      <c r="Z593" s="331"/>
      <c r="AB593" s="331"/>
      <c r="AC593" s="331"/>
      <c r="AD593" s="331"/>
      <c r="AF593" s="331"/>
      <c r="AG593" s="331"/>
      <c r="AI593" s="331"/>
    </row>
    <row r="594" spans="2:35" x14ac:dyDescent="0.25">
      <c r="B594" s="9" t="str">
        <f t="shared" si="73"/>
        <v>8 2026</v>
      </c>
      <c r="C594" s="88">
        <f t="shared" si="74"/>
        <v>46243</v>
      </c>
      <c r="D594" s="88">
        <f t="shared" si="77"/>
        <v>46244</v>
      </c>
      <c r="E594" s="89">
        <f t="shared" si="75"/>
        <v>1</v>
      </c>
      <c r="F594" s="123" t="s">
        <v>7</v>
      </c>
      <c r="H594" s="383">
        <f t="shared" si="76"/>
        <v>46243</v>
      </c>
      <c r="I594" s="329"/>
      <c r="K594" s="331"/>
      <c r="L594" s="331"/>
      <c r="M594" s="331"/>
      <c r="N594" s="331"/>
      <c r="O594" s="331"/>
      <c r="P594" s="331"/>
      <c r="Q594" s="331"/>
      <c r="R594" s="331"/>
      <c r="S594" s="331"/>
      <c r="T594" s="331"/>
      <c r="U594" s="331"/>
      <c r="V594" s="331"/>
      <c r="X594" s="331"/>
      <c r="Y594" s="331"/>
      <c r="Z594" s="331"/>
      <c r="AB594" s="331"/>
      <c r="AC594" s="331"/>
      <c r="AD594" s="331"/>
      <c r="AF594" s="331"/>
      <c r="AG594" s="331"/>
      <c r="AI594" s="331"/>
    </row>
    <row r="595" spans="2:35" x14ac:dyDescent="0.25">
      <c r="B595" s="9" t="str">
        <f t="shared" si="73"/>
        <v>8 2026</v>
      </c>
      <c r="C595" s="88">
        <f t="shared" si="74"/>
        <v>46244</v>
      </c>
      <c r="D595" s="88">
        <f t="shared" si="77"/>
        <v>46245</v>
      </c>
      <c r="E595" s="89">
        <f t="shared" si="75"/>
        <v>1</v>
      </c>
      <c r="F595" s="123" t="s">
        <v>7</v>
      </c>
      <c r="H595" s="383">
        <f t="shared" si="76"/>
        <v>46244</v>
      </c>
      <c r="I595" s="329"/>
      <c r="K595" s="331"/>
      <c r="L595" s="331"/>
      <c r="M595" s="331"/>
      <c r="N595" s="331"/>
      <c r="O595" s="331"/>
      <c r="P595" s="331"/>
      <c r="Q595" s="331"/>
      <c r="R595" s="331"/>
      <c r="S595" s="331"/>
      <c r="T595" s="331"/>
      <c r="U595" s="331"/>
      <c r="V595" s="331"/>
      <c r="X595" s="331"/>
      <c r="Y595" s="331"/>
      <c r="Z595" s="331"/>
      <c r="AB595" s="331"/>
      <c r="AC595" s="331"/>
      <c r="AD595" s="331"/>
      <c r="AF595" s="331"/>
      <c r="AG595" s="331"/>
      <c r="AI595" s="331"/>
    </row>
    <row r="596" spans="2:35" x14ac:dyDescent="0.25">
      <c r="B596" s="9" t="str">
        <f t="shared" si="73"/>
        <v>8 2026</v>
      </c>
      <c r="C596" s="88">
        <f t="shared" si="74"/>
        <v>46245</v>
      </c>
      <c r="D596" s="88">
        <f t="shared" si="77"/>
        <v>46246</v>
      </c>
      <c r="E596" s="89">
        <f t="shared" si="75"/>
        <v>1</v>
      </c>
      <c r="F596" s="123" t="s">
        <v>7</v>
      </c>
      <c r="H596" s="383">
        <f t="shared" si="76"/>
        <v>46245</v>
      </c>
      <c r="I596" s="329"/>
      <c r="K596" s="331"/>
      <c r="L596" s="331"/>
      <c r="M596" s="331"/>
      <c r="N596" s="331"/>
      <c r="O596" s="331"/>
      <c r="P596" s="331"/>
      <c r="Q596" s="331"/>
      <c r="R596" s="331"/>
      <c r="S596" s="331"/>
      <c r="T596" s="331"/>
      <c r="U596" s="331"/>
      <c r="V596" s="331"/>
      <c r="X596" s="331"/>
      <c r="Y596" s="331"/>
      <c r="Z596" s="331"/>
      <c r="AB596" s="331"/>
      <c r="AC596" s="331"/>
      <c r="AD596" s="331"/>
      <c r="AF596" s="331"/>
      <c r="AG596" s="331"/>
      <c r="AI596" s="331"/>
    </row>
    <row r="597" spans="2:35" x14ac:dyDescent="0.25">
      <c r="B597" s="9" t="str">
        <f t="shared" ref="B597:B660" si="78">CONCATENATE(MONTH(D597)," ",YEAR(D597))</f>
        <v>8 2026</v>
      </c>
      <c r="C597" s="88">
        <f t="shared" ref="C597:C660" si="79">D596</f>
        <v>46246</v>
      </c>
      <c r="D597" s="88">
        <f t="shared" si="77"/>
        <v>46247</v>
      </c>
      <c r="E597" s="89">
        <f t="shared" ref="E597:E660" si="80">D597-C597</f>
        <v>1</v>
      </c>
      <c r="F597" s="123" t="s">
        <v>7</v>
      </c>
      <c r="H597" s="383">
        <f t="shared" ref="H597:H660" si="81">C597</f>
        <v>46246</v>
      </c>
      <c r="I597" s="329"/>
      <c r="K597" s="331"/>
      <c r="L597" s="331"/>
      <c r="M597" s="331"/>
      <c r="N597" s="331"/>
      <c r="O597" s="331"/>
      <c r="P597" s="331"/>
      <c r="Q597" s="331"/>
      <c r="R597" s="331"/>
      <c r="S597" s="331"/>
      <c r="T597" s="331"/>
      <c r="U597" s="331"/>
      <c r="V597" s="331"/>
      <c r="X597" s="331"/>
      <c r="Y597" s="331"/>
      <c r="Z597" s="331"/>
      <c r="AB597" s="331"/>
      <c r="AC597" s="331"/>
      <c r="AD597" s="331"/>
      <c r="AF597" s="331"/>
      <c r="AG597" s="331"/>
      <c r="AI597" s="331"/>
    </row>
    <row r="598" spans="2:35" x14ac:dyDescent="0.25">
      <c r="B598" s="9" t="str">
        <f t="shared" si="78"/>
        <v>8 2026</v>
      </c>
      <c r="C598" s="88">
        <f t="shared" si="79"/>
        <v>46247</v>
      </c>
      <c r="D598" s="88">
        <f t="shared" si="77"/>
        <v>46248</v>
      </c>
      <c r="E598" s="89">
        <f t="shared" si="80"/>
        <v>1</v>
      </c>
      <c r="F598" s="123" t="s">
        <v>7</v>
      </c>
      <c r="H598" s="383">
        <f t="shared" si="81"/>
        <v>46247</v>
      </c>
      <c r="I598" s="329"/>
      <c r="K598" s="331"/>
      <c r="L598" s="331"/>
      <c r="M598" s="331"/>
      <c r="N598" s="331"/>
      <c r="O598" s="331"/>
      <c r="P598" s="331"/>
      <c r="Q598" s="331"/>
      <c r="R598" s="331"/>
      <c r="S598" s="331"/>
      <c r="T598" s="331"/>
      <c r="U598" s="331"/>
      <c r="V598" s="331"/>
      <c r="X598" s="331"/>
      <c r="Y598" s="331"/>
      <c r="Z598" s="331"/>
      <c r="AB598" s="331"/>
      <c r="AC598" s="331"/>
      <c r="AD598" s="331"/>
      <c r="AF598" s="331"/>
      <c r="AG598" s="331"/>
      <c r="AI598" s="331"/>
    </row>
    <row r="599" spans="2:35" x14ac:dyDescent="0.25">
      <c r="B599" s="9" t="str">
        <f t="shared" si="78"/>
        <v>8 2026</v>
      </c>
      <c r="C599" s="88">
        <f t="shared" si="79"/>
        <v>46248</v>
      </c>
      <c r="D599" s="88">
        <f t="shared" si="77"/>
        <v>46249</v>
      </c>
      <c r="E599" s="89">
        <f t="shared" si="80"/>
        <v>1</v>
      </c>
      <c r="F599" s="123" t="s">
        <v>7</v>
      </c>
      <c r="H599" s="383">
        <f t="shared" si="81"/>
        <v>46248</v>
      </c>
      <c r="I599" s="329"/>
      <c r="K599" s="331"/>
      <c r="L599" s="331"/>
      <c r="M599" s="331"/>
      <c r="N599" s="331"/>
      <c r="O599" s="331"/>
      <c r="P599" s="331"/>
      <c r="Q599" s="331"/>
      <c r="R599" s="331"/>
      <c r="S599" s="331"/>
      <c r="T599" s="331"/>
      <c r="U599" s="331"/>
      <c r="V599" s="331"/>
      <c r="X599" s="331"/>
      <c r="Y599" s="331"/>
      <c r="Z599" s="331"/>
      <c r="AB599" s="331"/>
      <c r="AC599" s="331"/>
      <c r="AD599" s="331"/>
      <c r="AF599" s="331"/>
      <c r="AG599" s="331"/>
      <c r="AI599" s="331"/>
    </row>
    <row r="600" spans="2:35" x14ac:dyDescent="0.25">
      <c r="B600" s="9" t="str">
        <f t="shared" si="78"/>
        <v>8 2026</v>
      </c>
      <c r="C600" s="88">
        <f t="shared" si="79"/>
        <v>46249</v>
      </c>
      <c r="D600" s="88">
        <f t="shared" si="77"/>
        <v>46250</v>
      </c>
      <c r="E600" s="89">
        <f t="shared" si="80"/>
        <v>1</v>
      </c>
      <c r="F600" s="123" t="s">
        <v>7</v>
      </c>
      <c r="H600" s="383">
        <f t="shared" si="81"/>
        <v>46249</v>
      </c>
      <c r="I600" s="329"/>
      <c r="K600" s="331"/>
      <c r="L600" s="331"/>
      <c r="M600" s="331"/>
      <c r="N600" s="331"/>
      <c r="O600" s="331"/>
      <c r="P600" s="331"/>
      <c r="Q600" s="331"/>
      <c r="R600" s="331"/>
      <c r="S600" s="331"/>
      <c r="T600" s="331"/>
      <c r="U600" s="331"/>
      <c r="V600" s="331"/>
      <c r="X600" s="331"/>
      <c r="Y600" s="331"/>
      <c r="Z600" s="331"/>
      <c r="AB600" s="331"/>
      <c r="AC600" s="331"/>
      <c r="AD600" s="331"/>
      <c r="AF600" s="331"/>
      <c r="AG600" s="331"/>
      <c r="AI600" s="331"/>
    </row>
    <row r="601" spans="2:35" x14ac:dyDescent="0.25">
      <c r="B601" s="9" t="str">
        <f t="shared" si="78"/>
        <v>8 2026</v>
      </c>
      <c r="C601" s="88">
        <f t="shared" si="79"/>
        <v>46250</v>
      </c>
      <c r="D601" s="88">
        <f t="shared" si="77"/>
        <v>46251</v>
      </c>
      <c r="E601" s="89">
        <f t="shared" si="80"/>
        <v>1</v>
      </c>
      <c r="F601" s="123" t="s">
        <v>7</v>
      </c>
      <c r="H601" s="383">
        <f t="shared" si="81"/>
        <v>46250</v>
      </c>
      <c r="I601" s="329"/>
      <c r="K601" s="331"/>
      <c r="L601" s="331"/>
      <c r="M601" s="331"/>
      <c r="N601" s="331"/>
      <c r="O601" s="331"/>
      <c r="P601" s="331"/>
      <c r="Q601" s="331"/>
      <c r="R601" s="331"/>
      <c r="S601" s="331"/>
      <c r="T601" s="331"/>
      <c r="U601" s="331"/>
      <c r="V601" s="331"/>
      <c r="X601" s="331"/>
      <c r="Y601" s="331"/>
      <c r="Z601" s="331"/>
      <c r="AB601" s="331"/>
      <c r="AC601" s="331"/>
      <c r="AD601" s="331"/>
      <c r="AF601" s="331"/>
      <c r="AG601" s="331"/>
      <c r="AI601" s="331"/>
    </row>
    <row r="602" spans="2:35" x14ac:dyDescent="0.25">
      <c r="B602" s="9" t="str">
        <f t="shared" si="78"/>
        <v>8 2026</v>
      </c>
      <c r="C602" s="88">
        <f t="shared" si="79"/>
        <v>46251</v>
      </c>
      <c r="D602" s="88">
        <f t="shared" si="77"/>
        <v>46252</v>
      </c>
      <c r="E602" s="89">
        <f t="shared" si="80"/>
        <v>1</v>
      </c>
      <c r="F602" s="123" t="s">
        <v>7</v>
      </c>
      <c r="H602" s="383">
        <f t="shared" si="81"/>
        <v>46251</v>
      </c>
      <c r="I602" s="329"/>
      <c r="K602" s="331"/>
      <c r="L602" s="331"/>
      <c r="M602" s="331"/>
      <c r="N602" s="331"/>
      <c r="O602" s="331"/>
      <c r="P602" s="331"/>
      <c r="Q602" s="331"/>
      <c r="R602" s="331"/>
      <c r="S602" s="331"/>
      <c r="T602" s="331"/>
      <c r="U602" s="331"/>
      <c r="V602" s="331"/>
      <c r="X602" s="331"/>
      <c r="Y602" s="331"/>
      <c r="Z602" s="331"/>
      <c r="AB602" s="331"/>
      <c r="AC602" s="331"/>
      <c r="AD602" s="331"/>
      <c r="AF602" s="331"/>
      <c r="AG602" s="331"/>
      <c r="AI602" s="331"/>
    </row>
    <row r="603" spans="2:35" x14ac:dyDescent="0.25">
      <c r="B603" s="9" t="str">
        <f t="shared" si="78"/>
        <v>8 2026</v>
      </c>
      <c r="C603" s="88">
        <f t="shared" si="79"/>
        <v>46252</v>
      </c>
      <c r="D603" s="88">
        <f t="shared" si="77"/>
        <v>46253</v>
      </c>
      <c r="E603" s="89">
        <f t="shared" si="80"/>
        <v>1</v>
      </c>
      <c r="F603" s="123" t="s">
        <v>7</v>
      </c>
      <c r="H603" s="383">
        <f t="shared" si="81"/>
        <v>46252</v>
      </c>
      <c r="I603" s="329"/>
      <c r="K603" s="331"/>
      <c r="L603" s="331"/>
      <c r="M603" s="331"/>
      <c r="N603" s="331"/>
      <c r="O603" s="331"/>
      <c r="P603" s="331"/>
      <c r="Q603" s="331"/>
      <c r="R603" s="331"/>
      <c r="S603" s="331"/>
      <c r="T603" s="331"/>
      <c r="U603" s="331"/>
      <c r="V603" s="331"/>
      <c r="X603" s="331"/>
      <c r="Y603" s="331"/>
      <c r="Z603" s="331"/>
      <c r="AB603" s="331"/>
      <c r="AC603" s="331"/>
      <c r="AD603" s="331"/>
      <c r="AF603" s="331"/>
      <c r="AG603" s="331"/>
      <c r="AI603" s="331"/>
    </row>
    <row r="604" spans="2:35" x14ac:dyDescent="0.25">
      <c r="B604" s="9" t="str">
        <f t="shared" si="78"/>
        <v>8 2026</v>
      </c>
      <c r="C604" s="88">
        <f t="shared" si="79"/>
        <v>46253</v>
      </c>
      <c r="D604" s="88">
        <f t="shared" si="77"/>
        <v>46254</v>
      </c>
      <c r="E604" s="89">
        <f t="shared" si="80"/>
        <v>1</v>
      </c>
      <c r="F604" s="123" t="s">
        <v>7</v>
      </c>
      <c r="H604" s="383">
        <f t="shared" si="81"/>
        <v>46253</v>
      </c>
      <c r="I604" s="329"/>
      <c r="K604" s="331"/>
      <c r="L604" s="331"/>
      <c r="M604" s="331"/>
      <c r="N604" s="331"/>
      <c r="O604" s="331"/>
      <c r="P604" s="331"/>
      <c r="Q604" s="331"/>
      <c r="R604" s="331"/>
      <c r="S604" s="331"/>
      <c r="T604" s="331"/>
      <c r="U604" s="331"/>
      <c r="V604" s="331"/>
      <c r="X604" s="331"/>
      <c r="Y604" s="331"/>
      <c r="Z604" s="331"/>
      <c r="AB604" s="331"/>
      <c r="AC604" s="331"/>
      <c r="AD604" s="331"/>
      <c r="AF604" s="331"/>
      <c r="AG604" s="331"/>
      <c r="AI604" s="331"/>
    </row>
    <row r="605" spans="2:35" x14ac:dyDescent="0.25">
      <c r="B605" s="9" t="str">
        <f t="shared" si="78"/>
        <v>8 2026</v>
      </c>
      <c r="C605" s="88">
        <f t="shared" si="79"/>
        <v>46254</v>
      </c>
      <c r="D605" s="88">
        <f t="shared" si="77"/>
        <v>46255</v>
      </c>
      <c r="E605" s="89">
        <f t="shared" si="80"/>
        <v>1</v>
      </c>
      <c r="F605" s="123" t="s">
        <v>7</v>
      </c>
      <c r="H605" s="383">
        <f t="shared" si="81"/>
        <v>46254</v>
      </c>
      <c r="I605" s="329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X605" s="331"/>
      <c r="Y605" s="331"/>
      <c r="Z605" s="331"/>
      <c r="AB605" s="331"/>
      <c r="AC605" s="331"/>
      <c r="AD605" s="331"/>
      <c r="AF605" s="331"/>
      <c r="AG605" s="331"/>
      <c r="AI605" s="331"/>
    </row>
    <row r="606" spans="2:35" x14ac:dyDescent="0.25">
      <c r="B606" s="9" t="str">
        <f t="shared" si="78"/>
        <v>8 2026</v>
      </c>
      <c r="C606" s="88">
        <f t="shared" si="79"/>
        <v>46255</v>
      </c>
      <c r="D606" s="88">
        <f t="shared" si="77"/>
        <v>46256</v>
      </c>
      <c r="E606" s="89">
        <f t="shared" si="80"/>
        <v>1</v>
      </c>
      <c r="F606" s="123" t="s">
        <v>7</v>
      </c>
      <c r="H606" s="383">
        <f t="shared" si="81"/>
        <v>46255</v>
      </c>
      <c r="I606" s="329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X606" s="331"/>
      <c r="Y606" s="331"/>
      <c r="Z606" s="331"/>
      <c r="AB606" s="331"/>
      <c r="AC606" s="331"/>
      <c r="AD606" s="331"/>
      <c r="AF606" s="331"/>
      <c r="AG606" s="331"/>
      <c r="AI606" s="331"/>
    </row>
    <row r="607" spans="2:35" x14ac:dyDescent="0.25">
      <c r="B607" s="9" t="str">
        <f t="shared" si="78"/>
        <v>8 2026</v>
      </c>
      <c r="C607" s="88">
        <f t="shared" si="79"/>
        <v>46256</v>
      </c>
      <c r="D607" s="88">
        <f t="shared" si="77"/>
        <v>46257</v>
      </c>
      <c r="E607" s="89">
        <f t="shared" si="80"/>
        <v>1</v>
      </c>
      <c r="F607" s="123" t="s">
        <v>7</v>
      </c>
      <c r="H607" s="383">
        <f t="shared" si="81"/>
        <v>46256</v>
      </c>
      <c r="I607" s="329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/>
      <c r="U607" s="331"/>
      <c r="V607" s="331"/>
      <c r="X607" s="331"/>
      <c r="Y607" s="331"/>
      <c r="Z607" s="331"/>
      <c r="AB607" s="331"/>
      <c r="AC607" s="331"/>
      <c r="AD607" s="331"/>
      <c r="AF607" s="331"/>
      <c r="AG607" s="331"/>
      <c r="AI607" s="331"/>
    </row>
    <row r="608" spans="2:35" x14ac:dyDescent="0.25">
      <c r="B608" s="9" t="str">
        <f t="shared" si="78"/>
        <v>8 2026</v>
      </c>
      <c r="C608" s="88">
        <f t="shared" si="79"/>
        <v>46257</v>
      </c>
      <c r="D608" s="88">
        <f t="shared" si="77"/>
        <v>46258</v>
      </c>
      <c r="E608" s="89">
        <f t="shared" si="80"/>
        <v>1</v>
      </c>
      <c r="F608" s="123" t="s">
        <v>7</v>
      </c>
      <c r="H608" s="383">
        <f t="shared" si="81"/>
        <v>46257</v>
      </c>
      <c r="I608" s="329"/>
      <c r="K608" s="331"/>
      <c r="L608" s="331"/>
      <c r="M608" s="331"/>
      <c r="N608" s="331"/>
      <c r="O608" s="331"/>
      <c r="P608" s="331"/>
      <c r="Q608" s="331"/>
      <c r="R608" s="331"/>
      <c r="S608" s="331"/>
      <c r="T608" s="331"/>
      <c r="U608" s="331"/>
      <c r="V608" s="331"/>
      <c r="X608" s="331"/>
      <c r="Y608" s="331"/>
      <c r="Z608" s="331"/>
      <c r="AB608" s="331"/>
      <c r="AC608" s="331"/>
      <c r="AD608" s="331"/>
      <c r="AF608" s="331"/>
      <c r="AG608" s="331"/>
      <c r="AI608" s="331"/>
    </row>
    <row r="609" spans="2:35" x14ac:dyDescent="0.25">
      <c r="B609" s="9" t="str">
        <f t="shared" si="78"/>
        <v>8 2026</v>
      </c>
      <c r="C609" s="88">
        <f t="shared" si="79"/>
        <v>46258</v>
      </c>
      <c r="D609" s="88">
        <f t="shared" si="77"/>
        <v>46259</v>
      </c>
      <c r="E609" s="89">
        <f t="shared" si="80"/>
        <v>1</v>
      </c>
      <c r="F609" s="123" t="s">
        <v>7</v>
      </c>
      <c r="H609" s="383">
        <f t="shared" si="81"/>
        <v>46258</v>
      </c>
      <c r="I609" s="329"/>
      <c r="K609" s="331"/>
      <c r="L609" s="331"/>
      <c r="M609" s="331"/>
      <c r="N609" s="331"/>
      <c r="O609" s="331"/>
      <c r="P609" s="331"/>
      <c r="Q609" s="331"/>
      <c r="R609" s="331"/>
      <c r="S609" s="331"/>
      <c r="T609" s="331"/>
      <c r="U609" s="331"/>
      <c r="V609" s="331"/>
      <c r="X609" s="331"/>
      <c r="Y609" s="331"/>
      <c r="Z609" s="331"/>
      <c r="AB609" s="331"/>
      <c r="AC609" s="331"/>
      <c r="AD609" s="331"/>
      <c r="AF609" s="331"/>
      <c r="AG609" s="331"/>
      <c r="AI609" s="331"/>
    </row>
    <row r="610" spans="2:35" x14ac:dyDescent="0.25">
      <c r="B610" s="9" t="str">
        <f t="shared" si="78"/>
        <v>8 2026</v>
      </c>
      <c r="C610" s="88">
        <f t="shared" si="79"/>
        <v>46259</v>
      </c>
      <c r="D610" s="88">
        <f t="shared" si="77"/>
        <v>46260</v>
      </c>
      <c r="E610" s="89">
        <f t="shared" si="80"/>
        <v>1</v>
      </c>
      <c r="F610" s="123" t="s">
        <v>7</v>
      </c>
      <c r="H610" s="383">
        <f t="shared" si="81"/>
        <v>46259</v>
      </c>
      <c r="I610" s="329"/>
      <c r="K610" s="331"/>
      <c r="L610" s="331"/>
      <c r="M610" s="331"/>
      <c r="N610" s="331"/>
      <c r="O610" s="331"/>
      <c r="P610" s="331"/>
      <c r="Q610" s="331"/>
      <c r="R610" s="331"/>
      <c r="S610" s="331"/>
      <c r="T610" s="331"/>
      <c r="U610" s="331"/>
      <c r="V610" s="331"/>
      <c r="X610" s="331"/>
      <c r="Y610" s="331"/>
      <c r="Z610" s="331"/>
      <c r="AB610" s="331"/>
      <c r="AC610" s="331"/>
      <c r="AD610" s="331"/>
      <c r="AF610" s="331"/>
      <c r="AG610" s="331"/>
      <c r="AI610" s="331"/>
    </row>
    <row r="611" spans="2:35" x14ac:dyDescent="0.25">
      <c r="B611" s="9" t="str">
        <f t="shared" si="78"/>
        <v>8 2026</v>
      </c>
      <c r="C611" s="88">
        <f t="shared" si="79"/>
        <v>46260</v>
      </c>
      <c r="D611" s="88">
        <f t="shared" si="77"/>
        <v>46261</v>
      </c>
      <c r="E611" s="89">
        <f t="shared" si="80"/>
        <v>1</v>
      </c>
      <c r="F611" s="123" t="s">
        <v>7</v>
      </c>
      <c r="H611" s="383">
        <f t="shared" si="81"/>
        <v>46260</v>
      </c>
      <c r="I611" s="329"/>
      <c r="K611" s="331"/>
      <c r="L611" s="331"/>
      <c r="M611" s="331"/>
      <c r="N611" s="331"/>
      <c r="O611" s="331"/>
      <c r="P611" s="331"/>
      <c r="Q611" s="331"/>
      <c r="R611" s="331"/>
      <c r="S611" s="331"/>
      <c r="T611" s="331"/>
      <c r="U611" s="331"/>
      <c r="V611" s="331"/>
      <c r="X611" s="331"/>
      <c r="Y611" s="331"/>
      <c r="Z611" s="331"/>
      <c r="AB611" s="331"/>
      <c r="AC611" s="331"/>
      <c r="AD611" s="331"/>
      <c r="AF611" s="331"/>
      <c r="AG611" s="331"/>
      <c r="AI611" s="331"/>
    </row>
    <row r="612" spans="2:35" x14ac:dyDescent="0.25">
      <c r="B612" s="9" t="str">
        <f t="shared" si="78"/>
        <v>8 2026</v>
      </c>
      <c r="C612" s="88">
        <f t="shared" si="79"/>
        <v>46261</v>
      </c>
      <c r="D612" s="88">
        <f t="shared" si="77"/>
        <v>46262</v>
      </c>
      <c r="E612" s="89">
        <f t="shared" si="80"/>
        <v>1</v>
      </c>
      <c r="F612" s="123" t="s">
        <v>7</v>
      </c>
      <c r="H612" s="383">
        <f t="shared" si="81"/>
        <v>46261</v>
      </c>
      <c r="I612" s="329"/>
      <c r="K612" s="331"/>
      <c r="L612" s="331"/>
      <c r="M612" s="331"/>
      <c r="N612" s="331"/>
      <c r="O612" s="331"/>
      <c r="P612" s="331"/>
      <c r="Q612" s="331"/>
      <c r="R612" s="331"/>
      <c r="S612" s="331"/>
      <c r="T612" s="331"/>
      <c r="U612" s="331"/>
      <c r="V612" s="331"/>
      <c r="X612" s="331"/>
      <c r="Y612" s="331"/>
      <c r="Z612" s="331"/>
      <c r="AB612" s="331"/>
      <c r="AC612" s="331"/>
      <c r="AD612" s="331"/>
      <c r="AF612" s="331"/>
      <c r="AG612" s="331"/>
      <c r="AI612" s="331"/>
    </row>
    <row r="613" spans="2:35" x14ac:dyDescent="0.25">
      <c r="B613" s="9" t="str">
        <f t="shared" si="78"/>
        <v>8 2026</v>
      </c>
      <c r="C613" s="88">
        <f t="shared" si="79"/>
        <v>46262</v>
      </c>
      <c r="D613" s="88">
        <f t="shared" si="77"/>
        <v>46263</v>
      </c>
      <c r="E613" s="89">
        <f t="shared" si="80"/>
        <v>1</v>
      </c>
      <c r="F613" s="123" t="s">
        <v>7</v>
      </c>
      <c r="H613" s="383">
        <f t="shared" si="81"/>
        <v>46262</v>
      </c>
      <c r="I613" s="329"/>
      <c r="K613" s="331"/>
      <c r="L613" s="331"/>
      <c r="M613" s="331"/>
      <c r="N613" s="331"/>
      <c r="O613" s="331"/>
      <c r="P613" s="331"/>
      <c r="Q613" s="331"/>
      <c r="R613" s="331"/>
      <c r="S613" s="331"/>
      <c r="T613" s="331"/>
      <c r="U613" s="331"/>
      <c r="V613" s="331"/>
      <c r="X613" s="331"/>
      <c r="Y613" s="331"/>
      <c r="Z613" s="331"/>
      <c r="AB613" s="331"/>
      <c r="AC613" s="331"/>
      <c r="AD613" s="331"/>
      <c r="AF613" s="331"/>
      <c r="AG613" s="331"/>
      <c r="AI613" s="331"/>
    </row>
    <row r="614" spans="2:35" x14ac:dyDescent="0.25">
      <c r="B614" s="9" t="str">
        <f t="shared" si="78"/>
        <v>8 2026</v>
      </c>
      <c r="C614" s="88">
        <f t="shared" si="79"/>
        <v>46263</v>
      </c>
      <c r="D614" s="88">
        <f t="shared" si="77"/>
        <v>46264</v>
      </c>
      <c r="E614" s="89">
        <f t="shared" si="80"/>
        <v>1</v>
      </c>
      <c r="F614" s="123" t="s">
        <v>7</v>
      </c>
      <c r="H614" s="383">
        <f t="shared" si="81"/>
        <v>46263</v>
      </c>
      <c r="I614" s="329"/>
      <c r="K614" s="331"/>
      <c r="L614" s="331"/>
      <c r="M614" s="331"/>
      <c r="N614" s="331"/>
      <c r="O614" s="331"/>
      <c r="P614" s="331"/>
      <c r="Q614" s="331"/>
      <c r="R614" s="331"/>
      <c r="S614" s="331"/>
      <c r="T614" s="331"/>
      <c r="U614" s="331"/>
      <c r="V614" s="331"/>
      <c r="X614" s="331"/>
      <c r="Y614" s="331"/>
      <c r="Z614" s="331"/>
      <c r="AB614" s="331"/>
      <c r="AC614" s="331"/>
      <c r="AD614" s="331"/>
      <c r="AF614" s="331"/>
      <c r="AG614" s="331"/>
      <c r="AI614" s="331"/>
    </row>
    <row r="615" spans="2:35" x14ac:dyDescent="0.25">
      <c r="B615" s="9" t="str">
        <f t="shared" si="78"/>
        <v>8 2026</v>
      </c>
      <c r="C615" s="88">
        <f t="shared" si="79"/>
        <v>46264</v>
      </c>
      <c r="D615" s="88">
        <f t="shared" si="77"/>
        <v>46265</v>
      </c>
      <c r="E615" s="89">
        <f t="shared" si="80"/>
        <v>1</v>
      </c>
      <c r="F615" s="123" t="s">
        <v>7</v>
      </c>
      <c r="H615" s="383">
        <f t="shared" si="81"/>
        <v>46264</v>
      </c>
      <c r="I615" s="329"/>
      <c r="K615" s="331"/>
      <c r="L615" s="331"/>
      <c r="M615" s="331"/>
      <c r="N615" s="331"/>
      <c r="O615" s="331"/>
      <c r="P615" s="331"/>
      <c r="Q615" s="331"/>
      <c r="R615" s="331"/>
      <c r="S615" s="331"/>
      <c r="T615" s="331"/>
      <c r="U615" s="331"/>
      <c r="V615" s="331"/>
      <c r="X615" s="331"/>
      <c r="Y615" s="331"/>
      <c r="Z615" s="331"/>
      <c r="AB615" s="331"/>
      <c r="AC615" s="331"/>
      <c r="AD615" s="331"/>
      <c r="AF615" s="331"/>
      <c r="AG615" s="331"/>
      <c r="AI615" s="331"/>
    </row>
    <row r="616" spans="2:35" x14ac:dyDescent="0.25">
      <c r="B616" s="9" t="str">
        <f t="shared" si="78"/>
        <v>9 2026</v>
      </c>
      <c r="C616" s="88">
        <f t="shared" si="79"/>
        <v>46265</v>
      </c>
      <c r="D616" s="88">
        <f t="shared" si="77"/>
        <v>46266</v>
      </c>
      <c r="E616" s="89">
        <f t="shared" si="80"/>
        <v>1</v>
      </c>
      <c r="F616" s="123" t="s">
        <v>7</v>
      </c>
      <c r="H616" s="383">
        <f t="shared" si="81"/>
        <v>46265</v>
      </c>
      <c r="I616" s="329"/>
      <c r="K616" s="331"/>
      <c r="L616" s="331"/>
      <c r="M616" s="331"/>
      <c r="N616" s="331"/>
      <c r="O616" s="331"/>
      <c r="P616" s="331"/>
      <c r="Q616" s="331"/>
      <c r="R616" s="331"/>
      <c r="S616" s="331"/>
      <c r="T616" s="331"/>
      <c r="U616" s="331"/>
      <c r="V616" s="331"/>
      <c r="X616" s="331"/>
      <c r="Y616" s="331"/>
      <c r="Z616" s="331"/>
      <c r="AB616" s="331"/>
      <c r="AC616" s="331"/>
      <c r="AD616" s="331"/>
      <c r="AF616" s="331"/>
      <c r="AG616" s="331"/>
      <c r="AI616" s="331"/>
    </row>
    <row r="617" spans="2:35" x14ac:dyDescent="0.25">
      <c r="B617" s="9" t="str">
        <f t="shared" si="78"/>
        <v>9 2026</v>
      </c>
      <c r="C617" s="88">
        <f t="shared" si="79"/>
        <v>46266</v>
      </c>
      <c r="D617" s="88">
        <f t="shared" si="77"/>
        <v>46267</v>
      </c>
      <c r="E617" s="89">
        <f t="shared" si="80"/>
        <v>1</v>
      </c>
      <c r="F617" s="123" t="s">
        <v>7</v>
      </c>
      <c r="H617" s="383">
        <f t="shared" si="81"/>
        <v>46266</v>
      </c>
      <c r="I617" s="329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X617" s="331"/>
      <c r="Y617" s="331"/>
      <c r="Z617" s="331"/>
      <c r="AB617" s="331"/>
      <c r="AC617" s="331"/>
      <c r="AD617" s="331"/>
      <c r="AF617" s="331"/>
      <c r="AG617" s="331"/>
      <c r="AI617" s="331"/>
    </row>
    <row r="618" spans="2:35" x14ac:dyDescent="0.25">
      <c r="B618" s="9" t="str">
        <f t="shared" si="78"/>
        <v>9 2026</v>
      </c>
      <c r="C618" s="88">
        <f t="shared" si="79"/>
        <v>46267</v>
      </c>
      <c r="D618" s="88">
        <f t="shared" si="77"/>
        <v>46268</v>
      </c>
      <c r="E618" s="89">
        <f t="shared" si="80"/>
        <v>1</v>
      </c>
      <c r="F618" s="123" t="s">
        <v>7</v>
      </c>
      <c r="H618" s="383">
        <f t="shared" si="81"/>
        <v>46267</v>
      </c>
      <c r="I618" s="329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X618" s="331"/>
      <c r="Y618" s="331"/>
      <c r="Z618" s="331"/>
      <c r="AB618" s="331"/>
      <c r="AC618" s="331"/>
      <c r="AD618" s="331"/>
      <c r="AF618" s="331"/>
      <c r="AG618" s="331"/>
      <c r="AI618" s="331"/>
    </row>
    <row r="619" spans="2:35" x14ac:dyDescent="0.25">
      <c r="B619" s="9" t="str">
        <f t="shared" si="78"/>
        <v>9 2026</v>
      </c>
      <c r="C619" s="88">
        <f t="shared" si="79"/>
        <v>46268</v>
      </c>
      <c r="D619" s="88">
        <f t="shared" si="77"/>
        <v>46269</v>
      </c>
      <c r="E619" s="89">
        <f t="shared" si="80"/>
        <v>1</v>
      </c>
      <c r="F619" s="123" t="s">
        <v>7</v>
      </c>
      <c r="H619" s="383">
        <f t="shared" si="81"/>
        <v>46268</v>
      </c>
      <c r="I619" s="329"/>
      <c r="K619" s="331"/>
      <c r="L619" s="331"/>
      <c r="M619" s="331"/>
      <c r="N619" s="331"/>
      <c r="O619" s="331"/>
      <c r="P619" s="331"/>
      <c r="Q619" s="331"/>
      <c r="R619" s="331"/>
      <c r="S619" s="331"/>
      <c r="T619" s="331"/>
      <c r="U619" s="331"/>
      <c r="V619" s="331"/>
      <c r="X619" s="331"/>
      <c r="Y619" s="331"/>
      <c r="Z619" s="331"/>
      <c r="AB619" s="331"/>
      <c r="AC619" s="331"/>
      <c r="AD619" s="331"/>
      <c r="AF619" s="331"/>
      <c r="AG619" s="331"/>
      <c r="AI619" s="331"/>
    </row>
    <row r="620" spans="2:35" x14ac:dyDescent="0.25">
      <c r="B620" s="9" t="str">
        <f t="shared" si="78"/>
        <v>9 2026</v>
      </c>
      <c r="C620" s="88">
        <f t="shared" si="79"/>
        <v>46269</v>
      </c>
      <c r="D620" s="88">
        <f t="shared" si="77"/>
        <v>46270</v>
      </c>
      <c r="E620" s="89">
        <f t="shared" si="80"/>
        <v>1</v>
      </c>
      <c r="F620" s="123" t="s">
        <v>7</v>
      </c>
      <c r="H620" s="383">
        <f t="shared" si="81"/>
        <v>46269</v>
      </c>
      <c r="I620" s="329"/>
      <c r="K620" s="331"/>
      <c r="L620" s="331"/>
      <c r="M620" s="331"/>
      <c r="N620" s="331"/>
      <c r="O620" s="331"/>
      <c r="P620" s="331"/>
      <c r="Q620" s="331"/>
      <c r="R620" s="331"/>
      <c r="S620" s="331"/>
      <c r="T620" s="331"/>
      <c r="U620" s="331"/>
      <c r="V620" s="331"/>
      <c r="X620" s="331"/>
      <c r="Y620" s="331"/>
      <c r="Z620" s="331"/>
      <c r="AB620" s="331"/>
      <c r="AC620" s="331"/>
      <c r="AD620" s="331"/>
      <c r="AF620" s="331"/>
      <c r="AG620" s="331"/>
      <c r="AI620" s="331"/>
    </row>
    <row r="621" spans="2:35" x14ac:dyDescent="0.25">
      <c r="B621" s="9" t="str">
        <f t="shared" si="78"/>
        <v>9 2026</v>
      </c>
      <c r="C621" s="88">
        <f t="shared" si="79"/>
        <v>46270</v>
      </c>
      <c r="D621" s="88">
        <f t="shared" si="77"/>
        <v>46271</v>
      </c>
      <c r="E621" s="89">
        <f t="shared" si="80"/>
        <v>1</v>
      </c>
      <c r="F621" s="123" t="s">
        <v>7</v>
      </c>
      <c r="H621" s="383">
        <f t="shared" si="81"/>
        <v>46270</v>
      </c>
      <c r="I621" s="329"/>
      <c r="K621" s="331"/>
      <c r="L621" s="331"/>
      <c r="M621" s="331"/>
      <c r="N621" s="331"/>
      <c r="O621" s="331"/>
      <c r="P621" s="331"/>
      <c r="Q621" s="331"/>
      <c r="R621" s="331"/>
      <c r="S621" s="331"/>
      <c r="T621" s="331"/>
      <c r="U621" s="331"/>
      <c r="V621" s="331"/>
      <c r="X621" s="331"/>
      <c r="Y621" s="331"/>
      <c r="Z621" s="331"/>
      <c r="AB621" s="331"/>
      <c r="AC621" s="331"/>
      <c r="AD621" s="331"/>
      <c r="AF621" s="331"/>
      <c r="AG621" s="331"/>
      <c r="AI621" s="331"/>
    </row>
    <row r="622" spans="2:35" x14ac:dyDescent="0.25">
      <c r="B622" s="9" t="str">
        <f t="shared" si="78"/>
        <v>9 2026</v>
      </c>
      <c r="C622" s="88">
        <f t="shared" si="79"/>
        <v>46271</v>
      </c>
      <c r="D622" s="88">
        <f t="shared" si="77"/>
        <v>46272</v>
      </c>
      <c r="E622" s="89">
        <f t="shared" si="80"/>
        <v>1</v>
      </c>
      <c r="F622" s="123" t="s">
        <v>7</v>
      </c>
      <c r="H622" s="383">
        <f t="shared" si="81"/>
        <v>46271</v>
      </c>
      <c r="I622" s="329"/>
      <c r="K622" s="331"/>
      <c r="L622" s="331"/>
      <c r="M622" s="331"/>
      <c r="N622" s="331"/>
      <c r="O622" s="331"/>
      <c r="P622" s="331"/>
      <c r="Q622" s="331"/>
      <c r="R622" s="331"/>
      <c r="S622" s="331"/>
      <c r="T622" s="331"/>
      <c r="U622" s="331"/>
      <c r="V622" s="331"/>
      <c r="X622" s="331"/>
      <c r="Y622" s="331"/>
      <c r="Z622" s="331"/>
      <c r="AB622" s="331"/>
      <c r="AC622" s="331"/>
      <c r="AD622" s="331"/>
      <c r="AF622" s="331"/>
      <c r="AG622" s="331"/>
      <c r="AI622" s="331"/>
    </row>
    <row r="623" spans="2:35" x14ac:dyDescent="0.25">
      <c r="B623" s="9" t="str">
        <f t="shared" si="78"/>
        <v>9 2026</v>
      </c>
      <c r="C623" s="88">
        <f t="shared" si="79"/>
        <v>46272</v>
      </c>
      <c r="D623" s="88">
        <f t="shared" si="77"/>
        <v>46273</v>
      </c>
      <c r="E623" s="89">
        <f t="shared" si="80"/>
        <v>1</v>
      </c>
      <c r="F623" s="123" t="s">
        <v>7</v>
      </c>
      <c r="H623" s="383">
        <f t="shared" si="81"/>
        <v>46272</v>
      </c>
      <c r="I623" s="329"/>
      <c r="K623" s="331"/>
      <c r="L623" s="331"/>
      <c r="M623" s="331"/>
      <c r="N623" s="331"/>
      <c r="O623" s="331"/>
      <c r="P623" s="331"/>
      <c r="Q623" s="331"/>
      <c r="R623" s="331"/>
      <c r="S623" s="331"/>
      <c r="T623" s="331"/>
      <c r="U623" s="331"/>
      <c r="V623" s="331"/>
      <c r="X623" s="331"/>
      <c r="Y623" s="331"/>
      <c r="Z623" s="331"/>
      <c r="AB623" s="331"/>
      <c r="AC623" s="331"/>
      <c r="AD623" s="331"/>
      <c r="AF623" s="331"/>
      <c r="AG623" s="331"/>
      <c r="AI623" s="331"/>
    </row>
    <row r="624" spans="2:35" x14ac:dyDescent="0.25">
      <c r="B624" s="9" t="str">
        <f t="shared" si="78"/>
        <v>9 2026</v>
      </c>
      <c r="C624" s="88">
        <f t="shared" si="79"/>
        <v>46273</v>
      </c>
      <c r="D624" s="88">
        <f t="shared" si="77"/>
        <v>46274</v>
      </c>
      <c r="E624" s="89">
        <f t="shared" si="80"/>
        <v>1</v>
      </c>
      <c r="F624" s="123" t="s">
        <v>7</v>
      </c>
      <c r="H624" s="383">
        <f t="shared" si="81"/>
        <v>46273</v>
      </c>
      <c r="I624" s="329"/>
      <c r="K624" s="331"/>
      <c r="L624" s="331"/>
      <c r="M624" s="331"/>
      <c r="N624" s="331"/>
      <c r="O624" s="331"/>
      <c r="P624" s="331"/>
      <c r="Q624" s="331"/>
      <c r="R624" s="331"/>
      <c r="S624" s="331"/>
      <c r="T624" s="331"/>
      <c r="U624" s="331"/>
      <c r="V624" s="331"/>
      <c r="X624" s="331"/>
      <c r="Y624" s="331"/>
      <c r="Z624" s="331"/>
      <c r="AB624" s="331"/>
      <c r="AC624" s="331"/>
      <c r="AD624" s="331"/>
      <c r="AF624" s="331"/>
      <c r="AG624" s="331"/>
      <c r="AI624" s="331"/>
    </row>
    <row r="625" spans="2:35" x14ac:dyDescent="0.25">
      <c r="B625" s="9" t="str">
        <f t="shared" si="78"/>
        <v>9 2026</v>
      </c>
      <c r="C625" s="88">
        <f t="shared" si="79"/>
        <v>46274</v>
      </c>
      <c r="D625" s="88">
        <f t="shared" si="77"/>
        <v>46275</v>
      </c>
      <c r="E625" s="89">
        <f t="shared" si="80"/>
        <v>1</v>
      </c>
      <c r="F625" s="123" t="s">
        <v>7</v>
      </c>
      <c r="H625" s="383">
        <f t="shared" si="81"/>
        <v>46274</v>
      </c>
      <c r="I625" s="329"/>
      <c r="K625" s="331"/>
      <c r="L625" s="331"/>
      <c r="M625" s="331"/>
      <c r="N625" s="331"/>
      <c r="O625" s="331"/>
      <c r="P625" s="331"/>
      <c r="Q625" s="331"/>
      <c r="R625" s="331"/>
      <c r="S625" s="331"/>
      <c r="T625" s="331"/>
      <c r="U625" s="331"/>
      <c r="V625" s="331"/>
      <c r="X625" s="331"/>
      <c r="Y625" s="331"/>
      <c r="Z625" s="331"/>
      <c r="AB625" s="331"/>
      <c r="AC625" s="331"/>
      <c r="AD625" s="331"/>
      <c r="AF625" s="331"/>
      <c r="AG625" s="331"/>
      <c r="AI625" s="331"/>
    </row>
    <row r="626" spans="2:35" x14ac:dyDescent="0.25">
      <c r="B626" s="9" t="str">
        <f t="shared" si="78"/>
        <v>9 2026</v>
      </c>
      <c r="C626" s="88">
        <f t="shared" si="79"/>
        <v>46275</v>
      </c>
      <c r="D626" s="88">
        <f t="shared" si="77"/>
        <v>46276</v>
      </c>
      <c r="E626" s="89">
        <f t="shared" si="80"/>
        <v>1</v>
      </c>
      <c r="F626" s="123" t="s">
        <v>7</v>
      </c>
      <c r="H626" s="383">
        <f t="shared" si="81"/>
        <v>46275</v>
      </c>
      <c r="I626" s="329"/>
      <c r="K626" s="331"/>
      <c r="L626" s="331"/>
      <c r="M626" s="331"/>
      <c r="N626" s="331"/>
      <c r="O626" s="331"/>
      <c r="P626" s="331"/>
      <c r="Q626" s="331"/>
      <c r="R626" s="331"/>
      <c r="S626" s="331"/>
      <c r="T626" s="331"/>
      <c r="U626" s="331"/>
      <c r="V626" s="331"/>
      <c r="X626" s="331"/>
      <c r="Y626" s="331"/>
      <c r="Z626" s="331"/>
      <c r="AB626" s="331"/>
      <c r="AC626" s="331"/>
      <c r="AD626" s="331"/>
      <c r="AF626" s="331"/>
      <c r="AG626" s="331"/>
      <c r="AI626" s="331"/>
    </row>
    <row r="627" spans="2:35" x14ac:dyDescent="0.25">
      <c r="B627" s="9" t="str">
        <f t="shared" si="78"/>
        <v>9 2026</v>
      </c>
      <c r="C627" s="88">
        <f t="shared" si="79"/>
        <v>46276</v>
      </c>
      <c r="D627" s="88">
        <f t="shared" si="77"/>
        <v>46277</v>
      </c>
      <c r="E627" s="89">
        <f t="shared" si="80"/>
        <v>1</v>
      </c>
      <c r="F627" s="123" t="s">
        <v>7</v>
      </c>
      <c r="H627" s="383">
        <f t="shared" si="81"/>
        <v>46276</v>
      </c>
      <c r="I627" s="329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X627" s="331"/>
      <c r="Y627" s="331"/>
      <c r="Z627" s="331"/>
      <c r="AB627" s="331"/>
      <c r="AC627" s="331"/>
      <c r="AD627" s="331"/>
      <c r="AF627" s="331"/>
      <c r="AG627" s="331"/>
      <c r="AI627" s="331"/>
    </row>
    <row r="628" spans="2:35" x14ac:dyDescent="0.25">
      <c r="B628" s="9" t="str">
        <f t="shared" si="78"/>
        <v>9 2026</v>
      </c>
      <c r="C628" s="88">
        <f t="shared" si="79"/>
        <v>46277</v>
      </c>
      <c r="D628" s="88">
        <f t="shared" si="77"/>
        <v>46278</v>
      </c>
      <c r="E628" s="89">
        <f t="shared" si="80"/>
        <v>1</v>
      </c>
      <c r="F628" s="123" t="s">
        <v>7</v>
      </c>
      <c r="H628" s="383">
        <f t="shared" si="81"/>
        <v>46277</v>
      </c>
      <c r="I628" s="329"/>
      <c r="K628" s="331"/>
      <c r="L628" s="331"/>
      <c r="M628" s="331"/>
      <c r="N628" s="331"/>
      <c r="O628" s="331"/>
      <c r="P628" s="331"/>
      <c r="Q628" s="331"/>
      <c r="R628" s="331"/>
      <c r="S628" s="331"/>
      <c r="T628" s="331"/>
      <c r="U628" s="331"/>
      <c r="V628" s="331"/>
      <c r="X628" s="331"/>
      <c r="Y628" s="331"/>
      <c r="Z628" s="331"/>
      <c r="AB628" s="331"/>
      <c r="AC628" s="331"/>
      <c r="AD628" s="331"/>
      <c r="AF628" s="331"/>
      <c r="AG628" s="331"/>
      <c r="AI628" s="331"/>
    </row>
    <row r="629" spans="2:35" x14ac:dyDescent="0.25">
      <c r="B629" s="9" t="str">
        <f t="shared" si="78"/>
        <v>9 2026</v>
      </c>
      <c r="C629" s="88">
        <f t="shared" si="79"/>
        <v>46278</v>
      </c>
      <c r="D629" s="88">
        <f t="shared" si="77"/>
        <v>46279</v>
      </c>
      <c r="E629" s="89">
        <f t="shared" si="80"/>
        <v>1</v>
      </c>
      <c r="F629" s="123" t="s">
        <v>7</v>
      </c>
      <c r="H629" s="383">
        <f t="shared" si="81"/>
        <v>46278</v>
      </c>
      <c r="I629" s="329"/>
      <c r="K629" s="331"/>
      <c r="L629" s="331"/>
      <c r="M629" s="331"/>
      <c r="N629" s="331"/>
      <c r="O629" s="331"/>
      <c r="P629" s="331"/>
      <c r="Q629" s="331"/>
      <c r="R629" s="331"/>
      <c r="S629" s="331"/>
      <c r="T629" s="331"/>
      <c r="U629" s="331"/>
      <c r="V629" s="331"/>
      <c r="X629" s="331"/>
      <c r="Y629" s="331"/>
      <c r="Z629" s="331"/>
      <c r="AB629" s="331"/>
      <c r="AC629" s="331"/>
      <c r="AD629" s="331"/>
      <c r="AF629" s="331"/>
      <c r="AG629" s="331"/>
      <c r="AI629" s="331"/>
    </row>
    <row r="630" spans="2:35" x14ac:dyDescent="0.25">
      <c r="B630" s="9" t="str">
        <f t="shared" si="78"/>
        <v>9 2026</v>
      </c>
      <c r="C630" s="88">
        <f t="shared" si="79"/>
        <v>46279</v>
      </c>
      <c r="D630" s="88">
        <f t="shared" si="77"/>
        <v>46280</v>
      </c>
      <c r="E630" s="89">
        <f t="shared" si="80"/>
        <v>1</v>
      </c>
      <c r="F630" s="123" t="s">
        <v>7</v>
      </c>
      <c r="H630" s="383">
        <f t="shared" si="81"/>
        <v>46279</v>
      </c>
      <c r="I630" s="329"/>
      <c r="K630" s="331"/>
      <c r="L630" s="331"/>
      <c r="M630" s="331"/>
      <c r="N630" s="331"/>
      <c r="O630" s="331"/>
      <c r="P630" s="331"/>
      <c r="Q630" s="331"/>
      <c r="R630" s="331"/>
      <c r="S630" s="331"/>
      <c r="T630" s="331"/>
      <c r="U630" s="331"/>
      <c r="V630" s="331"/>
      <c r="X630" s="331"/>
      <c r="Y630" s="331"/>
      <c r="Z630" s="331"/>
      <c r="AB630" s="331"/>
      <c r="AC630" s="331"/>
      <c r="AD630" s="331"/>
      <c r="AF630" s="331"/>
      <c r="AG630" s="331"/>
      <c r="AI630" s="331"/>
    </row>
    <row r="631" spans="2:35" x14ac:dyDescent="0.25">
      <c r="B631" s="9" t="str">
        <f t="shared" si="78"/>
        <v>9 2026</v>
      </c>
      <c r="C631" s="88">
        <f t="shared" si="79"/>
        <v>46280</v>
      </c>
      <c r="D631" s="88">
        <f t="shared" si="77"/>
        <v>46281</v>
      </c>
      <c r="E631" s="89">
        <f t="shared" si="80"/>
        <v>1</v>
      </c>
      <c r="F631" s="123" t="s">
        <v>7</v>
      </c>
      <c r="H631" s="383">
        <f t="shared" si="81"/>
        <v>46280</v>
      </c>
      <c r="I631" s="329"/>
      <c r="K631" s="331"/>
      <c r="L631" s="331"/>
      <c r="M631" s="331"/>
      <c r="N631" s="331"/>
      <c r="O631" s="331"/>
      <c r="P631" s="331"/>
      <c r="Q631" s="331"/>
      <c r="R631" s="331"/>
      <c r="S631" s="331"/>
      <c r="T631" s="331"/>
      <c r="U631" s="331"/>
      <c r="V631" s="331"/>
      <c r="X631" s="331"/>
      <c r="Y631" s="331"/>
      <c r="Z631" s="331"/>
      <c r="AB631" s="331"/>
      <c r="AC631" s="331"/>
      <c r="AD631" s="331"/>
      <c r="AF631" s="331"/>
      <c r="AG631" s="331"/>
      <c r="AI631" s="331"/>
    </row>
    <row r="632" spans="2:35" x14ac:dyDescent="0.25">
      <c r="B632" s="9" t="str">
        <f t="shared" si="78"/>
        <v>9 2026</v>
      </c>
      <c r="C632" s="88">
        <f t="shared" si="79"/>
        <v>46281</v>
      </c>
      <c r="D632" s="88">
        <f t="shared" ref="D632:D695" si="82">D631+1</f>
        <v>46282</v>
      </c>
      <c r="E632" s="89">
        <f t="shared" si="80"/>
        <v>1</v>
      </c>
      <c r="F632" s="123" t="s">
        <v>7</v>
      </c>
      <c r="H632" s="383">
        <f t="shared" si="81"/>
        <v>46281</v>
      </c>
      <c r="I632" s="329"/>
      <c r="K632" s="331"/>
      <c r="L632" s="331"/>
      <c r="M632" s="331"/>
      <c r="N632" s="331"/>
      <c r="O632" s="331"/>
      <c r="P632" s="331"/>
      <c r="Q632" s="331"/>
      <c r="R632" s="331"/>
      <c r="S632" s="331"/>
      <c r="T632" s="331"/>
      <c r="U632" s="331"/>
      <c r="V632" s="331"/>
      <c r="X632" s="331"/>
      <c r="Y632" s="331"/>
      <c r="Z632" s="331"/>
      <c r="AB632" s="331"/>
      <c r="AC632" s="331"/>
      <c r="AD632" s="331"/>
      <c r="AF632" s="331"/>
      <c r="AG632" s="331"/>
      <c r="AI632" s="331"/>
    </row>
    <row r="633" spans="2:35" x14ac:dyDescent="0.25">
      <c r="B633" s="9" t="str">
        <f t="shared" si="78"/>
        <v>9 2026</v>
      </c>
      <c r="C633" s="88">
        <f t="shared" si="79"/>
        <v>46282</v>
      </c>
      <c r="D633" s="88">
        <f t="shared" si="82"/>
        <v>46283</v>
      </c>
      <c r="E633" s="89">
        <f t="shared" si="80"/>
        <v>1</v>
      </c>
      <c r="F633" s="123" t="s">
        <v>7</v>
      </c>
      <c r="H633" s="383">
        <f t="shared" si="81"/>
        <v>46282</v>
      </c>
      <c r="I633" s="329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X633" s="331"/>
      <c r="Y633" s="331"/>
      <c r="Z633" s="331"/>
      <c r="AB633" s="331"/>
      <c r="AC633" s="331"/>
      <c r="AD633" s="331"/>
      <c r="AF633" s="331"/>
      <c r="AG633" s="331"/>
      <c r="AI633" s="331"/>
    </row>
    <row r="634" spans="2:35" x14ac:dyDescent="0.25">
      <c r="B634" s="9" t="str">
        <f t="shared" si="78"/>
        <v>9 2026</v>
      </c>
      <c r="C634" s="88">
        <f t="shared" si="79"/>
        <v>46283</v>
      </c>
      <c r="D634" s="88">
        <f t="shared" si="82"/>
        <v>46284</v>
      </c>
      <c r="E634" s="89">
        <f t="shared" si="80"/>
        <v>1</v>
      </c>
      <c r="F634" s="123" t="s">
        <v>7</v>
      </c>
      <c r="H634" s="383">
        <f t="shared" si="81"/>
        <v>46283</v>
      </c>
      <c r="I634" s="329"/>
      <c r="K634" s="331"/>
      <c r="L634" s="331"/>
      <c r="M634" s="331"/>
      <c r="N634" s="331"/>
      <c r="O634" s="331"/>
      <c r="P634" s="331"/>
      <c r="Q634" s="331"/>
      <c r="R634" s="331"/>
      <c r="S634" s="331"/>
      <c r="T634" s="331"/>
      <c r="U634" s="331"/>
      <c r="V634" s="331"/>
      <c r="X634" s="331"/>
      <c r="Y634" s="331"/>
      <c r="Z634" s="331"/>
      <c r="AB634" s="331"/>
      <c r="AC634" s="331"/>
      <c r="AD634" s="331"/>
      <c r="AF634" s="331"/>
      <c r="AG634" s="331"/>
      <c r="AI634" s="331"/>
    </row>
    <row r="635" spans="2:35" x14ac:dyDescent="0.25">
      <c r="B635" s="9" t="str">
        <f t="shared" si="78"/>
        <v>9 2026</v>
      </c>
      <c r="C635" s="88">
        <f t="shared" si="79"/>
        <v>46284</v>
      </c>
      <c r="D635" s="88">
        <f t="shared" si="82"/>
        <v>46285</v>
      </c>
      <c r="E635" s="89">
        <f t="shared" si="80"/>
        <v>1</v>
      </c>
      <c r="F635" s="123" t="s">
        <v>7</v>
      </c>
      <c r="H635" s="383">
        <f t="shared" si="81"/>
        <v>46284</v>
      </c>
      <c r="I635" s="329"/>
      <c r="K635" s="331"/>
      <c r="L635" s="331"/>
      <c r="M635" s="331"/>
      <c r="N635" s="331"/>
      <c r="O635" s="331"/>
      <c r="P635" s="331"/>
      <c r="Q635" s="331"/>
      <c r="R635" s="331"/>
      <c r="S635" s="331"/>
      <c r="T635" s="331"/>
      <c r="U635" s="331"/>
      <c r="V635" s="331"/>
      <c r="X635" s="331"/>
      <c r="Y635" s="331"/>
      <c r="Z635" s="331"/>
      <c r="AB635" s="331"/>
      <c r="AC635" s="331"/>
      <c r="AD635" s="331"/>
      <c r="AF635" s="331"/>
      <c r="AG635" s="331"/>
      <c r="AI635" s="331"/>
    </row>
    <row r="636" spans="2:35" x14ac:dyDescent="0.25">
      <c r="B636" s="9" t="str">
        <f t="shared" si="78"/>
        <v>9 2026</v>
      </c>
      <c r="C636" s="88">
        <f t="shared" si="79"/>
        <v>46285</v>
      </c>
      <c r="D636" s="88">
        <f t="shared" si="82"/>
        <v>46286</v>
      </c>
      <c r="E636" s="89">
        <f t="shared" si="80"/>
        <v>1</v>
      </c>
      <c r="F636" s="123" t="s">
        <v>7</v>
      </c>
      <c r="H636" s="383">
        <f t="shared" si="81"/>
        <v>46285</v>
      </c>
      <c r="I636" s="329"/>
      <c r="K636" s="331"/>
      <c r="L636" s="331"/>
      <c r="M636" s="331"/>
      <c r="N636" s="331"/>
      <c r="O636" s="331"/>
      <c r="P636" s="331"/>
      <c r="Q636" s="331"/>
      <c r="R636" s="331"/>
      <c r="S636" s="331"/>
      <c r="T636" s="331"/>
      <c r="U636" s="331"/>
      <c r="V636" s="331"/>
      <c r="X636" s="331"/>
      <c r="Y636" s="331"/>
      <c r="Z636" s="331"/>
      <c r="AB636" s="331"/>
      <c r="AC636" s="331"/>
      <c r="AD636" s="331"/>
      <c r="AF636" s="331"/>
      <c r="AG636" s="331"/>
      <c r="AI636" s="331"/>
    </row>
    <row r="637" spans="2:35" x14ac:dyDescent="0.25">
      <c r="B637" s="9" t="str">
        <f t="shared" si="78"/>
        <v>9 2026</v>
      </c>
      <c r="C637" s="88">
        <f t="shared" si="79"/>
        <v>46286</v>
      </c>
      <c r="D637" s="88">
        <f t="shared" si="82"/>
        <v>46287</v>
      </c>
      <c r="E637" s="89">
        <f t="shared" si="80"/>
        <v>1</v>
      </c>
      <c r="F637" s="123" t="s">
        <v>7</v>
      </c>
      <c r="H637" s="383">
        <f t="shared" si="81"/>
        <v>46286</v>
      </c>
      <c r="I637" s="329"/>
      <c r="K637" s="331"/>
      <c r="L637" s="331"/>
      <c r="M637" s="331"/>
      <c r="N637" s="331"/>
      <c r="O637" s="331"/>
      <c r="P637" s="331"/>
      <c r="Q637" s="331"/>
      <c r="R637" s="331"/>
      <c r="S637" s="331"/>
      <c r="T637" s="331"/>
      <c r="U637" s="331"/>
      <c r="V637" s="331"/>
      <c r="X637" s="331"/>
      <c r="Y637" s="331"/>
      <c r="Z637" s="331"/>
      <c r="AB637" s="331"/>
      <c r="AC637" s="331"/>
      <c r="AD637" s="331"/>
      <c r="AF637" s="331"/>
      <c r="AG637" s="331"/>
      <c r="AI637" s="331"/>
    </row>
    <row r="638" spans="2:35" x14ac:dyDescent="0.25">
      <c r="B638" s="9" t="str">
        <f t="shared" si="78"/>
        <v>9 2026</v>
      </c>
      <c r="C638" s="88">
        <f t="shared" si="79"/>
        <v>46287</v>
      </c>
      <c r="D638" s="88">
        <f t="shared" si="82"/>
        <v>46288</v>
      </c>
      <c r="E638" s="89">
        <f t="shared" si="80"/>
        <v>1</v>
      </c>
      <c r="F638" s="123" t="s">
        <v>7</v>
      </c>
      <c r="H638" s="383">
        <f t="shared" si="81"/>
        <v>46287</v>
      </c>
      <c r="I638" s="329"/>
      <c r="K638" s="331"/>
      <c r="L638" s="331"/>
      <c r="M638" s="331"/>
      <c r="N638" s="331"/>
      <c r="O638" s="331"/>
      <c r="P638" s="331"/>
      <c r="Q638" s="331"/>
      <c r="R638" s="331"/>
      <c r="S638" s="331"/>
      <c r="T638" s="331"/>
      <c r="U638" s="331"/>
      <c r="V638" s="331"/>
      <c r="X638" s="331"/>
      <c r="Y638" s="331"/>
      <c r="Z638" s="331"/>
      <c r="AB638" s="331"/>
      <c r="AC638" s="331"/>
      <c r="AD638" s="331"/>
      <c r="AF638" s="331"/>
      <c r="AG638" s="331"/>
      <c r="AI638" s="331"/>
    </row>
    <row r="639" spans="2:35" x14ac:dyDescent="0.25">
      <c r="B639" s="9" t="str">
        <f t="shared" si="78"/>
        <v>9 2026</v>
      </c>
      <c r="C639" s="88">
        <f t="shared" si="79"/>
        <v>46288</v>
      </c>
      <c r="D639" s="88">
        <f t="shared" si="82"/>
        <v>46289</v>
      </c>
      <c r="E639" s="89">
        <f t="shared" si="80"/>
        <v>1</v>
      </c>
      <c r="F639" s="123" t="s">
        <v>7</v>
      </c>
      <c r="H639" s="383">
        <f t="shared" si="81"/>
        <v>46288</v>
      </c>
      <c r="I639" s="329"/>
      <c r="K639" s="331"/>
      <c r="L639" s="331"/>
      <c r="M639" s="331"/>
      <c r="N639" s="331"/>
      <c r="O639" s="331"/>
      <c r="P639" s="331"/>
      <c r="Q639" s="331"/>
      <c r="R639" s="331"/>
      <c r="S639" s="331"/>
      <c r="T639" s="331"/>
      <c r="U639" s="331"/>
      <c r="V639" s="331"/>
      <c r="X639" s="331"/>
      <c r="Y639" s="331"/>
      <c r="Z639" s="331"/>
      <c r="AB639" s="331"/>
      <c r="AC639" s="331"/>
      <c r="AD639" s="331"/>
      <c r="AF639" s="331"/>
      <c r="AG639" s="331"/>
      <c r="AI639" s="331"/>
    </row>
    <row r="640" spans="2:35" x14ac:dyDescent="0.25">
      <c r="B640" s="9" t="str">
        <f t="shared" si="78"/>
        <v>9 2026</v>
      </c>
      <c r="C640" s="88">
        <f t="shared" si="79"/>
        <v>46289</v>
      </c>
      <c r="D640" s="88">
        <f t="shared" si="82"/>
        <v>46290</v>
      </c>
      <c r="E640" s="89">
        <f t="shared" si="80"/>
        <v>1</v>
      </c>
      <c r="F640" s="123" t="s">
        <v>7</v>
      </c>
      <c r="H640" s="383">
        <f t="shared" si="81"/>
        <v>46289</v>
      </c>
      <c r="I640" s="329"/>
      <c r="K640" s="331"/>
      <c r="L640" s="331"/>
      <c r="M640" s="331"/>
      <c r="N640" s="331"/>
      <c r="O640" s="331"/>
      <c r="P640" s="331"/>
      <c r="Q640" s="331"/>
      <c r="R640" s="331"/>
      <c r="S640" s="331"/>
      <c r="T640" s="331"/>
      <c r="U640" s="331"/>
      <c r="V640" s="331"/>
      <c r="X640" s="331"/>
      <c r="Y640" s="331"/>
      <c r="Z640" s="331"/>
      <c r="AB640" s="331"/>
      <c r="AC640" s="331"/>
      <c r="AD640" s="331"/>
      <c r="AF640" s="331"/>
      <c r="AG640" s="331"/>
      <c r="AI640" s="331"/>
    </row>
    <row r="641" spans="2:35" x14ac:dyDescent="0.25">
      <c r="B641" s="9" t="str">
        <f t="shared" si="78"/>
        <v>9 2026</v>
      </c>
      <c r="C641" s="88">
        <f t="shared" si="79"/>
        <v>46290</v>
      </c>
      <c r="D641" s="88">
        <f t="shared" si="82"/>
        <v>46291</v>
      </c>
      <c r="E641" s="89">
        <f t="shared" si="80"/>
        <v>1</v>
      </c>
      <c r="F641" s="123" t="s">
        <v>7</v>
      </c>
      <c r="H641" s="383">
        <f t="shared" si="81"/>
        <v>46290</v>
      </c>
      <c r="I641" s="329"/>
      <c r="K641" s="331"/>
      <c r="L641" s="331"/>
      <c r="M641" s="331"/>
      <c r="N641" s="331"/>
      <c r="O641" s="331"/>
      <c r="P641" s="331"/>
      <c r="Q641" s="331"/>
      <c r="R641" s="331"/>
      <c r="S641" s="331"/>
      <c r="T641" s="331"/>
      <c r="U641" s="331"/>
      <c r="V641" s="331"/>
      <c r="X641" s="331"/>
      <c r="Y641" s="331"/>
      <c r="Z641" s="331"/>
      <c r="AB641" s="331"/>
      <c r="AC641" s="331"/>
      <c r="AD641" s="331"/>
      <c r="AF641" s="331"/>
      <c r="AG641" s="331"/>
      <c r="AI641" s="331"/>
    </row>
    <row r="642" spans="2:35" x14ac:dyDescent="0.25">
      <c r="B642" s="9" t="str">
        <f t="shared" si="78"/>
        <v>9 2026</v>
      </c>
      <c r="C642" s="88">
        <f t="shared" si="79"/>
        <v>46291</v>
      </c>
      <c r="D642" s="88">
        <f t="shared" si="82"/>
        <v>46292</v>
      </c>
      <c r="E642" s="89">
        <f t="shared" si="80"/>
        <v>1</v>
      </c>
      <c r="F642" s="123" t="s">
        <v>7</v>
      </c>
      <c r="H642" s="383">
        <f t="shared" si="81"/>
        <v>46291</v>
      </c>
      <c r="I642" s="329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X642" s="331"/>
      <c r="Y642" s="331"/>
      <c r="Z642" s="331"/>
      <c r="AB642" s="331"/>
      <c r="AC642" s="331"/>
      <c r="AD642" s="331"/>
      <c r="AF642" s="331"/>
      <c r="AG642" s="331"/>
      <c r="AI642" s="331"/>
    </row>
    <row r="643" spans="2:35" x14ac:dyDescent="0.25">
      <c r="B643" s="9" t="str">
        <f t="shared" si="78"/>
        <v>9 2026</v>
      </c>
      <c r="C643" s="88">
        <f t="shared" si="79"/>
        <v>46292</v>
      </c>
      <c r="D643" s="88">
        <f t="shared" si="82"/>
        <v>46293</v>
      </c>
      <c r="E643" s="89">
        <f t="shared" si="80"/>
        <v>1</v>
      </c>
      <c r="F643" s="123" t="s">
        <v>7</v>
      </c>
      <c r="H643" s="383">
        <f t="shared" si="81"/>
        <v>46292</v>
      </c>
      <c r="I643" s="329"/>
      <c r="K643" s="331"/>
      <c r="L643" s="331"/>
      <c r="M643" s="331"/>
      <c r="N643" s="331"/>
      <c r="O643" s="331"/>
      <c r="P643" s="331"/>
      <c r="Q643" s="331"/>
      <c r="R643" s="331"/>
      <c r="S643" s="331"/>
      <c r="T643" s="331"/>
      <c r="U643" s="331"/>
      <c r="V643" s="331"/>
      <c r="X643" s="331"/>
      <c r="Y643" s="331"/>
      <c r="Z643" s="331"/>
      <c r="AB643" s="331"/>
      <c r="AC643" s="331"/>
      <c r="AD643" s="331"/>
      <c r="AF643" s="331"/>
      <c r="AG643" s="331"/>
      <c r="AI643" s="331"/>
    </row>
    <row r="644" spans="2:35" x14ac:dyDescent="0.25">
      <c r="B644" s="9" t="str">
        <f t="shared" si="78"/>
        <v>9 2026</v>
      </c>
      <c r="C644" s="88">
        <f t="shared" si="79"/>
        <v>46293</v>
      </c>
      <c r="D644" s="88">
        <f t="shared" si="82"/>
        <v>46294</v>
      </c>
      <c r="E644" s="89">
        <f t="shared" si="80"/>
        <v>1</v>
      </c>
      <c r="F644" s="123" t="s">
        <v>7</v>
      </c>
      <c r="H644" s="383">
        <f t="shared" si="81"/>
        <v>46293</v>
      </c>
      <c r="I644" s="329"/>
      <c r="K644" s="331"/>
      <c r="L644" s="331"/>
      <c r="M644" s="331"/>
      <c r="N644" s="331"/>
      <c r="O644" s="331"/>
      <c r="P644" s="331"/>
      <c r="Q644" s="331"/>
      <c r="R644" s="331"/>
      <c r="S644" s="331"/>
      <c r="T644" s="331"/>
      <c r="U644" s="331"/>
      <c r="V644" s="331"/>
      <c r="X644" s="331"/>
      <c r="Y644" s="331"/>
      <c r="Z644" s="331"/>
      <c r="AB644" s="331"/>
      <c r="AC644" s="331"/>
      <c r="AD644" s="331"/>
      <c r="AF644" s="331"/>
      <c r="AG644" s="331"/>
      <c r="AI644" s="331"/>
    </row>
    <row r="645" spans="2:35" x14ac:dyDescent="0.25">
      <c r="B645" s="9" t="str">
        <f t="shared" si="78"/>
        <v>9 2026</v>
      </c>
      <c r="C645" s="88">
        <f t="shared" si="79"/>
        <v>46294</v>
      </c>
      <c r="D645" s="88">
        <f t="shared" si="82"/>
        <v>46295</v>
      </c>
      <c r="E645" s="89">
        <f t="shared" si="80"/>
        <v>1</v>
      </c>
      <c r="F645" s="123" t="s">
        <v>7</v>
      </c>
      <c r="H645" s="383">
        <f t="shared" si="81"/>
        <v>46294</v>
      </c>
      <c r="I645" s="329"/>
      <c r="K645" s="331"/>
      <c r="L645" s="331"/>
      <c r="M645" s="331"/>
      <c r="N645" s="331"/>
      <c r="O645" s="331"/>
      <c r="P645" s="331"/>
      <c r="Q645" s="331"/>
      <c r="R645" s="331"/>
      <c r="S645" s="331"/>
      <c r="T645" s="331"/>
      <c r="U645" s="331"/>
      <c r="V645" s="331"/>
      <c r="X645" s="331"/>
      <c r="Y645" s="331"/>
      <c r="Z645" s="331"/>
      <c r="AB645" s="331"/>
      <c r="AC645" s="331"/>
      <c r="AD645" s="331"/>
      <c r="AF645" s="331"/>
      <c r="AG645" s="331"/>
      <c r="AI645" s="331"/>
    </row>
    <row r="646" spans="2:35" x14ac:dyDescent="0.25">
      <c r="B646" s="9" t="str">
        <f t="shared" si="78"/>
        <v>10 2026</v>
      </c>
      <c r="C646" s="88">
        <f t="shared" si="79"/>
        <v>46295</v>
      </c>
      <c r="D646" s="88">
        <f t="shared" si="82"/>
        <v>46296</v>
      </c>
      <c r="E646" s="89">
        <f t="shared" si="80"/>
        <v>1</v>
      </c>
      <c r="F646" s="123" t="s">
        <v>7</v>
      </c>
      <c r="H646" s="383">
        <f t="shared" si="81"/>
        <v>46295</v>
      </c>
      <c r="I646" s="329"/>
      <c r="K646" s="331"/>
      <c r="L646" s="331"/>
      <c r="M646" s="331"/>
      <c r="N646" s="331"/>
      <c r="O646" s="331"/>
      <c r="P646" s="331"/>
      <c r="Q646" s="331"/>
      <c r="R646" s="331"/>
      <c r="S646" s="331"/>
      <c r="T646" s="331"/>
      <c r="U646" s="331"/>
      <c r="V646" s="331"/>
      <c r="X646" s="331"/>
      <c r="Y646" s="331"/>
      <c r="Z646" s="331"/>
      <c r="AB646" s="331"/>
      <c r="AC646" s="331"/>
      <c r="AD646" s="331"/>
      <c r="AF646" s="331"/>
      <c r="AG646" s="331"/>
      <c r="AI646" s="331"/>
    </row>
    <row r="647" spans="2:35" x14ac:dyDescent="0.25">
      <c r="B647" s="9" t="str">
        <f t="shared" si="78"/>
        <v>10 2026</v>
      </c>
      <c r="C647" s="88">
        <f t="shared" si="79"/>
        <v>46296</v>
      </c>
      <c r="D647" s="88">
        <f t="shared" si="82"/>
        <v>46297</v>
      </c>
      <c r="E647" s="89">
        <f t="shared" si="80"/>
        <v>1</v>
      </c>
      <c r="F647" s="123" t="s">
        <v>7</v>
      </c>
      <c r="H647" s="383">
        <f t="shared" si="81"/>
        <v>46296</v>
      </c>
      <c r="I647" s="329"/>
      <c r="K647" s="331"/>
      <c r="L647" s="331"/>
      <c r="M647" s="331"/>
      <c r="N647" s="331"/>
      <c r="O647" s="331"/>
      <c r="P647" s="331"/>
      <c r="Q647" s="331"/>
      <c r="R647" s="331"/>
      <c r="S647" s="331"/>
      <c r="T647" s="331"/>
      <c r="U647" s="331"/>
      <c r="V647" s="331"/>
      <c r="X647" s="331"/>
      <c r="Y647" s="331"/>
      <c r="Z647" s="331"/>
      <c r="AB647" s="331"/>
      <c r="AC647" s="331"/>
      <c r="AD647" s="331"/>
      <c r="AF647" s="331"/>
      <c r="AG647" s="331"/>
      <c r="AI647" s="331"/>
    </row>
    <row r="648" spans="2:35" x14ac:dyDescent="0.25">
      <c r="B648" s="9" t="str">
        <f t="shared" si="78"/>
        <v>10 2026</v>
      </c>
      <c r="C648" s="88">
        <f t="shared" si="79"/>
        <v>46297</v>
      </c>
      <c r="D648" s="88">
        <f t="shared" si="82"/>
        <v>46298</v>
      </c>
      <c r="E648" s="89">
        <f t="shared" si="80"/>
        <v>1</v>
      </c>
      <c r="F648" s="123" t="s">
        <v>7</v>
      </c>
      <c r="H648" s="383">
        <f t="shared" si="81"/>
        <v>46297</v>
      </c>
      <c r="I648" s="329"/>
      <c r="K648" s="331"/>
      <c r="L648" s="331"/>
      <c r="M648" s="331"/>
      <c r="N648" s="331"/>
      <c r="O648" s="331"/>
      <c r="P648" s="331"/>
      <c r="Q648" s="331"/>
      <c r="R648" s="331"/>
      <c r="S648" s="331"/>
      <c r="T648" s="331"/>
      <c r="U648" s="331"/>
      <c r="V648" s="331"/>
      <c r="X648" s="331"/>
      <c r="Y648" s="331"/>
      <c r="Z648" s="331"/>
      <c r="AB648" s="331"/>
      <c r="AC648" s="331"/>
      <c r="AD648" s="331"/>
      <c r="AF648" s="331"/>
      <c r="AG648" s="331"/>
      <c r="AI648" s="331"/>
    </row>
    <row r="649" spans="2:35" x14ac:dyDescent="0.25">
      <c r="B649" s="9" t="str">
        <f t="shared" si="78"/>
        <v>10 2026</v>
      </c>
      <c r="C649" s="88">
        <f t="shared" si="79"/>
        <v>46298</v>
      </c>
      <c r="D649" s="88">
        <f t="shared" si="82"/>
        <v>46299</v>
      </c>
      <c r="E649" s="89">
        <f t="shared" si="80"/>
        <v>1</v>
      </c>
      <c r="F649" s="123" t="s">
        <v>7</v>
      </c>
      <c r="H649" s="383">
        <f t="shared" si="81"/>
        <v>46298</v>
      </c>
      <c r="I649" s="329"/>
      <c r="K649" s="331"/>
      <c r="L649" s="331"/>
      <c r="M649" s="331"/>
      <c r="N649" s="331"/>
      <c r="O649" s="331"/>
      <c r="P649" s="331"/>
      <c r="Q649" s="331"/>
      <c r="R649" s="331"/>
      <c r="S649" s="331"/>
      <c r="T649" s="331"/>
      <c r="U649" s="331"/>
      <c r="V649" s="331"/>
      <c r="X649" s="331"/>
      <c r="Y649" s="331"/>
      <c r="Z649" s="331"/>
      <c r="AB649" s="331"/>
      <c r="AC649" s="331"/>
      <c r="AD649" s="331"/>
      <c r="AF649" s="331"/>
      <c r="AG649" s="331"/>
      <c r="AI649" s="331"/>
    </row>
    <row r="650" spans="2:35" x14ac:dyDescent="0.25">
      <c r="B650" s="9" t="str">
        <f t="shared" si="78"/>
        <v>10 2026</v>
      </c>
      <c r="C650" s="88">
        <f t="shared" si="79"/>
        <v>46299</v>
      </c>
      <c r="D650" s="88">
        <f t="shared" si="82"/>
        <v>46300</v>
      </c>
      <c r="E650" s="89">
        <f t="shared" si="80"/>
        <v>1</v>
      </c>
      <c r="F650" s="123" t="s">
        <v>7</v>
      </c>
      <c r="H650" s="383">
        <f t="shared" si="81"/>
        <v>46299</v>
      </c>
      <c r="I650" s="329"/>
      <c r="K650" s="331"/>
      <c r="L650" s="331"/>
      <c r="M650" s="331"/>
      <c r="N650" s="331"/>
      <c r="O650" s="331"/>
      <c r="P650" s="331"/>
      <c r="Q650" s="331"/>
      <c r="R650" s="331"/>
      <c r="S650" s="331"/>
      <c r="T650" s="331"/>
      <c r="U650" s="331"/>
      <c r="V650" s="331"/>
      <c r="X650" s="331"/>
      <c r="Y650" s="331"/>
      <c r="Z650" s="331"/>
      <c r="AB650" s="331"/>
      <c r="AC650" s="331"/>
      <c r="AD650" s="331"/>
      <c r="AF650" s="331"/>
      <c r="AG650" s="331"/>
      <c r="AI650" s="331"/>
    </row>
    <row r="651" spans="2:35" x14ac:dyDescent="0.25">
      <c r="B651" s="9" t="str">
        <f t="shared" si="78"/>
        <v>10 2026</v>
      </c>
      <c r="C651" s="88">
        <f t="shared" si="79"/>
        <v>46300</v>
      </c>
      <c r="D651" s="88">
        <f t="shared" si="82"/>
        <v>46301</v>
      </c>
      <c r="E651" s="89">
        <f t="shared" si="80"/>
        <v>1</v>
      </c>
      <c r="F651" s="123" t="s">
        <v>7</v>
      </c>
      <c r="H651" s="383">
        <f t="shared" si="81"/>
        <v>46300</v>
      </c>
      <c r="I651" s="329"/>
      <c r="K651" s="331"/>
      <c r="L651" s="331"/>
      <c r="M651" s="331"/>
      <c r="N651" s="331"/>
      <c r="O651" s="331"/>
      <c r="P651" s="331"/>
      <c r="Q651" s="331"/>
      <c r="R651" s="331"/>
      <c r="S651" s="331"/>
      <c r="T651" s="331"/>
      <c r="U651" s="331"/>
      <c r="V651" s="331"/>
      <c r="X651" s="331"/>
      <c r="Y651" s="331"/>
      <c r="Z651" s="331"/>
      <c r="AB651" s="331"/>
      <c r="AC651" s="331"/>
      <c r="AD651" s="331"/>
      <c r="AF651" s="331"/>
      <c r="AG651" s="331"/>
      <c r="AI651" s="331"/>
    </row>
    <row r="652" spans="2:35" x14ac:dyDescent="0.25">
      <c r="B652" s="9" t="str">
        <f t="shared" si="78"/>
        <v>10 2026</v>
      </c>
      <c r="C652" s="88">
        <f t="shared" si="79"/>
        <v>46301</v>
      </c>
      <c r="D652" s="88">
        <f t="shared" si="82"/>
        <v>46302</v>
      </c>
      <c r="E652" s="89">
        <f t="shared" si="80"/>
        <v>1</v>
      </c>
      <c r="F652" s="123" t="s">
        <v>7</v>
      </c>
      <c r="H652" s="383">
        <f t="shared" si="81"/>
        <v>46301</v>
      </c>
      <c r="I652" s="329"/>
      <c r="K652" s="331"/>
      <c r="L652" s="331"/>
      <c r="M652" s="331"/>
      <c r="N652" s="331"/>
      <c r="O652" s="331"/>
      <c r="P652" s="331"/>
      <c r="Q652" s="331"/>
      <c r="R652" s="331"/>
      <c r="S652" s="331"/>
      <c r="T652" s="331"/>
      <c r="U652" s="331"/>
      <c r="V652" s="331"/>
      <c r="X652" s="331"/>
      <c r="Y652" s="331"/>
      <c r="Z652" s="331"/>
      <c r="AB652" s="331"/>
      <c r="AC652" s="331"/>
      <c r="AD652" s="331"/>
      <c r="AF652" s="331"/>
      <c r="AG652" s="331"/>
      <c r="AI652" s="331"/>
    </row>
    <row r="653" spans="2:35" x14ac:dyDescent="0.25">
      <c r="B653" s="9" t="str">
        <f t="shared" si="78"/>
        <v>10 2026</v>
      </c>
      <c r="C653" s="88">
        <f t="shared" si="79"/>
        <v>46302</v>
      </c>
      <c r="D653" s="88">
        <f t="shared" si="82"/>
        <v>46303</v>
      </c>
      <c r="E653" s="89">
        <f t="shared" si="80"/>
        <v>1</v>
      </c>
      <c r="F653" s="123" t="s">
        <v>7</v>
      </c>
      <c r="H653" s="383">
        <f t="shared" si="81"/>
        <v>46302</v>
      </c>
      <c r="I653" s="329"/>
      <c r="K653" s="331"/>
      <c r="L653" s="331"/>
      <c r="M653" s="331"/>
      <c r="N653" s="331"/>
      <c r="O653" s="331"/>
      <c r="P653" s="331"/>
      <c r="Q653" s="331"/>
      <c r="R653" s="331"/>
      <c r="S653" s="331"/>
      <c r="T653" s="331"/>
      <c r="U653" s="331"/>
      <c r="V653" s="331"/>
      <c r="X653" s="331"/>
      <c r="Y653" s="331"/>
      <c r="Z653" s="331"/>
      <c r="AB653" s="331"/>
      <c r="AC653" s="331"/>
      <c r="AD653" s="331"/>
      <c r="AF653" s="331"/>
      <c r="AG653" s="331"/>
      <c r="AI653" s="331"/>
    </row>
    <row r="654" spans="2:35" x14ac:dyDescent="0.25">
      <c r="B654" s="9" t="str">
        <f t="shared" si="78"/>
        <v>10 2026</v>
      </c>
      <c r="C654" s="88">
        <f t="shared" si="79"/>
        <v>46303</v>
      </c>
      <c r="D654" s="88">
        <f t="shared" si="82"/>
        <v>46304</v>
      </c>
      <c r="E654" s="89">
        <f t="shared" si="80"/>
        <v>1</v>
      </c>
      <c r="F654" s="123" t="s">
        <v>7</v>
      </c>
      <c r="H654" s="383">
        <f t="shared" si="81"/>
        <v>46303</v>
      </c>
      <c r="I654" s="329"/>
      <c r="K654" s="331"/>
      <c r="L654" s="331"/>
      <c r="M654" s="331"/>
      <c r="N654" s="331"/>
      <c r="O654" s="331"/>
      <c r="P654" s="331"/>
      <c r="Q654" s="331"/>
      <c r="R654" s="331"/>
      <c r="S654" s="331"/>
      <c r="T654" s="331"/>
      <c r="U654" s="331"/>
      <c r="V654" s="331"/>
      <c r="X654" s="331"/>
      <c r="Y654" s="331"/>
      <c r="Z654" s="331"/>
      <c r="AB654" s="331"/>
      <c r="AC654" s="331"/>
      <c r="AD654" s="331"/>
      <c r="AF654" s="331"/>
      <c r="AG654" s="331"/>
      <c r="AI654" s="331"/>
    </row>
    <row r="655" spans="2:35" x14ac:dyDescent="0.25">
      <c r="B655" s="9" t="str">
        <f t="shared" si="78"/>
        <v>10 2026</v>
      </c>
      <c r="C655" s="88">
        <f t="shared" si="79"/>
        <v>46304</v>
      </c>
      <c r="D655" s="88">
        <f t="shared" si="82"/>
        <v>46305</v>
      </c>
      <c r="E655" s="89">
        <f t="shared" si="80"/>
        <v>1</v>
      </c>
      <c r="F655" s="123" t="s">
        <v>7</v>
      </c>
      <c r="H655" s="383">
        <f t="shared" si="81"/>
        <v>46304</v>
      </c>
      <c r="I655" s="329"/>
      <c r="K655" s="331"/>
      <c r="L655" s="331"/>
      <c r="M655" s="331"/>
      <c r="N655" s="331"/>
      <c r="O655" s="331"/>
      <c r="P655" s="331"/>
      <c r="Q655" s="331"/>
      <c r="R655" s="331"/>
      <c r="S655" s="331"/>
      <c r="T655" s="331"/>
      <c r="U655" s="331"/>
      <c r="V655" s="331"/>
      <c r="X655" s="331"/>
      <c r="Y655" s="331"/>
      <c r="Z655" s="331"/>
      <c r="AB655" s="331"/>
      <c r="AC655" s="331"/>
      <c r="AD655" s="331"/>
      <c r="AF655" s="331"/>
      <c r="AG655" s="331"/>
      <c r="AI655" s="331"/>
    </row>
    <row r="656" spans="2:35" x14ac:dyDescent="0.25">
      <c r="B656" s="9" t="str">
        <f t="shared" si="78"/>
        <v>10 2026</v>
      </c>
      <c r="C656" s="88">
        <f t="shared" si="79"/>
        <v>46305</v>
      </c>
      <c r="D656" s="88">
        <f t="shared" si="82"/>
        <v>46306</v>
      </c>
      <c r="E656" s="89">
        <f t="shared" si="80"/>
        <v>1</v>
      </c>
      <c r="F656" s="123" t="s">
        <v>7</v>
      </c>
      <c r="H656" s="383">
        <f t="shared" si="81"/>
        <v>46305</v>
      </c>
      <c r="I656" s="329"/>
      <c r="K656" s="331"/>
      <c r="L656" s="331"/>
      <c r="M656" s="331"/>
      <c r="N656" s="331"/>
      <c r="O656" s="331"/>
      <c r="P656" s="331"/>
      <c r="Q656" s="331"/>
      <c r="R656" s="331"/>
      <c r="S656" s="331"/>
      <c r="T656" s="331"/>
      <c r="U656" s="331"/>
      <c r="V656" s="331"/>
      <c r="X656" s="331"/>
      <c r="Y656" s="331"/>
      <c r="Z656" s="331"/>
      <c r="AB656" s="331"/>
      <c r="AC656" s="331"/>
      <c r="AD656" s="331"/>
      <c r="AF656" s="331"/>
      <c r="AG656" s="331"/>
      <c r="AI656" s="331"/>
    </row>
    <row r="657" spans="2:35" x14ac:dyDescent="0.25">
      <c r="B657" s="9" t="str">
        <f t="shared" si="78"/>
        <v>10 2026</v>
      </c>
      <c r="C657" s="88">
        <f t="shared" si="79"/>
        <v>46306</v>
      </c>
      <c r="D657" s="88">
        <f t="shared" si="82"/>
        <v>46307</v>
      </c>
      <c r="E657" s="89">
        <f t="shared" si="80"/>
        <v>1</v>
      </c>
      <c r="F657" s="123" t="s">
        <v>7</v>
      </c>
      <c r="H657" s="383">
        <f t="shared" si="81"/>
        <v>46306</v>
      </c>
      <c r="I657" s="329"/>
      <c r="K657" s="331"/>
      <c r="L657" s="331"/>
      <c r="M657" s="331"/>
      <c r="N657" s="331"/>
      <c r="O657" s="331"/>
      <c r="P657" s="331"/>
      <c r="Q657" s="331"/>
      <c r="R657" s="331"/>
      <c r="S657" s="331"/>
      <c r="T657" s="331"/>
      <c r="U657" s="331"/>
      <c r="V657" s="331"/>
      <c r="X657" s="331"/>
      <c r="Y657" s="331"/>
      <c r="Z657" s="331"/>
      <c r="AB657" s="331"/>
      <c r="AC657" s="331"/>
      <c r="AD657" s="331"/>
      <c r="AF657" s="331"/>
      <c r="AG657" s="331"/>
      <c r="AI657" s="331"/>
    </row>
    <row r="658" spans="2:35" x14ac:dyDescent="0.25">
      <c r="B658" s="9" t="str">
        <f t="shared" si="78"/>
        <v>10 2026</v>
      </c>
      <c r="C658" s="88">
        <f t="shared" si="79"/>
        <v>46307</v>
      </c>
      <c r="D658" s="88">
        <f t="shared" si="82"/>
        <v>46308</v>
      </c>
      <c r="E658" s="89">
        <f t="shared" si="80"/>
        <v>1</v>
      </c>
      <c r="F658" s="123" t="s">
        <v>7</v>
      </c>
      <c r="H658" s="383">
        <f t="shared" si="81"/>
        <v>46307</v>
      </c>
      <c r="I658" s="329"/>
      <c r="K658" s="331"/>
      <c r="L658" s="331"/>
      <c r="M658" s="331"/>
      <c r="N658" s="331"/>
      <c r="O658" s="331"/>
      <c r="P658" s="331"/>
      <c r="Q658" s="331"/>
      <c r="R658" s="331"/>
      <c r="S658" s="331"/>
      <c r="T658" s="331"/>
      <c r="U658" s="331"/>
      <c r="V658" s="331"/>
      <c r="X658" s="331"/>
      <c r="Y658" s="331"/>
      <c r="Z658" s="331"/>
      <c r="AB658" s="331"/>
      <c r="AC658" s="331"/>
      <c r="AD658" s="331"/>
      <c r="AF658" s="331"/>
      <c r="AG658" s="331"/>
      <c r="AI658" s="331"/>
    </row>
    <row r="659" spans="2:35" x14ac:dyDescent="0.25">
      <c r="B659" s="9" t="str">
        <f t="shared" si="78"/>
        <v>10 2026</v>
      </c>
      <c r="C659" s="88">
        <f t="shared" si="79"/>
        <v>46308</v>
      </c>
      <c r="D659" s="88">
        <f t="shared" si="82"/>
        <v>46309</v>
      </c>
      <c r="E659" s="89">
        <f t="shared" si="80"/>
        <v>1</v>
      </c>
      <c r="F659" s="123" t="s">
        <v>7</v>
      </c>
      <c r="H659" s="383">
        <f t="shared" si="81"/>
        <v>46308</v>
      </c>
      <c r="I659" s="329"/>
      <c r="K659" s="331"/>
      <c r="L659" s="331"/>
      <c r="M659" s="331"/>
      <c r="N659" s="331"/>
      <c r="O659" s="331"/>
      <c r="P659" s="331"/>
      <c r="Q659" s="331"/>
      <c r="R659" s="331"/>
      <c r="S659" s="331"/>
      <c r="T659" s="331"/>
      <c r="U659" s="331"/>
      <c r="V659" s="331"/>
      <c r="X659" s="331"/>
      <c r="Y659" s="331"/>
      <c r="Z659" s="331"/>
      <c r="AB659" s="331"/>
      <c r="AC659" s="331"/>
      <c r="AD659" s="331"/>
      <c r="AF659" s="331"/>
      <c r="AG659" s="331"/>
      <c r="AI659" s="331"/>
    </row>
    <row r="660" spans="2:35" x14ac:dyDescent="0.25">
      <c r="B660" s="9" t="str">
        <f t="shared" si="78"/>
        <v>10 2026</v>
      </c>
      <c r="C660" s="88">
        <f t="shared" si="79"/>
        <v>46309</v>
      </c>
      <c r="D660" s="88">
        <f t="shared" si="82"/>
        <v>46310</v>
      </c>
      <c r="E660" s="89">
        <f t="shared" si="80"/>
        <v>1</v>
      </c>
      <c r="F660" s="123" t="s">
        <v>7</v>
      </c>
      <c r="H660" s="383">
        <f t="shared" si="81"/>
        <v>46309</v>
      </c>
      <c r="I660" s="329"/>
      <c r="K660" s="331"/>
      <c r="L660" s="331"/>
      <c r="M660" s="331"/>
      <c r="N660" s="331"/>
      <c r="O660" s="331"/>
      <c r="P660" s="331"/>
      <c r="Q660" s="331"/>
      <c r="R660" s="331"/>
      <c r="S660" s="331"/>
      <c r="T660" s="331"/>
      <c r="U660" s="331"/>
      <c r="V660" s="331"/>
      <c r="X660" s="331"/>
      <c r="Y660" s="331"/>
      <c r="Z660" s="331"/>
      <c r="AB660" s="331"/>
      <c r="AC660" s="331"/>
      <c r="AD660" s="331"/>
      <c r="AF660" s="331"/>
      <c r="AG660" s="331"/>
      <c r="AI660" s="331"/>
    </row>
    <row r="661" spans="2:35" x14ac:dyDescent="0.25">
      <c r="B661" s="9" t="str">
        <f t="shared" ref="B661:B724" si="83">CONCATENATE(MONTH(D661)," ",YEAR(D661))</f>
        <v>10 2026</v>
      </c>
      <c r="C661" s="88">
        <f t="shared" ref="C661:C724" si="84">D660</f>
        <v>46310</v>
      </c>
      <c r="D661" s="88">
        <f t="shared" si="82"/>
        <v>46311</v>
      </c>
      <c r="E661" s="89">
        <f t="shared" ref="E661:E724" si="85">D661-C661</f>
        <v>1</v>
      </c>
      <c r="F661" s="123" t="s">
        <v>7</v>
      </c>
      <c r="H661" s="383">
        <f t="shared" ref="H661:H724" si="86">C661</f>
        <v>46310</v>
      </c>
      <c r="I661" s="329"/>
      <c r="K661" s="331"/>
      <c r="L661" s="331"/>
      <c r="M661" s="331"/>
      <c r="N661" s="331"/>
      <c r="O661" s="331"/>
      <c r="P661" s="331"/>
      <c r="Q661" s="331"/>
      <c r="R661" s="331"/>
      <c r="S661" s="331"/>
      <c r="T661" s="331"/>
      <c r="U661" s="331"/>
      <c r="V661" s="331"/>
      <c r="X661" s="331"/>
      <c r="Y661" s="331"/>
      <c r="Z661" s="331"/>
      <c r="AB661" s="331"/>
      <c r="AC661" s="331"/>
      <c r="AD661" s="331"/>
      <c r="AF661" s="331"/>
      <c r="AG661" s="331"/>
      <c r="AI661" s="331"/>
    </row>
    <row r="662" spans="2:35" x14ac:dyDescent="0.25">
      <c r="B662" s="9" t="str">
        <f t="shared" si="83"/>
        <v>10 2026</v>
      </c>
      <c r="C662" s="88">
        <f t="shared" si="84"/>
        <v>46311</v>
      </c>
      <c r="D662" s="88">
        <f t="shared" si="82"/>
        <v>46312</v>
      </c>
      <c r="E662" s="89">
        <f t="shared" si="85"/>
        <v>1</v>
      </c>
      <c r="F662" s="123" t="s">
        <v>7</v>
      </c>
      <c r="H662" s="383">
        <f t="shared" si="86"/>
        <v>46311</v>
      </c>
      <c r="I662" s="329"/>
      <c r="K662" s="331"/>
      <c r="L662" s="331"/>
      <c r="M662" s="331"/>
      <c r="N662" s="331"/>
      <c r="O662" s="331"/>
      <c r="P662" s="331"/>
      <c r="Q662" s="331"/>
      <c r="R662" s="331"/>
      <c r="S662" s="331"/>
      <c r="T662" s="331"/>
      <c r="U662" s="331"/>
      <c r="V662" s="331"/>
      <c r="X662" s="331"/>
      <c r="Y662" s="331"/>
      <c r="Z662" s="331"/>
      <c r="AB662" s="331"/>
      <c r="AC662" s="331"/>
      <c r="AD662" s="331"/>
      <c r="AF662" s="331"/>
      <c r="AG662" s="331"/>
      <c r="AI662" s="331"/>
    </row>
    <row r="663" spans="2:35" x14ac:dyDescent="0.25">
      <c r="B663" s="9" t="str">
        <f t="shared" si="83"/>
        <v>10 2026</v>
      </c>
      <c r="C663" s="88">
        <f t="shared" si="84"/>
        <v>46312</v>
      </c>
      <c r="D663" s="88">
        <f t="shared" si="82"/>
        <v>46313</v>
      </c>
      <c r="E663" s="89">
        <f t="shared" si="85"/>
        <v>1</v>
      </c>
      <c r="F663" s="123" t="s">
        <v>7</v>
      </c>
      <c r="H663" s="383">
        <f t="shared" si="86"/>
        <v>46312</v>
      </c>
      <c r="I663" s="329"/>
      <c r="K663" s="331"/>
      <c r="L663" s="331"/>
      <c r="M663" s="331"/>
      <c r="N663" s="331"/>
      <c r="O663" s="331"/>
      <c r="P663" s="331"/>
      <c r="Q663" s="331"/>
      <c r="R663" s="331"/>
      <c r="S663" s="331"/>
      <c r="T663" s="331"/>
      <c r="U663" s="331"/>
      <c r="V663" s="331"/>
      <c r="X663" s="331"/>
      <c r="Y663" s="331"/>
      <c r="Z663" s="331"/>
      <c r="AB663" s="331"/>
      <c r="AC663" s="331"/>
      <c r="AD663" s="331"/>
      <c r="AF663" s="331"/>
      <c r="AG663" s="331"/>
      <c r="AI663" s="331"/>
    </row>
    <row r="664" spans="2:35" x14ac:dyDescent="0.25">
      <c r="B664" s="9" t="str">
        <f t="shared" si="83"/>
        <v>10 2026</v>
      </c>
      <c r="C664" s="88">
        <f t="shared" si="84"/>
        <v>46313</v>
      </c>
      <c r="D664" s="88">
        <f t="shared" si="82"/>
        <v>46314</v>
      </c>
      <c r="E664" s="89">
        <f t="shared" si="85"/>
        <v>1</v>
      </c>
      <c r="F664" s="123" t="s">
        <v>7</v>
      </c>
      <c r="H664" s="383">
        <f t="shared" si="86"/>
        <v>46313</v>
      </c>
      <c r="I664" s="329"/>
      <c r="K664" s="331"/>
      <c r="L664" s="331"/>
      <c r="M664" s="331"/>
      <c r="N664" s="331"/>
      <c r="O664" s="331"/>
      <c r="P664" s="331"/>
      <c r="Q664" s="331"/>
      <c r="R664" s="331"/>
      <c r="S664" s="331"/>
      <c r="T664" s="331"/>
      <c r="U664" s="331"/>
      <c r="V664" s="331"/>
      <c r="X664" s="331"/>
      <c r="Y664" s="331"/>
      <c r="Z664" s="331"/>
      <c r="AB664" s="331"/>
      <c r="AC664" s="331"/>
      <c r="AD664" s="331"/>
      <c r="AF664" s="331"/>
      <c r="AG664" s="331"/>
      <c r="AI664" s="331"/>
    </row>
    <row r="665" spans="2:35" x14ac:dyDescent="0.25">
      <c r="B665" s="9" t="str">
        <f t="shared" si="83"/>
        <v>10 2026</v>
      </c>
      <c r="C665" s="88">
        <f t="shared" si="84"/>
        <v>46314</v>
      </c>
      <c r="D665" s="88">
        <f t="shared" si="82"/>
        <v>46315</v>
      </c>
      <c r="E665" s="89">
        <f t="shared" si="85"/>
        <v>1</v>
      </c>
      <c r="F665" s="123" t="s">
        <v>7</v>
      </c>
      <c r="H665" s="383">
        <f t="shared" si="86"/>
        <v>46314</v>
      </c>
      <c r="I665" s="329"/>
      <c r="K665" s="331"/>
      <c r="L665" s="331"/>
      <c r="M665" s="331"/>
      <c r="N665" s="331"/>
      <c r="O665" s="331"/>
      <c r="P665" s="331"/>
      <c r="Q665" s="331"/>
      <c r="R665" s="331"/>
      <c r="S665" s="331"/>
      <c r="T665" s="331"/>
      <c r="U665" s="331"/>
      <c r="V665" s="331"/>
      <c r="X665" s="331"/>
      <c r="Y665" s="331"/>
      <c r="Z665" s="331"/>
      <c r="AB665" s="331"/>
      <c r="AC665" s="331"/>
      <c r="AD665" s="331"/>
      <c r="AF665" s="331"/>
      <c r="AG665" s="331"/>
      <c r="AI665" s="331"/>
    </row>
    <row r="666" spans="2:35" x14ac:dyDescent="0.25">
      <c r="B666" s="9" t="str">
        <f t="shared" si="83"/>
        <v>10 2026</v>
      </c>
      <c r="C666" s="88">
        <f t="shared" si="84"/>
        <v>46315</v>
      </c>
      <c r="D666" s="88">
        <f t="shared" si="82"/>
        <v>46316</v>
      </c>
      <c r="E666" s="89">
        <f t="shared" si="85"/>
        <v>1</v>
      </c>
      <c r="F666" s="123" t="s">
        <v>7</v>
      </c>
      <c r="H666" s="383">
        <f t="shared" si="86"/>
        <v>46315</v>
      </c>
      <c r="I666" s="329"/>
      <c r="K666" s="331"/>
      <c r="L666" s="331"/>
      <c r="M666" s="331"/>
      <c r="N666" s="331"/>
      <c r="O666" s="331"/>
      <c r="P666" s="331"/>
      <c r="Q666" s="331"/>
      <c r="R666" s="331"/>
      <c r="S666" s="331"/>
      <c r="T666" s="331"/>
      <c r="U666" s="331"/>
      <c r="V666" s="331"/>
      <c r="X666" s="331"/>
      <c r="Y666" s="331"/>
      <c r="Z666" s="331"/>
      <c r="AB666" s="331"/>
      <c r="AC666" s="331"/>
      <c r="AD666" s="331"/>
      <c r="AF666" s="331"/>
      <c r="AG666" s="331"/>
      <c r="AI666" s="331"/>
    </row>
    <row r="667" spans="2:35" x14ac:dyDescent="0.25">
      <c r="B667" s="9" t="str">
        <f t="shared" si="83"/>
        <v>10 2026</v>
      </c>
      <c r="C667" s="88">
        <f t="shared" si="84"/>
        <v>46316</v>
      </c>
      <c r="D667" s="88">
        <f t="shared" si="82"/>
        <v>46317</v>
      </c>
      <c r="E667" s="89">
        <f t="shared" si="85"/>
        <v>1</v>
      </c>
      <c r="F667" s="123" t="s">
        <v>7</v>
      </c>
      <c r="H667" s="383">
        <f t="shared" si="86"/>
        <v>46316</v>
      </c>
      <c r="I667" s="329"/>
      <c r="K667" s="331"/>
      <c r="L667" s="331"/>
      <c r="M667" s="331"/>
      <c r="N667" s="331"/>
      <c r="O667" s="331"/>
      <c r="P667" s="331"/>
      <c r="Q667" s="331"/>
      <c r="R667" s="331"/>
      <c r="S667" s="331"/>
      <c r="T667" s="331"/>
      <c r="U667" s="331"/>
      <c r="V667" s="331"/>
      <c r="X667" s="331"/>
      <c r="Y667" s="331"/>
      <c r="Z667" s="331"/>
      <c r="AB667" s="331"/>
      <c r="AC667" s="331"/>
      <c r="AD667" s="331"/>
      <c r="AF667" s="331"/>
      <c r="AG667" s="331"/>
      <c r="AI667" s="331"/>
    </row>
    <row r="668" spans="2:35" x14ac:dyDescent="0.25">
      <c r="B668" s="9" t="str">
        <f t="shared" si="83"/>
        <v>10 2026</v>
      </c>
      <c r="C668" s="88">
        <f t="shared" si="84"/>
        <v>46317</v>
      </c>
      <c r="D668" s="88">
        <f t="shared" si="82"/>
        <v>46318</v>
      </c>
      <c r="E668" s="89">
        <f t="shared" si="85"/>
        <v>1</v>
      </c>
      <c r="F668" s="123" t="s">
        <v>7</v>
      </c>
      <c r="H668" s="383">
        <f t="shared" si="86"/>
        <v>46317</v>
      </c>
      <c r="I668" s="329"/>
      <c r="K668" s="331"/>
      <c r="L668" s="331"/>
      <c r="M668" s="331"/>
      <c r="N668" s="331"/>
      <c r="O668" s="331"/>
      <c r="P668" s="331"/>
      <c r="Q668" s="331"/>
      <c r="R668" s="331"/>
      <c r="S668" s="331"/>
      <c r="T668" s="331"/>
      <c r="U668" s="331"/>
      <c r="V668" s="331"/>
      <c r="X668" s="331"/>
      <c r="Y668" s="331"/>
      <c r="Z668" s="331"/>
      <c r="AB668" s="331"/>
      <c r="AC668" s="331"/>
      <c r="AD668" s="331"/>
      <c r="AF668" s="331"/>
      <c r="AG668" s="331"/>
      <c r="AI668" s="331"/>
    </row>
    <row r="669" spans="2:35" x14ac:dyDescent="0.25">
      <c r="B669" s="9" t="str">
        <f t="shared" si="83"/>
        <v>10 2026</v>
      </c>
      <c r="C669" s="88">
        <f t="shared" si="84"/>
        <v>46318</v>
      </c>
      <c r="D669" s="88">
        <f t="shared" si="82"/>
        <v>46319</v>
      </c>
      <c r="E669" s="89">
        <f t="shared" si="85"/>
        <v>1</v>
      </c>
      <c r="F669" s="123" t="s">
        <v>7</v>
      </c>
      <c r="H669" s="383">
        <f t="shared" si="86"/>
        <v>46318</v>
      </c>
      <c r="I669" s="329"/>
      <c r="K669" s="331"/>
      <c r="L669" s="331"/>
      <c r="M669" s="331"/>
      <c r="N669" s="331"/>
      <c r="O669" s="331"/>
      <c r="P669" s="331"/>
      <c r="Q669" s="331"/>
      <c r="R669" s="331"/>
      <c r="S669" s="331"/>
      <c r="T669" s="331"/>
      <c r="U669" s="331"/>
      <c r="V669" s="331"/>
      <c r="X669" s="331"/>
      <c r="Y669" s="331"/>
      <c r="Z669" s="331"/>
      <c r="AB669" s="331"/>
      <c r="AC669" s="331"/>
      <c r="AD669" s="331"/>
      <c r="AF669" s="331"/>
      <c r="AG669" s="331"/>
      <c r="AI669" s="331"/>
    </row>
    <row r="670" spans="2:35" x14ac:dyDescent="0.25">
      <c r="B670" s="9" t="str">
        <f t="shared" si="83"/>
        <v>10 2026</v>
      </c>
      <c r="C670" s="88">
        <f t="shared" si="84"/>
        <v>46319</v>
      </c>
      <c r="D670" s="88">
        <f t="shared" si="82"/>
        <v>46320</v>
      </c>
      <c r="E670" s="89">
        <f t="shared" si="85"/>
        <v>1</v>
      </c>
      <c r="F670" s="123" t="s">
        <v>7</v>
      </c>
      <c r="H670" s="383">
        <f t="shared" si="86"/>
        <v>46319</v>
      </c>
      <c r="I670" s="329"/>
      <c r="K670" s="331"/>
      <c r="L670" s="331"/>
      <c r="M670" s="331"/>
      <c r="N670" s="331"/>
      <c r="O670" s="331"/>
      <c r="P670" s="331"/>
      <c r="Q670" s="331"/>
      <c r="R670" s="331"/>
      <c r="S670" s="331"/>
      <c r="T670" s="331"/>
      <c r="U670" s="331"/>
      <c r="V670" s="331"/>
      <c r="X670" s="331"/>
      <c r="Y670" s="331"/>
      <c r="Z670" s="331"/>
      <c r="AB670" s="331"/>
      <c r="AC670" s="331"/>
      <c r="AD670" s="331"/>
      <c r="AF670" s="331"/>
      <c r="AG670" s="331"/>
      <c r="AI670" s="331"/>
    </row>
    <row r="671" spans="2:35" x14ac:dyDescent="0.25">
      <c r="B671" s="9" t="str">
        <f t="shared" si="83"/>
        <v>10 2026</v>
      </c>
      <c r="C671" s="88">
        <f t="shared" si="84"/>
        <v>46320</v>
      </c>
      <c r="D671" s="88">
        <f t="shared" si="82"/>
        <v>46321</v>
      </c>
      <c r="E671" s="89">
        <f t="shared" si="85"/>
        <v>1</v>
      </c>
      <c r="F671" s="123" t="s">
        <v>7</v>
      </c>
      <c r="H671" s="383">
        <f t="shared" si="86"/>
        <v>46320</v>
      </c>
      <c r="I671" s="329"/>
      <c r="K671" s="331"/>
      <c r="L671" s="331"/>
      <c r="M671" s="331"/>
      <c r="N671" s="331"/>
      <c r="O671" s="331"/>
      <c r="P671" s="331"/>
      <c r="Q671" s="331"/>
      <c r="R671" s="331"/>
      <c r="S671" s="331"/>
      <c r="T671" s="331"/>
      <c r="U671" s="331"/>
      <c r="V671" s="331"/>
      <c r="X671" s="331"/>
      <c r="Y671" s="331"/>
      <c r="Z671" s="331"/>
      <c r="AB671" s="331"/>
      <c r="AC671" s="331"/>
      <c r="AD671" s="331"/>
      <c r="AF671" s="331"/>
      <c r="AG671" s="331"/>
      <c r="AI671" s="331"/>
    </row>
    <row r="672" spans="2:35" x14ac:dyDescent="0.25">
      <c r="B672" s="9" t="str">
        <f t="shared" si="83"/>
        <v>10 2026</v>
      </c>
      <c r="C672" s="88">
        <f t="shared" si="84"/>
        <v>46321</v>
      </c>
      <c r="D672" s="88">
        <f t="shared" si="82"/>
        <v>46322</v>
      </c>
      <c r="E672" s="89">
        <f t="shared" si="85"/>
        <v>1</v>
      </c>
      <c r="F672" s="123" t="s">
        <v>7</v>
      </c>
      <c r="H672" s="383">
        <f t="shared" si="86"/>
        <v>46321</v>
      </c>
      <c r="I672" s="329"/>
      <c r="K672" s="331"/>
      <c r="L672" s="331"/>
      <c r="M672" s="331"/>
      <c r="N672" s="331"/>
      <c r="O672" s="331"/>
      <c r="P672" s="331"/>
      <c r="Q672" s="331"/>
      <c r="R672" s="331"/>
      <c r="S672" s="331"/>
      <c r="T672" s="331"/>
      <c r="U672" s="331"/>
      <c r="V672" s="331"/>
      <c r="X672" s="331"/>
      <c r="Y672" s="331"/>
      <c r="Z672" s="331"/>
      <c r="AB672" s="331"/>
      <c r="AC672" s="331"/>
      <c r="AD672" s="331"/>
      <c r="AF672" s="331"/>
      <c r="AG672" s="331"/>
      <c r="AI672" s="331"/>
    </row>
    <row r="673" spans="2:35" x14ac:dyDescent="0.25">
      <c r="B673" s="9" t="str">
        <f t="shared" si="83"/>
        <v>10 2026</v>
      </c>
      <c r="C673" s="88">
        <f t="shared" si="84"/>
        <v>46322</v>
      </c>
      <c r="D673" s="88">
        <f t="shared" si="82"/>
        <v>46323</v>
      </c>
      <c r="E673" s="89">
        <f t="shared" si="85"/>
        <v>1</v>
      </c>
      <c r="F673" s="123" t="s">
        <v>7</v>
      </c>
      <c r="H673" s="383">
        <f t="shared" si="86"/>
        <v>46322</v>
      </c>
      <c r="I673" s="329"/>
      <c r="K673" s="331"/>
      <c r="L673" s="331"/>
      <c r="M673" s="331"/>
      <c r="N673" s="331"/>
      <c r="O673" s="331"/>
      <c r="P673" s="331"/>
      <c r="Q673" s="331"/>
      <c r="R673" s="331"/>
      <c r="S673" s="331"/>
      <c r="T673" s="331"/>
      <c r="U673" s="331"/>
      <c r="V673" s="331"/>
      <c r="X673" s="331"/>
      <c r="Y673" s="331"/>
      <c r="Z673" s="331"/>
      <c r="AB673" s="331"/>
      <c r="AC673" s="331"/>
      <c r="AD673" s="331"/>
      <c r="AF673" s="331"/>
      <c r="AG673" s="331"/>
      <c r="AI673" s="331"/>
    </row>
    <row r="674" spans="2:35" x14ac:dyDescent="0.25">
      <c r="B674" s="9" t="str">
        <f t="shared" si="83"/>
        <v>10 2026</v>
      </c>
      <c r="C674" s="88">
        <f t="shared" si="84"/>
        <v>46323</v>
      </c>
      <c r="D674" s="88">
        <f t="shared" si="82"/>
        <v>46324</v>
      </c>
      <c r="E674" s="89">
        <f t="shared" si="85"/>
        <v>1</v>
      </c>
      <c r="F674" s="123" t="s">
        <v>7</v>
      </c>
      <c r="H674" s="383">
        <f t="shared" si="86"/>
        <v>46323</v>
      </c>
      <c r="I674" s="329"/>
      <c r="K674" s="331"/>
      <c r="L674" s="331"/>
      <c r="M674" s="331"/>
      <c r="N674" s="331"/>
      <c r="O674" s="331"/>
      <c r="P674" s="331"/>
      <c r="Q674" s="331"/>
      <c r="R674" s="331"/>
      <c r="S674" s="331"/>
      <c r="T674" s="331"/>
      <c r="U674" s="331"/>
      <c r="V674" s="331"/>
      <c r="X674" s="331"/>
      <c r="Y674" s="331"/>
      <c r="Z674" s="331"/>
      <c r="AB674" s="331"/>
      <c r="AC674" s="331"/>
      <c r="AD674" s="331"/>
      <c r="AF674" s="331"/>
      <c r="AG674" s="331"/>
      <c r="AI674" s="331"/>
    </row>
    <row r="675" spans="2:35" x14ac:dyDescent="0.25">
      <c r="B675" s="9" t="str">
        <f t="shared" si="83"/>
        <v>10 2026</v>
      </c>
      <c r="C675" s="88">
        <f t="shared" si="84"/>
        <v>46324</v>
      </c>
      <c r="D675" s="88">
        <f t="shared" si="82"/>
        <v>46325</v>
      </c>
      <c r="E675" s="89">
        <f t="shared" si="85"/>
        <v>1</v>
      </c>
      <c r="F675" s="123" t="s">
        <v>7</v>
      </c>
      <c r="H675" s="383">
        <f t="shared" si="86"/>
        <v>46324</v>
      </c>
      <c r="I675" s="329"/>
      <c r="K675" s="331"/>
      <c r="L675" s="331"/>
      <c r="M675" s="331"/>
      <c r="N675" s="331"/>
      <c r="O675" s="331"/>
      <c r="P675" s="331"/>
      <c r="Q675" s="331"/>
      <c r="R675" s="331"/>
      <c r="S675" s="331"/>
      <c r="T675" s="331"/>
      <c r="U675" s="331"/>
      <c r="V675" s="331"/>
      <c r="X675" s="331"/>
      <c r="Y675" s="331"/>
      <c r="Z675" s="331"/>
      <c r="AB675" s="331"/>
      <c r="AC675" s="331"/>
      <c r="AD675" s="331"/>
      <c r="AF675" s="331"/>
      <c r="AG675" s="331"/>
      <c r="AI675" s="331"/>
    </row>
    <row r="676" spans="2:35" x14ac:dyDescent="0.25">
      <c r="B676" s="9" t="str">
        <f t="shared" si="83"/>
        <v>10 2026</v>
      </c>
      <c r="C676" s="88">
        <f t="shared" si="84"/>
        <v>46325</v>
      </c>
      <c r="D676" s="88">
        <f t="shared" si="82"/>
        <v>46326</v>
      </c>
      <c r="E676" s="89">
        <f t="shared" si="85"/>
        <v>1</v>
      </c>
      <c r="F676" s="123" t="s">
        <v>7</v>
      </c>
      <c r="H676" s="383">
        <f t="shared" si="86"/>
        <v>46325</v>
      </c>
      <c r="I676" s="329"/>
      <c r="K676" s="331"/>
      <c r="L676" s="331"/>
      <c r="M676" s="331"/>
      <c r="N676" s="331"/>
      <c r="O676" s="331"/>
      <c r="P676" s="331"/>
      <c r="Q676" s="331"/>
      <c r="R676" s="331"/>
      <c r="S676" s="331"/>
      <c r="T676" s="331"/>
      <c r="U676" s="331"/>
      <c r="V676" s="331"/>
      <c r="X676" s="331"/>
      <c r="Y676" s="331"/>
      <c r="Z676" s="331"/>
      <c r="AB676" s="331"/>
      <c r="AC676" s="331"/>
      <c r="AD676" s="331"/>
      <c r="AF676" s="331"/>
      <c r="AG676" s="331"/>
      <c r="AI676" s="331"/>
    </row>
    <row r="677" spans="2:35" x14ac:dyDescent="0.25">
      <c r="B677" s="9" t="str">
        <f t="shared" si="83"/>
        <v>11 2026</v>
      </c>
      <c r="C677" s="88">
        <f t="shared" si="84"/>
        <v>46326</v>
      </c>
      <c r="D677" s="88">
        <f t="shared" si="82"/>
        <v>46327</v>
      </c>
      <c r="E677" s="89">
        <f t="shared" si="85"/>
        <v>1</v>
      </c>
      <c r="F677" s="123" t="s">
        <v>7</v>
      </c>
      <c r="H677" s="383">
        <f t="shared" si="86"/>
        <v>46326</v>
      </c>
      <c r="I677" s="329"/>
      <c r="K677" s="331"/>
      <c r="L677" s="331"/>
      <c r="M677" s="331"/>
      <c r="N677" s="331"/>
      <c r="O677" s="331"/>
      <c r="P677" s="331"/>
      <c r="Q677" s="331"/>
      <c r="R677" s="331"/>
      <c r="S677" s="331"/>
      <c r="T677" s="331"/>
      <c r="U677" s="331"/>
      <c r="V677" s="331"/>
      <c r="X677" s="331"/>
      <c r="Y677" s="331"/>
      <c r="Z677" s="331"/>
      <c r="AB677" s="331"/>
      <c r="AC677" s="331"/>
      <c r="AD677" s="331"/>
      <c r="AF677" s="331"/>
      <c r="AG677" s="331"/>
      <c r="AI677" s="331"/>
    </row>
    <row r="678" spans="2:35" x14ac:dyDescent="0.25">
      <c r="B678" s="9" t="str">
        <f t="shared" si="83"/>
        <v>11 2026</v>
      </c>
      <c r="C678" s="88">
        <f t="shared" si="84"/>
        <v>46327</v>
      </c>
      <c r="D678" s="88">
        <f t="shared" si="82"/>
        <v>46328</v>
      </c>
      <c r="E678" s="89">
        <f t="shared" si="85"/>
        <v>1</v>
      </c>
      <c r="F678" s="123" t="s">
        <v>7</v>
      </c>
      <c r="H678" s="383">
        <f t="shared" si="86"/>
        <v>46327</v>
      </c>
      <c r="I678" s="329"/>
      <c r="K678" s="331"/>
      <c r="L678" s="331"/>
      <c r="M678" s="331"/>
      <c r="N678" s="331"/>
      <c r="O678" s="331"/>
      <c r="P678" s="331"/>
      <c r="Q678" s="331"/>
      <c r="R678" s="331"/>
      <c r="S678" s="331"/>
      <c r="T678" s="331"/>
      <c r="U678" s="331"/>
      <c r="V678" s="331"/>
      <c r="X678" s="331"/>
      <c r="Y678" s="331"/>
      <c r="Z678" s="331"/>
      <c r="AB678" s="331"/>
      <c r="AC678" s="331"/>
      <c r="AD678" s="331"/>
      <c r="AF678" s="331"/>
      <c r="AG678" s="331"/>
      <c r="AI678" s="331"/>
    </row>
    <row r="679" spans="2:35" x14ac:dyDescent="0.25">
      <c r="B679" s="9" t="str">
        <f t="shared" si="83"/>
        <v>11 2026</v>
      </c>
      <c r="C679" s="88">
        <f t="shared" si="84"/>
        <v>46328</v>
      </c>
      <c r="D679" s="88">
        <f t="shared" si="82"/>
        <v>46329</v>
      </c>
      <c r="E679" s="89">
        <f t="shared" si="85"/>
        <v>1</v>
      </c>
      <c r="F679" s="123" t="s">
        <v>7</v>
      </c>
      <c r="H679" s="383">
        <f t="shared" si="86"/>
        <v>46328</v>
      </c>
      <c r="I679" s="329"/>
      <c r="K679" s="331"/>
      <c r="L679" s="331"/>
      <c r="M679" s="331"/>
      <c r="N679" s="331"/>
      <c r="O679" s="331"/>
      <c r="P679" s="331"/>
      <c r="Q679" s="331"/>
      <c r="R679" s="331"/>
      <c r="S679" s="331"/>
      <c r="T679" s="331"/>
      <c r="U679" s="331"/>
      <c r="V679" s="331"/>
      <c r="X679" s="331"/>
      <c r="Y679" s="331"/>
      <c r="Z679" s="331"/>
      <c r="AB679" s="331"/>
      <c r="AC679" s="331"/>
      <c r="AD679" s="331"/>
      <c r="AF679" s="331"/>
      <c r="AG679" s="331"/>
      <c r="AI679" s="331"/>
    </row>
    <row r="680" spans="2:35" x14ac:dyDescent="0.25">
      <c r="B680" s="9" t="str">
        <f t="shared" si="83"/>
        <v>11 2026</v>
      </c>
      <c r="C680" s="88">
        <f t="shared" si="84"/>
        <v>46329</v>
      </c>
      <c r="D680" s="88">
        <f t="shared" si="82"/>
        <v>46330</v>
      </c>
      <c r="E680" s="89">
        <f t="shared" si="85"/>
        <v>1</v>
      </c>
      <c r="F680" s="123" t="s">
        <v>7</v>
      </c>
      <c r="H680" s="383">
        <f t="shared" si="86"/>
        <v>46329</v>
      </c>
      <c r="I680" s="329"/>
      <c r="K680" s="331"/>
      <c r="L680" s="331"/>
      <c r="M680" s="331"/>
      <c r="N680" s="331"/>
      <c r="O680" s="331"/>
      <c r="P680" s="331"/>
      <c r="Q680" s="331"/>
      <c r="R680" s="331"/>
      <c r="S680" s="331"/>
      <c r="T680" s="331"/>
      <c r="U680" s="331"/>
      <c r="V680" s="331"/>
      <c r="X680" s="331"/>
      <c r="Y680" s="331"/>
      <c r="Z680" s="331"/>
      <c r="AB680" s="331"/>
      <c r="AC680" s="331"/>
      <c r="AD680" s="331"/>
      <c r="AF680" s="331"/>
      <c r="AG680" s="331"/>
      <c r="AI680" s="331"/>
    </row>
    <row r="681" spans="2:35" x14ac:dyDescent="0.25">
      <c r="B681" s="9" t="str">
        <f t="shared" si="83"/>
        <v>11 2026</v>
      </c>
      <c r="C681" s="88">
        <f t="shared" si="84"/>
        <v>46330</v>
      </c>
      <c r="D681" s="88">
        <f t="shared" si="82"/>
        <v>46331</v>
      </c>
      <c r="E681" s="89">
        <f t="shared" si="85"/>
        <v>1</v>
      </c>
      <c r="F681" s="123" t="s">
        <v>7</v>
      </c>
      <c r="H681" s="383">
        <f t="shared" si="86"/>
        <v>46330</v>
      </c>
      <c r="I681" s="329"/>
      <c r="K681" s="331"/>
      <c r="L681" s="331"/>
      <c r="M681" s="331"/>
      <c r="N681" s="331"/>
      <c r="O681" s="331"/>
      <c r="P681" s="331"/>
      <c r="Q681" s="331"/>
      <c r="R681" s="331"/>
      <c r="S681" s="331"/>
      <c r="T681" s="331"/>
      <c r="U681" s="331"/>
      <c r="V681" s="331"/>
      <c r="X681" s="331"/>
      <c r="Y681" s="331"/>
      <c r="Z681" s="331"/>
      <c r="AB681" s="331"/>
      <c r="AC681" s="331"/>
      <c r="AD681" s="331"/>
      <c r="AF681" s="331"/>
      <c r="AG681" s="331"/>
      <c r="AI681" s="331"/>
    </row>
    <row r="682" spans="2:35" x14ac:dyDescent="0.25">
      <c r="B682" s="9" t="str">
        <f t="shared" si="83"/>
        <v>11 2026</v>
      </c>
      <c r="C682" s="88">
        <f t="shared" si="84"/>
        <v>46331</v>
      </c>
      <c r="D682" s="88">
        <f t="shared" si="82"/>
        <v>46332</v>
      </c>
      <c r="E682" s="89">
        <f t="shared" si="85"/>
        <v>1</v>
      </c>
      <c r="F682" s="123" t="s">
        <v>7</v>
      </c>
      <c r="H682" s="383">
        <f t="shared" si="86"/>
        <v>46331</v>
      </c>
      <c r="I682" s="329"/>
      <c r="K682" s="331"/>
      <c r="L682" s="331"/>
      <c r="M682" s="331"/>
      <c r="N682" s="331"/>
      <c r="O682" s="331"/>
      <c r="P682" s="331"/>
      <c r="Q682" s="331"/>
      <c r="R682" s="331"/>
      <c r="S682" s="331"/>
      <c r="T682" s="331"/>
      <c r="U682" s="331"/>
      <c r="V682" s="331"/>
      <c r="X682" s="331"/>
      <c r="Y682" s="331"/>
      <c r="Z682" s="331"/>
      <c r="AB682" s="331"/>
      <c r="AC682" s="331"/>
      <c r="AD682" s="331"/>
      <c r="AF682" s="331"/>
      <c r="AG682" s="331"/>
      <c r="AI682" s="331"/>
    </row>
    <row r="683" spans="2:35" x14ac:dyDescent="0.25">
      <c r="B683" s="9" t="str">
        <f t="shared" si="83"/>
        <v>11 2026</v>
      </c>
      <c r="C683" s="88">
        <f t="shared" si="84"/>
        <v>46332</v>
      </c>
      <c r="D683" s="88">
        <f t="shared" si="82"/>
        <v>46333</v>
      </c>
      <c r="E683" s="89">
        <f t="shared" si="85"/>
        <v>1</v>
      </c>
      <c r="F683" s="123" t="s">
        <v>7</v>
      </c>
      <c r="H683" s="383">
        <f t="shared" si="86"/>
        <v>46332</v>
      </c>
      <c r="I683" s="329"/>
      <c r="K683" s="331"/>
      <c r="L683" s="331"/>
      <c r="M683" s="331"/>
      <c r="N683" s="331"/>
      <c r="O683" s="331"/>
      <c r="P683" s="331"/>
      <c r="Q683" s="331"/>
      <c r="R683" s="331"/>
      <c r="S683" s="331"/>
      <c r="T683" s="331"/>
      <c r="U683" s="331"/>
      <c r="V683" s="331"/>
      <c r="X683" s="331"/>
      <c r="Y683" s="331"/>
      <c r="Z683" s="331"/>
      <c r="AB683" s="331"/>
      <c r="AC683" s="331"/>
      <c r="AD683" s="331"/>
      <c r="AF683" s="331"/>
      <c r="AG683" s="331"/>
      <c r="AI683" s="331"/>
    </row>
    <row r="684" spans="2:35" x14ac:dyDescent="0.25">
      <c r="B684" s="9" t="str">
        <f t="shared" si="83"/>
        <v>11 2026</v>
      </c>
      <c r="C684" s="88">
        <f t="shared" si="84"/>
        <v>46333</v>
      </c>
      <c r="D684" s="88">
        <f t="shared" si="82"/>
        <v>46334</v>
      </c>
      <c r="E684" s="89">
        <f t="shared" si="85"/>
        <v>1</v>
      </c>
      <c r="F684" s="123" t="s">
        <v>7</v>
      </c>
      <c r="H684" s="383">
        <f t="shared" si="86"/>
        <v>46333</v>
      </c>
      <c r="I684" s="329"/>
      <c r="K684" s="331"/>
      <c r="L684" s="331"/>
      <c r="M684" s="331"/>
      <c r="N684" s="331"/>
      <c r="O684" s="331"/>
      <c r="P684" s="331"/>
      <c r="Q684" s="331"/>
      <c r="R684" s="331"/>
      <c r="S684" s="331"/>
      <c r="T684" s="331"/>
      <c r="U684" s="331"/>
      <c r="V684" s="331"/>
      <c r="X684" s="331"/>
      <c r="Y684" s="331"/>
      <c r="Z684" s="331"/>
      <c r="AB684" s="331"/>
      <c r="AC684" s="331"/>
      <c r="AD684" s="331"/>
      <c r="AF684" s="331"/>
      <c r="AG684" s="331"/>
      <c r="AI684" s="331"/>
    </row>
    <row r="685" spans="2:35" x14ac:dyDescent="0.25">
      <c r="B685" s="9" t="str">
        <f t="shared" si="83"/>
        <v>11 2026</v>
      </c>
      <c r="C685" s="88">
        <f t="shared" si="84"/>
        <v>46334</v>
      </c>
      <c r="D685" s="88">
        <f t="shared" si="82"/>
        <v>46335</v>
      </c>
      <c r="E685" s="89">
        <f t="shared" si="85"/>
        <v>1</v>
      </c>
      <c r="F685" s="123" t="s">
        <v>7</v>
      </c>
      <c r="H685" s="383">
        <f t="shared" si="86"/>
        <v>46334</v>
      </c>
      <c r="I685" s="329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X685" s="331"/>
      <c r="Y685" s="331"/>
      <c r="Z685" s="331"/>
      <c r="AB685" s="331"/>
      <c r="AC685" s="331"/>
      <c r="AD685" s="331"/>
      <c r="AF685" s="331"/>
      <c r="AG685" s="331"/>
      <c r="AI685" s="331"/>
    </row>
    <row r="686" spans="2:35" x14ac:dyDescent="0.25">
      <c r="B686" s="9" t="str">
        <f t="shared" si="83"/>
        <v>11 2026</v>
      </c>
      <c r="C686" s="88">
        <f t="shared" si="84"/>
        <v>46335</v>
      </c>
      <c r="D686" s="88">
        <f t="shared" si="82"/>
        <v>46336</v>
      </c>
      <c r="E686" s="89">
        <f t="shared" si="85"/>
        <v>1</v>
      </c>
      <c r="F686" s="123" t="s">
        <v>7</v>
      </c>
      <c r="H686" s="383">
        <f t="shared" si="86"/>
        <v>46335</v>
      </c>
      <c r="I686" s="329"/>
      <c r="K686" s="331"/>
      <c r="L686" s="331"/>
      <c r="M686" s="331"/>
      <c r="N686" s="331"/>
      <c r="O686" s="331"/>
      <c r="P686" s="331"/>
      <c r="Q686" s="331"/>
      <c r="R686" s="331"/>
      <c r="S686" s="331"/>
      <c r="T686" s="331"/>
      <c r="U686" s="331"/>
      <c r="V686" s="331"/>
      <c r="X686" s="331"/>
      <c r="Y686" s="331"/>
      <c r="Z686" s="331"/>
      <c r="AB686" s="331"/>
      <c r="AC686" s="331"/>
      <c r="AD686" s="331"/>
      <c r="AF686" s="331"/>
      <c r="AG686" s="331"/>
      <c r="AI686" s="331"/>
    </row>
    <row r="687" spans="2:35" x14ac:dyDescent="0.25">
      <c r="B687" s="9" t="str">
        <f t="shared" si="83"/>
        <v>11 2026</v>
      </c>
      <c r="C687" s="88">
        <f t="shared" si="84"/>
        <v>46336</v>
      </c>
      <c r="D687" s="88">
        <f t="shared" si="82"/>
        <v>46337</v>
      </c>
      <c r="E687" s="89">
        <f t="shared" si="85"/>
        <v>1</v>
      </c>
      <c r="F687" s="123" t="s">
        <v>7</v>
      </c>
      <c r="H687" s="383">
        <f t="shared" si="86"/>
        <v>46336</v>
      </c>
      <c r="I687" s="329"/>
      <c r="K687" s="331"/>
      <c r="L687" s="331"/>
      <c r="M687" s="331"/>
      <c r="N687" s="331"/>
      <c r="O687" s="331"/>
      <c r="P687" s="331"/>
      <c r="Q687" s="331"/>
      <c r="R687" s="331"/>
      <c r="S687" s="331"/>
      <c r="T687" s="331"/>
      <c r="U687" s="331"/>
      <c r="V687" s="331"/>
      <c r="X687" s="331"/>
      <c r="Y687" s="331"/>
      <c r="Z687" s="331"/>
      <c r="AB687" s="331"/>
      <c r="AC687" s="331"/>
      <c r="AD687" s="331"/>
      <c r="AF687" s="331"/>
      <c r="AG687" s="331"/>
      <c r="AI687" s="331"/>
    </row>
    <row r="688" spans="2:35" x14ac:dyDescent="0.25">
      <c r="B688" s="9" t="str">
        <f t="shared" si="83"/>
        <v>11 2026</v>
      </c>
      <c r="C688" s="88">
        <f t="shared" si="84"/>
        <v>46337</v>
      </c>
      <c r="D688" s="88">
        <f t="shared" si="82"/>
        <v>46338</v>
      </c>
      <c r="E688" s="89">
        <f t="shared" si="85"/>
        <v>1</v>
      </c>
      <c r="F688" s="123" t="s">
        <v>7</v>
      </c>
      <c r="H688" s="383">
        <f t="shared" si="86"/>
        <v>46337</v>
      </c>
      <c r="I688" s="329"/>
      <c r="K688" s="331"/>
      <c r="L688" s="331"/>
      <c r="M688" s="331"/>
      <c r="N688" s="331"/>
      <c r="O688" s="331"/>
      <c r="P688" s="331"/>
      <c r="Q688" s="331"/>
      <c r="R688" s="331"/>
      <c r="S688" s="331"/>
      <c r="T688" s="331"/>
      <c r="U688" s="331"/>
      <c r="V688" s="331"/>
      <c r="X688" s="331"/>
      <c r="Y688" s="331"/>
      <c r="Z688" s="331"/>
      <c r="AB688" s="331"/>
      <c r="AC688" s="331"/>
      <c r="AD688" s="331"/>
      <c r="AF688" s="331"/>
      <c r="AG688" s="331"/>
      <c r="AI688" s="331"/>
    </row>
    <row r="689" spans="2:35" x14ac:dyDescent="0.25">
      <c r="B689" s="9" t="str">
        <f t="shared" si="83"/>
        <v>11 2026</v>
      </c>
      <c r="C689" s="88">
        <f t="shared" si="84"/>
        <v>46338</v>
      </c>
      <c r="D689" s="88">
        <f t="shared" si="82"/>
        <v>46339</v>
      </c>
      <c r="E689" s="89">
        <f t="shared" si="85"/>
        <v>1</v>
      </c>
      <c r="F689" s="123" t="s">
        <v>7</v>
      </c>
      <c r="H689" s="383">
        <f t="shared" si="86"/>
        <v>46338</v>
      </c>
      <c r="I689" s="329"/>
      <c r="K689" s="331"/>
      <c r="L689" s="331"/>
      <c r="M689" s="331"/>
      <c r="N689" s="331"/>
      <c r="O689" s="331"/>
      <c r="P689" s="331"/>
      <c r="Q689" s="331"/>
      <c r="R689" s="331"/>
      <c r="S689" s="331"/>
      <c r="T689" s="331"/>
      <c r="U689" s="331"/>
      <c r="V689" s="331"/>
      <c r="X689" s="331"/>
      <c r="Y689" s="331"/>
      <c r="Z689" s="331"/>
      <c r="AB689" s="331"/>
      <c r="AC689" s="331"/>
      <c r="AD689" s="331"/>
      <c r="AF689" s="331"/>
      <c r="AG689" s="331"/>
      <c r="AI689" s="331"/>
    </row>
    <row r="690" spans="2:35" x14ac:dyDescent="0.25">
      <c r="B690" s="9" t="str">
        <f t="shared" si="83"/>
        <v>11 2026</v>
      </c>
      <c r="C690" s="88">
        <f t="shared" si="84"/>
        <v>46339</v>
      </c>
      <c r="D690" s="88">
        <f t="shared" si="82"/>
        <v>46340</v>
      </c>
      <c r="E690" s="89">
        <f t="shared" si="85"/>
        <v>1</v>
      </c>
      <c r="F690" s="123" t="s">
        <v>7</v>
      </c>
      <c r="H690" s="383">
        <f t="shared" si="86"/>
        <v>46339</v>
      </c>
      <c r="I690" s="329"/>
      <c r="K690" s="331"/>
      <c r="L690" s="331"/>
      <c r="M690" s="331"/>
      <c r="N690" s="331"/>
      <c r="O690" s="331"/>
      <c r="P690" s="331"/>
      <c r="Q690" s="331"/>
      <c r="R690" s="331"/>
      <c r="S690" s="331"/>
      <c r="T690" s="331"/>
      <c r="U690" s="331"/>
      <c r="V690" s="331"/>
      <c r="X690" s="331"/>
      <c r="Y690" s="331"/>
      <c r="Z690" s="331"/>
      <c r="AB690" s="331"/>
      <c r="AC690" s="331"/>
      <c r="AD690" s="331"/>
      <c r="AF690" s="331"/>
      <c r="AG690" s="331"/>
      <c r="AI690" s="331"/>
    </row>
    <row r="691" spans="2:35" x14ac:dyDescent="0.25">
      <c r="B691" s="9" t="str">
        <f t="shared" si="83"/>
        <v>11 2026</v>
      </c>
      <c r="C691" s="88">
        <f t="shared" si="84"/>
        <v>46340</v>
      </c>
      <c r="D691" s="88">
        <f t="shared" si="82"/>
        <v>46341</v>
      </c>
      <c r="E691" s="89">
        <f t="shared" si="85"/>
        <v>1</v>
      </c>
      <c r="F691" s="123" t="s">
        <v>7</v>
      </c>
      <c r="H691" s="383">
        <f t="shared" si="86"/>
        <v>46340</v>
      </c>
      <c r="I691" s="329"/>
      <c r="K691" s="331"/>
      <c r="L691" s="331"/>
      <c r="M691" s="331"/>
      <c r="N691" s="331"/>
      <c r="O691" s="331"/>
      <c r="P691" s="331"/>
      <c r="Q691" s="331"/>
      <c r="R691" s="331"/>
      <c r="S691" s="331"/>
      <c r="T691" s="331"/>
      <c r="U691" s="331"/>
      <c r="V691" s="331"/>
      <c r="X691" s="331"/>
      <c r="Y691" s="331"/>
      <c r="Z691" s="331"/>
      <c r="AB691" s="331"/>
      <c r="AC691" s="331"/>
      <c r="AD691" s="331"/>
      <c r="AF691" s="331"/>
      <c r="AG691" s="331"/>
      <c r="AI691" s="331"/>
    </row>
    <row r="692" spans="2:35" x14ac:dyDescent="0.25">
      <c r="B692" s="9" t="str">
        <f t="shared" si="83"/>
        <v>11 2026</v>
      </c>
      <c r="C692" s="88">
        <f t="shared" si="84"/>
        <v>46341</v>
      </c>
      <c r="D692" s="88">
        <f t="shared" si="82"/>
        <v>46342</v>
      </c>
      <c r="E692" s="89">
        <f t="shared" si="85"/>
        <v>1</v>
      </c>
      <c r="F692" s="123" t="s">
        <v>7</v>
      </c>
      <c r="H692" s="383">
        <f t="shared" si="86"/>
        <v>46341</v>
      </c>
      <c r="I692" s="329"/>
      <c r="K692" s="331"/>
      <c r="L692" s="331"/>
      <c r="M692" s="331"/>
      <c r="N692" s="331"/>
      <c r="O692" s="331"/>
      <c r="P692" s="331"/>
      <c r="Q692" s="331"/>
      <c r="R692" s="331"/>
      <c r="S692" s="331"/>
      <c r="T692" s="331"/>
      <c r="U692" s="331"/>
      <c r="V692" s="331"/>
      <c r="X692" s="331"/>
      <c r="Y692" s="331"/>
      <c r="Z692" s="331"/>
      <c r="AB692" s="331"/>
      <c r="AC692" s="331"/>
      <c r="AD692" s="331"/>
      <c r="AF692" s="331"/>
      <c r="AG692" s="331"/>
      <c r="AI692" s="331"/>
    </row>
    <row r="693" spans="2:35" x14ac:dyDescent="0.25">
      <c r="B693" s="9" t="str">
        <f t="shared" si="83"/>
        <v>11 2026</v>
      </c>
      <c r="C693" s="88">
        <f t="shared" si="84"/>
        <v>46342</v>
      </c>
      <c r="D693" s="88">
        <f t="shared" si="82"/>
        <v>46343</v>
      </c>
      <c r="E693" s="89">
        <f t="shared" si="85"/>
        <v>1</v>
      </c>
      <c r="F693" s="123" t="s">
        <v>7</v>
      </c>
      <c r="H693" s="383">
        <f t="shared" si="86"/>
        <v>46342</v>
      </c>
      <c r="I693" s="329"/>
      <c r="K693" s="331"/>
      <c r="L693" s="331"/>
      <c r="M693" s="331"/>
      <c r="N693" s="331"/>
      <c r="O693" s="331"/>
      <c r="P693" s="331"/>
      <c r="Q693" s="331"/>
      <c r="R693" s="331"/>
      <c r="S693" s="331"/>
      <c r="T693" s="331"/>
      <c r="U693" s="331"/>
      <c r="V693" s="331"/>
      <c r="X693" s="331"/>
      <c r="Y693" s="331"/>
      <c r="Z693" s="331"/>
      <c r="AB693" s="331"/>
      <c r="AC693" s="331"/>
      <c r="AD693" s="331"/>
      <c r="AF693" s="331"/>
      <c r="AG693" s="331"/>
      <c r="AI693" s="331"/>
    </row>
    <row r="694" spans="2:35" x14ac:dyDescent="0.25">
      <c r="B694" s="9" t="str">
        <f t="shared" si="83"/>
        <v>11 2026</v>
      </c>
      <c r="C694" s="88">
        <f t="shared" si="84"/>
        <v>46343</v>
      </c>
      <c r="D694" s="88">
        <f t="shared" si="82"/>
        <v>46344</v>
      </c>
      <c r="E694" s="89">
        <f t="shared" si="85"/>
        <v>1</v>
      </c>
      <c r="F694" s="123" t="s">
        <v>7</v>
      </c>
      <c r="H694" s="383">
        <f t="shared" si="86"/>
        <v>46343</v>
      </c>
      <c r="I694" s="329"/>
      <c r="K694" s="331"/>
      <c r="L694" s="331"/>
      <c r="M694" s="331"/>
      <c r="N694" s="331"/>
      <c r="O694" s="331"/>
      <c r="P694" s="331"/>
      <c r="Q694" s="331"/>
      <c r="R694" s="331"/>
      <c r="S694" s="331"/>
      <c r="T694" s="331"/>
      <c r="U694" s="331"/>
      <c r="V694" s="331"/>
      <c r="X694" s="331"/>
      <c r="Y694" s="331"/>
      <c r="Z694" s="331"/>
      <c r="AB694" s="331"/>
      <c r="AC694" s="331"/>
      <c r="AD694" s="331"/>
      <c r="AF694" s="331"/>
      <c r="AG694" s="331"/>
      <c r="AI694" s="331"/>
    </row>
    <row r="695" spans="2:35" x14ac:dyDescent="0.25">
      <c r="B695" s="9" t="str">
        <f t="shared" si="83"/>
        <v>11 2026</v>
      </c>
      <c r="C695" s="88">
        <f t="shared" si="84"/>
        <v>46344</v>
      </c>
      <c r="D695" s="88">
        <f t="shared" si="82"/>
        <v>46345</v>
      </c>
      <c r="E695" s="89">
        <f t="shared" si="85"/>
        <v>1</v>
      </c>
      <c r="F695" s="123" t="s">
        <v>7</v>
      </c>
      <c r="H695" s="383">
        <f t="shared" si="86"/>
        <v>46344</v>
      </c>
      <c r="I695" s="329"/>
      <c r="K695" s="331"/>
      <c r="L695" s="331"/>
      <c r="M695" s="331"/>
      <c r="N695" s="331"/>
      <c r="O695" s="331"/>
      <c r="P695" s="331"/>
      <c r="Q695" s="331"/>
      <c r="R695" s="331"/>
      <c r="S695" s="331"/>
      <c r="T695" s="331"/>
      <c r="U695" s="331"/>
      <c r="V695" s="331"/>
      <c r="X695" s="331"/>
      <c r="Y695" s="331"/>
      <c r="Z695" s="331"/>
      <c r="AB695" s="331"/>
      <c r="AC695" s="331"/>
      <c r="AD695" s="331"/>
      <c r="AF695" s="331"/>
      <c r="AG695" s="331"/>
      <c r="AI695" s="331"/>
    </row>
    <row r="696" spans="2:35" x14ac:dyDescent="0.25">
      <c r="B696" s="9" t="str">
        <f t="shared" si="83"/>
        <v>11 2026</v>
      </c>
      <c r="C696" s="88">
        <f t="shared" si="84"/>
        <v>46345</v>
      </c>
      <c r="D696" s="88">
        <f t="shared" ref="D696:D737" si="87">D695+1</f>
        <v>46346</v>
      </c>
      <c r="E696" s="89">
        <f t="shared" si="85"/>
        <v>1</v>
      </c>
      <c r="F696" s="123" t="s">
        <v>7</v>
      </c>
      <c r="H696" s="383">
        <f t="shared" si="86"/>
        <v>46345</v>
      </c>
      <c r="I696" s="329"/>
      <c r="K696" s="331"/>
      <c r="L696" s="331"/>
      <c r="M696" s="331"/>
      <c r="N696" s="331"/>
      <c r="O696" s="331"/>
      <c r="P696" s="331"/>
      <c r="Q696" s="331"/>
      <c r="R696" s="331"/>
      <c r="S696" s="331"/>
      <c r="T696" s="331"/>
      <c r="U696" s="331"/>
      <c r="V696" s="331"/>
      <c r="X696" s="331"/>
      <c r="Y696" s="331"/>
      <c r="Z696" s="331"/>
      <c r="AB696" s="331"/>
      <c r="AC696" s="331"/>
      <c r="AD696" s="331"/>
      <c r="AF696" s="331"/>
      <c r="AG696" s="331"/>
      <c r="AI696" s="331"/>
    </row>
    <row r="697" spans="2:35" x14ac:dyDescent="0.25">
      <c r="B697" s="9" t="str">
        <f t="shared" si="83"/>
        <v>11 2026</v>
      </c>
      <c r="C697" s="88">
        <f t="shared" si="84"/>
        <v>46346</v>
      </c>
      <c r="D697" s="88">
        <f t="shared" si="87"/>
        <v>46347</v>
      </c>
      <c r="E697" s="89">
        <f t="shared" si="85"/>
        <v>1</v>
      </c>
      <c r="F697" s="123" t="s">
        <v>7</v>
      </c>
      <c r="H697" s="383">
        <f t="shared" si="86"/>
        <v>46346</v>
      </c>
      <c r="I697" s="329"/>
      <c r="K697" s="331"/>
      <c r="L697" s="331"/>
      <c r="M697" s="331"/>
      <c r="N697" s="331"/>
      <c r="O697" s="331"/>
      <c r="P697" s="331"/>
      <c r="Q697" s="331"/>
      <c r="R697" s="331"/>
      <c r="S697" s="331"/>
      <c r="T697" s="331"/>
      <c r="U697" s="331"/>
      <c r="V697" s="331"/>
      <c r="X697" s="331"/>
      <c r="Y697" s="331"/>
      <c r="Z697" s="331"/>
      <c r="AB697" s="331"/>
      <c r="AC697" s="331"/>
      <c r="AD697" s="331"/>
      <c r="AF697" s="331"/>
      <c r="AG697" s="331"/>
      <c r="AI697" s="331"/>
    </row>
    <row r="698" spans="2:35" x14ac:dyDescent="0.25">
      <c r="B698" s="9" t="str">
        <f t="shared" si="83"/>
        <v>11 2026</v>
      </c>
      <c r="C698" s="88">
        <f t="shared" si="84"/>
        <v>46347</v>
      </c>
      <c r="D698" s="88">
        <f t="shared" si="87"/>
        <v>46348</v>
      </c>
      <c r="E698" s="89">
        <f t="shared" si="85"/>
        <v>1</v>
      </c>
      <c r="F698" s="123" t="s">
        <v>7</v>
      </c>
      <c r="H698" s="383">
        <f t="shared" si="86"/>
        <v>46347</v>
      </c>
      <c r="I698" s="329"/>
      <c r="K698" s="331"/>
      <c r="L698" s="331"/>
      <c r="M698" s="331"/>
      <c r="N698" s="331"/>
      <c r="O698" s="331"/>
      <c r="P698" s="331"/>
      <c r="Q698" s="331"/>
      <c r="R698" s="331"/>
      <c r="S698" s="331"/>
      <c r="T698" s="331"/>
      <c r="U698" s="331"/>
      <c r="V698" s="331"/>
      <c r="X698" s="331"/>
      <c r="Y698" s="331"/>
      <c r="Z698" s="331"/>
      <c r="AB698" s="331"/>
      <c r="AC698" s="331"/>
      <c r="AD698" s="331"/>
      <c r="AF698" s="331"/>
      <c r="AG698" s="331"/>
      <c r="AI698" s="331"/>
    </row>
    <row r="699" spans="2:35" x14ac:dyDescent="0.25">
      <c r="B699" s="9" t="str">
        <f t="shared" si="83"/>
        <v>11 2026</v>
      </c>
      <c r="C699" s="88">
        <f t="shared" si="84"/>
        <v>46348</v>
      </c>
      <c r="D699" s="88">
        <f t="shared" si="87"/>
        <v>46349</v>
      </c>
      <c r="E699" s="89">
        <f t="shared" si="85"/>
        <v>1</v>
      </c>
      <c r="F699" s="123" t="s">
        <v>7</v>
      </c>
      <c r="H699" s="383">
        <f t="shared" si="86"/>
        <v>46348</v>
      </c>
      <c r="I699" s="329"/>
      <c r="K699" s="331"/>
      <c r="L699" s="331"/>
      <c r="M699" s="331"/>
      <c r="N699" s="331"/>
      <c r="O699" s="331"/>
      <c r="P699" s="331"/>
      <c r="Q699" s="331"/>
      <c r="R699" s="331"/>
      <c r="S699" s="331"/>
      <c r="T699" s="331"/>
      <c r="U699" s="331"/>
      <c r="V699" s="331"/>
      <c r="X699" s="331"/>
      <c r="Y699" s="331"/>
      <c r="Z699" s="331"/>
      <c r="AB699" s="331"/>
      <c r="AC699" s="331"/>
      <c r="AD699" s="331"/>
      <c r="AF699" s="331"/>
      <c r="AG699" s="331"/>
      <c r="AI699" s="331"/>
    </row>
    <row r="700" spans="2:35" x14ac:dyDescent="0.25">
      <c r="B700" s="9" t="str">
        <f t="shared" si="83"/>
        <v>11 2026</v>
      </c>
      <c r="C700" s="88">
        <f t="shared" si="84"/>
        <v>46349</v>
      </c>
      <c r="D700" s="88">
        <f t="shared" si="87"/>
        <v>46350</v>
      </c>
      <c r="E700" s="89">
        <f t="shared" si="85"/>
        <v>1</v>
      </c>
      <c r="F700" s="123" t="s">
        <v>7</v>
      </c>
      <c r="H700" s="383">
        <f t="shared" si="86"/>
        <v>46349</v>
      </c>
      <c r="I700" s="329"/>
      <c r="K700" s="331"/>
      <c r="L700" s="331"/>
      <c r="M700" s="331"/>
      <c r="N700" s="331"/>
      <c r="O700" s="331"/>
      <c r="P700" s="331"/>
      <c r="Q700" s="331"/>
      <c r="R700" s="331"/>
      <c r="S700" s="331"/>
      <c r="T700" s="331"/>
      <c r="U700" s="331"/>
      <c r="V700" s="331"/>
      <c r="X700" s="331"/>
      <c r="Y700" s="331"/>
      <c r="Z700" s="331"/>
      <c r="AB700" s="331"/>
      <c r="AC700" s="331"/>
      <c r="AD700" s="331"/>
      <c r="AF700" s="331"/>
      <c r="AG700" s="331"/>
      <c r="AI700" s="331"/>
    </row>
    <row r="701" spans="2:35" x14ac:dyDescent="0.25">
      <c r="B701" s="9" t="str">
        <f t="shared" si="83"/>
        <v>11 2026</v>
      </c>
      <c r="C701" s="88">
        <f t="shared" si="84"/>
        <v>46350</v>
      </c>
      <c r="D701" s="88">
        <f t="shared" si="87"/>
        <v>46351</v>
      </c>
      <c r="E701" s="89">
        <f t="shared" si="85"/>
        <v>1</v>
      </c>
      <c r="F701" s="123" t="s">
        <v>7</v>
      </c>
      <c r="H701" s="383">
        <f t="shared" si="86"/>
        <v>46350</v>
      </c>
      <c r="I701" s="329"/>
      <c r="K701" s="331"/>
      <c r="L701" s="331"/>
      <c r="M701" s="331"/>
      <c r="N701" s="331"/>
      <c r="O701" s="331"/>
      <c r="P701" s="331"/>
      <c r="Q701" s="331"/>
      <c r="R701" s="331"/>
      <c r="S701" s="331"/>
      <c r="T701" s="331"/>
      <c r="U701" s="331"/>
      <c r="V701" s="331"/>
      <c r="X701" s="331"/>
      <c r="Y701" s="331"/>
      <c r="Z701" s="331"/>
      <c r="AB701" s="331"/>
      <c r="AC701" s="331"/>
      <c r="AD701" s="331"/>
      <c r="AF701" s="331"/>
      <c r="AG701" s="331"/>
      <c r="AI701" s="331"/>
    </row>
    <row r="702" spans="2:35" x14ac:dyDescent="0.25">
      <c r="B702" s="9" t="str">
        <f t="shared" si="83"/>
        <v>11 2026</v>
      </c>
      <c r="C702" s="88">
        <f t="shared" si="84"/>
        <v>46351</v>
      </c>
      <c r="D702" s="88">
        <f t="shared" si="87"/>
        <v>46352</v>
      </c>
      <c r="E702" s="89">
        <f t="shared" si="85"/>
        <v>1</v>
      </c>
      <c r="F702" s="123" t="s">
        <v>7</v>
      </c>
      <c r="H702" s="383">
        <f t="shared" si="86"/>
        <v>46351</v>
      </c>
      <c r="I702" s="329"/>
      <c r="K702" s="331"/>
      <c r="L702" s="331"/>
      <c r="M702" s="331"/>
      <c r="N702" s="331"/>
      <c r="O702" s="331"/>
      <c r="P702" s="331"/>
      <c r="Q702" s="331"/>
      <c r="R702" s="331"/>
      <c r="S702" s="331"/>
      <c r="T702" s="331"/>
      <c r="U702" s="331"/>
      <c r="V702" s="331"/>
      <c r="X702" s="331"/>
      <c r="Y702" s="331"/>
      <c r="Z702" s="331"/>
      <c r="AB702" s="331"/>
      <c r="AC702" s="331"/>
      <c r="AD702" s="331"/>
      <c r="AF702" s="331"/>
      <c r="AG702" s="331"/>
      <c r="AI702" s="331"/>
    </row>
    <row r="703" spans="2:35" x14ac:dyDescent="0.25">
      <c r="B703" s="9" t="str">
        <f t="shared" si="83"/>
        <v>11 2026</v>
      </c>
      <c r="C703" s="88">
        <f t="shared" si="84"/>
        <v>46352</v>
      </c>
      <c r="D703" s="88">
        <f t="shared" si="87"/>
        <v>46353</v>
      </c>
      <c r="E703" s="89">
        <f t="shared" si="85"/>
        <v>1</v>
      </c>
      <c r="F703" s="123" t="s">
        <v>7</v>
      </c>
      <c r="H703" s="383">
        <f t="shared" si="86"/>
        <v>46352</v>
      </c>
      <c r="I703" s="329"/>
      <c r="K703" s="331"/>
      <c r="L703" s="331"/>
      <c r="M703" s="331"/>
      <c r="N703" s="331"/>
      <c r="O703" s="331"/>
      <c r="P703" s="331"/>
      <c r="Q703" s="331"/>
      <c r="R703" s="331"/>
      <c r="S703" s="331"/>
      <c r="T703" s="331"/>
      <c r="U703" s="331"/>
      <c r="V703" s="331"/>
      <c r="X703" s="331"/>
      <c r="Y703" s="331"/>
      <c r="Z703" s="331"/>
      <c r="AB703" s="331"/>
      <c r="AC703" s="331"/>
      <c r="AD703" s="331"/>
      <c r="AF703" s="331"/>
      <c r="AG703" s="331"/>
      <c r="AI703" s="331"/>
    </row>
    <row r="704" spans="2:35" x14ac:dyDescent="0.25">
      <c r="B704" s="9" t="str">
        <f t="shared" si="83"/>
        <v>11 2026</v>
      </c>
      <c r="C704" s="88">
        <f t="shared" si="84"/>
        <v>46353</v>
      </c>
      <c r="D704" s="88">
        <f t="shared" si="87"/>
        <v>46354</v>
      </c>
      <c r="E704" s="89">
        <f t="shared" si="85"/>
        <v>1</v>
      </c>
      <c r="F704" s="123" t="s">
        <v>7</v>
      </c>
      <c r="H704" s="383">
        <f t="shared" si="86"/>
        <v>46353</v>
      </c>
      <c r="I704" s="329"/>
      <c r="K704" s="331"/>
      <c r="L704" s="331"/>
      <c r="M704" s="331"/>
      <c r="N704" s="331"/>
      <c r="O704" s="331"/>
      <c r="P704" s="331"/>
      <c r="Q704" s="331"/>
      <c r="R704" s="331"/>
      <c r="S704" s="331"/>
      <c r="T704" s="331"/>
      <c r="U704" s="331"/>
      <c r="V704" s="331"/>
      <c r="X704" s="331"/>
      <c r="Y704" s="331"/>
      <c r="Z704" s="331"/>
      <c r="AB704" s="331"/>
      <c r="AC704" s="331"/>
      <c r="AD704" s="331"/>
      <c r="AF704" s="331"/>
      <c r="AG704" s="331"/>
      <c r="AI704" s="331"/>
    </row>
    <row r="705" spans="2:35" x14ac:dyDescent="0.25">
      <c r="B705" s="9" t="str">
        <f t="shared" si="83"/>
        <v>11 2026</v>
      </c>
      <c r="C705" s="88">
        <f t="shared" si="84"/>
        <v>46354</v>
      </c>
      <c r="D705" s="88">
        <f t="shared" si="87"/>
        <v>46355</v>
      </c>
      <c r="E705" s="89">
        <f t="shared" si="85"/>
        <v>1</v>
      </c>
      <c r="F705" s="123" t="s">
        <v>7</v>
      </c>
      <c r="H705" s="383">
        <f t="shared" si="86"/>
        <v>46354</v>
      </c>
      <c r="I705" s="329"/>
      <c r="K705" s="331"/>
      <c r="L705" s="331"/>
      <c r="M705" s="331"/>
      <c r="N705" s="331"/>
      <c r="O705" s="331"/>
      <c r="P705" s="331"/>
      <c r="Q705" s="331"/>
      <c r="R705" s="331"/>
      <c r="S705" s="331"/>
      <c r="T705" s="331"/>
      <c r="U705" s="331"/>
      <c r="V705" s="331"/>
      <c r="X705" s="331"/>
      <c r="Y705" s="331"/>
      <c r="Z705" s="331"/>
      <c r="AB705" s="331"/>
      <c r="AC705" s="331"/>
      <c r="AD705" s="331"/>
      <c r="AF705" s="331"/>
      <c r="AG705" s="331"/>
      <c r="AI705" s="331"/>
    </row>
    <row r="706" spans="2:35" x14ac:dyDescent="0.25">
      <c r="B706" s="9" t="str">
        <f t="shared" si="83"/>
        <v>11 2026</v>
      </c>
      <c r="C706" s="88">
        <f t="shared" si="84"/>
        <v>46355</v>
      </c>
      <c r="D706" s="88">
        <f t="shared" si="87"/>
        <v>46356</v>
      </c>
      <c r="E706" s="89">
        <f t="shared" si="85"/>
        <v>1</v>
      </c>
      <c r="F706" s="123" t="s">
        <v>7</v>
      </c>
      <c r="H706" s="383">
        <f t="shared" si="86"/>
        <v>46355</v>
      </c>
      <c r="I706" s="329"/>
      <c r="K706" s="331"/>
      <c r="L706" s="331"/>
      <c r="M706" s="331"/>
      <c r="N706" s="331"/>
      <c r="O706" s="331"/>
      <c r="P706" s="331"/>
      <c r="Q706" s="331"/>
      <c r="R706" s="331"/>
      <c r="S706" s="331"/>
      <c r="T706" s="331"/>
      <c r="U706" s="331"/>
      <c r="V706" s="331"/>
      <c r="X706" s="331"/>
      <c r="Y706" s="331"/>
      <c r="Z706" s="331"/>
      <c r="AB706" s="331"/>
      <c r="AC706" s="331"/>
      <c r="AD706" s="331"/>
      <c r="AF706" s="331"/>
      <c r="AG706" s="331"/>
      <c r="AI706" s="331"/>
    </row>
    <row r="707" spans="2:35" x14ac:dyDescent="0.25">
      <c r="B707" s="9" t="str">
        <f t="shared" si="83"/>
        <v>12 2026</v>
      </c>
      <c r="C707" s="88">
        <f t="shared" si="84"/>
        <v>46356</v>
      </c>
      <c r="D707" s="88">
        <f t="shared" si="87"/>
        <v>46357</v>
      </c>
      <c r="E707" s="89">
        <f t="shared" si="85"/>
        <v>1</v>
      </c>
      <c r="F707" s="123" t="s">
        <v>7</v>
      </c>
      <c r="H707" s="383">
        <f t="shared" si="86"/>
        <v>46356</v>
      </c>
      <c r="I707" s="329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X707" s="331"/>
      <c r="Y707" s="331"/>
      <c r="Z707" s="331"/>
      <c r="AB707" s="331"/>
      <c r="AC707" s="331"/>
      <c r="AD707" s="331"/>
      <c r="AF707" s="331"/>
      <c r="AG707" s="331"/>
      <c r="AI707" s="331"/>
    </row>
    <row r="708" spans="2:35" x14ac:dyDescent="0.25">
      <c r="B708" s="9" t="str">
        <f t="shared" si="83"/>
        <v>12 2026</v>
      </c>
      <c r="C708" s="88">
        <f t="shared" si="84"/>
        <v>46357</v>
      </c>
      <c r="D708" s="88">
        <f t="shared" si="87"/>
        <v>46358</v>
      </c>
      <c r="E708" s="89">
        <f t="shared" si="85"/>
        <v>1</v>
      </c>
      <c r="F708" s="123" t="s">
        <v>7</v>
      </c>
      <c r="H708" s="383">
        <f t="shared" si="86"/>
        <v>46357</v>
      </c>
      <c r="I708" s="329"/>
      <c r="K708" s="331"/>
      <c r="L708" s="331"/>
      <c r="M708" s="331"/>
      <c r="N708" s="331"/>
      <c r="O708" s="331"/>
      <c r="P708" s="331"/>
      <c r="Q708" s="331"/>
      <c r="R708" s="331"/>
      <c r="S708" s="331"/>
      <c r="T708" s="331"/>
      <c r="U708" s="331"/>
      <c r="V708" s="331"/>
      <c r="X708" s="331"/>
      <c r="Y708" s="331"/>
      <c r="Z708" s="331"/>
      <c r="AB708" s="331"/>
      <c r="AC708" s="331"/>
      <c r="AD708" s="331"/>
      <c r="AF708" s="331"/>
      <c r="AG708" s="331"/>
      <c r="AI708" s="331"/>
    </row>
    <row r="709" spans="2:35" x14ac:dyDescent="0.25">
      <c r="B709" s="9" t="str">
        <f t="shared" si="83"/>
        <v>12 2026</v>
      </c>
      <c r="C709" s="88">
        <f t="shared" si="84"/>
        <v>46358</v>
      </c>
      <c r="D709" s="88">
        <f t="shared" si="87"/>
        <v>46359</v>
      </c>
      <c r="E709" s="89">
        <f t="shared" si="85"/>
        <v>1</v>
      </c>
      <c r="F709" s="123" t="s">
        <v>7</v>
      </c>
      <c r="H709" s="383">
        <f t="shared" si="86"/>
        <v>46358</v>
      </c>
      <c r="I709" s="329"/>
      <c r="K709" s="331"/>
      <c r="L709" s="331"/>
      <c r="M709" s="331"/>
      <c r="N709" s="331"/>
      <c r="O709" s="331"/>
      <c r="P709" s="331"/>
      <c r="Q709" s="331"/>
      <c r="R709" s="331"/>
      <c r="S709" s="331"/>
      <c r="T709" s="331"/>
      <c r="U709" s="331"/>
      <c r="V709" s="331"/>
      <c r="X709" s="331"/>
      <c r="Y709" s="331"/>
      <c r="Z709" s="331"/>
      <c r="AB709" s="331"/>
      <c r="AC709" s="331"/>
      <c r="AD709" s="331"/>
      <c r="AF709" s="331"/>
      <c r="AG709" s="331"/>
      <c r="AI709" s="331"/>
    </row>
    <row r="710" spans="2:35" x14ac:dyDescent="0.25">
      <c r="B710" s="9" t="str">
        <f t="shared" si="83"/>
        <v>12 2026</v>
      </c>
      <c r="C710" s="88">
        <f t="shared" si="84"/>
        <v>46359</v>
      </c>
      <c r="D710" s="88">
        <f t="shared" si="87"/>
        <v>46360</v>
      </c>
      <c r="E710" s="89">
        <f t="shared" si="85"/>
        <v>1</v>
      </c>
      <c r="F710" s="123" t="s">
        <v>7</v>
      </c>
      <c r="H710" s="383">
        <f t="shared" si="86"/>
        <v>46359</v>
      </c>
      <c r="I710" s="329"/>
      <c r="K710" s="331"/>
      <c r="L710" s="331"/>
      <c r="M710" s="331"/>
      <c r="N710" s="331"/>
      <c r="O710" s="331"/>
      <c r="P710" s="331"/>
      <c r="Q710" s="331"/>
      <c r="R710" s="331"/>
      <c r="S710" s="331"/>
      <c r="T710" s="331"/>
      <c r="U710" s="331"/>
      <c r="V710" s="331"/>
      <c r="X710" s="331"/>
      <c r="Y710" s="331"/>
      <c r="Z710" s="331"/>
      <c r="AB710" s="331"/>
      <c r="AC710" s="331"/>
      <c r="AD710" s="331"/>
      <c r="AF710" s="331"/>
      <c r="AG710" s="331"/>
      <c r="AI710" s="331"/>
    </row>
    <row r="711" spans="2:35" x14ac:dyDescent="0.25">
      <c r="B711" s="9" t="str">
        <f t="shared" si="83"/>
        <v>12 2026</v>
      </c>
      <c r="C711" s="88">
        <f t="shared" si="84"/>
        <v>46360</v>
      </c>
      <c r="D711" s="88">
        <f t="shared" si="87"/>
        <v>46361</v>
      </c>
      <c r="E711" s="89">
        <f t="shared" si="85"/>
        <v>1</v>
      </c>
      <c r="F711" s="123" t="s">
        <v>7</v>
      </c>
      <c r="H711" s="383">
        <f t="shared" si="86"/>
        <v>46360</v>
      </c>
      <c r="I711" s="329"/>
      <c r="K711" s="331"/>
      <c r="L711" s="331"/>
      <c r="M711" s="331"/>
      <c r="N711" s="331"/>
      <c r="O711" s="331"/>
      <c r="P711" s="331"/>
      <c r="Q711" s="331"/>
      <c r="R711" s="331"/>
      <c r="S711" s="331"/>
      <c r="T711" s="331"/>
      <c r="U711" s="331"/>
      <c r="V711" s="331"/>
      <c r="X711" s="331"/>
      <c r="Y711" s="331"/>
      <c r="Z711" s="331"/>
      <c r="AB711" s="331"/>
      <c r="AC711" s="331"/>
      <c r="AD711" s="331"/>
      <c r="AF711" s="331"/>
      <c r="AG711" s="331"/>
      <c r="AI711" s="331"/>
    </row>
    <row r="712" spans="2:35" x14ac:dyDescent="0.25">
      <c r="B712" s="9" t="str">
        <f t="shared" si="83"/>
        <v>12 2026</v>
      </c>
      <c r="C712" s="88">
        <f t="shared" si="84"/>
        <v>46361</v>
      </c>
      <c r="D712" s="88">
        <f t="shared" si="87"/>
        <v>46362</v>
      </c>
      <c r="E712" s="89">
        <f t="shared" si="85"/>
        <v>1</v>
      </c>
      <c r="F712" s="123" t="s">
        <v>7</v>
      </c>
      <c r="H712" s="383">
        <f t="shared" si="86"/>
        <v>46361</v>
      </c>
      <c r="I712" s="329"/>
      <c r="K712" s="331"/>
      <c r="L712" s="331"/>
      <c r="M712" s="331"/>
      <c r="N712" s="331"/>
      <c r="O712" s="331"/>
      <c r="P712" s="331"/>
      <c r="Q712" s="331"/>
      <c r="R712" s="331"/>
      <c r="S712" s="331"/>
      <c r="T712" s="331"/>
      <c r="U712" s="331"/>
      <c r="V712" s="331"/>
      <c r="X712" s="331"/>
      <c r="Y712" s="331"/>
      <c r="Z712" s="331"/>
      <c r="AB712" s="331"/>
      <c r="AC712" s="331"/>
      <c r="AD712" s="331"/>
      <c r="AF712" s="331"/>
      <c r="AG712" s="331"/>
      <c r="AI712" s="331"/>
    </row>
    <row r="713" spans="2:35" x14ac:dyDescent="0.25">
      <c r="B713" s="9" t="str">
        <f t="shared" si="83"/>
        <v>12 2026</v>
      </c>
      <c r="C713" s="88">
        <f t="shared" si="84"/>
        <v>46362</v>
      </c>
      <c r="D713" s="88">
        <f t="shared" si="87"/>
        <v>46363</v>
      </c>
      <c r="E713" s="89">
        <f t="shared" si="85"/>
        <v>1</v>
      </c>
      <c r="F713" s="123" t="s">
        <v>7</v>
      </c>
      <c r="H713" s="383">
        <f t="shared" si="86"/>
        <v>46362</v>
      </c>
      <c r="I713" s="329"/>
      <c r="K713" s="331"/>
      <c r="L713" s="331"/>
      <c r="M713" s="331"/>
      <c r="N713" s="331"/>
      <c r="O713" s="331"/>
      <c r="P713" s="331"/>
      <c r="Q713" s="331"/>
      <c r="R713" s="331"/>
      <c r="S713" s="331"/>
      <c r="T713" s="331"/>
      <c r="U713" s="331"/>
      <c r="V713" s="331"/>
      <c r="X713" s="331"/>
      <c r="Y713" s="331"/>
      <c r="Z713" s="331"/>
      <c r="AB713" s="331"/>
      <c r="AC713" s="331"/>
      <c r="AD713" s="331"/>
      <c r="AF713" s="331"/>
      <c r="AG713" s="331"/>
      <c r="AI713" s="331"/>
    </row>
    <row r="714" spans="2:35" x14ac:dyDescent="0.25">
      <c r="B714" s="9" t="str">
        <f t="shared" si="83"/>
        <v>12 2026</v>
      </c>
      <c r="C714" s="88">
        <f t="shared" si="84"/>
        <v>46363</v>
      </c>
      <c r="D714" s="88">
        <f t="shared" si="87"/>
        <v>46364</v>
      </c>
      <c r="E714" s="89">
        <f t="shared" si="85"/>
        <v>1</v>
      </c>
      <c r="F714" s="123" t="s">
        <v>7</v>
      </c>
      <c r="H714" s="383">
        <f t="shared" si="86"/>
        <v>46363</v>
      </c>
      <c r="I714" s="329"/>
      <c r="K714" s="331"/>
      <c r="L714" s="331"/>
      <c r="M714" s="331"/>
      <c r="N714" s="331"/>
      <c r="O714" s="331"/>
      <c r="P714" s="331"/>
      <c r="Q714" s="331"/>
      <c r="R714" s="331"/>
      <c r="S714" s="331"/>
      <c r="T714" s="331"/>
      <c r="U714" s="331"/>
      <c r="V714" s="331"/>
      <c r="X714" s="331"/>
      <c r="Y714" s="331"/>
      <c r="Z714" s="331"/>
      <c r="AB714" s="331"/>
      <c r="AC714" s="331"/>
      <c r="AD714" s="331"/>
      <c r="AF714" s="331"/>
      <c r="AG714" s="331"/>
      <c r="AI714" s="331"/>
    </row>
    <row r="715" spans="2:35" x14ac:dyDescent="0.25">
      <c r="B715" s="9" t="str">
        <f t="shared" si="83"/>
        <v>12 2026</v>
      </c>
      <c r="C715" s="88">
        <f t="shared" si="84"/>
        <v>46364</v>
      </c>
      <c r="D715" s="88">
        <f t="shared" si="87"/>
        <v>46365</v>
      </c>
      <c r="E715" s="89">
        <f t="shared" si="85"/>
        <v>1</v>
      </c>
      <c r="F715" s="123" t="s">
        <v>7</v>
      </c>
      <c r="H715" s="383">
        <f t="shared" si="86"/>
        <v>46364</v>
      </c>
      <c r="I715" s="329"/>
      <c r="K715" s="331"/>
      <c r="L715" s="331"/>
      <c r="M715" s="331"/>
      <c r="N715" s="331"/>
      <c r="O715" s="331"/>
      <c r="P715" s="331"/>
      <c r="Q715" s="331"/>
      <c r="R715" s="331"/>
      <c r="S715" s="331"/>
      <c r="T715" s="331"/>
      <c r="U715" s="331"/>
      <c r="V715" s="331"/>
      <c r="X715" s="331"/>
      <c r="Y715" s="331"/>
      <c r="Z715" s="331"/>
      <c r="AB715" s="331"/>
      <c r="AC715" s="331"/>
      <c r="AD715" s="331"/>
      <c r="AF715" s="331"/>
      <c r="AG715" s="331"/>
      <c r="AI715" s="331"/>
    </row>
    <row r="716" spans="2:35" x14ac:dyDescent="0.25">
      <c r="B716" s="9" t="str">
        <f t="shared" si="83"/>
        <v>12 2026</v>
      </c>
      <c r="C716" s="88">
        <f t="shared" si="84"/>
        <v>46365</v>
      </c>
      <c r="D716" s="88">
        <f t="shared" si="87"/>
        <v>46366</v>
      </c>
      <c r="E716" s="89">
        <f t="shared" si="85"/>
        <v>1</v>
      </c>
      <c r="F716" s="123" t="s">
        <v>7</v>
      </c>
      <c r="H716" s="383">
        <f t="shared" si="86"/>
        <v>46365</v>
      </c>
      <c r="I716" s="329"/>
      <c r="K716" s="331"/>
      <c r="L716" s="331"/>
      <c r="M716" s="331"/>
      <c r="N716" s="331"/>
      <c r="O716" s="331"/>
      <c r="P716" s="331"/>
      <c r="Q716" s="331"/>
      <c r="R716" s="331"/>
      <c r="S716" s="331"/>
      <c r="T716" s="331"/>
      <c r="U716" s="331"/>
      <c r="V716" s="331"/>
      <c r="X716" s="331"/>
      <c r="Y716" s="331"/>
      <c r="Z716" s="331"/>
      <c r="AB716" s="331"/>
      <c r="AC716" s="331"/>
      <c r="AD716" s="331"/>
      <c r="AF716" s="331"/>
      <c r="AG716" s="331"/>
      <c r="AI716" s="331"/>
    </row>
    <row r="717" spans="2:35" x14ac:dyDescent="0.25">
      <c r="B717" s="9" t="str">
        <f t="shared" si="83"/>
        <v>12 2026</v>
      </c>
      <c r="C717" s="88">
        <f t="shared" si="84"/>
        <v>46366</v>
      </c>
      <c r="D717" s="88">
        <f t="shared" si="87"/>
        <v>46367</v>
      </c>
      <c r="E717" s="89">
        <f t="shared" si="85"/>
        <v>1</v>
      </c>
      <c r="F717" s="123" t="s">
        <v>7</v>
      </c>
      <c r="H717" s="383">
        <f t="shared" si="86"/>
        <v>46366</v>
      </c>
      <c r="I717" s="329"/>
      <c r="K717" s="331"/>
      <c r="L717" s="331"/>
      <c r="M717" s="331"/>
      <c r="N717" s="331"/>
      <c r="O717" s="331"/>
      <c r="P717" s="331"/>
      <c r="Q717" s="331"/>
      <c r="R717" s="331"/>
      <c r="S717" s="331"/>
      <c r="T717" s="331"/>
      <c r="U717" s="331"/>
      <c r="V717" s="331"/>
      <c r="X717" s="331"/>
      <c r="Y717" s="331"/>
      <c r="Z717" s="331"/>
      <c r="AB717" s="331"/>
      <c r="AC717" s="331"/>
      <c r="AD717" s="331"/>
      <c r="AF717" s="331"/>
      <c r="AG717" s="331"/>
      <c r="AI717" s="331"/>
    </row>
    <row r="718" spans="2:35" x14ac:dyDescent="0.25">
      <c r="B718" s="9" t="str">
        <f t="shared" si="83"/>
        <v>12 2026</v>
      </c>
      <c r="C718" s="88">
        <f t="shared" si="84"/>
        <v>46367</v>
      </c>
      <c r="D718" s="88">
        <f t="shared" si="87"/>
        <v>46368</v>
      </c>
      <c r="E718" s="89">
        <f t="shared" si="85"/>
        <v>1</v>
      </c>
      <c r="F718" s="123" t="s">
        <v>7</v>
      </c>
      <c r="H718" s="383">
        <f t="shared" si="86"/>
        <v>46367</v>
      </c>
      <c r="I718" s="329"/>
      <c r="K718" s="331"/>
      <c r="L718" s="331"/>
      <c r="M718" s="331"/>
      <c r="N718" s="331"/>
      <c r="O718" s="331"/>
      <c r="P718" s="331"/>
      <c r="Q718" s="331"/>
      <c r="R718" s="331"/>
      <c r="S718" s="331"/>
      <c r="T718" s="331"/>
      <c r="U718" s="331"/>
      <c r="V718" s="331"/>
      <c r="X718" s="331"/>
      <c r="Y718" s="331"/>
      <c r="Z718" s="331"/>
      <c r="AB718" s="331"/>
      <c r="AC718" s="331"/>
      <c r="AD718" s="331"/>
      <c r="AF718" s="331"/>
      <c r="AG718" s="331"/>
      <c r="AI718" s="331"/>
    </row>
    <row r="719" spans="2:35" x14ac:dyDescent="0.25">
      <c r="B719" s="9" t="str">
        <f t="shared" si="83"/>
        <v>12 2026</v>
      </c>
      <c r="C719" s="88">
        <f t="shared" si="84"/>
        <v>46368</v>
      </c>
      <c r="D719" s="88">
        <f t="shared" si="87"/>
        <v>46369</v>
      </c>
      <c r="E719" s="89">
        <f t="shared" si="85"/>
        <v>1</v>
      </c>
      <c r="F719" s="123" t="s">
        <v>7</v>
      </c>
      <c r="H719" s="383">
        <f t="shared" si="86"/>
        <v>46368</v>
      </c>
      <c r="I719" s="329"/>
      <c r="K719" s="331"/>
      <c r="L719" s="331"/>
      <c r="M719" s="331"/>
      <c r="N719" s="331"/>
      <c r="O719" s="331"/>
      <c r="P719" s="331"/>
      <c r="Q719" s="331"/>
      <c r="R719" s="331"/>
      <c r="S719" s="331"/>
      <c r="T719" s="331"/>
      <c r="U719" s="331"/>
      <c r="V719" s="331"/>
      <c r="X719" s="331"/>
      <c r="Y719" s="331"/>
      <c r="Z719" s="331"/>
      <c r="AB719" s="331"/>
      <c r="AC719" s="331"/>
      <c r="AD719" s="331"/>
      <c r="AF719" s="331"/>
      <c r="AG719" s="331"/>
      <c r="AI719" s="331"/>
    </row>
    <row r="720" spans="2:35" x14ac:dyDescent="0.25">
      <c r="B720" s="9" t="str">
        <f t="shared" si="83"/>
        <v>12 2026</v>
      </c>
      <c r="C720" s="88">
        <f t="shared" si="84"/>
        <v>46369</v>
      </c>
      <c r="D720" s="88">
        <f t="shared" si="87"/>
        <v>46370</v>
      </c>
      <c r="E720" s="89">
        <f t="shared" si="85"/>
        <v>1</v>
      </c>
      <c r="F720" s="123" t="s">
        <v>7</v>
      </c>
      <c r="H720" s="383">
        <f t="shared" si="86"/>
        <v>46369</v>
      </c>
      <c r="I720" s="329"/>
      <c r="K720" s="331"/>
      <c r="L720" s="331"/>
      <c r="M720" s="331"/>
      <c r="N720" s="331"/>
      <c r="O720" s="331"/>
      <c r="P720" s="331"/>
      <c r="Q720" s="331"/>
      <c r="R720" s="331"/>
      <c r="S720" s="331"/>
      <c r="T720" s="331"/>
      <c r="U720" s="331"/>
      <c r="V720" s="331"/>
      <c r="X720" s="331"/>
      <c r="Y720" s="331"/>
      <c r="Z720" s="331"/>
      <c r="AB720" s="331"/>
      <c r="AC720" s="331"/>
      <c r="AD720" s="331"/>
      <c r="AF720" s="331"/>
      <c r="AG720" s="331"/>
      <c r="AI720" s="331"/>
    </row>
    <row r="721" spans="2:35" x14ac:dyDescent="0.25">
      <c r="B721" s="9" t="str">
        <f t="shared" si="83"/>
        <v>12 2026</v>
      </c>
      <c r="C721" s="88">
        <f t="shared" si="84"/>
        <v>46370</v>
      </c>
      <c r="D721" s="88">
        <f t="shared" si="87"/>
        <v>46371</v>
      </c>
      <c r="E721" s="89">
        <f t="shared" si="85"/>
        <v>1</v>
      </c>
      <c r="F721" s="123" t="s">
        <v>7</v>
      </c>
      <c r="H721" s="383">
        <f t="shared" si="86"/>
        <v>46370</v>
      </c>
      <c r="I721" s="329"/>
      <c r="K721" s="331"/>
      <c r="L721" s="331"/>
      <c r="M721" s="331"/>
      <c r="N721" s="331"/>
      <c r="O721" s="331"/>
      <c r="P721" s="331"/>
      <c r="Q721" s="331"/>
      <c r="R721" s="331"/>
      <c r="S721" s="331"/>
      <c r="T721" s="331"/>
      <c r="U721" s="331"/>
      <c r="V721" s="331"/>
      <c r="X721" s="331"/>
      <c r="Y721" s="331"/>
      <c r="Z721" s="331"/>
      <c r="AB721" s="331"/>
      <c r="AC721" s="331"/>
      <c r="AD721" s="331"/>
      <c r="AF721" s="331"/>
      <c r="AG721" s="331"/>
      <c r="AI721" s="331"/>
    </row>
    <row r="722" spans="2:35" x14ac:dyDescent="0.25">
      <c r="B722" s="9" t="str">
        <f t="shared" si="83"/>
        <v>12 2026</v>
      </c>
      <c r="C722" s="88">
        <f t="shared" si="84"/>
        <v>46371</v>
      </c>
      <c r="D722" s="88">
        <f t="shared" si="87"/>
        <v>46372</v>
      </c>
      <c r="E722" s="89">
        <f t="shared" si="85"/>
        <v>1</v>
      </c>
      <c r="F722" s="123" t="s">
        <v>7</v>
      </c>
      <c r="H722" s="383">
        <f t="shared" si="86"/>
        <v>46371</v>
      </c>
      <c r="I722" s="329"/>
      <c r="K722" s="331"/>
      <c r="L722" s="331"/>
      <c r="M722" s="331"/>
      <c r="N722" s="331"/>
      <c r="O722" s="331"/>
      <c r="P722" s="331"/>
      <c r="Q722" s="331"/>
      <c r="R722" s="331"/>
      <c r="S722" s="331"/>
      <c r="T722" s="331"/>
      <c r="U722" s="331"/>
      <c r="V722" s="331"/>
      <c r="X722" s="331"/>
      <c r="Y722" s="331"/>
      <c r="Z722" s="331"/>
      <c r="AB722" s="331"/>
      <c r="AC722" s="331"/>
      <c r="AD722" s="331"/>
      <c r="AF722" s="331"/>
      <c r="AG722" s="331"/>
      <c r="AI722" s="331"/>
    </row>
    <row r="723" spans="2:35" x14ac:dyDescent="0.25">
      <c r="B723" s="9" t="str">
        <f t="shared" si="83"/>
        <v>12 2026</v>
      </c>
      <c r="C723" s="88">
        <f t="shared" si="84"/>
        <v>46372</v>
      </c>
      <c r="D723" s="88">
        <f t="shared" si="87"/>
        <v>46373</v>
      </c>
      <c r="E723" s="89">
        <f t="shared" si="85"/>
        <v>1</v>
      </c>
      <c r="F723" s="123" t="s">
        <v>7</v>
      </c>
      <c r="H723" s="383">
        <f t="shared" si="86"/>
        <v>46372</v>
      </c>
      <c r="I723" s="329"/>
      <c r="K723" s="331"/>
      <c r="L723" s="331"/>
      <c r="M723" s="331"/>
      <c r="N723" s="331"/>
      <c r="O723" s="331"/>
      <c r="P723" s="331"/>
      <c r="Q723" s="331"/>
      <c r="R723" s="331"/>
      <c r="S723" s="331"/>
      <c r="T723" s="331"/>
      <c r="U723" s="331"/>
      <c r="V723" s="331"/>
      <c r="X723" s="331"/>
      <c r="Y723" s="331"/>
      <c r="Z723" s="331"/>
      <c r="AB723" s="331"/>
      <c r="AC723" s="331"/>
      <c r="AD723" s="331"/>
      <c r="AF723" s="331"/>
      <c r="AG723" s="331"/>
      <c r="AI723" s="331"/>
    </row>
    <row r="724" spans="2:35" x14ac:dyDescent="0.25">
      <c r="B724" s="9" t="str">
        <f t="shared" si="83"/>
        <v>12 2026</v>
      </c>
      <c r="C724" s="88">
        <f t="shared" si="84"/>
        <v>46373</v>
      </c>
      <c r="D724" s="88">
        <f t="shared" si="87"/>
        <v>46374</v>
      </c>
      <c r="E724" s="89">
        <f t="shared" si="85"/>
        <v>1</v>
      </c>
      <c r="F724" s="123" t="s">
        <v>7</v>
      </c>
      <c r="H724" s="383">
        <f t="shared" si="86"/>
        <v>46373</v>
      </c>
      <c r="I724" s="329"/>
      <c r="K724" s="331"/>
      <c r="L724" s="331"/>
      <c r="M724" s="331"/>
      <c r="N724" s="331"/>
      <c r="O724" s="331"/>
      <c r="P724" s="331"/>
      <c r="Q724" s="331"/>
      <c r="R724" s="331"/>
      <c r="S724" s="331"/>
      <c r="T724" s="331"/>
      <c r="U724" s="331"/>
      <c r="V724" s="331"/>
      <c r="X724" s="331"/>
      <c r="Y724" s="331"/>
      <c r="Z724" s="331"/>
      <c r="AB724" s="331"/>
      <c r="AC724" s="331"/>
      <c r="AD724" s="331"/>
      <c r="AF724" s="331"/>
      <c r="AG724" s="331"/>
      <c r="AI724" s="331"/>
    </row>
    <row r="725" spans="2:35" x14ac:dyDescent="0.25">
      <c r="B725" s="9" t="str">
        <f t="shared" ref="B725:B737" si="88">CONCATENATE(MONTH(D725)," ",YEAR(D725))</f>
        <v>12 2026</v>
      </c>
      <c r="C725" s="88">
        <f t="shared" ref="C725:C737" si="89">D724</f>
        <v>46374</v>
      </c>
      <c r="D725" s="88">
        <f t="shared" si="87"/>
        <v>46375</v>
      </c>
      <c r="E725" s="89">
        <f t="shared" ref="E725:E737" si="90">D725-C725</f>
        <v>1</v>
      </c>
      <c r="F725" s="123" t="s">
        <v>7</v>
      </c>
      <c r="H725" s="383">
        <f t="shared" ref="H725:H737" si="91">C725</f>
        <v>46374</v>
      </c>
      <c r="I725" s="329"/>
      <c r="K725" s="331"/>
      <c r="L725" s="331"/>
      <c r="M725" s="331"/>
      <c r="N725" s="331"/>
      <c r="O725" s="331"/>
      <c r="P725" s="331"/>
      <c r="Q725" s="331"/>
      <c r="R725" s="331"/>
      <c r="S725" s="331"/>
      <c r="T725" s="331"/>
      <c r="U725" s="331"/>
      <c r="V725" s="331"/>
      <c r="X725" s="331"/>
      <c r="Y725" s="331"/>
      <c r="Z725" s="331"/>
      <c r="AB725" s="331"/>
      <c r="AC725" s="331"/>
      <c r="AD725" s="331"/>
      <c r="AF725" s="331"/>
      <c r="AG725" s="331"/>
      <c r="AI725" s="331"/>
    </row>
    <row r="726" spans="2:35" x14ac:dyDescent="0.25">
      <c r="B726" s="9" t="str">
        <f t="shared" si="88"/>
        <v>12 2026</v>
      </c>
      <c r="C726" s="88">
        <f t="shared" si="89"/>
        <v>46375</v>
      </c>
      <c r="D726" s="88">
        <f t="shared" si="87"/>
        <v>46376</v>
      </c>
      <c r="E726" s="89">
        <f t="shared" si="90"/>
        <v>1</v>
      </c>
      <c r="F726" s="123" t="s">
        <v>7</v>
      </c>
      <c r="H726" s="383">
        <f t="shared" si="91"/>
        <v>46375</v>
      </c>
      <c r="I726" s="329"/>
      <c r="K726" s="331"/>
      <c r="L726" s="331"/>
      <c r="M726" s="331"/>
      <c r="N726" s="331"/>
      <c r="O726" s="331"/>
      <c r="P726" s="331"/>
      <c r="Q726" s="331"/>
      <c r="R726" s="331"/>
      <c r="S726" s="331"/>
      <c r="T726" s="331"/>
      <c r="U726" s="331"/>
      <c r="V726" s="331"/>
      <c r="X726" s="331"/>
      <c r="Y726" s="331"/>
      <c r="Z726" s="331"/>
      <c r="AB726" s="331"/>
      <c r="AC726" s="331"/>
      <c r="AD726" s="331"/>
      <c r="AF726" s="331"/>
      <c r="AG726" s="331"/>
      <c r="AI726" s="331"/>
    </row>
    <row r="727" spans="2:35" x14ac:dyDescent="0.25">
      <c r="B727" s="9" t="str">
        <f t="shared" si="88"/>
        <v>12 2026</v>
      </c>
      <c r="C727" s="88">
        <f t="shared" si="89"/>
        <v>46376</v>
      </c>
      <c r="D727" s="88">
        <f t="shared" si="87"/>
        <v>46377</v>
      </c>
      <c r="E727" s="89">
        <f t="shared" si="90"/>
        <v>1</v>
      </c>
      <c r="F727" s="123" t="s">
        <v>7</v>
      </c>
      <c r="H727" s="383">
        <f t="shared" si="91"/>
        <v>46376</v>
      </c>
      <c r="I727" s="329"/>
      <c r="K727" s="331"/>
      <c r="L727" s="331"/>
      <c r="M727" s="331"/>
      <c r="N727" s="331"/>
      <c r="O727" s="331"/>
      <c r="P727" s="331"/>
      <c r="Q727" s="331"/>
      <c r="R727" s="331"/>
      <c r="S727" s="331"/>
      <c r="T727" s="331"/>
      <c r="U727" s="331"/>
      <c r="V727" s="331"/>
      <c r="X727" s="331"/>
      <c r="Y727" s="331"/>
      <c r="Z727" s="331"/>
      <c r="AB727" s="331"/>
      <c r="AC727" s="331"/>
      <c r="AD727" s="331"/>
      <c r="AF727" s="331"/>
      <c r="AG727" s="331"/>
      <c r="AI727" s="331"/>
    </row>
    <row r="728" spans="2:35" x14ac:dyDescent="0.25">
      <c r="B728" s="9" t="str">
        <f t="shared" si="88"/>
        <v>12 2026</v>
      </c>
      <c r="C728" s="88">
        <f t="shared" si="89"/>
        <v>46377</v>
      </c>
      <c r="D728" s="88">
        <f t="shared" si="87"/>
        <v>46378</v>
      </c>
      <c r="E728" s="89">
        <f t="shared" si="90"/>
        <v>1</v>
      </c>
      <c r="F728" s="123" t="s">
        <v>7</v>
      </c>
      <c r="H728" s="383">
        <f t="shared" si="91"/>
        <v>46377</v>
      </c>
      <c r="I728" s="329"/>
      <c r="K728" s="331"/>
      <c r="L728" s="331"/>
      <c r="M728" s="331"/>
      <c r="N728" s="331"/>
      <c r="O728" s="331"/>
      <c r="P728" s="331"/>
      <c r="Q728" s="331"/>
      <c r="R728" s="331"/>
      <c r="S728" s="331"/>
      <c r="T728" s="331"/>
      <c r="U728" s="331"/>
      <c r="V728" s="331"/>
      <c r="X728" s="331"/>
      <c r="Y728" s="331"/>
      <c r="Z728" s="331"/>
      <c r="AB728" s="331"/>
      <c r="AC728" s="331"/>
      <c r="AD728" s="331"/>
      <c r="AF728" s="331"/>
      <c r="AG728" s="331"/>
      <c r="AI728" s="331"/>
    </row>
    <row r="729" spans="2:35" x14ac:dyDescent="0.25">
      <c r="B729" s="9" t="str">
        <f t="shared" si="88"/>
        <v>12 2026</v>
      </c>
      <c r="C729" s="88">
        <f t="shared" si="89"/>
        <v>46378</v>
      </c>
      <c r="D729" s="88">
        <f t="shared" si="87"/>
        <v>46379</v>
      </c>
      <c r="E729" s="89">
        <f t="shared" si="90"/>
        <v>1</v>
      </c>
      <c r="F729" s="123" t="s">
        <v>7</v>
      </c>
      <c r="H729" s="383">
        <f t="shared" si="91"/>
        <v>46378</v>
      </c>
      <c r="I729" s="329"/>
      <c r="K729" s="331"/>
      <c r="L729" s="331"/>
      <c r="M729" s="331"/>
      <c r="N729" s="331"/>
      <c r="O729" s="331"/>
      <c r="P729" s="331"/>
      <c r="Q729" s="331"/>
      <c r="R729" s="331"/>
      <c r="S729" s="331"/>
      <c r="T729" s="331"/>
      <c r="U729" s="331"/>
      <c r="V729" s="331"/>
      <c r="X729" s="331"/>
      <c r="Y729" s="331"/>
      <c r="Z729" s="331"/>
      <c r="AB729" s="331"/>
      <c r="AC729" s="331"/>
      <c r="AD729" s="331"/>
      <c r="AF729" s="331"/>
      <c r="AG729" s="331"/>
      <c r="AI729" s="331"/>
    </row>
    <row r="730" spans="2:35" x14ac:dyDescent="0.25">
      <c r="B730" s="9" t="str">
        <f t="shared" si="88"/>
        <v>12 2026</v>
      </c>
      <c r="C730" s="88">
        <f t="shared" si="89"/>
        <v>46379</v>
      </c>
      <c r="D730" s="88">
        <f t="shared" si="87"/>
        <v>46380</v>
      </c>
      <c r="E730" s="89">
        <f t="shared" si="90"/>
        <v>1</v>
      </c>
      <c r="F730" s="123" t="s">
        <v>7</v>
      </c>
      <c r="H730" s="383">
        <f t="shared" si="91"/>
        <v>46379</v>
      </c>
      <c r="I730" s="329"/>
      <c r="K730" s="331"/>
      <c r="L730" s="331"/>
      <c r="M730" s="331"/>
      <c r="N730" s="331"/>
      <c r="O730" s="331"/>
      <c r="P730" s="331"/>
      <c r="Q730" s="331"/>
      <c r="R730" s="331"/>
      <c r="S730" s="331"/>
      <c r="T730" s="331"/>
      <c r="U730" s="331"/>
      <c r="V730" s="331"/>
      <c r="X730" s="331"/>
      <c r="Y730" s="331"/>
      <c r="Z730" s="331"/>
      <c r="AB730" s="331"/>
      <c r="AC730" s="331"/>
      <c r="AD730" s="331"/>
      <c r="AF730" s="331"/>
      <c r="AG730" s="331"/>
      <c r="AI730" s="331"/>
    </row>
    <row r="731" spans="2:35" x14ac:dyDescent="0.25">
      <c r="B731" s="9" t="str">
        <f t="shared" si="88"/>
        <v>12 2026</v>
      </c>
      <c r="C731" s="88">
        <f t="shared" si="89"/>
        <v>46380</v>
      </c>
      <c r="D731" s="88">
        <f t="shared" si="87"/>
        <v>46381</v>
      </c>
      <c r="E731" s="89">
        <f t="shared" si="90"/>
        <v>1</v>
      </c>
      <c r="F731" s="123" t="s">
        <v>7</v>
      </c>
      <c r="H731" s="383">
        <f t="shared" si="91"/>
        <v>46380</v>
      </c>
      <c r="I731" s="329"/>
      <c r="K731" s="331"/>
      <c r="L731" s="331"/>
      <c r="M731" s="331"/>
      <c r="N731" s="331"/>
      <c r="O731" s="331"/>
      <c r="P731" s="331"/>
      <c r="Q731" s="331"/>
      <c r="R731" s="331"/>
      <c r="S731" s="331"/>
      <c r="T731" s="331"/>
      <c r="U731" s="331"/>
      <c r="V731" s="331"/>
      <c r="X731" s="331"/>
      <c r="Y731" s="331"/>
      <c r="Z731" s="331"/>
      <c r="AB731" s="331"/>
      <c r="AC731" s="331"/>
      <c r="AD731" s="331"/>
      <c r="AF731" s="331"/>
      <c r="AG731" s="331"/>
      <c r="AI731" s="331"/>
    </row>
    <row r="732" spans="2:35" x14ac:dyDescent="0.25">
      <c r="B732" s="9" t="str">
        <f t="shared" si="88"/>
        <v>12 2026</v>
      </c>
      <c r="C732" s="88">
        <f t="shared" si="89"/>
        <v>46381</v>
      </c>
      <c r="D732" s="88">
        <f t="shared" si="87"/>
        <v>46382</v>
      </c>
      <c r="E732" s="89">
        <f t="shared" si="90"/>
        <v>1</v>
      </c>
      <c r="F732" s="123" t="s">
        <v>7</v>
      </c>
      <c r="H732" s="383">
        <f t="shared" si="91"/>
        <v>46381</v>
      </c>
      <c r="I732" s="329"/>
      <c r="K732" s="331"/>
      <c r="L732" s="331"/>
      <c r="M732" s="331"/>
      <c r="N732" s="331"/>
      <c r="O732" s="331"/>
      <c r="P732" s="331"/>
      <c r="Q732" s="331"/>
      <c r="R732" s="331"/>
      <c r="S732" s="331"/>
      <c r="T732" s="331"/>
      <c r="U732" s="331"/>
      <c r="V732" s="331"/>
      <c r="X732" s="331"/>
      <c r="Y732" s="331"/>
      <c r="Z732" s="331"/>
      <c r="AB732" s="331"/>
      <c r="AC732" s="331"/>
      <c r="AD732" s="331"/>
      <c r="AF732" s="331"/>
      <c r="AG732" s="331"/>
      <c r="AI732" s="331"/>
    </row>
    <row r="733" spans="2:35" x14ac:dyDescent="0.25">
      <c r="B733" s="9" t="str">
        <f t="shared" si="88"/>
        <v>12 2026</v>
      </c>
      <c r="C733" s="88">
        <f t="shared" si="89"/>
        <v>46382</v>
      </c>
      <c r="D733" s="88">
        <f t="shared" si="87"/>
        <v>46383</v>
      </c>
      <c r="E733" s="89">
        <f t="shared" si="90"/>
        <v>1</v>
      </c>
      <c r="F733" s="123" t="s">
        <v>7</v>
      </c>
      <c r="H733" s="383">
        <f t="shared" si="91"/>
        <v>46382</v>
      </c>
      <c r="I733" s="329"/>
      <c r="K733" s="331"/>
      <c r="L733" s="331"/>
      <c r="M733" s="331"/>
      <c r="N733" s="331"/>
      <c r="O733" s="331"/>
      <c r="P733" s="331"/>
      <c r="Q733" s="331"/>
      <c r="R733" s="331"/>
      <c r="S733" s="331"/>
      <c r="T733" s="331"/>
      <c r="U733" s="331"/>
      <c r="V733" s="331"/>
      <c r="X733" s="331"/>
      <c r="Y733" s="331"/>
      <c r="Z733" s="331"/>
      <c r="AB733" s="331"/>
      <c r="AC733" s="331"/>
      <c r="AD733" s="331"/>
      <c r="AF733" s="331"/>
      <c r="AG733" s="331"/>
      <c r="AI733" s="331"/>
    </row>
    <row r="734" spans="2:35" x14ac:dyDescent="0.25">
      <c r="B734" s="9" t="str">
        <f t="shared" si="88"/>
        <v>12 2026</v>
      </c>
      <c r="C734" s="88">
        <f t="shared" si="89"/>
        <v>46383</v>
      </c>
      <c r="D734" s="88">
        <f t="shared" si="87"/>
        <v>46384</v>
      </c>
      <c r="E734" s="89">
        <f t="shared" si="90"/>
        <v>1</v>
      </c>
      <c r="F734" s="123" t="s">
        <v>7</v>
      </c>
      <c r="H734" s="383">
        <f t="shared" si="91"/>
        <v>46383</v>
      </c>
      <c r="I734" s="329"/>
      <c r="K734" s="331"/>
      <c r="L734" s="331"/>
      <c r="M734" s="331"/>
      <c r="N734" s="331"/>
      <c r="O734" s="331"/>
      <c r="P734" s="331"/>
      <c r="Q734" s="331"/>
      <c r="R734" s="331"/>
      <c r="S734" s="331"/>
      <c r="T734" s="331"/>
      <c r="U734" s="331"/>
      <c r="V734" s="331"/>
      <c r="X734" s="331"/>
      <c r="Y734" s="331"/>
      <c r="Z734" s="331"/>
      <c r="AB734" s="331"/>
      <c r="AC734" s="331"/>
      <c r="AD734" s="331"/>
      <c r="AF734" s="331"/>
      <c r="AG734" s="331"/>
      <c r="AI734" s="331"/>
    </row>
    <row r="735" spans="2:35" x14ac:dyDescent="0.25">
      <c r="B735" s="9" t="str">
        <f t="shared" si="88"/>
        <v>12 2026</v>
      </c>
      <c r="C735" s="88">
        <f t="shared" si="89"/>
        <v>46384</v>
      </c>
      <c r="D735" s="88">
        <f t="shared" si="87"/>
        <v>46385</v>
      </c>
      <c r="E735" s="89">
        <f t="shared" si="90"/>
        <v>1</v>
      </c>
      <c r="F735" s="123" t="s">
        <v>7</v>
      </c>
      <c r="H735" s="383">
        <f t="shared" si="91"/>
        <v>46384</v>
      </c>
      <c r="I735" s="329"/>
      <c r="K735" s="331"/>
      <c r="L735" s="331"/>
      <c r="M735" s="331"/>
      <c r="N735" s="331"/>
      <c r="O735" s="331"/>
      <c r="P735" s="331"/>
      <c r="Q735" s="331"/>
      <c r="R735" s="331"/>
      <c r="S735" s="331"/>
      <c r="T735" s="331"/>
      <c r="U735" s="331"/>
      <c r="V735" s="331"/>
      <c r="X735" s="331"/>
      <c r="Y735" s="331"/>
      <c r="Z735" s="331"/>
      <c r="AB735" s="331"/>
      <c r="AC735" s="331"/>
      <c r="AD735" s="331"/>
      <c r="AF735" s="331"/>
      <c r="AG735" s="331"/>
      <c r="AI735" s="331"/>
    </row>
    <row r="736" spans="2:35" x14ac:dyDescent="0.25">
      <c r="B736" s="9" t="str">
        <f t="shared" si="88"/>
        <v>12 2026</v>
      </c>
      <c r="C736" s="88">
        <f t="shared" si="89"/>
        <v>46385</v>
      </c>
      <c r="D736" s="88">
        <f t="shared" si="87"/>
        <v>46386</v>
      </c>
      <c r="E736" s="89">
        <f t="shared" si="90"/>
        <v>1</v>
      </c>
      <c r="F736" s="123" t="s">
        <v>7</v>
      </c>
      <c r="H736" s="383">
        <f t="shared" si="91"/>
        <v>46385</v>
      </c>
      <c r="I736" s="329"/>
      <c r="K736" s="331"/>
      <c r="L736" s="331"/>
      <c r="M736" s="331"/>
      <c r="N736" s="331"/>
      <c r="O736" s="331"/>
      <c r="P736" s="331"/>
      <c r="Q736" s="331"/>
      <c r="R736" s="331"/>
      <c r="S736" s="331"/>
      <c r="T736" s="331"/>
      <c r="U736" s="331"/>
      <c r="V736" s="331"/>
      <c r="X736" s="331"/>
      <c r="Y736" s="331"/>
      <c r="Z736" s="331"/>
      <c r="AB736" s="331"/>
      <c r="AC736" s="331"/>
      <c r="AD736" s="331"/>
      <c r="AF736" s="331"/>
      <c r="AG736" s="331"/>
      <c r="AI736" s="331"/>
    </row>
    <row r="737" spans="2:35" x14ac:dyDescent="0.25">
      <c r="B737" s="9" t="str">
        <f t="shared" si="88"/>
        <v>12 2026</v>
      </c>
      <c r="C737" s="88">
        <f t="shared" si="89"/>
        <v>46386</v>
      </c>
      <c r="D737" s="88">
        <f t="shared" si="87"/>
        <v>46387</v>
      </c>
      <c r="E737" s="89">
        <f t="shared" si="90"/>
        <v>1</v>
      </c>
      <c r="F737" s="123" t="s">
        <v>7</v>
      </c>
      <c r="H737" s="383">
        <f t="shared" si="91"/>
        <v>46386</v>
      </c>
      <c r="I737" s="329"/>
      <c r="K737" s="331"/>
      <c r="L737" s="331"/>
      <c r="M737" s="331"/>
      <c r="N737" s="331"/>
      <c r="O737" s="331"/>
      <c r="P737" s="331"/>
      <c r="Q737" s="331"/>
      <c r="R737" s="331"/>
      <c r="S737" s="331"/>
      <c r="T737" s="331"/>
      <c r="U737" s="331"/>
      <c r="V737" s="331"/>
      <c r="X737" s="331"/>
      <c r="Y737" s="331"/>
      <c r="Z737" s="331"/>
      <c r="AB737" s="331"/>
      <c r="AC737" s="331"/>
      <c r="AD737" s="331"/>
      <c r="AF737" s="331"/>
      <c r="AG737" s="331"/>
      <c r="AI737" s="331"/>
    </row>
  </sheetData>
  <phoneticPr fontId="3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B4FE-EC39-4AB2-A5D7-E78E79BC6879}">
  <sheetPr>
    <tabColor theme="9" tint="0.39997558519241921"/>
  </sheetPr>
  <dimension ref="A1:AF1048228"/>
  <sheetViews>
    <sheetView showGridLines="0" zoomScale="80" zoomScaleNormal="80" workbookViewId="0">
      <pane xSplit="6" ySplit="3" topLeftCell="R373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baseColWidth="10" defaultColWidth="10.85546875" defaultRowHeight="12.75" outlineLevelRow="1" x14ac:dyDescent="0.2"/>
  <cols>
    <col min="1" max="1" width="8.42578125" style="9" customWidth="1"/>
    <col min="2" max="2" width="14.5703125" style="9" customWidth="1"/>
    <col min="3" max="3" width="38.85546875" style="20" customWidth="1"/>
    <col min="4" max="4" width="36" style="20" bestFit="1" customWidth="1"/>
    <col min="5" max="5" width="5" style="9" customWidth="1"/>
    <col min="6" max="6" width="1" style="9" customWidth="1"/>
    <col min="7" max="7" width="10.5703125" style="9" bestFit="1" customWidth="1"/>
    <col min="8" max="8" width="16.85546875" style="9" customWidth="1"/>
    <col min="9" max="9" width="22.5703125" style="99" customWidth="1"/>
    <col min="10" max="10" width="9.42578125" style="99" customWidth="1"/>
    <col min="11" max="11" width="16.42578125" style="99" customWidth="1"/>
    <col min="12" max="12" width="20.5703125" style="99" bestFit="1" customWidth="1"/>
    <col min="13" max="14" width="16.42578125" style="99" customWidth="1"/>
    <col min="15" max="15" width="18.5703125" style="99" customWidth="1"/>
    <col min="16" max="16" width="19.42578125" style="99" customWidth="1"/>
    <col min="17" max="17" width="20.85546875" style="99" customWidth="1"/>
    <col min="18" max="18" width="20.42578125" style="99" customWidth="1"/>
    <col min="19" max="19" width="2.140625" style="99" customWidth="1"/>
    <col min="20" max="20" width="18.5703125" style="99" customWidth="1"/>
    <col min="21" max="21" width="23.140625" style="99" bestFit="1" customWidth="1"/>
    <col min="22" max="23" width="22.5703125" style="99" customWidth="1"/>
    <col min="24" max="24" width="23.140625" style="99" bestFit="1" customWidth="1"/>
    <col min="25" max="25" width="4" style="99" customWidth="1"/>
    <col min="26" max="26" width="15.85546875" style="99" customWidth="1"/>
    <col min="27" max="28" width="22.5703125" style="99" customWidth="1"/>
    <col min="29" max="29" width="19.5703125" style="9" bestFit="1" customWidth="1"/>
    <col min="30" max="31" width="13.140625" style="9" customWidth="1"/>
    <col min="32" max="16384" width="10.85546875" style="9"/>
  </cols>
  <sheetData>
    <row r="1" spans="2:31" x14ac:dyDescent="0.2">
      <c r="C1" s="169" t="s">
        <v>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2:31" ht="25.5" x14ac:dyDescent="0.2">
      <c r="C2" s="176" t="s">
        <v>70</v>
      </c>
      <c r="D2" s="176" t="s">
        <v>71</v>
      </c>
      <c r="G2" s="372" t="s">
        <v>81</v>
      </c>
      <c r="H2" s="372"/>
      <c r="I2" s="372"/>
      <c r="J2" s="17"/>
      <c r="K2" s="372"/>
      <c r="L2" s="372"/>
      <c r="M2" s="372"/>
      <c r="N2" s="372"/>
      <c r="O2" s="372"/>
      <c r="P2" s="372"/>
      <c r="Q2" s="372"/>
      <c r="R2" s="372"/>
      <c r="T2" s="372"/>
      <c r="U2" s="372"/>
      <c r="V2" s="372"/>
      <c r="W2" s="372"/>
      <c r="X2" s="372"/>
      <c r="Z2" s="373" t="s">
        <v>97</v>
      </c>
      <c r="AA2" s="372"/>
      <c r="AB2" s="9"/>
    </row>
    <row r="3" spans="2:31" ht="38.25" x14ac:dyDescent="0.2">
      <c r="B3" s="225" t="s">
        <v>74</v>
      </c>
      <c r="C3" s="376" t="s">
        <v>87</v>
      </c>
      <c r="D3" s="376" t="s">
        <v>2</v>
      </c>
      <c r="E3" s="239" t="s">
        <v>3</v>
      </c>
      <c r="F3" s="227"/>
      <c r="G3" s="239" t="s">
        <v>4</v>
      </c>
      <c r="H3" s="374" t="s">
        <v>95</v>
      </c>
      <c r="I3" s="375"/>
      <c r="J3" s="228"/>
      <c r="K3" s="375" t="s">
        <v>147</v>
      </c>
      <c r="L3" s="375" t="s">
        <v>151</v>
      </c>
      <c r="M3" s="375" t="s">
        <v>148</v>
      </c>
      <c r="N3" s="296" t="s">
        <v>168</v>
      </c>
      <c r="O3" s="296" t="s">
        <v>104</v>
      </c>
      <c r="P3" s="375" t="s">
        <v>152</v>
      </c>
      <c r="Q3" s="375" t="s">
        <v>91</v>
      </c>
      <c r="R3" s="377" t="s">
        <v>149</v>
      </c>
      <c r="S3" s="229"/>
      <c r="T3" s="375" t="s">
        <v>150</v>
      </c>
      <c r="U3" s="375" t="s">
        <v>89</v>
      </c>
      <c r="V3" s="238" t="s">
        <v>169</v>
      </c>
      <c r="W3" s="238" t="s">
        <v>135</v>
      </c>
      <c r="X3" s="295" t="s">
        <v>127</v>
      </c>
      <c r="Z3" s="296" t="s">
        <v>141</v>
      </c>
      <c r="AA3" s="230" t="s">
        <v>98</v>
      </c>
      <c r="AB3" s="276" t="s">
        <v>94</v>
      </c>
      <c r="AC3" s="226" t="s">
        <v>60</v>
      </c>
      <c r="AD3" s="231"/>
      <c r="AE3" s="231"/>
    </row>
    <row r="4" spans="2:31" x14ac:dyDescent="0.2">
      <c r="J4" s="228"/>
    </row>
    <row r="5" spans="2:31" outlineLevel="1" x14ac:dyDescent="0.2">
      <c r="B5" s="9" t="str">
        <f>CONCATENATE(MONTH(D5)," ",YEAR(D5))</f>
        <v>1 2025</v>
      </c>
      <c r="C5" s="88">
        <v>45657</v>
      </c>
      <c r="D5" s="88">
        <v>45658</v>
      </c>
      <c r="E5" s="89">
        <f>D5-C5</f>
        <v>1</v>
      </c>
      <c r="G5" s="11"/>
      <c r="H5" s="11"/>
      <c r="I5" s="12"/>
      <c r="J5" s="228"/>
      <c r="K5" s="12"/>
      <c r="L5" s="12"/>
      <c r="M5" s="12"/>
      <c r="N5" s="12"/>
      <c r="O5" s="219"/>
      <c r="P5" s="219"/>
      <c r="Q5" s="219"/>
      <c r="R5" s="219"/>
      <c r="T5" s="12"/>
      <c r="U5" s="12"/>
      <c r="V5" s="12"/>
      <c r="W5" s="12"/>
      <c r="X5" s="12"/>
      <c r="Z5" s="12"/>
      <c r="AA5" s="12"/>
      <c r="AB5" s="12"/>
      <c r="AC5" s="13"/>
    </row>
    <row r="6" spans="2:31" outlineLevel="1" x14ac:dyDescent="0.2">
      <c r="B6" s="9" t="str">
        <f t="shared" ref="B6:B69" si="0">CONCATENATE(MONTH(D6)," ",YEAR(D6))</f>
        <v>1 2025</v>
      </c>
      <c r="C6" s="88">
        <f>D5</f>
        <v>45658</v>
      </c>
      <c r="D6" s="88">
        <f>C6+1</f>
        <v>45659</v>
      </c>
      <c r="E6" s="89">
        <f t="shared" ref="E6:E69" si="1">D6-C6</f>
        <v>1</v>
      </c>
      <c r="G6" s="11"/>
      <c r="H6" s="11"/>
      <c r="I6" s="12"/>
      <c r="J6" s="228"/>
      <c r="K6" s="12"/>
      <c r="L6" s="12"/>
      <c r="M6" s="12"/>
      <c r="N6" s="12"/>
      <c r="O6" s="219"/>
      <c r="P6" s="219"/>
      <c r="Q6" s="219"/>
      <c r="R6" s="219"/>
      <c r="T6" s="12"/>
      <c r="U6" s="12"/>
      <c r="V6" s="12"/>
      <c r="W6" s="12"/>
      <c r="X6" s="12"/>
      <c r="Z6" s="12"/>
      <c r="AA6" s="12"/>
      <c r="AB6" s="12"/>
      <c r="AC6" s="13"/>
    </row>
    <row r="7" spans="2:31" outlineLevel="1" x14ac:dyDescent="0.2">
      <c r="B7" s="9" t="str">
        <f t="shared" si="0"/>
        <v>1 2025</v>
      </c>
      <c r="C7" s="88">
        <f>D6</f>
        <v>45659</v>
      </c>
      <c r="D7" s="88">
        <f>D6+1</f>
        <v>45660</v>
      </c>
      <c r="E7" s="89">
        <f t="shared" si="1"/>
        <v>1</v>
      </c>
      <c r="G7" s="11"/>
      <c r="H7" s="11"/>
      <c r="I7" s="12"/>
      <c r="J7" s="228"/>
      <c r="K7" s="12"/>
      <c r="L7" s="12"/>
      <c r="M7" s="12"/>
      <c r="N7" s="12"/>
      <c r="O7" s="219"/>
      <c r="P7" s="219"/>
      <c r="Q7" s="219"/>
      <c r="R7" s="219"/>
      <c r="T7" s="12"/>
      <c r="U7" s="12"/>
      <c r="V7" s="12"/>
      <c r="W7" s="12"/>
      <c r="X7" s="12"/>
      <c r="Z7" s="12"/>
      <c r="AA7" s="12"/>
      <c r="AB7" s="12"/>
      <c r="AC7" s="13"/>
    </row>
    <row r="8" spans="2:31" outlineLevel="1" x14ac:dyDescent="0.2">
      <c r="B8" s="9" t="str">
        <f t="shared" si="0"/>
        <v>1 2025</v>
      </c>
      <c r="C8" s="88">
        <f t="shared" ref="C8:C71" si="2">D7</f>
        <v>45660</v>
      </c>
      <c r="D8" s="88">
        <f t="shared" ref="D8:D71" si="3">D7+1</f>
        <v>45661</v>
      </c>
      <c r="E8" s="89">
        <f t="shared" si="1"/>
        <v>1</v>
      </c>
      <c r="G8" s="11"/>
      <c r="H8" s="11"/>
      <c r="I8" s="12"/>
      <c r="J8" s="228"/>
      <c r="K8" s="12"/>
      <c r="L8" s="12"/>
      <c r="M8" s="12"/>
      <c r="N8" s="12"/>
      <c r="O8" s="219"/>
      <c r="P8" s="219"/>
      <c r="Q8" s="219"/>
      <c r="R8" s="219"/>
      <c r="T8" s="12"/>
      <c r="U8" s="12"/>
      <c r="V8" s="12"/>
      <c r="W8" s="12"/>
      <c r="X8" s="12"/>
      <c r="Z8" s="12"/>
      <c r="AA8" s="12"/>
      <c r="AB8" s="12"/>
      <c r="AC8" s="13"/>
    </row>
    <row r="9" spans="2:31" outlineLevel="1" x14ac:dyDescent="0.2">
      <c r="B9" s="9" t="str">
        <f t="shared" si="0"/>
        <v>1 2025</v>
      </c>
      <c r="C9" s="88">
        <f t="shared" si="2"/>
        <v>45661</v>
      </c>
      <c r="D9" s="88">
        <f t="shared" si="3"/>
        <v>45662</v>
      </c>
      <c r="E9" s="89">
        <f t="shared" si="1"/>
        <v>1</v>
      </c>
      <c r="G9" s="11"/>
      <c r="H9" s="11"/>
      <c r="I9" s="12"/>
      <c r="J9" s="228"/>
      <c r="K9" s="12"/>
      <c r="L9" s="12"/>
      <c r="M9" s="12"/>
      <c r="N9" s="12"/>
      <c r="O9" s="219"/>
      <c r="P9" s="219"/>
      <c r="Q9" s="219"/>
      <c r="R9" s="219"/>
      <c r="T9" s="12"/>
      <c r="U9" s="12"/>
      <c r="V9" s="12"/>
      <c r="W9" s="12"/>
      <c r="X9" s="12"/>
      <c r="Z9" s="12"/>
      <c r="AA9" s="12"/>
      <c r="AB9" s="12"/>
      <c r="AC9" s="13"/>
    </row>
    <row r="10" spans="2:31" outlineLevel="1" x14ac:dyDescent="0.2">
      <c r="B10" s="9" t="str">
        <f t="shared" si="0"/>
        <v>1 2025</v>
      </c>
      <c r="C10" s="88">
        <f t="shared" si="2"/>
        <v>45662</v>
      </c>
      <c r="D10" s="88">
        <f t="shared" si="3"/>
        <v>45663</v>
      </c>
      <c r="E10" s="89">
        <f t="shared" si="1"/>
        <v>1</v>
      </c>
      <c r="G10" s="11"/>
      <c r="H10" s="11"/>
      <c r="I10" s="12"/>
      <c r="J10" s="228"/>
      <c r="K10" s="12"/>
      <c r="L10" s="12"/>
      <c r="M10" s="12"/>
      <c r="N10" s="12"/>
      <c r="O10" s="219"/>
      <c r="P10" s="219"/>
      <c r="Q10" s="219"/>
      <c r="R10" s="219"/>
      <c r="T10" s="12"/>
      <c r="U10" s="12"/>
      <c r="V10" s="12"/>
      <c r="W10" s="12"/>
      <c r="X10" s="12"/>
      <c r="Z10" s="12"/>
      <c r="AA10" s="12"/>
      <c r="AB10" s="12"/>
      <c r="AC10" s="13"/>
    </row>
    <row r="11" spans="2:31" outlineLevel="1" x14ac:dyDescent="0.2">
      <c r="B11" s="9" t="str">
        <f t="shared" si="0"/>
        <v>1 2025</v>
      </c>
      <c r="C11" s="88">
        <f t="shared" si="2"/>
        <v>45663</v>
      </c>
      <c r="D11" s="88">
        <f t="shared" si="3"/>
        <v>45664</v>
      </c>
      <c r="E11" s="89">
        <f t="shared" si="1"/>
        <v>1</v>
      </c>
      <c r="G11" s="11"/>
      <c r="H11" s="11"/>
      <c r="I11" s="12"/>
      <c r="J11" s="228"/>
      <c r="K11" s="12"/>
      <c r="L11" s="12"/>
      <c r="M11" s="12"/>
      <c r="N11" s="12"/>
      <c r="O11" s="219"/>
      <c r="P11" s="219"/>
      <c r="Q11" s="219"/>
      <c r="R11" s="219"/>
      <c r="T11" s="12"/>
      <c r="U11" s="12"/>
      <c r="V11" s="12"/>
      <c r="W11" s="12"/>
      <c r="X11" s="12"/>
      <c r="Z11" s="12"/>
      <c r="AA11" s="12"/>
      <c r="AB11" s="12"/>
      <c r="AC11" s="13"/>
    </row>
    <row r="12" spans="2:31" outlineLevel="1" x14ac:dyDescent="0.2">
      <c r="B12" s="9" t="str">
        <f t="shared" si="0"/>
        <v>1 2025</v>
      </c>
      <c r="C12" s="88">
        <f t="shared" si="2"/>
        <v>45664</v>
      </c>
      <c r="D12" s="88">
        <f t="shared" si="3"/>
        <v>45665</v>
      </c>
      <c r="E12" s="89">
        <f t="shared" si="1"/>
        <v>1</v>
      </c>
      <c r="G12" s="11"/>
      <c r="H12" s="11"/>
      <c r="I12" s="12"/>
      <c r="J12" s="228"/>
      <c r="K12" s="12"/>
      <c r="L12" s="12"/>
      <c r="M12" s="12"/>
      <c r="N12" s="12"/>
      <c r="O12" s="219"/>
      <c r="P12" s="219"/>
      <c r="Q12" s="219"/>
      <c r="R12" s="219"/>
      <c r="T12" s="12"/>
      <c r="U12" s="12"/>
      <c r="V12" s="12"/>
      <c r="W12" s="12"/>
      <c r="X12" s="12"/>
      <c r="Z12" s="12"/>
      <c r="AA12" s="12"/>
      <c r="AB12" s="12"/>
      <c r="AC12" s="13"/>
    </row>
    <row r="13" spans="2:31" outlineLevel="1" x14ac:dyDescent="0.2">
      <c r="B13" s="9" t="str">
        <f t="shared" si="0"/>
        <v>1 2025</v>
      </c>
      <c r="C13" s="88">
        <f t="shared" si="2"/>
        <v>45665</v>
      </c>
      <c r="D13" s="88">
        <f t="shared" si="3"/>
        <v>45666</v>
      </c>
      <c r="E13" s="89">
        <f t="shared" si="1"/>
        <v>1</v>
      </c>
      <c r="G13" s="11"/>
      <c r="H13" s="11"/>
      <c r="I13" s="12"/>
      <c r="J13" s="228"/>
      <c r="K13" s="12"/>
      <c r="L13" s="12"/>
      <c r="M13" s="12"/>
      <c r="N13" s="12"/>
      <c r="O13" s="219"/>
      <c r="P13" s="219"/>
      <c r="Q13" s="219"/>
      <c r="R13" s="219"/>
      <c r="T13" s="12"/>
      <c r="U13" s="12"/>
      <c r="V13" s="12"/>
      <c r="W13" s="12"/>
      <c r="X13" s="12"/>
      <c r="Z13" s="12"/>
      <c r="AA13" s="12"/>
      <c r="AB13" s="12"/>
      <c r="AC13" s="13"/>
    </row>
    <row r="14" spans="2:31" outlineLevel="1" x14ac:dyDescent="0.2">
      <c r="B14" s="9" t="str">
        <f t="shared" si="0"/>
        <v>1 2025</v>
      </c>
      <c r="C14" s="88">
        <f t="shared" si="2"/>
        <v>45666</v>
      </c>
      <c r="D14" s="88">
        <f t="shared" si="3"/>
        <v>45667</v>
      </c>
      <c r="E14" s="89">
        <f t="shared" si="1"/>
        <v>1</v>
      </c>
      <c r="G14" s="11"/>
      <c r="H14" s="11"/>
      <c r="I14" s="12"/>
      <c r="J14" s="228"/>
      <c r="K14" s="12"/>
      <c r="L14" s="12"/>
      <c r="M14" s="12"/>
      <c r="N14" s="12"/>
      <c r="O14" s="219"/>
      <c r="P14" s="219"/>
      <c r="Q14" s="219"/>
      <c r="R14" s="219"/>
      <c r="T14" s="12"/>
      <c r="U14" s="12"/>
      <c r="V14" s="12"/>
      <c r="W14" s="12"/>
      <c r="X14" s="12"/>
      <c r="Z14" s="12"/>
      <c r="AA14" s="12"/>
      <c r="AB14" s="12"/>
      <c r="AC14" s="13"/>
    </row>
    <row r="15" spans="2:31" outlineLevel="1" x14ac:dyDescent="0.2">
      <c r="B15" s="9" t="str">
        <f t="shared" si="0"/>
        <v>1 2025</v>
      </c>
      <c r="C15" s="88">
        <f t="shared" si="2"/>
        <v>45667</v>
      </c>
      <c r="D15" s="88">
        <f t="shared" si="3"/>
        <v>45668</v>
      </c>
      <c r="E15" s="89">
        <f t="shared" si="1"/>
        <v>1</v>
      </c>
      <c r="G15" s="11"/>
      <c r="H15" s="11"/>
      <c r="I15" s="12"/>
      <c r="J15" s="228"/>
      <c r="K15" s="12"/>
      <c r="L15" s="12"/>
      <c r="M15" s="12"/>
      <c r="N15" s="12"/>
      <c r="O15" s="219"/>
      <c r="P15" s="219"/>
      <c r="Q15" s="219"/>
      <c r="R15" s="219"/>
      <c r="T15" s="12"/>
      <c r="U15" s="12"/>
      <c r="V15" s="12"/>
      <c r="W15" s="12"/>
      <c r="X15" s="12"/>
      <c r="Z15" s="12"/>
      <c r="AA15" s="12"/>
      <c r="AB15" s="12"/>
      <c r="AC15" s="13"/>
    </row>
    <row r="16" spans="2:31" outlineLevel="1" x14ac:dyDescent="0.2">
      <c r="B16" s="9" t="str">
        <f t="shared" si="0"/>
        <v>1 2025</v>
      </c>
      <c r="C16" s="88">
        <f t="shared" si="2"/>
        <v>45668</v>
      </c>
      <c r="D16" s="88">
        <f t="shared" si="3"/>
        <v>45669</v>
      </c>
      <c r="E16" s="89">
        <f t="shared" si="1"/>
        <v>1</v>
      </c>
      <c r="G16" s="11"/>
      <c r="H16" s="11"/>
      <c r="I16" s="12"/>
      <c r="J16" s="228"/>
      <c r="K16" s="12"/>
      <c r="L16" s="12"/>
      <c r="M16" s="12"/>
      <c r="N16" s="12"/>
      <c r="O16" s="219"/>
      <c r="P16" s="219"/>
      <c r="Q16" s="219"/>
      <c r="R16" s="219"/>
      <c r="T16" s="12"/>
      <c r="U16" s="12"/>
      <c r="V16" s="12"/>
      <c r="W16" s="12"/>
      <c r="X16" s="12"/>
      <c r="Z16" s="12"/>
      <c r="AA16" s="12"/>
      <c r="AB16" s="12"/>
      <c r="AC16" s="13"/>
    </row>
    <row r="17" spans="2:29" outlineLevel="1" x14ac:dyDescent="0.2">
      <c r="B17" s="9" t="str">
        <f t="shared" si="0"/>
        <v>1 2025</v>
      </c>
      <c r="C17" s="88">
        <f t="shared" si="2"/>
        <v>45669</v>
      </c>
      <c r="D17" s="88">
        <f t="shared" si="3"/>
        <v>45670</v>
      </c>
      <c r="E17" s="89">
        <f t="shared" si="1"/>
        <v>1</v>
      </c>
      <c r="G17" s="11"/>
      <c r="H17" s="11"/>
      <c r="I17" s="12"/>
      <c r="J17" s="228"/>
      <c r="K17" s="12"/>
      <c r="L17" s="12"/>
      <c r="M17" s="12"/>
      <c r="N17" s="12"/>
      <c r="O17" s="219"/>
      <c r="P17" s="219"/>
      <c r="Q17" s="219"/>
      <c r="R17" s="219"/>
      <c r="T17" s="12"/>
      <c r="U17" s="12"/>
      <c r="V17" s="12"/>
      <c r="W17" s="12"/>
      <c r="X17" s="12"/>
      <c r="Z17" s="12"/>
      <c r="AA17" s="12"/>
      <c r="AB17" s="12"/>
      <c r="AC17" s="13"/>
    </row>
    <row r="18" spans="2:29" outlineLevel="1" x14ac:dyDescent="0.2">
      <c r="B18" s="9" t="str">
        <f t="shared" si="0"/>
        <v>1 2025</v>
      </c>
      <c r="C18" s="88">
        <f t="shared" si="2"/>
        <v>45670</v>
      </c>
      <c r="D18" s="88">
        <f t="shared" si="3"/>
        <v>45671</v>
      </c>
      <c r="E18" s="89">
        <f t="shared" si="1"/>
        <v>1</v>
      </c>
      <c r="G18" s="11"/>
      <c r="H18" s="11"/>
      <c r="I18" s="12"/>
      <c r="J18" s="228"/>
      <c r="K18" s="12"/>
      <c r="L18" s="12"/>
      <c r="M18" s="12"/>
      <c r="N18" s="12"/>
      <c r="O18" s="219"/>
      <c r="P18" s="219"/>
      <c r="Q18" s="219"/>
      <c r="R18" s="219"/>
      <c r="T18" s="12"/>
      <c r="U18" s="12"/>
      <c r="V18" s="12"/>
      <c r="W18" s="12"/>
      <c r="X18" s="12"/>
      <c r="Z18" s="12"/>
      <c r="AA18" s="12"/>
      <c r="AB18" s="12"/>
      <c r="AC18" s="13"/>
    </row>
    <row r="19" spans="2:29" outlineLevel="1" x14ac:dyDescent="0.2">
      <c r="B19" s="9" t="str">
        <f t="shared" si="0"/>
        <v>1 2025</v>
      </c>
      <c r="C19" s="88">
        <f t="shared" si="2"/>
        <v>45671</v>
      </c>
      <c r="D19" s="88">
        <f t="shared" si="3"/>
        <v>45672</v>
      </c>
      <c r="E19" s="89">
        <f t="shared" si="1"/>
        <v>1</v>
      </c>
      <c r="G19" s="11"/>
      <c r="H19" s="11"/>
      <c r="I19" s="12"/>
      <c r="J19" s="228"/>
      <c r="K19" s="12"/>
      <c r="L19" s="12"/>
      <c r="M19" s="12"/>
      <c r="N19" s="12"/>
      <c r="O19" s="219"/>
      <c r="P19" s="219"/>
      <c r="Q19" s="219"/>
      <c r="R19" s="219"/>
      <c r="T19" s="12"/>
      <c r="U19" s="12"/>
      <c r="V19" s="12"/>
      <c r="W19" s="12"/>
      <c r="X19" s="12"/>
      <c r="Z19" s="12"/>
      <c r="AA19" s="12"/>
      <c r="AB19" s="12"/>
      <c r="AC19" s="13"/>
    </row>
    <row r="20" spans="2:29" outlineLevel="1" x14ac:dyDescent="0.2">
      <c r="B20" s="9" t="str">
        <f t="shared" si="0"/>
        <v>1 2025</v>
      </c>
      <c r="C20" s="88">
        <f t="shared" si="2"/>
        <v>45672</v>
      </c>
      <c r="D20" s="88">
        <f t="shared" si="3"/>
        <v>45673</v>
      </c>
      <c r="E20" s="89">
        <f t="shared" si="1"/>
        <v>1</v>
      </c>
      <c r="G20" s="11"/>
      <c r="H20" s="11"/>
      <c r="I20" s="12"/>
      <c r="J20" s="228"/>
      <c r="K20" s="12"/>
      <c r="L20" s="12"/>
      <c r="M20" s="12"/>
      <c r="N20" s="12"/>
      <c r="O20" s="219"/>
      <c r="P20" s="219"/>
      <c r="Q20" s="219"/>
      <c r="R20" s="219"/>
      <c r="T20" s="12"/>
      <c r="U20" s="12"/>
      <c r="V20" s="12"/>
      <c r="W20" s="12"/>
      <c r="X20" s="12"/>
      <c r="Z20" s="12"/>
      <c r="AA20" s="12"/>
      <c r="AB20" s="12"/>
      <c r="AC20" s="13"/>
    </row>
    <row r="21" spans="2:29" outlineLevel="1" x14ac:dyDescent="0.2">
      <c r="B21" s="9" t="str">
        <f t="shared" si="0"/>
        <v>1 2025</v>
      </c>
      <c r="C21" s="88">
        <f t="shared" si="2"/>
        <v>45673</v>
      </c>
      <c r="D21" s="88">
        <f t="shared" si="3"/>
        <v>45674</v>
      </c>
      <c r="E21" s="89">
        <f t="shared" si="1"/>
        <v>1</v>
      </c>
      <c r="G21" s="11"/>
      <c r="H21" s="11"/>
      <c r="I21" s="12"/>
      <c r="J21" s="228"/>
      <c r="K21" s="12"/>
      <c r="L21" s="12"/>
      <c r="M21" s="12"/>
      <c r="N21" s="12"/>
      <c r="O21" s="219"/>
      <c r="P21" s="219"/>
      <c r="Q21" s="219"/>
      <c r="R21" s="219"/>
      <c r="T21" s="12"/>
      <c r="U21" s="12"/>
      <c r="V21" s="12"/>
      <c r="W21" s="12"/>
      <c r="X21" s="12"/>
      <c r="Z21" s="12"/>
      <c r="AA21" s="12"/>
      <c r="AB21" s="12"/>
      <c r="AC21" s="13"/>
    </row>
    <row r="22" spans="2:29" outlineLevel="1" x14ac:dyDescent="0.2">
      <c r="B22" s="9" t="str">
        <f t="shared" si="0"/>
        <v>1 2025</v>
      </c>
      <c r="C22" s="88">
        <f t="shared" si="2"/>
        <v>45674</v>
      </c>
      <c r="D22" s="88">
        <f t="shared" si="3"/>
        <v>45675</v>
      </c>
      <c r="E22" s="89">
        <f t="shared" si="1"/>
        <v>1</v>
      </c>
      <c r="G22" s="11"/>
      <c r="H22" s="11"/>
      <c r="I22" s="12"/>
      <c r="J22" s="228"/>
      <c r="K22" s="12"/>
      <c r="L22" s="12"/>
      <c r="M22" s="12"/>
      <c r="N22" s="12"/>
      <c r="O22" s="219"/>
      <c r="P22" s="219"/>
      <c r="Q22" s="219"/>
      <c r="R22" s="219"/>
      <c r="T22" s="12"/>
      <c r="U22" s="12"/>
      <c r="V22" s="12"/>
      <c r="W22" s="12"/>
      <c r="X22" s="12"/>
      <c r="Z22" s="12"/>
      <c r="AA22" s="12"/>
      <c r="AB22" s="12"/>
      <c r="AC22" s="13"/>
    </row>
    <row r="23" spans="2:29" outlineLevel="1" x14ac:dyDescent="0.2">
      <c r="B23" s="9" t="str">
        <f t="shared" si="0"/>
        <v>1 2025</v>
      </c>
      <c r="C23" s="88">
        <f t="shared" si="2"/>
        <v>45675</v>
      </c>
      <c r="D23" s="88">
        <f t="shared" si="3"/>
        <v>45676</v>
      </c>
      <c r="E23" s="89">
        <f t="shared" si="1"/>
        <v>1</v>
      </c>
      <c r="G23" s="11"/>
      <c r="H23" s="11"/>
      <c r="I23" s="12"/>
      <c r="J23" s="228"/>
      <c r="K23" s="12"/>
      <c r="L23" s="12"/>
      <c r="M23" s="12"/>
      <c r="N23" s="12"/>
      <c r="O23" s="219"/>
      <c r="P23" s="219"/>
      <c r="Q23" s="219"/>
      <c r="R23" s="219"/>
      <c r="T23" s="12"/>
      <c r="U23" s="12"/>
      <c r="V23" s="12"/>
      <c r="W23" s="12"/>
      <c r="X23" s="12"/>
      <c r="Z23" s="12"/>
      <c r="AA23" s="12"/>
      <c r="AB23" s="12"/>
      <c r="AC23" s="13"/>
    </row>
    <row r="24" spans="2:29" outlineLevel="1" x14ac:dyDescent="0.2">
      <c r="B24" s="9" t="str">
        <f t="shared" si="0"/>
        <v>1 2025</v>
      </c>
      <c r="C24" s="88">
        <f t="shared" si="2"/>
        <v>45676</v>
      </c>
      <c r="D24" s="88">
        <f t="shared" si="3"/>
        <v>45677</v>
      </c>
      <c r="E24" s="89">
        <f t="shared" si="1"/>
        <v>1</v>
      </c>
      <c r="G24" s="11"/>
      <c r="H24" s="11"/>
      <c r="I24" s="12"/>
      <c r="J24" s="228"/>
      <c r="K24" s="12"/>
      <c r="L24" s="12"/>
      <c r="M24" s="12"/>
      <c r="N24" s="12"/>
      <c r="O24" s="219"/>
      <c r="P24" s="219"/>
      <c r="Q24" s="219"/>
      <c r="R24" s="219"/>
      <c r="T24" s="12"/>
      <c r="U24" s="12"/>
      <c r="V24" s="12"/>
      <c r="W24" s="12"/>
      <c r="X24" s="12"/>
      <c r="Z24" s="12"/>
      <c r="AA24" s="12"/>
      <c r="AB24" s="12"/>
      <c r="AC24" s="13"/>
    </row>
    <row r="25" spans="2:29" outlineLevel="1" x14ac:dyDescent="0.2">
      <c r="B25" s="9" t="str">
        <f t="shared" si="0"/>
        <v>1 2025</v>
      </c>
      <c r="C25" s="88">
        <f t="shared" si="2"/>
        <v>45677</v>
      </c>
      <c r="D25" s="88">
        <f t="shared" si="3"/>
        <v>45678</v>
      </c>
      <c r="E25" s="89">
        <f t="shared" si="1"/>
        <v>1</v>
      </c>
      <c r="G25" s="11"/>
      <c r="H25" s="11"/>
      <c r="I25" s="12"/>
      <c r="J25" s="228"/>
      <c r="K25" s="12"/>
      <c r="L25" s="12"/>
      <c r="M25" s="12"/>
      <c r="N25" s="12"/>
      <c r="O25" s="219"/>
      <c r="P25" s="219"/>
      <c r="Q25" s="219"/>
      <c r="R25" s="219"/>
      <c r="T25" s="12"/>
      <c r="U25" s="12"/>
      <c r="V25" s="12"/>
      <c r="W25" s="12"/>
      <c r="X25" s="12"/>
      <c r="Z25" s="12"/>
      <c r="AA25" s="12"/>
      <c r="AB25" s="12"/>
      <c r="AC25" s="13"/>
    </row>
    <row r="26" spans="2:29" outlineLevel="1" x14ac:dyDescent="0.2">
      <c r="B26" s="9" t="str">
        <f t="shared" si="0"/>
        <v>1 2025</v>
      </c>
      <c r="C26" s="88">
        <f t="shared" si="2"/>
        <v>45678</v>
      </c>
      <c r="D26" s="88">
        <f t="shared" si="3"/>
        <v>45679</v>
      </c>
      <c r="E26" s="89">
        <f t="shared" si="1"/>
        <v>1</v>
      </c>
      <c r="G26" s="11"/>
      <c r="H26" s="11"/>
      <c r="I26" s="12"/>
      <c r="J26" s="228"/>
      <c r="K26" s="12"/>
      <c r="L26" s="12"/>
      <c r="M26" s="12"/>
      <c r="N26" s="12"/>
      <c r="O26" s="219"/>
      <c r="P26" s="219"/>
      <c r="Q26" s="219"/>
      <c r="R26" s="219"/>
      <c r="T26" s="12"/>
      <c r="U26" s="12"/>
      <c r="V26" s="12"/>
      <c r="W26" s="12"/>
      <c r="X26" s="12"/>
      <c r="Z26" s="12"/>
      <c r="AA26" s="12"/>
      <c r="AB26" s="12"/>
      <c r="AC26" s="13"/>
    </row>
    <row r="27" spans="2:29" outlineLevel="1" x14ac:dyDescent="0.2">
      <c r="B27" s="9" t="str">
        <f t="shared" si="0"/>
        <v>1 2025</v>
      </c>
      <c r="C27" s="88">
        <f t="shared" si="2"/>
        <v>45679</v>
      </c>
      <c r="D27" s="88">
        <f t="shared" si="3"/>
        <v>45680</v>
      </c>
      <c r="E27" s="89">
        <f t="shared" si="1"/>
        <v>1</v>
      </c>
      <c r="G27" s="11"/>
      <c r="H27" s="11"/>
      <c r="I27" s="12"/>
      <c r="J27" s="228"/>
      <c r="K27" s="12"/>
      <c r="L27" s="12"/>
      <c r="M27" s="12"/>
      <c r="N27" s="12"/>
      <c r="O27" s="219"/>
      <c r="P27" s="219"/>
      <c r="Q27" s="219"/>
      <c r="R27" s="219"/>
      <c r="T27" s="12"/>
      <c r="U27" s="12"/>
      <c r="V27" s="12"/>
      <c r="W27" s="12"/>
      <c r="X27" s="12"/>
      <c r="Z27" s="12"/>
      <c r="AA27" s="12"/>
      <c r="AB27" s="12"/>
      <c r="AC27" s="13"/>
    </row>
    <row r="28" spans="2:29" outlineLevel="1" x14ac:dyDescent="0.2">
      <c r="B28" s="9" t="str">
        <f t="shared" si="0"/>
        <v>1 2025</v>
      </c>
      <c r="C28" s="88">
        <f t="shared" si="2"/>
        <v>45680</v>
      </c>
      <c r="D28" s="88">
        <f t="shared" si="3"/>
        <v>45681</v>
      </c>
      <c r="E28" s="89">
        <f t="shared" si="1"/>
        <v>1</v>
      </c>
      <c r="G28" s="11"/>
      <c r="H28" s="11"/>
      <c r="I28" s="12"/>
      <c r="J28" s="228"/>
      <c r="K28" s="12"/>
      <c r="L28" s="12"/>
      <c r="M28" s="12"/>
      <c r="N28" s="12"/>
      <c r="O28" s="219"/>
      <c r="P28" s="219"/>
      <c r="Q28" s="219"/>
      <c r="R28" s="219"/>
      <c r="T28" s="12"/>
      <c r="U28" s="12"/>
      <c r="V28" s="12"/>
      <c r="W28" s="12"/>
      <c r="X28" s="12"/>
      <c r="Z28" s="12"/>
      <c r="AA28" s="12"/>
      <c r="AB28" s="12"/>
      <c r="AC28" s="13"/>
    </row>
    <row r="29" spans="2:29" outlineLevel="1" x14ac:dyDescent="0.2">
      <c r="B29" s="9" t="str">
        <f t="shared" si="0"/>
        <v>1 2025</v>
      </c>
      <c r="C29" s="88">
        <f t="shared" si="2"/>
        <v>45681</v>
      </c>
      <c r="D29" s="88">
        <f t="shared" si="3"/>
        <v>45682</v>
      </c>
      <c r="E29" s="89">
        <f t="shared" si="1"/>
        <v>1</v>
      </c>
      <c r="G29" s="11"/>
      <c r="H29" s="11"/>
      <c r="I29" s="12"/>
      <c r="J29" s="228"/>
      <c r="K29" s="12"/>
      <c r="L29" s="12"/>
      <c r="M29" s="12"/>
      <c r="N29" s="12"/>
      <c r="O29" s="219"/>
      <c r="P29" s="219"/>
      <c r="Q29" s="219"/>
      <c r="R29" s="219"/>
      <c r="T29" s="12"/>
      <c r="U29" s="12"/>
      <c r="V29" s="12"/>
      <c r="W29" s="12"/>
      <c r="X29" s="12"/>
      <c r="Z29" s="12"/>
      <c r="AA29" s="12"/>
      <c r="AB29" s="12"/>
      <c r="AC29" s="13"/>
    </row>
    <row r="30" spans="2:29" outlineLevel="1" x14ac:dyDescent="0.2">
      <c r="B30" s="9" t="str">
        <f t="shared" si="0"/>
        <v>1 2025</v>
      </c>
      <c r="C30" s="88">
        <f t="shared" si="2"/>
        <v>45682</v>
      </c>
      <c r="D30" s="88">
        <f t="shared" si="3"/>
        <v>45683</v>
      </c>
      <c r="E30" s="89">
        <f t="shared" si="1"/>
        <v>1</v>
      </c>
      <c r="G30" s="11"/>
      <c r="H30" s="11"/>
      <c r="I30" s="12"/>
      <c r="J30" s="228"/>
      <c r="K30" s="12"/>
      <c r="L30" s="12"/>
      <c r="M30" s="12"/>
      <c r="N30" s="12"/>
      <c r="O30" s="219"/>
      <c r="P30" s="219"/>
      <c r="Q30" s="219"/>
      <c r="R30" s="219"/>
      <c r="T30" s="12"/>
      <c r="U30" s="12"/>
      <c r="V30" s="12"/>
      <c r="W30" s="12"/>
      <c r="X30" s="12"/>
      <c r="Z30" s="12"/>
      <c r="AA30" s="12"/>
      <c r="AB30" s="12"/>
      <c r="AC30" s="13"/>
    </row>
    <row r="31" spans="2:29" outlineLevel="1" x14ac:dyDescent="0.2">
      <c r="B31" s="9" t="str">
        <f t="shared" si="0"/>
        <v>1 2025</v>
      </c>
      <c r="C31" s="88">
        <f t="shared" si="2"/>
        <v>45683</v>
      </c>
      <c r="D31" s="88">
        <f t="shared" si="3"/>
        <v>45684</v>
      </c>
      <c r="E31" s="89">
        <f t="shared" si="1"/>
        <v>1</v>
      </c>
      <c r="G31" s="11"/>
      <c r="H31" s="11"/>
      <c r="I31" s="12"/>
      <c r="J31" s="228"/>
      <c r="K31" s="12"/>
      <c r="L31" s="12"/>
      <c r="M31" s="12"/>
      <c r="N31" s="12"/>
      <c r="O31" s="219"/>
      <c r="P31" s="219"/>
      <c r="Q31" s="219"/>
      <c r="R31" s="219"/>
      <c r="T31" s="12"/>
      <c r="U31" s="12"/>
      <c r="V31" s="12"/>
      <c r="W31" s="12"/>
      <c r="X31" s="12"/>
      <c r="Z31" s="12"/>
      <c r="AA31" s="12"/>
      <c r="AB31" s="12"/>
      <c r="AC31" s="13"/>
    </row>
    <row r="32" spans="2:29" outlineLevel="1" x14ac:dyDescent="0.2">
      <c r="B32" s="9" t="str">
        <f t="shared" si="0"/>
        <v>1 2025</v>
      </c>
      <c r="C32" s="88">
        <f t="shared" si="2"/>
        <v>45684</v>
      </c>
      <c r="D32" s="88">
        <f t="shared" si="3"/>
        <v>45685</v>
      </c>
      <c r="E32" s="89">
        <f t="shared" si="1"/>
        <v>1</v>
      </c>
      <c r="G32" s="11"/>
      <c r="H32" s="11"/>
      <c r="I32" s="12"/>
      <c r="J32" s="228"/>
      <c r="K32" s="12"/>
      <c r="L32" s="12"/>
      <c r="M32" s="12"/>
      <c r="N32" s="12"/>
      <c r="O32" s="219"/>
      <c r="P32" s="219"/>
      <c r="Q32" s="219"/>
      <c r="R32" s="219"/>
      <c r="T32" s="12"/>
      <c r="U32" s="12"/>
      <c r="V32" s="12"/>
      <c r="W32" s="12"/>
      <c r="X32" s="12"/>
      <c r="Z32" s="12"/>
      <c r="AA32" s="12"/>
      <c r="AB32" s="12"/>
      <c r="AC32" s="13"/>
    </row>
    <row r="33" spans="2:31" outlineLevel="1" x14ac:dyDescent="0.2">
      <c r="B33" s="9" t="str">
        <f t="shared" si="0"/>
        <v>1 2025</v>
      </c>
      <c r="C33" s="88">
        <f t="shared" si="2"/>
        <v>45685</v>
      </c>
      <c r="D33" s="88">
        <f t="shared" si="3"/>
        <v>45686</v>
      </c>
      <c r="E33" s="89">
        <f t="shared" si="1"/>
        <v>1</v>
      </c>
      <c r="G33" s="11"/>
      <c r="H33" s="11"/>
      <c r="I33" s="12"/>
      <c r="J33" s="228"/>
      <c r="K33" s="12"/>
      <c r="L33" s="12"/>
      <c r="M33" s="12"/>
      <c r="N33" s="12"/>
      <c r="O33" s="219"/>
      <c r="P33" s="219"/>
      <c r="Q33" s="219"/>
      <c r="R33" s="219"/>
      <c r="T33" s="12"/>
      <c r="U33" s="12"/>
      <c r="V33" s="12"/>
      <c r="W33" s="12"/>
      <c r="X33" s="12"/>
      <c r="Z33" s="12"/>
      <c r="AA33" s="12"/>
      <c r="AB33" s="12"/>
      <c r="AC33" s="13"/>
    </row>
    <row r="34" spans="2:31" outlineLevel="1" x14ac:dyDescent="0.2">
      <c r="B34" s="9" t="str">
        <f t="shared" si="0"/>
        <v>1 2025</v>
      </c>
      <c r="C34" s="88">
        <f t="shared" si="2"/>
        <v>45686</v>
      </c>
      <c r="D34" s="88">
        <f t="shared" si="3"/>
        <v>45687</v>
      </c>
      <c r="E34" s="89">
        <f t="shared" si="1"/>
        <v>1</v>
      </c>
      <c r="G34" s="11"/>
      <c r="H34" s="11"/>
      <c r="I34" s="12"/>
      <c r="J34" s="228"/>
      <c r="K34" s="12"/>
      <c r="L34" s="12"/>
      <c r="M34" s="12"/>
      <c r="N34" s="12"/>
      <c r="O34" s="219"/>
      <c r="P34" s="219"/>
      <c r="Q34" s="219"/>
      <c r="R34" s="219"/>
      <c r="T34" s="12"/>
      <c r="U34" s="12"/>
      <c r="V34" s="12"/>
      <c r="W34" s="12"/>
      <c r="X34" s="12"/>
      <c r="Z34" s="12"/>
      <c r="AA34" s="12"/>
      <c r="AB34" s="12"/>
      <c r="AC34" s="13"/>
    </row>
    <row r="35" spans="2:31" hidden="1" x14ac:dyDescent="0.2">
      <c r="B35" s="9" t="str">
        <f t="shared" si="0"/>
        <v>1 2025</v>
      </c>
      <c r="C35" s="142">
        <f t="shared" si="2"/>
        <v>45687</v>
      </c>
      <c r="D35" s="142">
        <f t="shared" si="3"/>
        <v>45688</v>
      </c>
      <c r="E35" s="143">
        <f t="shared" si="1"/>
        <v>1</v>
      </c>
      <c r="F35" s="17"/>
      <c r="G35" s="143"/>
      <c r="H35" s="143"/>
      <c r="I35" s="144"/>
      <c r="J35" s="228"/>
      <c r="K35" s="144"/>
      <c r="L35" s="144"/>
      <c r="M35" s="144"/>
      <c r="N35" s="144"/>
      <c r="O35" s="220"/>
      <c r="P35" s="220"/>
      <c r="Q35" s="220"/>
      <c r="R35" s="220"/>
      <c r="T35" s="144"/>
      <c r="U35" s="144"/>
      <c r="V35" s="144"/>
      <c r="W35" s="144"/>
      <c r="X35" s="144"/>
      <c r="Z35" s="144"/>
      <c r="AA35" s="144"/>
      <c r="AB35" s="144"/>
      <c r="AC35" s="146"/>
      <c r="AD35" s="17"/>
      <c r="AE35" s="17"/>
    </row>
    <row r="36" spans="2:31" hidden="1" x14ac:dyDescent="0.2">
      <c r="B36" s="9" t="str">
        <f t="shared" si="0"/>
        <v>2 2025</v>
      </c>
      <c r="C36" s="10">
        <f t="shared" si="2"/>
        <v>45688</v>
      </c>
      <c r="D36" s="10">
        <f t="shared" si="3"/>
        <v>45689</v>
      </c>
      <c r="E36" s="11">
        <f t="shared" si="1"/>
        <v>1</v>
      </c>
      <c r="G36" s="11"/>
      <c r="H36" s="11"/>
      <c r="I36" s="12"/>
      <c r="J36" s="228"/>
      <c r="K36" s="12"/>
      <c r="L36" s="12"/>
      <c r="M36" s="12"/>
      <c r="N36" s="12"/>
      <c r="O36" s="219"/>
      <c r="P36" s="219"/>
      <c r="Q36" s="219"/>
      <c r="R36" s="219"/>
      <c r="T36" s="12"/>
      <c r="U36" s="12"/>
      <c r="V36" s="12"/>
      <c r="W36" s="12"/>
      <c r="X36" s="12"/>
      <c r="Z36" s="12"/>
      <c r="AA36" s="12"/>
      <c r="AB36" s="12"/>
      <c r="AC36" s="13"/>
    </row>
    <row r="37" spans="2:31" hidden="1" x14ac:dyDescent="0.2">
      <c r="B37" s="9" t="str">
        <f t="shared" si="0"/>
        <v>2 2025</v>
      </c>
      <c r="C37" s="10">
        <f t="shared" si="2"/>
        <v>45689</v>
      </c>
      <c r="D37" s="10">
        <f t="shared" si="3"/>
        <v>45690</v>
      </c>
      <c r="E37" s="11">
        <f t="shared" si="1"/>
        <v>1</v>
      </c>
      <c r="G37" s="11"/>
      <c r="H37" s="11"/>
      <c r="I37" s="12"/>
      <c r="J37" s="228"/>
      <c r="K37" s="12"/>
      <c r="L37" s="12"/>
      <c r="M37" s="12"/>
      <c r="N37" s="12"/>
      <c r="O37" s="219"/>
      <c r="P37" s="219"/>
      <c r="Q37" s="219"/>
      <c r="R37" s="219"/>
      <c r="T37" s="12"/>
      <c r="U37" s="12"/>
      <c r="V37" s="12"/>
      <c r="W37" s="12"/>
      <c r="X37" s="12"/>
      <c r="Z37" s="12"/>
      <c r="AA37" s="12"/>
      <c r="AB37" s="12"/>
      <c r="AC37" s="13"/>
    </row>
    <row r="38" spans="2:31" hidden="1" x14ac:dyDescent="0.2">
      <c r="B38" s="9" t="str">
        <f t="shared" si="0"/>
        <v>2 2025</v>
      </c>
      <c r="C38" s="10">
        <f t="shared" si="2"/>
        <v>45690</v>
      </c>
      <c r="D38" s="10">
        <f t="shared" si="3"/>
        <v>45691</v>
      </c>
      <c r="E38" s="11">
        <f t="shared" si="1"/>
        <v>1</v>
      </c>
      <c r="G38" s="11"/>
      <c r="H38" s="11"/>
      <c r="I38" s="12"/>
      <c r="J38" s="228"/>
      <c r="K38" s="12"/>
      <c r="L38" s="12"/>
      <c r="M38" s="12"/>
      <c r="N38" s="12"/>
      <c r="O38" s="219"/>
      <c r="P38" s="219"/>
      <c r="Q38" s="219"/>
      <c r="R38" s="219"/>
      <c r="T38" s="12"/>
      <c r="U38" s="12"/>
      <c r="V38" s="12"/>
      <c r="W38" s="12"/>
      <c r="X38" s="12"/>
      <c r="Z38" s="12"/>
      <c r="AA38" s="12"/>
      <c r="AB38" s="12"/>
      <c r="AC38" s="13"/>
    </row>
    <row r="39" spans="2:31" hidden="1" x14ac:dyDescent="0.2">
      <c r="B39" s="9" t="str">
        <f t="shared" si="0"/>
        <v>2 2025</v>
      </c>
      <c r="C39" s="10">
        <f t="shared" si="2"/>
        <v>45691</v>
      </c>
      <c r="D39" s="10">
        <f t="shared" si="3"/>
        <v>45692</v>
      </c>
      <c r="E39" s="11">
        <f t="shared" si="1"/>
        <v>1</v>
      </c>
      <c r="G39" s="11"/>
      <c r="H39" s="11"/>
      <c r="I39" s="12"/>
      <c r="J39" s="228"/>
      <c r="K39" s="12"/>
      <c r="L39" s="12"/>
      <c r="M39" s="12"/>
      <c r="N39" s="12"/>
      <c r="O39" s="219"/>
      <c r="P39" s="219"/>
      <c r="Q39" s="219"/>
      <c r="R39" s="219"/>
      <c r="T39" s="12"/>
      <c r="U39" s="12"/>
      <c r="V39" s="12"/>
      <c r="W39" s="12"/>
      <c r="X39" s="12"/>
      <c r="Z39" s="12"/>
      <c r="AA39" s="12"/>
      <c r="AB39" s="12"/>
      <c r="AC39" s="13"/>
    </row>
    <row r="40" spans="2:31" hidden="1" x14ac:dyDescent="0.2">
      <c r="B40" s="9" t="str">
        <f t="shared" si="0"/>
        <v>2 2025</v>
      </c>
      <c r="C40" s="10">
        <f t="shared" si="2"/>
        <v>45692</v>
      </c>
      <c r="D40" s="10">
        <f t="shared" si="3"/>
        <v>45693</v>
      </c>
      <c r="E40" s="11">
        <f t="shared" si="1"/>
        <v>1</v>
      </c>
      <c r="G40" s="11"/>
      <c r="H40" s="11"/>
      <c r="I40" s="12"/>
      <c r="J40" s="228"/>
      <c r="K40" s="12"/>
      <c r="L40" s="12"/>
      <c r="M40" s="12"/>
      <c r="N40" s="12"/>
      <c r="O40" s="219"/>
      <c r="P40" s="219"/>
      <c r="Q40" s="219"/>
      <c r="R40" s="219"/>
      <c r="T40" s="12"/>
      <c r="U40" s="12"/>
      <c r="V40" s="12"/>
      <c r="W40" s="12"/>
      <c r="X40" s="12"/>
      <c r="Z40" s="12"/>
      <c r="AA40" s="12"/>
      <c r="AB40" s="12"/>
      <c r="AC40" s="13"/>
    </row>
    <row r="41" spans="2:31" hidden="1" x14ac:dyDescent="0.2">
      <c r="B41" s="9" t="str">
        <f t="shared" si="0"/>
        <v>2 2025</v>
      </c>
      <c r="C41" s="174">
        <f t="shared" si="2"/>
        <v>45693</v>
      </c>
      <c r="D41" s="10">
        <f t="shared" si="3"/>
        <v>45694</v>
      </c>
      <c r="E41" s="11">
        <f t="shared" si="1"/>
        <v>1</v>
      </c>
      <c r="G41" s="11"/>
      <c r="H41" s="11"/>
      <c r="I41" s="12"/>
      <c r="J41" s="228"/>
      <c r="K41" s="12"/>
      <c r="L41" s="12"/>
      <c r="M41" s="12"/>
      <c r="N41" s="12"/>
      <c r="O41" s="219"/>
      <c r="P41" s="219"/>
      <c r="Q41" s="219"/>
      <c r="R41" s="219"/>
      <c r="T41" s="12"/>
      <c r="U41" s="12"/>
      <c r="V41" s="12"/>
      <c r="W41" s="12"/>
      <c r="X41" s="12"/>
      <c r="Z41" s="12"/>
      <c r="AA41" s="12"/>
      <c r="AB41" s="12"/>
      <c r="AC41" s="13"/>
    </row>
    <row r="42" spans="2:31" hidden="1" x14ac:dyDescent="0.2">
      <c r="B42" s="9" t="str">
        <f t="shared" si="0"/>
        <v>2 2025</v>
      </c>
      <c r="C42" s="10">
        <f t="shared" si="2"/>
        <v>45694</v>
      </c>
      <c r="D42" s="10">
        <f t="shared" si="3"/>
        <v>45695</v>
      </c>
      <c r="E42" s="11">
        <f t="shared" si="1"/>
        <v>1</v>
      </c>
      <c r="G42" s="11"/>
      <c r="H42" s="11"/>
      <c r="I42" s="12"/>
      <c r="J42" s="228"/>
      <c r="K42" s="12"/>
      <c r="L42" s="12"/>
      <c r="M42" s="12"/>
      <c r="N42" s="12"/>
      <c r="O42" s="219"/>
      <c r="P42" s="219"/>
      <c r="Q42" s="219"/>
      <c r="R42" s="219"/>
      <c r="T42" s="12"/>
      <c r="U42" s="12"/>
      <c r="V42" s="12"/>
      <c r="W42" s="12"/>
      <c r="X42" s="12"/>
      <c r="Z42" s="12"/>
      <c r="AA42" s="12"/>
      <c r="AB42" s="12"/>
      <c r="AC42" s="13"/>
    </row>
    <row r="43" spans="2:31" hidden="1" x14ac:dyDescent="0.2">
      <c r="B43" s="9" t="str">
        <f t="shared" si="0"/>
        <v>2 2025</v>
      </c>
      <c r="C43" s="10">
        <f t="shared" si="2"/>
        <v>45695</v>
      </c>
      <c r="D43" s="10">
        <f t="shared" si="3"/>
        <v>45696</v>
      </c>
      <c r="E43" s="11">
        <f t="shared" si="1"/>
        <v>1</v>
      </c>
      <c r="G43" s="11"/>
      <c r="H43" s="11"/>
      <c r="I43" s="12"/>
      <c r="J43" s="228"/>
      <c r="K43" s="12"/>
      <c r="L43" s="12"/>
      <c r="M43" s="12"/>
      <c r="N43" s="12"/>
      <c r="O43" s="219"/>
      <c r="P43" s="219"/>
      <c r="Q43" s="219"/>
      <c r="R43" s="219"/>
      <c r="T43" s="12"/>
      <c r="U43" s="12"/>
      <c r="V43" s="12"/>
      <c r="W43" s="12"/>
      <c r="X43" s="12"/>
      <c r="Z43" s="12"/>
      <c r="AA43" s="12"/>
      <c r="AB43" s="12"/>
      <c r="AC43" s="13"/>
    </row>
    <row r="44" spans="2:31" hidden="1" x14ac:dyDescent="0.2">
      <c r="B44" s="9" t="str">
        <f t="shared" si="0"/>
        <v>2 2025</v>
      </c>
      <c r="C44" s="10">
        <f t="shared" si="2"/>
        <v>45696</v>
      </c>
      <c r="D44" s="10">
        <f t="shared" si="3"/>
        <v>45697</v>
      </c>
      <c r="E44" s="11">
        <f t="shared" si="1"/>
        <v>1</v>
      </c>
      <c r="G44" s="11"/>
      <c r="H44" s="11"/>
      <c r="I44" s="12"/>
      <c r="J44" s="228"/>
      <c r="K44" s="12"/>
      <c r="L44" s="12"/>
      <c r="M44" s="12"/>
      <c r="N44" s="12"/>
      <c r="O44" s="219"/>
      <c r="P44" s="219"/>
      <c r="Q44" s="219"/>
      <c r="R44" s="219"/>
      <c r="T44" s="12"/>
      <c r="U44" s="12"/>
      <c r="V44" s="12"/>
      <c r="W44" s="12"/>
      <c r="X44" s="12"/>
      <c r="Z44" s="12"/>
      <c r="AA44" s="12"/>
      <c r="AB44" s="12"/>
      <c r="AC44" s="13"/>
    </row>
    <row r="45" spans="2:31" hidden="1" x14ac:dyDescent="0.2">
      <c r="B45" s="9" t="str">
        <f t="shared" si="0"/>
        <v>2 2025</v>
      </c>
      <c r="C45" s="10">
        <f t="shared" si="2"/>
        <v>45697</v>
      </c>
      <c r="D45" s="10">
        <f t="shared" si="3"/>
        <v>45698</v>
      </c>
      <c r="E45" s="11">
        <f t="shared" si="1"/>
        <v>1</v>
      </c>
      <c r="G45" s="11"/>
      <c r="H45" s="11"/>
      <c r="I45" s="12"/>
      <c r="J45" s="228"/>
      <c r="K45" s="12"/>
      <c r="L45" s="12"/>
      <c r="M45" s="12"/>
      <c r="N45" s="12"/>
      <c r="O45" s="219"/>
      <c r="P45" s="219"/>
      <c r="Q45" s="219"/>
      <c r="R45" s="219"/>
      <c r="T45" s="12"/>
      <c r="U45" s="12"/>
      <c r="V45" s="12"/>
      <c r="W45" s="12"/>
      <c r="X45" s="12"/>
      <c r="Z45" s="12"/>
      <c r="AA45" s="12"/>
      <c r="AB45" s="12"/>
      <c r="AC45" s="13"/>
    </row>
    <row r="46" spans="2:31" hidden="1" x14ac:dyDescent="0.2">
      <c r="B46" s="9" t="str">
        <f t="shared" si="0"/>
        <v>2 2025</v>
      </c>
      <c r="C46" s="109">
        <f t="shared" si="2"/>
        <v>45698</v>
      </c>
      <c r="D46" s="109">
        <f t="shared" si="3"/>
        <v>45699</v>
      </c>
      <c r="E46" s="11">
        <f t="shared" si="1"/>
        <v>1</v>
      </c>
      <c r="G46" s="11"/>
      <c r="H46" s="11"/>
      <c r="I46" s="12"/>
      <c r="J46" s="228"/>
      <c r="K46" s="12"/>
      <c r="L46" s="12"/>
      <c r="M46" s="12"/>
      <c r="N46" s="12"/>
      <c r="O46" s="219"/>
      <c r="P46" s="219"/>
      <c r="Q46" s="219"/>
      <c r="R46" s="219"/>
      <c r="T46" s="12"/>
      <c r="U46" s="12"/>
      <c r="V46" s="12"/>
      <c r="W46" s="12"/>
      <c r="X46" s="12"/>
      <c r="Z46" s="12"/>
      <c r="AA46" s="12"/>
      <c r="AB46" s="12"/>
      <c r="AC46" s="13"/>
    </row>
    <row r="47" spans="2:31" hidden="1" x14ac:dyDescent="0.2">
      <c r="B47" s="9" t="str">
        <f t="shared" si="0"/>
        <v>2 2025</v>
      </c>
      <c r="C47" s="10">
        <f t="shared" si="2"/>
        <v>45699</v>
      </c>
      <c r="D47" s="10">
        <f t="shared" si="3"/>
        <v>45700</v>
      </c>
      <c r="E47" s="11">
        <f t="shared" si="1"/>
        <v>1</v>
      </c>
      <c r="G47" s="11"/>
      <c r="H47" s="11"/>
      <c r="I47" s="12"/>
      <c r="J47" s="228"/>
      <c r="K47" s="12"/>
      <c r="L47" s="12"/>
      <c r="M47" s="12"/>
      <c r="N47" s="12"/>
      <c r="O47" s="219"/>
      <c r="P47" s="219"/>
      <c r="Q47" s="219"/>
      <c r="R47" s="219"/>
      <c r="T47" s="12"/>
      <c r="U47" s="12"/>
      <c r="V47" s="12"/>
      <c r="W47" s="12"/>
      <c r="X47" s="12"/>
      <c r="Z47" s="12"/>
      <c r="AA47" s="12"/>
      <c r="AB47" s="12"/>
      <c r="AC47" s="13"/>
    </row>
    <row r="48" spans="2:31" hidden="1" x14ac:dyDescent="0.2">
      <c r="B48" s="9" t="str">
        <f t="shared" si="0"/>
        <v>2 2025</v>
      </c>
      <c r="C48" s="10">
        <f t="shared" si="2"/>
        <v>45700</v>
      </c>
      <c r="D48" s="10">
        <f t="shared" si="3"/>
        <v>45701</v>
      </c>
      <c r="E48" s="11">
        <f t="shared" si="1"/>
        <v>1</v>
      </c>
      <c r="G48" s="11"/>
      <c r="H48" s="11"/>
      <c r="I48" s="12"/>
      <c r="J48" s="228"/>
      <c r="K48" s="12"/>
      <c r="L48" s="12"/>
      <c r="M48" s="12"/>
      <c r="N48" s="12"/>
      <c r="O48" s="219"/>
      <c r="P48" s="219"/>
      <c r="Q48" s="219"/>
      <c r="R48" s="219"/>
      <c r="T48" s="12"/>
      <c r="U48" s="12"/>
      <c r="V48" s="12"/>
      <c r="W48" s="12"/>
      <c r="X48" s="12"/>
      <c r="Z48" s="12"/>
      <c r="AA48" s="12"/>
      <c r="AB48" s="12"/>
      <c r="AC48" s="13"/>
    </row>
    <row r="49" spans="2:31" hidden="1" x14ac:dyDescent="0.2">
      <c r="B49" s="9" t="str">
        <f t="shared" si="0"/>
        <v>2 2025</v>
      </c>
      <c r="C49" s="10">
        <f t="shared" si="2"/>
        <v>45701</v>
      </c>
      <c r="D49" s="10">
        <f t="shared" si="3"/>
        <v>45702</v>
      </c>
      <c r="E49" s="11">
        <f t="shared" si="1"/>
        <v>1</v>
      </c>
      <c r="G49" s="11"/>
      <c r="H49" s="11"/>
      <c r="I49" s="12"/>
      <c r="J49" s="228"/>
      <c r="K49" s="12"/>
      <c r="L49" s="12"/>
      <c r="M49" s="12"/>
      <c r="N49" s="12"/>
      <c r="O49" s="219"/>
      <c r="P49" s="219"/>
      <c r="Q49" s="219"/>
      <c r="R49" s="219"/>
      <c r="T49" s="12"/>
      <c r="U49" s="12"/>
      <c r="V49" s="12"/>
      <c r="W49" s="12"/>
      <c r="X49" s="12"/>
      <c r="Z49" s="12"/>
      <c r="AA49" s="12"/>
      <c r="AB49" s="12"/>
      <c r="AC49" s="13"/>
    </row>
    <row r="50" spans="2:31" hidden="1" x14ac:dyDescent="0.2">
      <c r="B50" s="9" t="str">
        <f t="shared" si="0"/>
        <v>2 2025</v>
      </c>
      <c r="C50" s="10">
        <f t="shared" si="2"/>
        <v>45702</v>
      </c>
      <c r="D50" s="10">
        <f t="shared" si="3"/>
        <v>45703</v>
      </c>
      <c r="E50" s="11">
        <f t="shared" si="1"/>
        <v>1</v>
      </c>
      <c r="G50" s="11"/>
      <c r="H50" s="11"/>
      <c r="I50" s="12"/>
      <c r="J50" s="228"/>
      <c r="K50" s="12"/>
      <c r="L50" s="12"/>
      <c r="M50" s="12"/>
      <c r="N50" s="12"/>
      <c r="O50" s="219"/>
      <c r="P50" s="219"/>
      <c r="Q50" s="219"/>
      <c r="R50" s="219"/>
      <c r="T50" s="12"/>
      <c r="U50" s="12"/>
      <c r="V50" s="12"/>
      <c r="W50" s="12"/>
      <c r="X50" s="12"/>
      <c r="Z50" s="12"/>
      <c r="AA50" s="12"/>
      <c r="AB50" s="12"/>
      <c r="AC50" s="13"/>
    </row>
    <row r="51" spans="2:31" hidden="1" x14ac:dyDescent="0.2">
      <c r="B51" s="9" t="str">
        <f t="shared" si="0"/>
        <v>2 2025</v>
      </c>
      <c r="C51" s="10">
        <f t="shared" si="2"/>
        <v>45703</v>
      </c>
      <c r="D51" s="10">
        <f t="shared" si="3"/>
        <v>45704</v>
      </c>
      <c r="E51" s="11">
        <f t="shared" si="1"/>
        <v>1</v>
      </c>
      <c r="G51" s="11"/>
      <c r="H51" s="11"/>
      <c r="I51" s="12"/>
      <c r="J51" s="228"/>
      <c r="K51" s="12"/>
      <c r="L51" s="12"/>
      <c r="M51" s="12"/>
      <c r="N51" s="12"/>
      <c r="O51" s="219"/>
      <c r="P51" s="219"/>
      <c r="Q51" s="219"/>
      <c r="R51" s="219"/>
      <c r="T51" s="12"/>
      <c r="U51" s="12"/>
      <c r="V51" s="12"/>
      <c r="W51" s="12"/>
      <c r="X51" s="12"/>
      <c r="Z51" s="12"/>
      <c r="AA51" s="12"/>
      <c r="AB51" s="12"/>
      <c r="AC51" s="13"/>
    </row>
    <row r="52" spans="2:31" hidden="1" x14ac:dyDescent="0.2">
      <c r="B52" s="9" t="str">
        <f t="shared" si="0"/>
        <v>2 2025</v>
      </c>
      <c r="C52" s="10">
        <f t="shared" si="2"/>
        <v>45704</v>
      </c>
      <c r="D52" s="10">
        <f t="shared" si="3"/>
        <v>45705</v>
      </c>
      <c r="E52" s="11">
        <f t="shared" si="1"/>
        <v>1</v>
      </c>
      <c r="G52" s="11"/>
      <c r="H52" s="11"/>
      <c r="I52" s="12"/>
      <c r="J52" s="228"/>
      <c r="K52" s="12"/>
      <c r="L52" s="12"/>
      <c r="M52" s="12"/>
      <c r="N52" s="12"/>
      <c r="O52" s="219"/>
      <c r="P52" s="219"/>
      <c r="Q52" s="219"/>
      <c r="R52" s="219"/>
      <c r="T52" s="12"/>
      <c r="U52" s="12"/>
      <c r="V52" s="12"/>
      <c r="W52" s="12"/>
      <c r="X52" s="12"/>
      <c r="Z52" s="12"/>
      <c r="AA52" s="12"/>
      <c r="AB52" s="12"/>
      <c r="AC52" s="13"/>
    </row>
    <row r="53" spans="2:31" hidden="1" x14ac:dyDescent="0.2">
      <c r="B53" s="9" t="str">
        <f t="shared" si="0"/>
        <v>2 2025</v>
      </c>
      <c r="C53" s="10">
        <f t="shared" si="2"/>
        <v>45705</v>
      </c>
      <c r="D53" s="10">
        <f t="shared" si="3"/>
        <v>45706</v>
      </c>
      <c r="E53" s="11">
        <f t="shared" si="1"/>
        <v>1</v>
      </c>
      <c r="G53" s="11"/>
      <c r="H53" s="11"/>
      <c r="I53" s="12"/>
      <c r="J53" s="228"/>
      <c r="K53" s="12"/>
      <c r="L53" s="12"/>
      <c r="M53" s="12"/>
      <c r="N53" s="12"/>
      <c r="O53" s="219"/>
      <c r="P53" s="219"/>
      <c r="Q53" s="219"/>
      <c r="R53" s="219"/>
      <c r="T53" s="12"/>
      <c r="U53" s="12"/>
      <c r="V53" s="12"/>
      <c r="W53" s="12"/>
      <c r="X53" s="12"/>
      <c r="Z53" s="12"/>
      <c r="AA53" s="12"/>
      <c r="AB53" s="12"/>
      <c r="AC53" s="13"/>
    </row>
    <row r="54" spans="2:31" hidden="1" x14ac:dyDescent="0.2">
      <c r="B54" s="9" t="str">
        <f t="shared" si="0"/>
        <v>2 2025</v>
      </c>
      <c r="C54" s="10">
        <f t="shared" si="2"/>
        <v>45706</v>
      </c>
      <c r="D54" s="10">
        <f t="shared" si="3"/>
        <v>45707</v>
      </c>
      <c r="E54" s="11">
        <f t="shared" si="1"/>
        <v>1</v>
      </c>
      <c r="G54" s="11"/>
      <c r="H54" s="11"/>
      <c r="I54" s="12"/>
      <c r="J54" s="228"/>
      <c r="K54" s="12"/>
      <c r="L54" s="12"/>
      <c r="M54" s="12"/>
      <c r="N54" s="12"/>
      <c r="O54" s="219"/>
      <c r="P54" s="219"/>
      <c r="Q54" s="219"/>
      <c r="R54" s="219"/>
      <c r="T54" s="12"/>
      <c r="U54" s="12"/>
      <c r="V54" s="12"/>
      <c r="W54" s="12"/>
      <c r="X54" s="12"/>
      <c r="Z54" s="12"/>
      <c r="AA54" s="12"/>
      <c r="AB54" s="12"/>
      <c r="AC54" s="13"/>
    </row>
    <row r="55" spans="2:31" hidden="1" x14ac:dyDescent="0.2">
      <c r="B55" s="9" t="str">
        <f t="shared" si="0"/>
        <v>2 2025</v>
      </c>
      <c r="C55" s="10">
        <f t="shared" si="2"/>
        <v>45707</v>
      </c>
      <c r="D55" s="10">
        <f t="shared" si="3"/>
        <v>45708</v>
      </c>
      <c r="E55" s="11">
        <f t="shared" si="1"/>
        <v>1</v>
      </c>
      <c r="G55" s="11"/>
      <c r="H55" s="11"/>
      <c r="I55" s="12"/>
      <c r="J55" s="228"/>
      <c r="K55" s="12"/>
      <c r="L55" s="12"/>
      <c r="M55" s="12"/>
      <c r="N55" s="12"/>
      <c r="O55" s="219"/>
      <c r="P55" s="219"/>
      <c r="Q55" s="219"/>
      <c r="R55" s="219"/>
      <c r="T55" s="12"/>
      <c r="U55" s="12"/>
      <c r="V55" s="12"/>
      <c r="W55" s="12"/>
      <c r="X55" s="12"/>
      <c r="Z55" s="12"/>
      <c r="AA55" s="12"/>
      <c r="AB55" s="12"/>
      <c r="AC55" s="13"/>
    </row>
    <row r="56" spans="2:31" hidden="1" x14ac:dyDescent="0.2">
      <c r="B56" s="9" t="str">
        <f t="shared" si="0"/>
        <v>2 2025</v>
      </c>
      <c r="C56" s="10">
        <f t="shared" si="2"/>
        <v>45708</v>
      </c>
      <c r="D56" s="10">
        <f t="shared" si="3"/>
        <v>45709</v>
      </c>
      <c r="E56" s="11">
        <f t="shared" si="1"/>
        <v>1</v>
      </c>
      <c r="G56" s="11"/>
      <c r="H56" s="11"/>
      <c r="I56" s="12"/>
      <c r="J56" s="228"/>
      <c r="K56" s="12"/>
      <c r="L56" s="12"/>
      <c r="M56" s="12"/>
      <c r="N56" s="12"/>
      <c r="O56" s="219"/>
      <c r="P56" s="219"/>
      <c r="Q56" s="219"/>
      <c r="R56" s="219"/>
      <c r="T56" s="12"/>
      <c r="U56" s="12"/>
      <c r="V56" s="12"/>
      <c r="W56" s="12"/>
      <c r="X56" s="12"/>
      <c r="Z56" s="12"/>
      <c r="AA56" s="12"/>
      <c r="AB56" s="12"/>
      <c r="AC56" s="13"/>
    </row>
    <row r="57" spans="2:31" hidden="1" x14ac:dyDescent="0.2">
      <c r="B57" s="9" t="str">
        <f t="shared" si="0"/>
        <v>2 2025</v>
      </c>
      <c r="C57" s="10">
        <f t="shared" si="2"/>
        <v>45709</v>
      </c>
      <c r="D57" s="10">
        <f t="shared" si="3"/>
        <v>45710</v>
      </c>
      <c r="E57" s="11">
        <f t="shared" si="1"/>
        <v>1</v>
      </c>
      <c r="G57" s="11"/>
      <c r="H57" s="11"/>
      <c r="I57" s="12"/>
      <c r="J57" s="228"/>
      <c r="K57" s="12"/>
      <c r="L57" s="12"/>
      <c r="M57" s="12"/>
      <c r="N57" s="12"/>
      <c r="O57" s="219"/>
      <c r="P57" s="219"/>
      <c r="Q57" s="219"/>
      <c r="R57" s="219"/>
      <c r="T57" s="12"/>
      <c r="U57" s="12"/>
      <c r="V57" s="12"/>
      <c r="W57" s="12"/>
      <c r="X57" s="12"/>
      <c r="Z57" s="12"/>
      <c r="AA57" s="12"/>
      <c r="AB57" s="12"/>
      <c r="AC57" s="13"/>
    </row>
    <row r="58" spans="2:31" hidden="1" x14ac:dyDescent="0.2">
      <c r="B58" s="9" t="str">
        <f t="shared" si="0"/>
        <v>2 2025</v>
      </c>
      <c r="C58" s="10">
        <f t="shared" si="2"/>
        <v>45710</v>
      </c>
      <c r="D58" s="10">
        <f t="shared" si="3"/>
        <v>45711</v>
      </c>
      <c r="E58" s="11">
        <f t="shared" si="1"/>
        <v>1</v>
      </c>
      <c r="G58" s="11"/>
      <c r="H58" s="11"/>
      <c r="I58" s="12"/>
      <c r="J58" s="228"/>
      <c r="K58" s="12"/>
      <c r="L58" s="12"/>
      <c r="M58" s="12"/>
      <c r="N58" s="12"/>
      <c r="O58" s="219"/>
      <c r="P58" s="219"/>
      <c r="Q58" s="219"/>
      <c r="R58" s="219"/>
      <c r="T58" s="12"/>
      <c r="U58" s="12"/>
      <c r="V58" s="12"/>
      <c r="W58" s="12"/>
      <c r="X58" s="12"/>
      <c r="Z58" s="12"/>
      <c r="AA58" s="12"/>
      <c r="AB58" s="12"/>
      <c r="AC58" s="13"/>
    </row>
    <row r="59" spans="2:31" hidden="1" x14ac:dyDescent="0.2">
      <c r="B59" s="9" t="str">
        <f t="shared" si="0"/>
        <v>2 2025</v>
      </c>
      <c r="C59" s="10">
        <f t="shared" si="2"/>
        <v>45711</v>
      </c>
      <c r="D59" s="10">
        <f t="shared" si="3"/>
        <v>45712</v>
      </c>
      <c r="E59" s="11">
        <f t="shared" si="1"/>
        <v>1</v>
      </c>
      <c r="G59" s="11"/>
      <c r="H59" s="11"/>
      <c r="I59" s="12"/>
      <c r="J59" s="228"/>
      <c r="K59" s="12"/>
      <c r="L59" s="12"/>
      <c r="M59" s="12"/>
      <c r="N59" s="12"/>
      <c r="O59" s="219"/>
      <c r="P59" s="219"/>
      <c r="Q59" s="219"/>
      <c r="R59" s="219"/>
      <c r="T59" s="12"/>
      <c r="U59" s="12"/>
      <c r="V59" s="12"/>
      <c r="W59" s="12"/>
      <c r="X59" s="12"/>
      <c r="Z59" s="12"/>
      <c r="AA59" s="12"/>
      <c r="AB59" s="12"/>
      <c r="AC59" s="13"/>
    </row>
    <row r="60" spans="2:31" hidden="1" x14ac:dyDescent="0.2">
      <c r="B60" s="9" t="str">
        <f t="shared" si="0"/>
        <v>2 2025</v>
      </c>
      <c r="C60" s="10">
        <f t="shared" si="2"/>
        <v>45712</v>
      </c>
      <c r="D60" s="10">
        <f t="shared" si="3"/>
        <v>45713</v>
      </c>
      <c r="E60" s="11">
        <f t="shared" si="1"/>
        <v>1</v>
      </c>
      <c r="G60" s="11"/>
      <c r="H60" s="11"/>
      <c r="I60" s="12"/>
      <c r="J60" s="228"/>
      <c r="K60" s="12"/>
      <c r="L60" s="12"/>
      <c r="M60" s="12"/>
      <c r="N60" s="12"/>
      <c r="O60" s="219"/>
      <c r="P60" s="219"/>
      <c r="Q60" s="219"/>
      <c r="R60" s="219"/>
      <c r="T60" s="12"/>
      <c r="U60" s="12"/>
      <c r="V60" s="12"/>
      <c r="W60" s="12"/>
      <c r="X60" s="12"/>
      <c r="Z60" s="12"/>
      <c r="AA60" s="12"/>
      <c r="AB60" s="12"/>
      <c r="AC60" s="13"/>
    </row>
    <row r="61" spans="2:31" hidden="1" x14ac:dyDescent="0.2">
      <c r="B61" s="9" t="str">
        <f t="shared" si="0"/>
        <v>2 2025</v>
      </c>
      <c r="C61" s="10">
        <f t="shared" si="2"/>
        <v>45713</v>
      </c>
      <c r="D61" s="10">
        <f t="shared" si="3"/>
        <v>45714</v>
      </c>
      <c r="E61" s="11">
        <f t="shared" si="1"/>
        <v>1</v>
      </c>
      <c r="G61" s="11"/>
      <c r="H61" s="11"/>
      <c r="I61" s="12"/>
      <c r="J61" s="228"/>
      <c r="K61" s="12"/>
      <c r="L61" s="12"/>
      <c r="M61" s="12"/>
      <c r="N61" s="12"/>
      <c r="O61" s="219"/>
      <c r="P61" s="219"/>
      <c r="Q61" s="219"/>
      <c r="R61" s="219"/>
      <c r="T61" s="12"/>
      <c r="U61" s="12"/>
      <c r="V61" s="12"/>
      <c r="W61" s="12"/>
      <c r="X61" s="12"/>
      <c r="Z61" s="12"/>
      <c r="AA61" s="12"/>
      <c r="AB61" s="12"/>
      <c r="AC61" s="13"/>
    </row>
    <row r="62" spans="2:31" ht="15.75" hidden="1" customHeight="1" x14ac:dyDescent="0.2">
      <c r="B62" s="9" t="str">
        <f t="shared" si="0"/>
        <v>2 2025</v>
      </c>
      <c r="C62" s="10">
        <f t="shared" si="2"/>
        <v>45714</v>
      </c>
      <c r="D62" s="10">
        <f t="shared" si="3"/>
        <v>45715</v>
      </c>
      <c r="E62" s="11">
        <f t="shared" si="1"/>
        <v>1</v>
      </c>
      <c r="G62" s="11"/>
      <c r="H62" s="11"/>
      <c r="I62" s="12"/>
      <c r="J62" s="228"/>
      <c r="K62" s="12"/>
      <c r="L62" s="12"/>
      <c r="M62" s="12"/>
      <c r="N62" s="12"/>
      <c r="O62" s="219"/>
      <c r="P62" s="219"/>
      <c r="Q62" s="219"/>
      <c r="R62" s="219"/>
      <c r="T62" s="12"/>
      <c r="U62" s="12"/>
      <c r="V62" s="12"/>
      <c r="W62" s="12"/>
      <c r="X62" s="12"/>
      <c r="Z62" s="12"/>
      <c r="AA62" s="12"/>
      <c r="AB62" s="12"/>
      <c r="AC62" s="13"/>
    </row>
    <row r="63" spans="2:31" hidden="1" x14ac:dyDescent="0.2">
      <c r="B63" s="9" t="str">
        <f t="shared" si="0"/>
        <v>2 2025</v>
      </c>
      <c r="C63" s="142">
        <f t="shared" si="2"/>
        <v>45715</v>
      </c>
      <c r="D63" s="142">
        <f t="shared" si="3"/>
        <v>45716</v>
      </c>
      <c r="E63" s="143">
        <f t="shared" si="1"/>
        <v>1</v>
      </c>
      <c r="F63" s="17"/>
      <c r="G63" s="143"/>
      <c r="H63" s="143"/>
      <c r="I63" s="144"/>
      <c r="J63" s="228"/>
      <c r="K63" s="144"/>
      <c r="L63" s="144"/>
      <c r="M63" s="144"/>
      <c r="N63" s="144"/>
      <c r="O63" s="220"/>
      <c r="P63" s="220"/>
      <c r="Q63" s="220"/>
      <c r="R63" s="220"/>
      <c r="T63" s="144"/>
      <c r="U63" s="144"/>
      <c r="V63" s="144"/>
      <c r="W63" s="144"/>
      <c r="X63" s="144"/>
      <c r="Z63" s="144"/>
      <c r="AA63" s="144"/>
      <c r="AB63" s="144"/>
      <c r="AC63" s="146"/>
      <c r="AD63" s="17"/>
      <c r="AE63" s="17"/>
    </row>
    <row r="64" spans="2:31" hidden="1" x14ac:dyDescent="0.2">
      <c r="B64" s="9" t="str">
        <f t="shared" si="0"/>
        <v>3 2025</v>
      </c>
      <c r="C64" s="10">
        <f t="shared" si="2"/>
        <v>45716</v>
      </c>
      <c r="D64" s="10">
        <f t="shared" si="3"/>
        <v>45717</v>
      </c>
      <c r="E64" s="11">
        <f t="shared" si="1"/>
        <v>1</v>
      </c>
      <c r="G64" s="11"/>
      <c r="H64" s="11"/>
      <c r="I64" s="12"/>
      <c r="J64" s="228"/>
      <c r="K64" s="12"/>
      <c r="L64" s="12"/>
      <c r="M64" s="12"/>
      <c r="N64" s="12"/>
      <c r="O64" s="219"/>
      <c r="P64" s="219"/>
      <c r="Q64" s="219"/>
      <c r="R64" s="219"/>
      <c r="T64" s="12"/>
      <c r="U64" s="12"/>
      <c r="V64" s="12"/>
      <c r="W64" s="12"/>
      <c r="X64" s="12"/>
      <c r="Z64" s="12"/>
      <c r="AA64" s="12"/>
      <c r="AB64" s="12"/>
      <c r="AC64" s="13"/>
    </row>
    <row r="65" spans="1:29" hidden="1" x14ac:dyDescent="0.2">
      <c r="B65" s="9" t="str">
        <f t="shared" si="0"/>
        <v>3 2025</v>
      </c>
      <c r="C65" s="10">
        <f t="shared" si="2"/>
        <v>45717</v>
      </c>
      <c r="D65" s="10">
        <f t="shared" si="3"/>
        <v>45718</v>
      </c>
      <c r="E65" s="11">
        <f t="shared" si="1"/>
        <v>1</v>
      </c>
      <c r="G65" s="11"/>
      <c r="H65" s="11"/>
      <c r="I65" s="12"/>
      <c r="J65" s="228"/>
      <c r="K65" s="12"/>
      <c r="L65" s="12"/>
      <c r="M65" s="12"/>
      <c r="N65" s="12"/>
      <c r="O65" s="219"/>
      <c r="P65" s="219"/>
      <c r="Q65" s="219"/>
      <c r="R65" s="219"/>
      <c r="T65" s="12"/>
      <c r="U65" s="12"/>
      <c r="V65" s="12"/>
      <c r="W65" s="12"/>
      <c r="X65" s="12"/>
      <c r="Z65" s="12"/>
      <c r="AA65" s="12"/>
      <c r="AB65" s="12"/>
      <c r="AC65" s="13"/>
    </row>
    <row r="66" spans="1:29" hidden="1" x14ac:dyDescent="0.2">
      <c r="B66" s="9" t="str">
        <f t="shared" si="0"/>
        <v>3 2025</v>
      </c>
      <c r="C66" s="10">
        <f t="shared" si="2"/>
        <v>45718</v>
      </c>
      <c r="D66" s="10">
        <f t="shared" si="3"/>
        <v>45719</v>
      </c>
      <c r="E66" s="11">
        <f t="shared" si="1"/>
        <v>1</v>
      </c>
      <c r="G66" s="11"/>
      <c r="H66" s="11"/>
      <c r="I66" s="12"/>
      <c r="J66" s="228"/>
      <c r="K66" s="12"/>
      <c r="L66" s="12"/>
      <c r="M66" s="12"/>
      <c r="N66" s="12"/>
      <c r="O66" s="219"/>
      <c r="P66" s="219"/>
      <c r="Q66" s="219"/>
      <c r="R66" s="219"/>
      <c r="T66" s="12"/>
      <c r="U66" s="12"/>
      <c r="V66" s="12"/>
      <c r="W66" s="12"/>
      <c r="X66" s="12"/>
      <c r="Z66" s="12"/>
      <c r="AA66" s="12"/>
      <c r="AB66" s="12"/>
      <c r="AC66" s="13"/>
    </row>
    <row r="67" spans="1:29" hidden="1" x14ac:dyDescent="0.2">
      <c r="B67" s="9" t="str">
        <f t="shared" si="0"/>
        <v>3 2025</v>
      </c>
      <c r="C67" s="10">
        <f t="shared" si="2"/>
        <v>45719</v>
      </c>
      <c r="D67" s="10">
        <f t="shared" si="3"/>
        <v>45720</v>
      </c>
      <c r="E67" s="11">
        <f t="shared" si="1"/>
        <v>1</v>
      </c>
      <c r="G67" s="11"/>
      <c r="H67" s="11"/>
      <c r="I67" s="12"/>
      <c r="J67" s="228"/>
      <c r="K67" s="12"/>
      <c r="L67" s="12"/>
      <c r="M67" s="12"/>
      <c r="N67" s="12"/>
      <c r="O67" s="219"/>
      <c r="P67" s="219"/>
      <c r="Q67" s="219"/>
      <c r="R67" s="219"/>
      <c r="T67" s="12"/>
      <c r="U67" s="12"/>
      <c r="V67" s="12"/>
      <c r="W67" s="12"/>
      <c r="X67" s="12"/>
      <c r="Z67" s="12"/>
      <c r="AA67" s="12"/>
      <c r="AB67" s="12"/>
      <c r="AC67" s="13"/>
    </row>
    <row r="68" spans="1:29" hidden="1" x14ac:dyDescent="0.2">
      <c r="B68" s="9" t="str">
        <f t="shared" si="0"/>
        <v>3 2025</v>
      </c>
      <c r="C68" s="10">
        <f t="shared" si="2"/>
        <v>45720</v>
      </c>
      <c r="D68" s="10">
        <f t="shared" si="3"/>
        <v>45721</v>
      </c>
      <c r="E68" s="11">
        <f t="shared" si="1"/>
        <v>1</v>
      </c>
      <c r="G68" s="11"/>
      <c r="H68" s="11"/>
      <c r="I68" s="12"/>
      <c r="J68" s="228"/>
      <c r="K68" s="12"/>
      <c r="L68" s="12"/>
      <c r="M68" s="12"/>
      <c r="N68" s="12"/>
      <c r="O68" s="219"/>
      <c r="P68" s="219"/>
      <c r="Q68" s="219"/>
      <c r="R68" s="219"/>
      <c r="T68" s="12"/>
      <c r="U68" s="12"/>
      <c r="V68" s="12"/>
      <c r="W68" s="12"/>
      <c r="X68" s="12"/>
      <c r="Z68" s="12"/>
      <c r="AA68" s="12"/>
      <c r="AB68" s="12"/>
      <c r="AC68" s="13"/>
    </row>
    <row r="69" spans="1:29" hidden="1" x14ac:dyDescent="0.2">
      <c r="B69" s="9" t="str">
        <f t="shared" si="0"/>
        <v>3 2025</v>
      </c>
      <c r="C69" s="10">
        <f t="shared" si="2"/>
        <v>45721</v>
      </c>
      <c r="D69" s="10">
        <f t="shared" si="3"/>
        <v>45722</v>
      </c>
      <c r="E69" s="11">
        <f t="shared" si="1"/>
        <v>1</v>
      </c>
      <c r="G69" s="11"/>
      <c r="H69" s="11"/>
      <c r="I69" s="12"/>
      <c r="J69" s="228"/>
      <c r="K69" s="12"/>
      <c r="L69" s="12"/>
      <c r="M69" s="12"/>
      <c r="N69" s="12"/>
      <c r="O69" s="219"/>
      <c r="P69" s="219"/>
      <c r="Q69" s="219"/>
      <c r="R69" s="219"/>
      <c r="T69" s="12"/>
      <c r="U69" s="12"/>
      <c r="V69" s="12"/>
      <c r="W69" s="12"/>
      <c r="X69" s="12"/>
      <c r="Z69" s="12"/>
      <c r="AA69" s="12"/>
      <c r="AB69" s="12"/>
      <c r="AC69" s="13"/>
    </row>
    <row r="70" spans="1:29" hidden="1" x14ac:dyDescent="0.2">
      <c r="B70" s="9" t="str">
        <f t="shared" ref="B70:B133" si="4">CONCATENATE(MONTH(D70)," ",YEAR(D70))</f>
        <v>3 2025</v>
      </c>
      <c r="C70" s="10">
        <f t="shared" si="2"/>
        <v>45722</v>
      </c>
      <c r="D70" s="10">
        <f t="shared" si="3"/>
        <v>45723</v>
      </c>
      <c r="E70" s="11">
        <f t="shared" ref="E70:E133" si="5">D70-C70</f>
        <v>1</v>
      </c>
      <c r="G70" s="11"/>
      <c r="H70" s="11"/>
      <c r="I70" s="12"/>
      <c r="J70" s="228"/>
      <c r="K70" s="12"/>
      <c r="L70" s="12"/>
      <c r="M70" s="12"/>
      <c r="N70" s="12"/>
      <c r="O70" s="219"/>
      <c r="P70" s="219"/>
      <c r="Q70" s="219"/>
      <c r="R70" s="219"/>
      <c r="T70" s="12"/>
      <c r="U70" s="12"/>
      <c r="V70" s="12"/>
      <c r="W70" s="12"/>
      <c r="X70" s="12"/>
      <c r="Z70" s="12"/>
      <c r="AA70" s="12"/>
      <c r="AB70" s="12"/>
      <c r="AC70" s="13"/>
    </row>
    <row r="71" spans="1:29" hidden="1" x14ac:dyDescent="0.2">
      <c r="B71" s="9" t="str">
        <f t="shared" si="4"/>
        <v>3 2025</v>
      </c>
      <c r="C71" s="10">
        <f t="shared" si="2"/>
        <v>45723</v>
      </c>
      <c r="D71" s="10">
        <f t="shared" si="3"/>
        <v>45724</v>
      </c>
      <c r="E71" s="11">
        <f t="shared" si="5"/>
        <v>1</v>
      </c>
      <c r="G71" s="11"/>
      <c r="H71" s="11"/>
      <c r="I71" s="12"/>
      <c r="J71" s="228"/>
      <c r="K71" s="12"/>
      <c r="L71" s="12"/>
      <c r="M71" s="12"/>
      <c r="N71" s="12"/>
      <c r="O71" s="219"/>
      <c r="P71" s="219"/>
      <c r="Q71" s="219"/>
      <c r="R71" s="219"/>
      <c r="T71" s="12"/>
      <c r="U71" s="12"/>
      <c r="V71" s="12"/>
      <c r="W71" s="12"/>
      <c r="X71" s="12"/>
      <c r="Z71" s="12"/>
      <c r="AA71" s="12"/>
      <c r="AB71" s="12"/>
      <c r="AC71" s="13"/>
    </row>
    <row r="72" spans="1:29" hidden="1" x14ac:dyDescent="0.2">
      <c r="B72" s="9" t="str">
        <f t="shared" si="4"/>
        <v>3 2025</v>
      </c>
      <c r="C72" s="10">
        <f t="shared" ref="C72:C135" si="6">D71</f>
        <v>45724</v>
      </c>
      <c r="D72" s="10">
        <f t="shared" ref="D72:D135" si="7">D71+1</f>
        <v>45725</v>
      </c>
      <c r="E72" s="11">
        <f t="shared" si="5"/>
        <v>1</v>
      </c>
      <c r="G72" s="11"/>
      <c r="H72" s="11"/>
      <c r="I72" s="12"/>
      <c r="J72" s="228"/>
      <c r="K72" s="12"/>
      <c r="L72" s="12"/>
      <c r="M72" s="12"/>
      <c r="N72" s="12"/>
      <c r="O72" s="219"/>
      <c r="P72" s="219"/>
      <c r="Q72" s="219"/>
      <c r="R72" s="219"/>
      <c r="T72" s="12"/>
      <c r="U72" s="12"/>
      <c r="V72" s="12"/>
      <c r="W72" s="12"/>
      <c r="X72" s="12"/>
      <c r="Z72" s="12"/>
      <c r="AA72" s="12"/>
      <c r="AB72" s="12"/>
      <c r="AC72" s="13"/>
    </row>
    <row r="73" spans="1:29" hidden="1" x14ac:dyDescent="0.2">
      <c r="B73" s="9" t="str">
        <f t="shared" si="4"/>
        <v>3 2025</v>
      </c>
      <c r="C73" s="10">
        <f t="shared" si="6"/>
        <v>45725</v>
      </c>
      <c r="D73" s="10">
        <f t="shared" si="7"/>
        <v>45726</v>
      </c>
      <c r="E73" s="11">
        <f t="shared" si="5"/>
        <v>1</v>
      </c>
      <c r="G73" s="11"/>
      <c r="H73" s="11"/>
      <c r="I73" s="12"/>
      <c r="J73" s="228"/>
      <c r="K73" s="12"/>
      <c r="L73" s="12"/>
      <c r="M73" s="12"/>
      <c r="N73" s="12"/>
      <c r="O73" s="219"/>
      <c r="P73" s="219"/>
      <c r="Q73" s="219"/>
      <c r="R73" s="219"/>
      <c r="T73" s="12"/>
      <c r="U73" s="12"/>
      <c r="V73" s="12"/>
      <c r="W73" s="12"/>
      <c r="X73" s="12"/>
      <c r="Z73" s="12"/>
      <c r="AA73" s="12"/>
      <c r="AB73" s="12"/>
      <c r="AC73" s="13"/>
    </row>
    <row r="74" spans="1:29" hidden="1" x14ac:dyDescent="0.2">
      <c r="A74" s="85" t="s">
        <v>88</v>
      </c>
      <c r="B74" s="9" t="str">
        <f t="shared" si="4"/>
        <v>3 2025</v>
      </c>
      <c r="C74" s="109">
        <f t="shared" si="6"/>
        <v>45726</v>
      </c>
      <c r="D74" s="109">
        <f t="shared" si="7"/>
        <v>45727</v>
      </c>
      <c r="E74" s="11">
        <f t="shared" si="5"/>
        <v>1</v>
      </c>
      <c r="G74" s="11"/>
      <c r="H74" s="206"/>
      <c r="I74" s="98"/>
      <c r="J74" s="228"/>
      <c r="K74" s="195"/>
      <c r="L74" s="98"/>
      <c r="M74" s="213"/>
      <c r="N74" s="98"/>
      <c r="O74" s="217"/>
      <c r="P74" s="217"/>
      <c r="Q74" s="217"/>
      <c r="R74" s="217"/>
      <c r="T74" s="195"/>
      <c r="U74" s="98"/>
      <c r="V74" s="98"/>
      <c r="W74" s="98"/>
      <c r="X74" s="98"/>
      <c r="Z74" s="98"/>
      <c r="AA74" s="98"/>
      <c r="AB74" s="98"/>
      <c r="AC74" s="13"/>
    </row>
    <row r="75" spans="1:29" hidden="1" x14ac:dyDescent="0.2">
      <c r="B75" s="9" t="str">
        <f t="shared" si="4"/>
        <v>3 2025</v>
      </c>
      <c r="C75" s="10">
        <f t="shared" si="6"/>
        <v>45727</v>
      </c>
      <c r="D75" s="10">
        <f t="shared" si="7"/>
        <v>45728</v>
      </c>
      <c r="E75" s="11">
        <f t="shared" si="5"/>
        <v>1</v>
      </c>
      <c r="G75" s="11"/>
      <c r="H75" s="206"/>
      <c r="I75" s="98"/>
      <c r="J75" s="228"/>
      <c r="K75" s="195"/>
      <c r="L75" s="98"/>
      <c r="M75" s="213"/>
      <c r="N75" s="98"/>
      <c r="O75" s="217"/>
      <c r="P75" s="217"/>
      <c r="Q75" s="217"/>
      <c r="R75" s="217"/>
      <c r="T75" s="195"/>
      <c r="U75" s="98"/>
      <c r="V75" s="98"/>
      <c r="W75" s="98"/>
      <c r="X75" s="98"/>
      <c r="Z75" s="98"/>
      <c r="AA75" s="98"/>
      <c r="AB75" s="98"/>
      <c r="AC75" s="13"/>
    </row>
    <row r="76" spans="1:29" hidden="1" x14ac:dyDescent="0.2">
      <c r="B76" s="9" t="str">
        <f t="shared" si="4"/>
        <v>3 2025</v>
      </c>
      <c r="C76" s="10">
        <f t="shared" si="6"/>
        <v>45728</v>
      </c>
      <c r="D76" s="10">
        <f t="shared" si="7"/>
        <v>45729</v>
      </c>
      <c r="E76" s="11">
        <f t="shared" si="5"/>
        <v>1</v>
      </c>
      <c r="G76" s="11"/>
      <c r="H76" s="206"/>
      <c r="I76" s="365"/>
      <c r="J76" s="228"/>
      <c r="K76" s="195"/>
      <c r="L76" s="217"/>
      <c r="M76" s="213"/>
      <c r="N76" s="98"/>
      <c r="O76" s="217"/>
      <c r="P76" s="217"/>
      <c r="Q76" s="217"/>
      <c r="R76" s="217"/>
      <c r="T76" s="195"/>
      <c r="U76" s="98"/>
      <c r="V76" s="98">
        <f t="shared" ref="V76:V139" si="8">X76-U76</f>
        <v>0</v>
      </c>
      <c r="W76" s="98">
        <f t="shared" ref="W76:W139" si="9">V76-V75</f>
        <v>0</v>
      </c>
      <c r="X76" s="98">
        <f t="shared" ref="X76:X139" si="10">T76*I76</f>
        <v>0</v>
      </c>
      <c r="Z76" s="98"/>
      <c r="AA76" s="211"/>
      <c r="AB76" s="98"/>
      <c r="AC76" s="13"/>
    </row>
    <row r="77" spans="1:29" hidden="1" x14ac:dyDescent="0.2">
      <c r="B77" s="9" t="str">
        <f t="shared" si="4"/>
        <v>3 2025</v>
      </c>
      <c r="C77" s="10">
        <f t="shared" si="6"/>
        <v>45729</v>
      </c>
      <c r="D77" s="10">
        <f t="shared" si="7"/>
        <v>45730</v>
      </c>
      <c r="E77" s="11">
        <f t="shared" si="5"/>
        <v>1</v>
      </c>
      <c r="G77" s="11"/>
      <c r="H77" s="206"/>
      <c r="I77" s="365"/>
      <c r="J77" s="228"/>
      <c r="K77" s="195"/>
      <c r="L77" s="217"/>
      <c r="M77" s="213"/>
      <c r="N77" s="98"/>
      <c r="O77" s="217"/>
      <c r="P77" s="217"/>
      <c r="Q77" s="217"/>
      <c r="R77" s="217"/>
      <c r="T77" s="195"/>
      <c r="U77" s="98"/>
      <c r="V77" s="98">
        <f t="shared" si="8"/>
        <v>0</v>
      </c>
      <c r="W77" s="98">
        <f t="shared" si="9"/>
        <v>0</v>
      </c>
      <c r="X77" s="98">
        <f t="shared" si="10"/>
        <v>0</v>
      </c>
      <c r="Z77" s="223" t="e">
        <f t="shared" ref="Z77:Z140" si="11">I77/I76-1</f>
        <v>#DIV/0!</v>
      </c>
      <c r="AA77" s="211"/>
      <c r="AB77" s="200" t="e">
        <f>(#REF!-1)*(360/(C77-$C$76))</f>
        <v>#REF!</v>
      </c>
      <c r="AC77" s="13">
        <f>W77-U76*'OverNight €'!I77*E77/360</f>
        <v>0</v>
      </c>
    </row>
    <row r="78" spans="1:29" hidden="1" x14ac:dyDescent="0.2">
      <c r="B78" s="9" t="str">
        <f t="shared" si="4"/>
        <v>3 2025</v>
      </c>
      <c r="C78" s="10">
        <f t="shared" si="6"/>
        <v>45730</v>
      </c>
      <c r="D78" s="10">
        <f t="shared" si="7"/>
        <v>45731</v>
      </c>
      <c r="E78" s="11">
        <f t="shared" si="5"/>
        <v>1</v>
      </c>
      <c r="G78" s="11"/>
      <c r="H78" s="206"/>
      <c r="I78" s="365"/>
      <c r="J78" s="228"/>
      <c r="K78" s="195"/>
      <c r="L78" s="217"/>
      <c r="M78" s="213"/>
      <c r="N78" s="98"/>
      <c r="O78" s="217"/>
      <c r="P78" s="217"/>
      <c r="Q78" s="217"/>
      <c r="R78" s="217"/>
      <c r="T78" s="195"/>
      <c r="U78" s="98"/>
      <c r="V78" s="98">
        <f t="shared" si="8"/>
        <v>0</v>
      </c>
      <c r="W78" s="98">
        <f t="shared" si="9"/>
        <v>0</v>
      </c>
      <c r="X78" s="98">
        <f t="shared" si="10"/>
        <v>0</v>
      </c>
      <c r="Z78" s="223" t="e">
        <f t="shared" si="11"/>
        <v>#DIV/0!</v>
      </c>
      <c r="AA78" s="211"/>
      <c r="AB78" s="200" t="e">
        <f>(#REF!-1)*(360/(C78-$C$76))</f>
        <v>#REF!</v>
      </c>
      <c r="AC78" s="13">
        <f>W78-U77*'OverNight €'!I78*E78/360</f>
        <v>0</v>
      </c>
    </row>
    <row r="79" spans="1:29" hidden="1" x14ac:dyDescent="0.2">
      <c r="B79" s="9" t="str">
        <f t="shared" si="4"/>
        <v>3 2025</v>
      </c>
      <c r="C79" s="10">
        <f t="shared" si="6"/>
        <v>45731</v>
      </c>
      <c r="D79" s="10">
        <f t="shared" si="7"/>
        <v>45732</v>
      </c>
      <c r="E79" s="11">
        <f t="shared" si="5"/>
        <v>1</v>
      </c>
      <c r="G79" s="11"/>
      <c r="H79" s="206"/>
      <c r="I79" s="365"/>
      <c r="J79" s="228"/>
      <c r="K79" s="195"/>
      <c r="L79" s="217"/>
      <c r="M79" s="213"/>
      <c r="N79" s="98"/>
      <c r="O79" s="217"/>
      <c r="P79" s="217"/>
      <c r="Q79" s="217"/>
      <c r="R79" s="217"/>
      <c r="T79" s="195"/>
      <c r="U79" s="98"/>
      <c r="V79" s="98">
        <f t="shared" si="8"/>
        <v>0</v>
      </c>
      <c r="W79" s="98">
        <f t="shared" si="9"/>
        <v>0</v>
      </c>
      <c r="X79" s="98">
        <f t="shared" si="10"/>
        <v>0</v>
      </c>
      <c r="Z79" s="223" t="e">
        <f t="shared" si="11"/>
        <v>#DIV/0!</v>
      </c>
      <c r="AA79" s="211"/>
      <c r="AB79" s="200" t="e">
        <f>(#REF!-1)*(360/(C79-$C$76))</f>
        <v>#REF!</v>
      </c>
      <c r="AC79" s="13">
        <f>W79-U78*'OverNight €'!I79*E79/360</f>
        <v>0</v>
      </c>
    </row>
    <row r="80" spans="1:29" hidden="1" x14ac:dyDescent="0.2">
      <c r="B80" s="9" t="str">
        <f t="shared" si="4"/>
        <v>3 2025</v>
      </c>
      <c r="C80" s="10">
        <f t="shared" si="6"/>
        <v>45732</v>
      </c>
      <c r="D80" s="10">
        <f t="shared" si="7"/>
        <v>45733</v>
      </c>
      <c r="E80" s="11">
        <f t="shared" si="5"/>
        <v>1</v>
      </c>
      <c r="G80" s="11"/>
      <c r="H80" s="206"/>
      <c r="I80" s="365"/>
      <c r="J80" s="228"/>
      <c r="K80" s="195"/>
      <c r="L80" s="217"/>
      <c r="M80" s="213"/>
      <c r="N80" s="98"/>
      <c r="O80" s="217"/>
      <c r="P80" s="217"/>
      <c r="Q80" s="217"/>
      <c r="R80" s="217"/>
      <c r="T80" s="195"/>
      <c r="U80" s="98"/>
      <c r="V80" s="98">
        <f t="shared" si="8"/>
        <v>0</v>
      </c>
      <c r="W80" s="98">
        <f t="shared" si="9"/>
        <v>0</v>
      </c>
      <c r="X80" s="98">
        <f t="shared" si="10"/>
        <v>0</v>
      </c>
      <c r="Z80" s="223" t="e">
        <f t="shared" si="11"/>
        <v>#DIV/0!</v>
      </c>
      <c r="AA80" s="211"/>
      <c r="AB80" s="200" t="e">
        <f>(#REF!-1)*(360/(C80-$C$76))</f>
        <v>#REF!</v>
      </c>
      <c r="AC80" s="13">
        <f>W80-U79*'OverNight €'!I80*E80/360</f>
        <v>0</v>
      </c>
    </row>
    <row r="81" spans="2:31" hidden="1" x14ac:dyDescent="0.2">
      <c r="B81" s="9" t="str">
        <f t="shared" si="4"/>
        <v>3 2025</v>
      </c>
      <c r="C81" s="10">
        <f t="shared" si="6"/>
        <v>45733</v>
      </c>
      <c r="D81" s="10">
        <f t="shared" si="7"/>
        <v>45734</v>
      </c>
      <c r="E81" s="11">
        <f t="shared" si="5"/>
        <v>1</v>
      </c>
      <c r="G81" s="11"/>
      <c r="H81" s="206"/>
      <c r="I81" s="365"/>
      <c r="J81" s="228"/>
      <c r="K81" s="195"/>
      <c r="L81" s="217"/>
      <c r="M81" s="213"/>
      <c r="N81" s="98"/>
      <c r="O81" s="217"/>
      <c r="P81" s="217"/>
      <c r="Q81" s="217"/>
      <c r="R81" s="217"/>
      <c r="T81" s="195"/>
      <c r="U81" s="98"/>
      <c r="V81" s="98">
        <f t="shared" si="8"/>
        <v>0</v>
      </c>
      <c r="W81" s="98">
        <f t="shared" si="9"/>
        <v>0</v>
      </c>
      <c r="X81" s="98">
        <f t="shared" si="10"/>
        <v>0</v>
      </c>
      <c r="Z81" s="223" t="e">
        <f t="shared" si="11"/>
        <v>#DIV/0!</v>
      </c>
      <c r="AA81" s="211"/>
      <c r="AB81" s="200" t="e">
        <f>(#REF!-1)*(360/(C81-$C$76))</f>
        <v>#REF!</v>
      </c>
      <c r="AC81" s="13">
        <f>W81-U80*'OverNight €'!I81*E81/360</f>
        <v>0</v>
      </c>
    </row>
    <row r="82" spans="2:31" hidden="1" x14ac:dyDescent="0.2">
      <c r="B82" s="9" t="str">
        <f t="shared" si="4"/>
        <v>3 2025</v>
      </c>
      <c r="C82" s="10">
        <f t="shared" si="6"/>
        <v>45734</v>
      </c>
      <c r="D82" s="10">
        <f t="shared" si="7"/>
        <v>45735</v>
      </c>
      <c r="E82" s="11">
        <f t="shared" si="5"/>
        <v>1</v>
      </c>
      <c r="G82" s="11"/>
      <c r="H82" s="206"/>
      <c r="I82" s="365"/>
      <c r="J82" s="228"/>
      <c r="K82" s="195"/>
      <c r="L82" s="217"/>
      <c r="M82" s="213"/>
      <c r="N82" s="98"/>
      <c r="O82" s="217"/>
      <c r="P82" s="217"/>
      <c r="Q82" s="217"/>
      <c r="R82" s="217"/>
      <c r="T82" s="195"/>
      <c r="U82" s="98"/>
      <c r="V82" s="98">
        <f t="shared" si="8"/>
        <v>0</v>
      </c>
      <c r="W82" s="98">
        <f t="shared" si="9"/>
        <v>0</v>
      </c>
      <c r="X82" s="98">
        <f t="shared" si="10"/>
        <v>0</v>
      </c>
      <c r="Z82" s="223" t="e">
        <f t="shared" si="11"/>
        <v>#DIV/0!</v>
      </c>
      <c r="AA82" s="211"/>
      <c r="AB82" s="200" t="e">
        <f>(#REF!-1)*(360/(C82-$C$76))</f>
        <v>#REF!</v>
      </c>
      <c r="AC82" s="13">
        <f>W82-U81*'OverNight €'!I82*E82/360</f>
        <v>0</v>
      </c>
    </row>
    <row r="83" spans="2:31" hidden="1" x14ac:dyDescent="0.2">
      <c r="B83" s="9" t="str">
        <f t="shared" si="4"/>
        <v>3 2025</v>
      </c>
      <c r="C83" s="10">
        <f t="shared" si="6"/>
        <v>45735</v>
      </c>
      <c r="D83" s="10">
        <f t="shared" si="7"/>
        <v>45736</v>
      </c>
      <c r="E83" s="11">
        <f t="shared" si="5"/>
        <v>1</v>
      </c>
      <c r="G83" s="11"/>
      <c r="H83" s="206"/>
      <c r="I83" s="365"/>
      <c r="J83" s="228"/>
      <c r="K83" s="195"/>
      <c r="L83" s="217"/>
      <c r="M83" s="213"/>
      <c r="N83" s="98"/>
      <c r="O83" s="217"/>
      <c r="P83" s="217"/>
      <c r="Q83" s="217"/>
      <c r="R83" s="217"/>
      <c r="T83" s="195"/>
      <c r="U83" s="98"/>
      <c r="V83" s="98">
        <f>X83-U83</f>
        <v>0</v>
      </c>
      <c r="W83" s="98">
        <f>V83-V82</f>
        <v>0</v>
      </c>
      <c r="X83" s="98">
        <f t="shared" si="10"/>
        <v>0</v>
      </c>
      <c r="Z83" s="223" t="e">
        <f t="shared" si="11"/>
        <v>#DIV/0!</v>
      </c>
      <c r="AA83" s="211"/>
      <c r="AB83" s="200" t="e">
        <f>(#REF!-1)*(360/(C83-$C$76))</f>
        <v>#REF!</v>
      </c>
      <c r="AC83" s="13">
        <f>W83-U82*'OverNight €'!I83*E83/360</f>
        <v>0</v>
      </c>
    </row>
    <row r="84" spans="2:31" hidden="1" x14ac:dyDescent="0.2">
      <c r="B84" s="9" t="str">
        <f t="shared" si="4"/>
        <v>3 2025</v>
      </c>
      <c r="C84" s="10">
        <f t="shared" si="6"/>
        <v>45736</v>
      </c>
      <c r="D84" s="10">
        <f t="shared" si="7"/>
        <v>45737</v>
      </c>
      <c r="E84" s="11">
        <f t="shared" si="5"/>
        <v>1</v>
      </c>
      <c r="G84" s="11"/>
      <c r="H84" s="206"/>
      <c r="I84" s="365"/>
      <c r="J84" s="228"/>
      <c r="K84" s="195"/>
      <c r="L84" s="217"/>
      <c r="M84" s="213"/>
      <c r="N84" s="98"/>
      <c r="O84" s="217"/>
      <c r="P84" s="217"/>
      <c r="Q84" s="217"/>
      <c r="R84" s="217"/>
      <c r="T84" s="195"/>
      <c r="U84" s="98"/>
      <c r="V84" s="98">
        <f>X84-U84</f>
        <v>0</v>
      </c>
      <c r="W84" s="98">
        <f>V84-V83</f>
        <v>0</v>
      </c>
      <c r="X84" s="98">
        <f t="shared" si="10"/>
        <v>0</v>
      </c>
      <c r="Z84" s="223" t="e">
        <f t="shared" si="11"/>
        <v>#DIV/0!</v>
      </c>
      <c r="AA84" s="211"/>
      <c r="AB84" s="200" t="e">
        <f>(#REF!-1)*(360/(C84-$C$76))</f>
        <v>#REF!</v>
      </c>
      <c r="AC84" s="13">
        <f>W84-U83*'OverNight €'!I84*E84/360</f>
        <v>0</v>
      </c>
    </row>
    <row r="85" spans="2:31" hidden="1" x14ac:dyDescent="0.2">
      <c r="B85" s="9" t="str">
        <f t="shared" si="4"/>
        <v>3 2025</v>
      </c>
      <c r="C85" s="10">
        <f t="shared" si="6"/>
        <v>45737</v>
      </c>
      <c r="D85" s="10">
        <f t="shared" si="7"/>
        <v>45738</v>
      </c>
      <c r="E85" s="11">
        <f t="shared" si="5"/>
        <v>1</v>
      </c>
      <c r="G85" s="11"/>
      <c r="H85" s="206"/>
      <c r="I85" s="365"/>
      <c r="J85" s="228"/>
      <c r="K85" s="195"/>
      <c r="L85" s="217"/>
      <c r="M85" s="213"/>
      <c r="N85" s="98"/>
      <c r="O85" s="217"/>
      <c r="P85" s="217"/>
      <c r="Q85" s="217"/>
      <c r="R85" s="217"/>
      <c r="T85" s="195"/>
      <c r="U85" s="98"/>
      <c r="V85" s="98">
        <f t="shared" si="8"/>
        <v>0</v>
      </c>
      <c r="W85" s="98">
        <f t="shared" si="9"/>
        <v>0</v>
      </c>
      <c r="X85" s="98">
        <f t="shared" si="10"/>
        <v>0</v>
      </c>
      <c r="Z85" s="223" t="e">
        <f t="shared" si="11"/>
        <v>#DIV/0!</v>
      </c>
      <c r="AA85" s="211"/>
      <c r="AB85" s="200" t="e">
        <f>(#REF!-1)*(360/(C85-$C$76))</f>
        <v>#REF!</v>
      </c>
      <c r="AC85" s="13">
        <f>W85-U84*'OverNight €'!I85*E85/360</f>
        <v>0</v>
      </c>
    </row>
    <row r="86" spans="2:31" hidden="1" x14ac:dyDescent="0.2">
      <c r="B86" s="9" t="str">
        <f t="shared" si="4"/>
        <v>3 2025</v>
      </c>
      <c r="C86" s="10">
        <f t="shared" si="6"/>
        <v>45738</v>
      </c>
      <c r="D86" s="10">
        <f t="shared" si="7"/>
        <v>45739</v>
      </c>
      <c r="E86" s="11">
        <f t="shared" si="5"/>
        <v>1</v>
      </c>
      <c r="G86" s="11"/>
      <c r="H86" s="206"/>
      <c r="I86" s="365"/>
      <c r="J86" s="228"/>
      <c r="K86" s="195"/>
      <c r="L86" s="217"/>
      <c r="M86" s="213"/>
      <c r="N86" s="98"/>
      <c r="O86" s="217"/>
      <c r="P86" s="217"/>
      <c r="Q86" s="217"/>
      <c r="R86" s="217"/>
      <c r="T86" s="195"/>
      <c r="U86" s="98"/>
      <c r="V86" s="98">
        <f t="shared" si="8"/>
        <v>0</v>
      </c>
      <c r="W86" s="98">
        <f t="shared" si="9"/>
        <v>0</v>
      </c>
      <c r="X86" s="98">
        <f t="shared" si="10"/>
        <v>0</v>
      </c>
      <c r="Z86" s="223" t="e">
        <f t="shared" si="11"/>
        <v>#DIV/0!</v>
      </c>
      <c r="AA86" s="211"/>
      <c r="AB86" s="200" t="e">
        <f>(#REF!-1)*(360/(C86-$C$76))</f>
        <v>#REF!</v>
      </c>
      <c r="AC86" s="13">
        <f>W86-U85*'OverNight €'!I86*E86/360</f>
        <v>0</v>
      </c>
    </row>
    <row r="87" spans="2:31" hidden="1" x14ac:dyDescent="0.2">
      <c r="B87" s="9" t="str">
        <f t="shared" si="4"/>
        <v>3 2025</v>
      </c>
      <c r="C87" s="10">
        <f t="shared" si="6"/>
        <v>45739</v>
      </c>
      <c r="D87" s="10">
        <f t="shared" si="7"/>
        <v>45740</v>
      </c>
      <c r="E87" s="11">
        <f t="shared" si="5"/>
        <v>1</v>
      </c>
      <c r="G87" s="11"/>
      <c r="H87" s="206"/>
      <c r="I87" s="365"/>
      <c r="J87" s="228"/>
      <c r="K87" s="195"/>
      <c r="L87" s="217"/>
      <c r="M87" s="213"/>
      <c r="N87" s="98"/>
      <c r="O87" s="217"/>
      <c r="P87" s="217"/>
      <c r="Q87" s="217"/>
      <c r="R87" s="217"/>
      <c r="T87" s="195"/>
      <c r="U87" s="98"/>
      <c r="V87" s="98">
        <f t="shared" si="8"/>
        <v>0</v>
      </c>
      <c r="W87" s="98">
        <f t="shared" si="9"/>
        <v>0</v>
      </c>
      <c r="X87" s="98">
        <f t="shared" si="10"/>
        <v>0</v>
      </c>
      <c r="Z87" s="223" t="e">
        <f t="shared" si="11"/>
        <v>#DIV/0!</v>
      </c>
      <c r="AA87" s="211"/>
      <c r="AB87" s="200" t="e">
        <f>(#REF!-1)*(360/(C87-$C$76))</f>
        <v>#REF!</v>
      </c>
      <c r="AC87" s="13">
        <f>W87-U86*'OverNight €'!I87*E87/360</f>
        <v>0</v>
      </c>
    </row>
    <row r="88" spans="2:31" hidden="1" x14ac:dyDescent="0.2">
      <c r="B88" s="9" t="str">
        <f t="shared" si="4"/>
        <v>3 2025</v>
      </c>
      <c r="C88" s="10">
        <f t="shared" si="6"/>
        <v>45740</v>
      </c>
      <c r="D88" s="10">
        <f t="shared" si="7"/>
        <v>45741</v>
      </c>
      <c r="E88" s="11">
        <f t="shared" si="5"/>
        <v>1</v>
      </c>
      <c r="G88" s="11"/>
      <c r="H88" s="206"/>
      <c r="I88" s="365"/>
      <c r="J88" s="228"/>
      <c r="K88" s="195"/>
      <c r="L88" s="217"/>
      <c r="M88" s="213"/>
      <c r="N88" s="98"/>
      <c r="O88" s="217"/>
      <c r="P88" s="217"/>
      <c r="Q88" s="217"/>
      <c r="R88" s="217"/>
      <c r="T88" s="195"/>
      <c r="U88" s="98"/>
      <c r="V88" s="98">
        <f t="shared" si="8"/>
        <v>0</v>
      </c>
      <c r="W88" s="98">
        <f t="shared" si="9"/>
        <v>0</v>
      </c>
      <c r="X88" s="98">
        <f t="shared" si="10"/>
        <v>0</v>
      </c>
      <c r="Z88" s="223" t="e">
        <f t="shared" si="11"/>
        <v>#DIV/0!</v>
      </c>
      <c r="AA88" s="211"/>
      <c r="AB88" s="200" t="e">
        <f>(#REF!-1)*(360/(C88-$C$76))</f>
        <v>#REF!</v>
      </c>
      <c r="AC88" s="13">
        <f>W88-U87*'OverNight €'!I88*E88/360</f>
        <v>0</v>
      </c>
    </row>
    <row r="89" spans="2:31" hidden="1" x14ac:dyDescent="0.2">
      <c r="B89" s="9" t="str">
        <f t="shared" si="4"/>
        <v>3 2025</v>
      </c>
      <c r="C89" s="10">
        <f t="shared" si="6"/>
        <v>45741</v>
      </c>
      <c r="D89" s="10">
        <f t="shared" si="7"/>
        <v>45742</v>
      </c>
      <c r="E89" s="11">
        <f t="shared" si="5"/>
        <v>1</v>
      </c>
      <c r="G89" s="11"/>
      <c r="H89" s="206"/>
      <c r="I89" s="365"/>
      <c r="J89" s="228"/>
      <c r="K89" s="195"/>
      <c r="L89" s="217"/>
      <c r="M89" s="213"/>
      <c r="N89" s="98"/>
      <c r="O89" s="217"/>
      <c r="P89" s="217"/>
      <c r="Q89" s="217"/>
      <c r="R89" s="217"/>
      <c r="T89" s="195"/>
      <c r="U89" s="98"/>
      <c r="V89" s="98">
        <f t="shared" si="8"/>
        <v>0</v>
      </c>
      <c r="W89" s="98">
        <f t="shared" si="9"/>
        <v>0</v>
      </c>
      <c r="X89" s="98">
        <f t="shared" si="10"/>
        <v>0</v>
      </c>
      <c r="Z89" s="223" t="e">
        <f t="shared" si="11"/>
        <v>#DIV/0!</v>
      </c>
      <c r="AA89" s="211"/>
      <c r="AB89" s="200" t="e">
        <f>(#REF!-1)*(360/(C89-$C$76))</f>
        <v>#REF!</v>
      </c>
      <c r="AC89" s="13">
        <f>W89-U88*'OverNight €'!I89*E89/360</f>
        <v>0</v>
      </c>
    </row>
    <row r="90" spans="2:31" hidden="1" x14ac:dyDescent="0.2">
      <c r="B90" s="9" t="str">
        <f t="shared" si="4"/>
        <v>3 2025</v>
      </c>
      <c r="C90" s="10">
        <f t="shared" si="6"/>
        <v>45742</v>
      </c>
      <c r="D90" s="10">
        <f t="shared" si="7"/>
        <v>45743</v>
      </c>
      <c r="E90" s="11">
        <f t="shared" si="5"/>
        <v>1</v>
      </c>
      <c r="G90" s="11"/>
      <c r="H90" s="206"/>
      <c r="I90" s="365"/>
      <c r="J90" s="228"/>
      <c r="K90" s="195"/>
      <c r="L90" s="217"/>
      <c r="M90" s="213"/>
      <c r="N90" s="98"/>
      <c r="O90" s="217"/>
      <c r="P90" s="217"/>
      <c r="Q90" s="217"/>
      <c r="R90" s="217"/>
      <c r="T90" s="195"/>
      <c r="U90" s="98"/>
      <c r="V90" s="98">
        <f t="shared" si="8"/>
        <v>0</v>
      </c>
      <c r="W90" s="98">
        <f t="shared" si="9"/>
        <v>0</v>
      </c>
      <c r="X90" s="98">
        <f t="shared" si="10"/>
        <v>0</v>
      </c>
      <c r="Z90" s="223" t="e">
        <f t="shared" si="11"/>
        <v>#DIV/0!</v>
      </c>
      <c r="AA90" s="211"/>
      <c r="AB90" s="200" t="e">
        <f>(#REF!-1)*(360/(C90-$C$76))</f>
        <v>#REF!</v>
      </c>
      <c r="AC90" s="13">
        <f>W90-U89*'OverNight €'!I90*E90/360</f>
        <v>0</v>
      </c>
    </row>
    <row r="91" spans="2:31" hidden="1" x14ac:dyDescent="0.2">
      <c r="B91" s="9" t="str">
        <f t="shared" si="4"/>
        <v>3 2025</v>
      </c>
      <c r="C91" s="10">
        <f t="shared" si="6"/>
        <v>45743</v>
      </c>
      <c r="D91" s="10">
        <f t="shared" si="7"/>
        <v>45744</v>
      </c>
      <c r="E91" s="11">
        <f t="shared" si="5"/>
        <v>1</v>
      </c>
      <c r="G91" s="11"/>
      <c r="H91" s="206"/>
      <c r="I91" s="365"/>
      <c r="J91" s="228"/>
      <c r="K91" s="195"/>
      <c r="L91" s="217"/>
      <c r="M91" s="213"/>
      <c r="N91" s="98"/>
      <c r="O91" s="217"/>
      <c r="P91" s="217"/>
      <c r="Q91" s="217"/>
      <c r="R91" s="217"/>
      <c r="T91" s="195"/>
      <c r="U91" s="98"/>
      <c r="V91" s="98">
        <f t="shared" si="8"/>
        <v>0</v>
      </c>
      <c r="W91" s="98">
        <f t="shared" si="9"/>
        <v>0</v>
      </c>
      <c r="X91" s="98">
        <f t="shared" si="10"/>
        <v>0</v>
      </c>
      <c r="Z91" s="223" t="e">
        <f t="shared" si="11"/>
        <v>#DIV/0!</v>
      </c>
      <c r="AA91" s="211"/>
      <c r="AB91" s="200" t="e">
        <f>(#REF!-1)*(360/(C91-$C$76))</f>
        <v>#REF!</v>
      </c>
      <c r="AC91" s="13">
        <f>W91-U90*'OverNight €'!I91*E91/360</f>
        <v>0</v>
      </c>
    </row>
    <row r="92" spans="2:31" hidden="1" x14ac:dyDescent="0.2">
      <c r="B92" s="9" t="str">
        <f t="shared" si="4"/>
        <v>3 2025</v>
      </c>
      <c r="C92" s="10">
        <f t="shared" si="6"/>
        <v>45744</v>
      </c>
      <c r="D92" s="10">
        <f t="shared" si="7"/>
        <v>45745</v>
      </c>
      <c r="E92" s="11">
        <f t="shared" si="5"/>
        <v>1</v>
      </c>
      <c r="G92" s="11"/>
      <c r="H92" s="206"/>
      <c r="I92" s="365"/>
      <c r="J92" s="228"/>
      <c r="K92" s="195"/>
      <c r="L92" s="217"/>
      <c r="M92" s="213"/>
      <c r="N92" s="98"/>
      <c r="O92" s="217"/>
      <c r="P92" s="217"/>
      <c r="Q92" s="217"/>
      <c r="R92" s="217"/>
      <c r="T92" s="195"/>
      <c r="U92" s="98"/>
      <c r="V92" s="98">
        <f t="shared" si="8"/>
        <v>0</v>
      </c>
      <c r="W92" s="98">
        <f t="shared" si="9"/>
        <v>0</v>
      </c>
      <c r="X92" s="98">
        <f t="shared" si="10"/>
        <v>0</v>
      </c>
      <c r="Z92" s="223" t="e">
        <f t="shared" si="11"/>
        <v>#DIV/0!</v>
      </c>
      <c r="AA92" s="211"/>
      <c r="AB92" s="200" t="e">
        <f>(#REF!-1)*(360/(C92-$C$76))</f>
        <v>#REF!</v>
      </c>
      <c r="AC92" s="13">
        <f>W92-U91*'OverNight €'!I92*E92/360</f>
        <v>0</v>
      </c>
    </row>
    <row r="93" spans="2:31" hidden="1" x14ac:dyDescent="0.2">
      <c r="B93" s="9" t="str">
        <f t="shared" si="4"/>
        <v>3 2025</v>
      </c>
      <c r="C93" s="10">
        <f t="shared" si="6"/>
        <v>45745</v>
      </c>
      <c r="D93" s="10">
        <f t="shared" si="7"/>
        <v>45746</v>
      </c>
      <c r="E93" s="11">
        <f t="shared" si="5"/>
        <v>1</v>
      </c>
      <c r="G93" s="11"/>
      <c r="H93" s="206"/>
      <c r="I93" s="365"/>
      <c r="J93" s="228"/>
      <c r="K93" s="195"/>
      <c r="L93" s="217"/>
      <c r="M93" s="213"/>
      <c r="N93" s="98"/>
      <c r="O93" s="217"/>
      <c r="P93" s="217"/>
      <c r="Q93" s="217"/>
      <c r="R93" s="217"/>
      <c r="T93" s="195"/>
      <c r="U93" s="98"/>
      <c r="V93" s="98">
        <f t="shared" si="8"/>
        <v>0</v>
      </c>
      <c r="W93" s="98">
        <f t="shared" si="9"/>
        <v>0</v>
      </c>
      <c r="X93" s="98">
        <f t="shared" si="10"/>
        <v>0</v>
      </c>
      <c r="Z93" s="223" t="e">
        <f t="shared" si="11"/>
        <v>#DIV/0!</v>
      </c>
      <c r="AA93" s="211"/>
      <c r="AB93" s="200" t="e">
        <f>(#REF!-1)*(360/(C93-$C$76))</f>
        <v>#REF!</v>
      </c>
      <c r="AC93" s="13">
        <f>W93-U92*'OverNight €'!I93*E93/360</f>
        <v>0</v>
      </c>
    </row>
    <row r="94" spans="2:31" hidden="1" x14ac:dyDescent="0.2">
      <c r="B94" s="9" t="str">
        <f t="shared" si="4"/>
        <v>3 2025</v>
      </c>
      <c r="C94" s="142">
        <f t="shared" si="6"/>
        <v>45746</v>
      </c>
      <c r="D94" s="142">
        <f t="shared" si="7"/>
        <v>45747</v>
      </c>
      <c r="E94" s="143">
        <f t="shared" si="5"/>
        <v>1</v>
      </c>
      <c r="F94" s="17"/>
      <c r="G94" s="196"/>
      <c r="H94" s="207"/>
      <c r="I94" s="366"/>
      <c r="J94" s="228"/>
      <c r="K94" s="198"/>
      <c r="L94" s="218"/>
      <c r="M94" s="214"/>
      <c r="N94" s="197"/>
      <c r="O94" s="218"/>
      <c r="P94" s="218"/>
      <c r="Q94" s="218"/>
      <c r="R94" s="218"/>
      <c r="T94" s="198"/>
      <c r="U94" s="197"/>
      <c r="V94" s="197">
        <f t="shared" si="8"/>
        <v>0</v>
      </c>
      <c r="W94" s="197">
        <f t="shared" si="9"/>
        <v>0</v>
      </c>
      <c r="X94" s="197">
        <f t="shared" si="10"/>
        <v>0</v>
      </c>
      <c r="Z94" s="224" t="e">
        <f t="shared" si="11"/>
        <v>#DIV/0!</v>
      </c>
      <c r="AA94" s="212"/>
      <c r="AB94" s="210" t="e">
        <f>(#REF!-1)*(360/(C94-$C$76))</f>
        <v>#REF!</v>
      </c>
      <c r="AC94" s="199">
        <f>W94-U93*'OverNight €'!I94*E94/360</f>
        <v>0</v>
      </c>
      <c r="AD94" s="17"/>
      <c r="AE94" s="17"/>
    </row>
    <row r="95" spans="2:31" hidden="1" x14ac:dyDescent="0.2">
      <c r="B95" s="9" t="str">
        <f t="shared" si="4"/>
        <v>4 2025</v>
      </c>
      <c r="C95" s="10">
        <f t="shared" si="6"/>
        <v>45747</v>
      </c>
      <c r="D95" s="10">
        <f t="shared" si="7"/>
        <v>45748</v>
      </c>
      <c r="E95" s="11">
        <f t="shared" si="5"/>
        <v>1</v>
      </c>
      <c r="G95" s="196"/>
      <c r="H95" s="207"/>
      <c r="I95" s="366"/>
      <c r="J95" s="228"/>
      <c r="K95" s="198"/>
      <c r="L95" s="218"/>
      <c r="M95" s="214"/>
      <c r="N95" s="197"/>
      <c r="O95" s="218"/>
      <c r="P95" s="218"/>
      <c r="Q95" s="218"/>
      <c r="R95" s="218"/>
      <c r="T95" s="198"/>
      <c r="U95" s="197"/>
      <c r="V95" s="197">
        <f t="shared" si="8"/>
        <v>0</v>
      </c>
      <c r="W95" s="197">
        <f t="shared" si="9"/>
        <v>0</v>
      </c>
      <c r="X95" s="197">
        <f t="shared" si="10"/>
        <v>0</v>
      </c>
      <c r="Z95" s="224" t="e">
        <f t="shared" si="11"/>
        <v>#DIV/0!</v>
      </c>
      <c r="AA95" s="212"/>
      <c r="AB95" s="210" t="e">
        <f>(#REF!-1)*(360/(C95-$C$76))</f>
        <v>#REF!</v>
      </c>
      <c r="AC95" s="199">
        <f>W95-U94*'OverNight €'!I95*E95/360</f>
        <v>0</v>
      </c>
    </row>
    <row r="96" spans="2:31" hidden="1" x14ac:dyDescent="0.2">
      <c r="B96" s="9" t="str">
        <f t="shared" si="4"/>
        <v>4 2025</v>
      </c>
      <c r="C96" s="10">
        <f t="shared" si="6"/>
        <v>45748</v>
      </c>
      <c r="D96" s="10">
        <f t="shared" si="7"/>
        <v>45749</v>
      </c>
      <c r="E96" s="11">
        <f t="shared" si="5"/>
        <v>1</v>
      </c>
      <c r="G96" s="11"/>
      <c r="H96" s="206"/>
      <c r="I96" s="367"/>
      <c r="J96" s="228"/>
      <c r="K96" s="12"/>
      <c r="L96" s="219"/>
      <c r="M96" s="215"/>
      <c r="N96" s="12"/>
      <c r="O96" s="219"/>
      <c r="P96" s="219"/>
      <c r="Q96" s="219"/>
      <c r="R96" s="219"/>
      <c r="T96" s="277"/>
      <c r="U96" s="12"/>
      <c r="V96" s="98">
        <f t="shared" si="8"/>
        <v>0</v>
      </c>
      <c r="W96" s="98">
        <f t="shared" si="9"/>
        <v>0</v>
      </c>
      <c r="X96" s="98">
        <f t="shared" si="10"/>
        <v>0</v>
      </c>
      <c r="Z96" s="223" t="e">
        <f t="shared" si="11"/>
        <v>#DIV/0!</v>
      </c>
      <c r="AA96" s="211"/>
      <c r="AB96" s="200" t="e">
        <f>(#REF!-1)*(360/(C96-$C$76))</f>
        <v>#REF!</v>
      </c>
      <c r="AC96" s="13">
        <f>W96-U95*'OverNight €'!I96*E96/360</f>
        <v>0</v>
      </c>
    </row>
    <row r="97" spans="2:29" hidden="1" x14ac:dyDescent="0.2">
      <c r="B97" s="9" t="str">
        <f t="shared" si="4"/>
        <v>4 2025</v>
      </c>
      <c r="C97" s="10">
        <f t="shared" si="6"/>
        <v>45749</v>
      </c>
      <c r="D97" s="10">
        <f t="shared" si="7"/>
        <v>45750</v>
      </c>
      <c r="E97" s="11">
        <f t="shared" si="5"/>
        <v>1</v>
      </c>
      <c r="G97" s="11"/>
      <c r="H97" s="206"/>
      <c r="I97" s="367"/>
      <c r="J97" s="228"/>
      <c r="K97" s="12"/>
      <c r="L97" s="219"/>
      <c r="M97" s="215"/>
      <c r="N97" s="12"/>
      <c r="O97" s="219"/>
      <c r="P97" s="219"/>
      <c r="Q97" s="219"/>
      <c r="R97" s="219"/>
      <c r="T97" s="277"/>
      <c r="U97" s="12"/>
      <c r="V97" s="12">
        <f t="shared" ref="V97:V99" si="12">X97-U97</f>
        <v>0</v>
      </c>
      <c r="W97" s="98">
        <f t="shared" ref="W97:W99" si="13">V97-V96</f>
        <v>0</v>
      </c>
      <c r="X97" s="12">
        <f t="shared" si="10"/>
        <v>0</v>
      </c>
      <c r="Z97" s="211" t="e">
        <f t="shared" si="11"/>
        <v>#DIV/0!</v>
      </c>
      <c r="AA97" s="245"/>
      <c r="AB97" s="200" t="e">
        <f>(#REF!-1)*(360/(C97-$C$76))</f>
        <v>#REF!</v>
      </c>
      <c r="AC97" s="13">
        <f>W97-U96*'OverNight €'!I97*E97/360</f>
        <v>0</v>
      </c>
    </row>
    <row r="98" spans="2:29" hidden="1" x14ac:dyDescent="0.2">
      <c r="B98" s="9" t="str">
        <f t="shared" si="4"/>
        <v>4 2025</v>
      </c>
      <c r="C98" s="10">
        <f t="shared" si="6"/>
        <v>45750</v>
      </c>
      <c r="D98" s="10">
        <f t="shared" si="7"/>
        <v>45751</v>
      </c>
      <c r="E98" s="11">
        <f t="shared" si="5"/>
        <v>1</v>
      </c>
      <c r="G98" s="11"/>
      <c r="H98" s="206"/>
      <c r="I98" s="367"/>
      <c r="J98" s="228"/>
      <c r="K98" s="12"/>
      <c r="L98" s="219"/>
      <c r="M98" s="215"/>
      <c r="N98" s="12"/>
      <c r="O98" s="219"/>
      <c r="P98" s="219"/>
      <c r="Q98" s="219"/>
      <c r="R98" s="219"/>
      <c r="T98" s="277"/>
      <c r="U98" s="12"/>
      <c r="V98" s="12">
        <f t="shared" si="12"/>
        <v>0</v>
      </c>
      <c r="W98" s="98">
        <f t="shared" si="13"/>
        <v>0</v>
      </c>
      <c r="X98" s="12">
        <f t="shared" si="10"/>
        <v>0</v>
      </c>
      <c r="Z98" s="211" t="e">
        <f t="shared" si="11"/>
        <v>#DIV/0!</v>
      </c>
      <c r="AA98" s="245"/>
      <c r="AB98" s="200" t="e">
        <f>(#REF!-1)*(360/(C98-$C$76))</f>
        <v>#REF!</v>
      </c>
      <c r="AC98" s="13">
        <f>W98-U97*'OverNight €'!I98*E98/360</f>
        <v>0</v>
      </c>
    </row>
    <row r="99" spans="2:29" hidden="1" x14ac:dyDescent="0.2">
      <c r="B99" s="9" t="str">
        <f t="shared" si="4"/>
        <v>4 2025</v>
      </c>
      <c r="C99" s="10">
        <f t="shared" si="6"/>
        <v>45751</v>
      </c>
      <c r="D99" s="10">
        <f t="shared" si="7"/>
        <v>45752</v>
      </c>
      <c r="E99" s="11">
        <f t="shared" si="5"/>
        <v>1</v>
      </c>
      <c r="G99" s="11"/>
      <c r="H99" s="206"/>
      <c r="I99" s="367"/>
      <c r="J99" s="228"/>
      <c r="K99" s="12"/>
      <c r="L99" s="219"/>
      <c r="M99" s="215"/>
      <c r="N99" s="12"/>
      <c r="O99" s="219"/>
      <c r="P99" s="219"/>
      <c r="Q99" s="219"/>
      <c r="R99" s="219"/>
      <c r="T99" s="277"/>
      <c r="U99" s="12"/>
      <c r="V99" s="12">
        <f t="shared" si="12"/>
        <v>0</v>
      </c>
      <c r="W99" s="98">
        <f t="shared" si="13"/>
        <v>0</v>
      </c>
      <c r="X99" s="12">
        <f t="shared" si="10"/>
        <v>0</v>
      </c>
      <c r="Z99" s="211" t="e">
        <f t="shared" si="11"/>
        <v>#DIV/0!</v>
      </c>
      <c r="AA99" s="245"/>
      <c r="AB99" s="200" t="e">
        <f>(#REF!-1)*(360/(C99-$C$76))</f>
        <v>#REF!</v>
      </c>
      <c r="AC99" s="13">
        <f>W99-U98*'OverNight €'!I99*E99/360</f>
        <v>0</v>
      </c>
    </row>
    <row r="100" spans="2:29" hidden="1" x14ac:dyDescent="0.2">
      <c r="B100" s="9" t="str">
        <f t="shared" si="4"/>
        <v>4 2025</v>
      </c>
      <c r="C100" s="10">
        <f t="shared" si="6"/>
        <v>45752</v>
      </c>
      <c r="D100" s="10">
        <f t="shared" si="7"/>
        <v>45753</v>
      </c>
      <c r="E100" s="11">
        <f t="shared" si="5"/>
        <v>1</v>
      </c>
      <c r="G100" s="11"/>
      <c r="H100" s="206"/>
      <c r="I100" s="367"/>
      <c r="J100" s="228"/>
      <c r="K100" s="12"/>
      <c r="L100" s="219"/>
      <c r="M100" s="215"/>
      <c r="N100" s="12"/>
      <c r="O100" s="219"/>
      <c r="P100" s="219"/>
      <c r="Q100" s="219"/>
      <c r="R100" s="219"/>
      <c r="T100" s="277"/>
      <c r="U100" s="12"/>
      <c r="V100" s="12">
        <f t="shared" si="8"/>
        <v>0</v>
      </c>
      <c r="W100" s="98">
        <f t="shared" si="9"/>
        <v>0</v>
      </c>
      <c r="X100" s="12">
        <f t="shared" si="10"/>
        <v>0</v>
      </c>
      <c r="Z100" s="211" t="e">
        <f t="shared" si="11"/>
        <v>#DIV/0!</v>
      </c>
      <c r="AA100" s="245"/>
      <c r="AB100" s="200" t="e">
        <f>(#REF!-1)*(360/(C100-$C$76))</f>
        <v>#REF!</v>
      </c>
      <c r="AC100" s="13">
        <f>W100-U99*'OverNight €'!I100*E100/360</f>
        <v>0</v>
      </c>
    </row>
    <row r="101" spans="2:29" hidden="1" x14ac:dyDescent="0.2">
      <c r="B101" s="9" t="str">
        <f t="shared" si="4"/>
        <v>4 2025</v>
      </c>
      <c r="C101" s="10">
        <f t="shared" si="6"/>
        <v>45753</v>
      </c>
      <c r="D101" s="10">
        <f t="shared" si="7"/>
        <v>45754</v>
      </c>
      <c r="E101" s="11">
        <f t="shared" si="5"/>
        <v>1</v>
      </c>
      <c r="G101" s="11"/>
      <c r="H101" s="206"/>
      <c r="I101" s="367"/>
      <c r="J101" s="228"/>
      <c r="K101" s="12"/>
      <c r="L101" s="219"/>
      <c r="M101" s="215"/>
      <c r="N101" s="12"/>
      <c r="O101" s="219"/>
      <c r="P101" s="219"/>
      <c r="Q101" s="219"/>
      <c r="R101" s="219"/>
      <c r="T101" s="277"/>
      <c r="U101" s="12"/>
      <c r="V101" s="12">
        <f t="shared" si="8"/>
        <v>0</v>
      </c>
      <c r="W101" s="98">
        <f t="shared" si="9"/>
        <v>0</v>
      </c>
      <c r="X101" s="12">
        <f t="shared" si="10"/>
        <v>0</v>
      </c>
      <c r="Z101" s="211" t="e">
        <f t="shared" si="11"/>
        <v>#DIV/0!</v>
      </c>
      <c r="AA101" s="245"/>
      <c r="AB101" s="200" t="e">
        <f>(#REF!-1)*(360/(C101-$C$76))</f>
        <v>#REF!</v>
      </c>
      <c r="AC101" s="13">
        <f>W101-U100*'OverNight €'!I101*E101/360</f>
        <v>0</v>
      </c>
    </row>
    <row r="102" spans="2:29" hidden="1" x14ac:dyDescent="0.2">
      <c r="B102" s="9" t="str">
        <f t="shared" si="4"/>
        <v>4 2025</v>
      </c>
      <c r="C102" s="10">
        <f t="shared" si="6"/>
        <v>45754</v>
      </c>
      <c r="D102" s="10">
        <f t="shared" si="7"/>
        <v>45755</v>
      </c>
      <c r="E102" s="11">
        <f t="shared" si="5"/>
        <v>1</v>
      </c>
      <c r="G102" s="11"/>
      <c r="H102" s="206"/>
      <c r="I102" s="367"/>
      <c r="J102" s="228"/>
      <c r="K102" s="12"/>
      <c r="L102" s="219"/>
      <c r="M102" s="215"/>
      <c r="N102" s="12"/>
      <c r="O102" s="219"/>
      <c r="P102" s="219"/>
      <c r="Q102" s="219"/>
      <c r="R102" s="219"/>
      <c r="T102" s="277"/>
      <c r="U102" s="12"/>
      <c r="V102" s="12">
        <f t="shared" si="8"/>
        <v>0</v>
      </c>
      <c r="W102" s="98">
        <f t="shared" si="9"/>
        <v>0</v>
      </c>
      <c r="X102" s="12">
        <f t="shared" si="10"/>
        <v>0</v>
      </c>
      <c r="Z102" s="211" t="e">
        <f t="shared" si="11"/>
        <v>#DIV/0!</v>
      </c>
      <c r="AA102" s="245"/>
      <c r="AB102" s="200" t="e">
        <f>(#REF!-1)*(360/(C102-$C$76))</f>
        <v>#REF!</v>
      </c>
      <c r="AC102" s="13">
        <f>W102-U101*'OverNight €'!I102*E102/360</f>
        <v>0</v>
      </c>
    </row>
    <row r="103" spans="2:29" hidden="1" x14ac:dyDescent="0.2">
      <c r="B103" s="9" t="str">
        <f t="shared" si="4"/>
        <v>4 2025</v>
      </c>
      <c r="C103" s="10">
        <f t="shared" si="6"/>
        <v>45755</v>
      </c>
      <c r="D103" s="10">
        <f t="shared" si="7"/>
        <v>45756</v>
      </c>
      <c r="E103" s="11">
        <f t="shared" si="5"/>
        <v>1</v>
      </c>
      <c r="G103" s="11"/>
      <c r="H103" s="206"/>
      <c r="I103" s="367"/>
      <c r="J103" s="228"/>
      <c r="K103" s="12"/>
      <c r="L103" s="219"/>
      <c r="M103" s="215"/>
      <c r="N103" s="12"/>
      <c r="O103" s="219"/>
      <c r="P103" s="219"/>
      <c r="Q103" s="219"/>
      <c r="R103" s="219"/>
      <c r="T103" s="277"/>
      <c r="U103" s="12"/>
      <c r="V103" s="12">
        <f t="shared" si="8"/>
        <v>0</v>
      </c>
      <c r="W103" s="98">
        <f t="shared" si="9"/>
        <v>0</v>
      </c>
      <c r="X103" s="12">
        <f t="shared" si="10"/>
        <v>0</v>
      </c>
      <c r="Z103" s="211" t="e">
        <f t="shared" si="11"/>
        <v>#DIV/0!</v>
      </c>
      <c r="AA103" s="245"/>
      <c r="AB103" s="200" t="e">
        <f>(#REF!-1)*(360/(C103-$C$76))</f>
        <v>#REF!</v>
      </c>
      <c r="AC103" s="13">
        <f>W103-U102*'OverNight €'!I103*E103/360</f>
        <v>0</v>
      </c>
    </row>
    <row r="104" spans="2:29" hidden="1" x14ac:dyDescent="0.2">
      <c r="B104" s="9" t="str">
        <f t="shared" si="4"/>
        <v>4 2025</v>
      </c>
      <c r="C104" s="10">
        <f t="shared" si="6"/>
        <v>45756</v>
      </c>
      <c r="D104" s="10">
        <f t="shared" si="7"/>
        <v>45757</v>
      </c>
      <c r="E104" s="11">
        <f t="shared" si="5"/>
        <v>1</v>
      </c>
      <c r="G104" s="11"/>
      <c r="H104" s="206"/>
      <c r="I104" s="367"/>
      <c r="J104" s="228"/>
      <c r="K104" s="12"/>
      <c r="L104" s="219"/>
      <c r="M104" s="215"/>
      <c r="N104" s="12"/>
      <c r="O104" s="219"/>
      <c r="P104" s="219"/>
      <c r="Q104" s="219"/>
      <c r="R104" s="219"/>
      <c r="T104" s="277"/>
      <c r="U104" s="12"/>
      <c r="V104" s="12">
        <f t="shared" si="8"/>
        <v>0</v>
      </c>
      <c r="W104" s="98">
        <f t="shared" si="9"/>
        <v>0</v>
      </c>
      <c r="X104" s="12">
        <f t="shared" si="10"/>
        <v>0</v>
      </c>
      <c r="Z104" s="211" t="e">
        <f t="shared" si="11"/>
        <v>#DIV/0!</v>
      </c>
      <c r="AA104" s="245"/>
      <c r="AB104" s="200" t="e">
        <f>(#REF!-1)*(360/(C104-$C$76))</f>
        <v>#REF!</v>
      </c>
      <c r="AC104" s="13">
        <f>W104-U103*'OverNight €'!I104*E104/360</f>
        <v>0</v>
      </c>
    </row>
    <row r="105" spans="2:29" hidden="1" x14ac:dyDescent="0.2">
      <c r="B105" s="9" t="str">
        <f t="shared" si="4"/>
        <v>4 2025</v>
      </c>
      <c r="C105" s="10">
        <f t="shared" si="6"/>
        <v>45757</v>
      </c>
      <c r="D105" s="10">
        <f t="shared" si="7"/>
        <v>45758</v>
      </c>
      <c r="E105" s="11">
        <f t="shared" si="5"/>
        <v>1</v>
      </c>
      <c r="G105" s="11"/>
      <c r="H105" s="206"/>
      <c r="I105" s="367"/>
      <c r="J105" s="228"/>
      <c r="K105" s="12"/>
      <c r="L105" s="219"/>
      <c r="M105" s="215"/>
      <c r="N105" s="12"/>
      <c r="O105" s="219"/>
      <c r="P105" s="219"/>
      <c r="Q105" s="219"/>
      <c r="R105" s="219"/>
      <c r="T105" s="277"/>
      <c r="U105" s="12"/>
      <c r="V105" s="12">
        <f t="shared" si="8"/>
        <v>0</v>
      </c>
      <c r="W105" s="98">
        <f t="shared" si="9"/>
        <v>0</v>
      </c>
      <c r="X105" s="12">
        <f t="shared" si="10"/>
        <v>0</v>
      </c>
      <c r="Z105" s="211" t="e">
        <f t="shared" si="11"/>
        <v>#DIV/0!</v>
      </c>
      <c r="AA105" s="245"/>
      <c r="AB105" s="200" t="e">
        <f>(#REF!-1)*(360/(C105-$C$76))</f>
        <v>#REF!</v>
      </c>
      <c r="AC105" s="13">
        <f>W105-U104*'OverNight €'!I105*E105/360</f>
        <v>0</v>
      </c>
    </row>
    <row r="106" spans="2:29" hidden="1" x14ac:dyDescent="0.2">
      <c r="B106" s="9" t="str">
        <f t="shared" si="4"/>
        <v>4 2025</v>
      </c>
      <c r="C106" s="10">
        <f t="shared" si="6"/>
        <v>45758</v>
      </c>
      <c r="D106" s="10">
        <f t="shared" si="7"/>
        <v>45759</v>
      </c>
      <c r="E106" s="11">
        <f t="shared" si="5"/>
        <v>1</v>
      </c>
      <c r="G106" s="11"/>
      <c r="H106" s="206"/>
      <c r="I106" s="367"/>
      <c r="J106" s="228"/>
      <c r="K106" s="12"/>
      <c r="L106" s="219"/>
      <c r="M106" s="215"/>
      <c r="N106" s="12"/>
      <c r="O106" s="219"/>
      <c r="P106" s="219"/>
      <c r="Q106" s="219"/>
      <c r="R106" s="219"/>
      <c r="T106" s="277"/>
      <c r="U106" s="12"/>
      <c r="V106" s="12">
        <f t="shared" si="8"/>
        <v>0</v>
      </c>
      <c r="W106" s="98">
        <f t="shared" si="9"/>
        <v>0</v>
      </c>
      <c r="X106" s="12">
        <f t="shared" si="10"/>
        <v>0</v>
      </c>
      <c r="Z106" s="211" t="e">
        <f t="shared" si="11"/>
        <v>#DIV/0!</v>
      </c>
      <c r="AA106" s="245"/>
      <c r="AB106" s="200" t="e">
        <f>(#REF!-1)*(360/(C106-$C$76))</f>
        <v>#REF!</v>
      </c>
      <c r="AC106" s="13">
        <f>W106-U105*'OverNight €'!I106*E106/360</f>
        <v>0</v>
      </c>
    </row>
    <row r="107" spans="2:29" hidden="1" x14ac:dyDescent="0.2">
      <c r="B107" s="9" t="str">
        <f t="shared" si="4"/>
        <v>4 2025</v>
      </c>
      <c r="C107" s="10">
        <f t="shared" si="6"/>
        <v>45759</v>
      </c>
      <c r="D107" s="10">
        <f t="shared" si="7"/>
        <v>45760</v>
      </c>
      <c r="E107" s="11">
        <f t="shared" si="5"/>
        <v>1</v>
      </c>
      <c r="G107" s="11"/>
      <c r="H107" s="206"/>
      <c r="I107" s="367"/>
      <c r="J107" s="228"/>
      <c r="K107" s="12"/>
      <c r="L107" s="219"/>
      <c r="M107" s="215"/>
      <c r="N107" s="12"/>
      <c r="O107" s="219"/>
      <c r="P107" s="219"/>
      <c r="Q107" s="219"/>
      <c r="R107" s="219"/>
      <c r="T107" s="277"/>
      <c r="U107" s="12"/>
      <c r="V107" s="12">
        <f t="shared" si="8"/>
        <v>0</v>
      </c>
      <c r="W107" s="98">
        <f t="shared" si="9"/>
        <v>0</v>
      </c>
      <c r="X107" s="12">
        <f t="shared" si="10"/>
        <v>0</v>
      </c>
      <c r="Z107" s="211" t="e">
        <f t="shared" si="11"/>
        <v>#DIV/0!</v>
      </c>
      <c r="AA107" s="245"/>
      <c r="AB107" s="200" t="e">
        <f>(#REF!-1)*(360/(C107-$C$76))</f>
        <v>#REF!</v>
      </c>
      <c r="AC107" s="13">
        <f>W107-U106*'OverNight €'!I107*E107/360</f>
        <v>0</v>
      </c>
    </row>
    <row r="108" spans="2:29" hidden="1" x14ac:dyDescent="0.2">
      <c r="B108" s="9" t="str">
        <f t="shared" si="4"/>
        <v>4 2025</v>
      </c>
      <c r="C108" s="10">
        <f t="shared" si="6"/>
        <v>45760</v>
      </c>
      <c r="D108" s="10">
        <f t="shared" si="7"/>
        <v>45761</v>
      </c>
      <c r="E108" s="11">
        <f t="shared" si="5"/>
        <v>1</v>
      </c>
      <c r="G108" s="11"/>
      <c r="H108" s="206"/>
      <c r="I108" s="367"/>
      <c r="J108" s="228"/>
      <c r="K108" s="12"/>
      <c r="L108" s="219"/>
      <c r="M108" s="215"/>
      <c r="N108" s="12"/>
      <c r="O108" s="219"/>
      <c r="P108" s="219"/>
      <c r="Q108" s="219"/>
      <c r="R108" s="219"/>
      <c r="T108" s="277"/>
      <c r="U108" s="12"/>
      <c r="V108" s="12">
        <f t="shared" si="8"/>
        <v>0</v>
      </c>
      <c r="W108" s="98">
        <f t="shared" si="9"/>
        <v>0</v>
      </c>
      <c r="X108" s="12">
        <f t="shared" si="10"/>
        <v>0</v>
      </c>
      <c r="Z108" s="211" t="e">
        <f t="shared" si="11"/>
        <v>#DIV/0!</v>
      </c>
      <c r="AA108" s="245"/>
      <c r="AB108" s="200" t="e">
        <f>(#REF!-1)*(360/(C108-$C$76))</f>
        <v>#REF!</v>
      </c>
      <c r="AC108" s="13">
        <f>W108-U107*'OverNight €'!I108*E108/360</f>
        <v>0</v>
      </c>
    </row>
    <row r="109" spans="2:29" hidden="1" x14ac:dyDescent="0.2">
      <c r="B109" s="9" t="str">
        <f t="shared" si="4"/>
        <v>4 2025</v>
      </c>
      <c r="C109" s="10">
        <f t="shared" si="6"/>
        <v>45761</v>
      </c>
      <c r="D109" s="10">
        <f t="shared" si="7"/>
        <v>45762</v>
      </c>
      <c r="E109" s="11">
        <f t="shared" si="5"/>
        <v>1</v>
      </c>
      <c r="G109" s="11"/>
      <c r="H109" s="206"/>
      <c r="I109" s="367"/>
      <c r="J109" s="228"/>
      <c r="K109" s="12"/>
      <c r="L109" s="219"/>
      <c r="M109" s="215"/>
      <c r="N109" s="12"/>
      <c r="O109" s="219"/>
      <c r="P109" s="219"/>
      <c r="Q109" s="219"/>
      <c r="R109" s="219"/>
      <c r="T109" s="277"/>
      <c r="U109" s="12"/>
      <c r="V109" s="12">
        <f t="shared" si="8"/>
        <v>0</v>
      </c>
      <c r="W109" s="98">
        <f t="shared" si="9"/>
        <v>0</v>
      </c>
      <c r="X109" s="12">
        <f t="shared" si="10"/>
        <v>0</v>
      </c>
      <c r="Z109" s="211" t="e">
        <f t="shared" si="11"/>
        <v>#DIV/0!</v>
      </c>
      <c r="AA109" s="245"/>
      <c r="AB109" s="200" t="e">
        <f>(#REF!-1)*(360/(C109-$C$76))</f>
        <v>#REF!</v>
      </c>
      <c r="AC109" s="13">
        <f>W109-U108*'OverNight €'!I109*E109/360</f>
        <v>0</v>
      </c>
    </row>
    <row r="110" spans="2:29" hidden="1" x14ac:dyDescent="0.2">
      <c r="B110" s="9" t="str">
        <f t="shared" si="4"/>
        <v>4 2025</v>
      </c>
      <c r="C110" s="10">
        <f t="shared" si="6"/>
        <v>45762</v>
      </c>
      <c r="D110" s="10">
        <f t="shared" si="7"/>
        <v>45763</v>
      </c>
      <c r="E110" s="11">
        <f t="shared" si="5"/>
        <v>1</v>
      </c>
      <c r="G110" s="11"/>
      <c r="H110" s="206"/>
      <c r="I110" s="367"/>
      <c r="J110" s="228"/>
      <c r="K110" s="12"/>
      <c r="L110" s="219"/>
      <c r="M110" s="215"/>
      <c r="N110" s="12"/>
      <c r="O110" s="219"/>
      <c r="P110" s="219"/>
      <c r="Q110" s="219"/>
      <c r="R110" s="219"/>
      <c r="T110" s="277"/>
      <c r="U110" s="12"/>
      <c r="V110" s="12">
        <f t="shared" si="8"/>
        <v>0</v>
      </c>
      <c r="W110" s="98">
        <f t="shared" si="9"/>
        <v>0</v>
      </c>
      <c r="X110" s="12">
        <f t="shared" si="10"/>
        <v>0</v>
      </c>
      <c r="Z110" s="211" t="e">
        <f t="shared" si="11"/>
        <v>#DIV/0!</v>
      </c>
      <c r="AA110" s="245"/>
      <c r="AB110" s="200" t="e">
        <f>(#REF!-1)*(360/(C110-$C$76))</f>
        <v>#REF!</v>
      </c>
      <c r="AC110" s="13">
        <f>W110-U109*'OverNight €'!I110*E110/360</f>
        <v>0</v>
      </c>
    </row>
    <row r="111" spans="2:29" hidden="1" x14ac:dyDescent="0.2">
      <c r="B111" s="9" t="str">
        <f t="shared" si="4"/>
        <v>4 2025</v>
      </c>
      <c r="C111" s="10">
        <f t="shared" si="6"/>
        <v>45763</v>
      </c>
      <c r="D111" s="10">
        <f t="shared" si="7"/>
        <v>45764</v>
      </c>
      <c r="E111" s="11">
        <f t="shared" si="5"/>
        <v>1</v>
      </c>
      <c r="G111" s="11"/>
      <c r="H111" s="206"/>
      <c r="I111" s="367"/>
      <c r="J111" s="228"/>
      <c r="K111" s="12"/>
      <c r="L111" s="219"/>
      <c r="M111" s="215"/>
      <c r="N111" s="12"/>
      <c r="O111" s="219"/>
      <c r="P111" s="219"/>
      <c r="Q111" s="219"/>
      <c r="R111" s="219"/>
      <c r="T111" s="277"/>
      <c r="U111" s="12"/>
      <c r="V111" s="12">
        <f t="shared" si="8"/>
        <v>0</v>
      </c>
      <c r="W111" s="98">
        <f t="shared" si="9"/>
        <v>0</v>
      </c>
      <c r="X111" s="12">
        <f t="shared" si="10"/>
        <v>0</v>
      </c>
      <c r="Z111" s="211" t="e">
        <f t="shared" si="11"/>
        <v>#DIV/0!</v>
      </c>
      <c r="AA111" s="245"/>
      <c r="AB111" s="200" t="e">
        <f>(#REF!-1)*(360/(C111-$C$76))</f>
        <v>#REF!</v>
      </c>
      <c r="AC111" s="13">
        <f>W111-U110*'OverNight €'!I111*E111/360</f>
        <v>0</v>
      </c>
    </row>
    <row r="112" spans="2:29" hidden="1" x14ac:dyDescent="0.2">
      <c r="B112" s="9" t="str">
        <f t="shared" si="4"/>
        <v>4 2025</v>
      </c>
      <c r="C112" s="10">
        <f t="shared" si="6"/>
        <v>45764</v>
      </c>
      <c r="D112" s="10">
        <f t="shared" si="7"/>
        <v>45765</v>
      </c>
      <c r="E112" s="11">
        <f t="shared" si="5"/>
        <v>1</v>
      </c>
      <c r="G112" s="11"/>
      <c r="H112" s="206"/>
      <c r="I112" s="367"/>
      <c r="J112" s="228"/>
      <c r="K112" s="12"/>
      <c r="L112" s="219"/>
      <c r="M112" s="215"/>
      <c r="N112" s="12"/>
      <c r="O112" s="219"/>
      <c r="P112" s="219"/>
      <c r="Q112" s="219"/>
      <c r="R112" s="219"/>
      <c r="T112" s="277"/>
      <c r="U112" s="12"/>
      <c r="V112" s="12">
        <f t="shared" si="8"/>
        <v>0</v>
      </c>
      <c r="W112" s="98">
        <f t="shared" si="9"/>
        <v>0</v>
      </c>
      <c r="X112" s="12">
        <f t="shared" si="10"/>
        <v>0</v>
      </c>
      <c r="Z112" s="211" t="e">
        <f t="shared" si="11"/>
        <v>#DIV/0!</v>
      </c>
      <c r="AA112" s="245"/>
      <c r="AB112" s="200" t="e">
        <f>(#REF!-1)*(360/(C112-$C$76))</f>
        <v>#REF!</v>
      </c>
      <c r="AC112" s="13">
        <f>W112-U111*'OverNight €'!I112*E112/360</f>
        <v>0</v>
      </c>
    </row>
    <row r="113" spans="2:31" hidden="1" x14ac:dyDescent="0.2">
      <c r="B113" s="9" t="str">
        <f t="shared" si="4"/>
        <v>4 2025</v>
      </c>
      <c r="C113" s="10">
        <f t="shared" si="6"/>
        <v>45765</v>
      </c>
      <c r="D113" s="10">
        <f t="shared" si="7"/>
        <v>45766</v>
      </c>
      <c r="E113" s="11">
        <f t="shared" si="5"/>
        <v>1</v>
      </c>
      <c r="G113" s="11"/>
      <c r="H113" s="206"/>
      <c r="I113" s="367"/>
      <c r="J113" s="228"/>
      <c r="K113" s="12"/>
      <c r="L113" s="219"/>
      <c r="M113" s="215"/>
      <c r="N113" s="12"/>
      <c r="O113" s="219"/>
      <c r="P113" s="219"/>
      <c r="Q113" s="219"/>
      <c r="R113" s="219"/>
      <c r="T113" s="277"/>
      <c r="U113" s="12"/>
      <c r="V113" s="12">
        <f t="shared" si="8"/>
        <v>0</v>
      </c>
      <c r="W113" s="98">
        <f t="shared" si="9"/>
        <v>0</v>
      </c>
      <c r="X113" s="12">
        <f t="shared" si="10"/>
        <v>0</v>
      </c>
      <c r="Z113" s="211" t="e">
        <f t="shared" si="11"/>
        <v>#DIV/0!</v>
      </c>
      <c r="AA113" s="245"/>
      <c r="AB113" s="200" t="e">
        <f>(#REF!-1)*(360/(C113-$C$76))</f>
        <v>#REF!</v>
      </c>
      <c r="AC113" s="13">
        <f>W113-U112*'OverNight €'!I113*E113/360</f>
        <v>0</v>
      </c>
    </row>
    <row r="114" spans="2:31" hidden="1" x14ac:dyDescent="0.2">
      <c r="B114" s="9" t="str">
        <f t="shared" si="4"/>
        <v>4 2025</v>
      </c>
      <c r="C114" s="10">
        <f t="shared" si="6"/>
        <v>45766</v>
      </c>
      <c r="D114" s="10">
        <f t="shared" si="7"/>
        <v>45767</v>
      </c>
      <c r="E114" s="11">
        <f t="shared" si="5"/>
        <v>1</v>
      </c>
      <c r="G114" s="11"/>
      <c r="H114" s="206"/>
      <c r="I114" s="367"/>
      <c r="J114" s="228"/>
      <c r="K114" s="12"/>
      <c r="L114" s="219"/>
      <c r="M114" s="215"/>
      <c r="N114" s="12"/>
      <c r="O114" s="219"/>
      <c r="P114" s="219"/>
      <c r="Q114" s="219"/>
      <c r="R114" s="219"/>
      <c r="T114" s="277"/>
      <c r="U114" s="12"/>
      <c r="V114" s="12">
        <f t="shared" si="8"/>
        <v>0</v>
      </c>
      <c r="W114" s="98">
        <f t="shared" si="9"/>
        <v>0</v>
      </c>
      <c r="X114" s="12">
        <f t="shared" si="10"/>
        <v>0</v>
      </c>
      <c r="Z114" s="211" t="e">
        <f t="shared" si="11"/>
        <v>#DIV/0!</v>
      </c>
      <c r="AA114" s="245"/>
      <c r="AB114" s="200" t="e">
        <f>(#REF!-1)*(360/(C114-$C$76))</f>
        <v>#REF!</v>
      </c>
      <c r="AC114" s="13">
        <f>W114-U113*'OverNight €'!I114*E114/360</f>
        <v>0</v>
      </c>
    </row>
    <row r="115" spans="2:31" hidden="1" x14ac:dyDescent="0.2">
      <c r="B115" s="9" t="str">
        <f t="shared" si="4"/>
        <v>4 2025</v>
      </c>
      <c r="C115" s="10">
        <f t="shared" si="6"/>
        <v>45767</v>
      </c>
      <c r="D115" s="10">
        <f t="shared" si="7"/>
        <v>45768</v>
      </c>
      <c r="E115" s="11">
        <f t="shared" si="5"/>
        <v>1</v>
      </c>
      <c r="G115" s="11"/>
      <c r="H115" s="206"/>
      <c r="I115" s="367"/>
      <c r="J115" s="228"/>
      <c r="K115" s="12"/>
      <c r="L115" s="219"/>
      <c r="M115" s="215"/>
      <c r="N115" s="12"/>
      <c r="O115" s="219"/>
      <c r="P115" s="219"/>
      <c r="Q115" s="219"/>
      <c r="R115" s="219"/>
      <c r="T115" s="277"/>
      <c r="U115" s="12"/>
      <c r="V115" s="12">
        <f t="shared" si="8"/>
        <v>0</v>
      </c>
      <c r="W115" s="98">
        <f t="shared" si="9"/>
        <v>0</v>
      </c>
      <c r="X115" s="12">
        <f t="shared" si="10"/>
        <v>0</v>
      </c>
      <c r="Z115" s="211" t="e">
        <f t="shared" si="11"/>
        <v>#DIV/0!</v>
      </c>
      <c r="AA115" s="245"/>
      <c r="AB115" s="200" t="e">
        <f>(#REF!-1)*(360/(C115-$C$76))</f>
        <v>#REF!</v>
      </c>
      <c r="AC115" s="13">
        <f>W115-U114*'OverNight €'!I115*E115/360</f>
        <v>0</v>
      </c>
    </row>
    <row r="116" spans="2:31" hidden="1" x14ac:dyDescent="0.2">
      <c r="B116" s="9" t="str">
        <f t="shared" si="4"/>
        <v>4 2025</v>
      </c>
      <c r="C116" s="10">
        <f t="shared" si="6"/>
        <v>45768</v>
      </c>
      <c r="D116" s="10">
        <f t="shared" si="7"/>
        <v>45769</v>
      </c>
      <c r="E116" s="11">
        <f t="shared" si="5"/>
        <v>1</v>
      </c>
      <c r="G116" s="11"/>
      <c r="H116" s="206"/>
      <c r="I116" s="367"/>
      <c r="J116" s="228"/>
      <c r="K116" s="12"/>
      <c r="L116" s="219"/>
      <c r="M116" s="215"/>
      <c r="N116" s="12"/>
      <c r="O116" s="219"/>
      <c r="P116" s="219"/>
      <c r="Q116" s="219"/>
      <c r="R116" s="219"/>
      <c r="T116" s="277"/>
      <c r="U116" s="12"/>
      <c r="V116" s="12">
        <f t="shared" si="8"/>
        <v>0</v>
      </c>
      <c r="W116" s="98">
        <f t="shared" si="9"/>
        <v>0</v>
      </c>
      <c r="X116" s="12">
        <f t="shared" si="10"/>
        <v>0</v>
      </c>
      <c r="Z116" s="211" t="e">
        <f t="shared" si="11"/>
        <v>#DIV/0!</v>
      </c>
      <c r="AA116" s="245"/>
      <c r="AB116" s="200" t="e">
        <f>(#REF!-1)*(360/(C116-$C$76))</f>
        <v>#REF!</v>
      </c>
      <c r="AC116" s="13">
        <f>W116-U115*'OverNight €'!I116*E116/360</f>
        <v>0</v>
      </c>
    </row>
    <row r="117" spans="2:31" hidden="1" x14ac:dyDescent="0.2">
      <c r="B117" s="9" t="str">
        <f t="shared" si="4"/>
        <v>4 2025</v>
      </c>
      <c r="C117" s="10">
        <f t="shared" si="6"/>
        <v>45769</v>
      </c>
      <c r="D117" s="10">
        <f t="shared" si="7"/>
        <v>45770</v>
      </c>
      <c r="E117" s="11">
        <f t="shared" si="5"/>
        <v>1</v>
      </c>
      <c r="G117" s="11"/>
      <c r="H117" s="206"/>
      <c r="I117" s="367"/>
      <c r="J117" s="228"/>
      <c r="K117" s="12"/>
      <c r="L117" s="219"/>
      <c r="M117" s="215"/>
      <c r="N117" s="12"/>
      <c r="O117" s="219"/>
      <c r="P117" s="219"/>
      <c r="Q117" s="219"/>
      <c r="R117" s="219"/>
      <c r="T117" s="277"/>
      <c r="U117" s="12"/>
      <c r="V117" s="12">
        <f t="shared" si="8"/>
        <v>0</v>
      </c>
      <c r="W117" s="98">
        <f t="shared" si="9"/>
        <v>0</v>
      </c>
      <c r="X117" s="12">
        <f t="shared" si="10"/>
        <v>0</v>
      </c>
      <c r="Z117" s="211" t="e">
        <f t="shared" si="11"/>
        <v>#DIV/0!</v>
      </c>
      <c r="AA117" s="245"/>
      <c r="AB117" s="200" t="e">
        <f>(#REF!-1)*(360/(C117-$C$76))</f>
        <v>#REF!</v>
      </c>
      <c r="AC117" s="13">
        <f>W117-U116*'OverNight €'!I117*E117/360</f>
        <v>0</v>
      </c>
    </row>
    <row r="118" spans="2:31" hidden="1" x14ac:dyDescent="0.2">
      <c r="B118" s="9" t="str">
        <f t="shared" si="4"/>
        <v>4 2025</v>
      </c>
      <c r="C118" s="10">
        <f t="shared" si="6"/>
        <v>45770</v>
      </c>
      <c r="D118" s="10">
        <f t="shared" si="7"/>
        <v>45771</v>
      </c>
      <c r="E118" s="11">
        <f t="shared" si="5"/>
        <v>1</v>
      </c>
      <c r="G118" s="11"/>
      <c r="H118" s="206"/>
      <c r="I118" s="367"/>
      <c r="J118" s="228"/>
      <c r="K118" s="12"/>
      <c r="L118" s="219"/>
      <c r="M118" s="215"/>
      <c r="N118" s="12"/>
      <c r="O118" s="219"/>
      <c r="P118" s="219"/>
      <c r="Q118" s="219"/>
      <c r="R118" s="219"/>
      <c r="T118" s="277"/>
      <c r="U118" s="12"/>
      <c r="V118" s="12">
        <f t="shared" si="8"/>
        <v>0</v>
      </c>
      <c r="W118" s="98">
        <f t="shared" si="9"/>
        <v>0</v>
      </c>
      <c r="X118" s="12">
        <f t="shared" si="10"/>
        <v>0</v>
      </c>
      <c r="Z118" s="211" t="e">
        <f t="shared" si="11"/>
        <v>#DIV/0!</v>
      </c>
      <c r="AA118" s="245"/>
      <c r="AB118" s="200" t="e">
        <f>(#REF!-1)*(360/(C118-$C$76))</f>
        <v>#REF!</v>
      </c>
      <c r="AC118" s="13">
        <f>W118-U117*'OverNight €'!I118*E118/360</f>
        <v>0</v>
      </c>
    </row>
    <row r="119" spans="2:31" hidden="1" x14ac:dyDescent="0.2">
      <c r="B119" s="9" t="str">
        <f t="shared" si="4"/>
        <v>4 2025</v>
      </c>
      <c r="C119" s="10">
        <f t="shared" si="6"/>
        <v>45771</v>
      </c>
      <c r="D119" s="10">
        <f t="shared" si="7"/>
        <v>45772</v>
      </c>
      <c r="E119" s="11">
        <f t="shared" si="5"/>
        <v>1</v>
      </c>
      <c r="G119" s="11"/>
      <c r="H119" s="206"/>
      <c r="I119" s="367"/>
      <c r="J119" s="228"/>
      <c r="K119" s="12"/>
      <c r="L119" s="219"/>
      <c r="M119" s="215"/>
      <c r="N119" s="12"/>
      <c r="O119" s="219"/>
      <c r="P119" s="219"/>
      <c r="Q119" s="219"/>
      <c r="R119" s="219"/>
      <c r="T119" s="277"/>
      <c r="U119" s="12"/>
      <c r="V119" s="12">
        <f t="shared" si="8"/>
        <v>0</v>
      </c>
      <c r="W119" s="98">
        <f t="shared" si="9"/>
        <v>0</v>
      </c>
      <c r="X119" s="12">
        <f t="shared" si="10"/>
        <v>0</v>
      </c>
      <c r="Z119" s="211" t="e">
        <f t="shared" si="11"/>
        <v>#DIV/0!</v>
      </c>
      <c r="AA119" s="245"/>
      <c r="AB119" s="200" t="e">
        <f>(#REF!-1)*(360/(C119-$C$76))</f>
        <v>#REF!</v>
      </c>
      <c r="AC119" s="13">
        <f>W119-U118*'OverNight €'!I119*E119/360</f>
        <v>0</v>
      </c>
    </row>
    <row r="120" spans="2:31" hidden="1" x14ac:dyDescent="0.2">
      <c r="B120" s="9" t="str">
        <f t="shared" si="4"/>
        <v>4 2025</v>
      </c>
      <c r="C120" s="10">
        <f t="shared" si="6"/>
        <v>45772</v>
      </c>
      <c r="D120" s="10">
        <f t="shared" si="7"/>
        <v>45773</v>
      </c>
      <c r="E120" s="11">
        <f t="shared" si="5"/>
        <v>1</v>
      </c>
      <c r="G120" s="11"/>
      <c r="H120" s="206"/>
      <c r="I120" s="367"/>
      <c r="J120" s="228"/>
      <c r="K120" s="12"/>
      <c r="L120" s="219"/>
      <c r="M120" s="215"/>
      <c r="N120" s="12"/>
      <c r="O120" s="219"/>
      <c r="P120" s="219"/>
      <c r="Q120" s="219"/>
      <c r="R120" s="219"/>
      <c r="T120" s="277"/>
      <c r="U120" s="12"/>
      <c r="V120" s="12">
        <f t="shared" si="8"/>
        <v>0</v>
      </c>
      <c r="W120" s="98">
        <f t="shared" si="9"/>
        <v>0</v>
      </c>
      <c r="X120" s="12">
        <f t="shared" si="10"/>
        <v>0</v>
      </c>
      <c r="Z120" s="211" t="e">
        <f t="shared" si="11"/>
        <v>#DIV/0!</v>
      </c>
      <c r="AA120" s="245"/>
      <c r="AB120" s="200" t="e">
        <f>(#REF!-1)*(360/(C120-$C$76))</f>
        <v>#REF!</v>
      </c>
      <c r="AC120" s="13">
        <f>W120-U119*'OverNight €'!I120*E120/360</f>
        <v>0</v>
      </c>
    </row>
    <row r="121" spans="2:31" hidden="1" x14ac:dyDescent="0.2">
      <c r="B121" s="9" t="str">
        <f t="shared" si="4"/>
        <v>4 2025</v>
      </c>
      <c r="C121" s="10">
        <f t="shared" si="6"/>
        <v>45773</v>
      </c>
      <c r="D121" s="10">
        <f t="shared" si="7"/>
        <v>45774</v>
      </c>
      <c r="E121" s="11">
        <f t="shared" si="5"/>
        <v>1</v>
      </c>
      <c r="G121" s="11"/>
      <c r="H121" s="206"/>
      <c r="I121" s="367"/>
      <c r="J121" s="228"/>
      <c r="K121" s="12"/>
      <c r="L121" s="219"/>
      <c r="M121" s="215"/>
      <c r="N121" s="12"/>
      <c r="O121" s="219"/>
      <c r="P121" s="219"/>
      <c r="Q121" s="219"/>
      <c r="R121" s="219"/>
      <c r="T121" s="277"/>
      <c r="U121" s="12"/>
      <c r="V121" s="12">
        <f t="shared" si="8"/>
        <v>0</v>
      </c>
      <c r="W121" s="98">
        <f t="shared" si="9"/>
        <v>0</v>
      </c>
      <c r="X121" s="12">
        <f t="shared" si="10"/>
        <v>0</v>
      </c>
      <c r="Z121" s="211" t="e">
        <f t="shared" si="11"/>
        <v>#DIV/0!</v>
      </c>
      <c r="AA121" s="245"/>
      <c r="AB121" s="200" t="e">
        <f>(#REF!-1)*(360/(C121-$C$76))</f>
        <v>#REF!</v>
      </c>
      <c r="AC121" s="13">
        <f>W121-U120*'OverNight €'!I121*E121/360</f>
        <v>0</v>
      </c>
    </row>
    <row r="122" spans="2:31" hidden="1" x14ac:dyDescent="0.2">
      <c r="B122" s="9" t="str">
        <f t="shared" si="4"/>
        <v>4 2025</v>
      </c>
      <c r="C122" s="10">
        <f t="shared" si="6"/>
        <v>45774</v>
      </c>
      <c r="D122" s="10">
        <f t="shared" si="7"/>
        <v>45775</v>
      </c>
      <c r="E122" s="11">
        <f t="shared" si="5"/>
        <v>1</v>
      </c>
      <c r="G122" s="11"/>
      <c r="H122" s="206"/>
      <c r="I122" s="367"/>
      <c r="J122" s="228"/>
      <c r="K122" s="12"/>
      <c r="L122" s="219"/>
      <c r="M122" s="215"/>
      <c r="N122" s="12"/>
      <c r="O122" s="219"/>
      <c r="P122" s="219"/>
      <c r="Q122" s="219"/>
      <c r="R122" s="219"/>
      <c r="T122" s="277"/>
      <c r="U122" s="12"/>
      <c r="V122" s="12">
        <f t="shared" si="8"/>
        <v>0</v>
      </c>
      <c r="W122" s="98">
        <f t="shared" si="9"/>
        <v>0</v>
      </c>
      <c r="X122" s="12">
        <f t="shared" si="10"/>
        <v>0</v>
      </c>
      <c r="Z122" s="211" t="e">
        <f t="shared" si="11"/>
        <v>#DIV/0!</v>
      </c>
      <c r="AA122" s="245"/>
      <c r="AB122" s="200" t="e">
        <f>(#REF!-1)*(360/(C122-$C$76))</f>
        <v>#REF!</v>
      </c>
      <c r="AC122" s="13">
        <f>W122-U121*'OverNight €'!I122*E122/360</f>
        <v>0</v>
      </c>
    </row>
    <row r="123" spans="2:31" hidden="1" x14ac:dyDescent="0.2">
      <c r="B123" s="9" t="str">
        <f t="shared" si="4"/>
        <v>4 2025</v>
      </c>
      <c r="C123" s="10">
        <f t="shared" si="6"/>
        <v>45775</v>
      </c>
      <c r="D123" s="10">
        <f t="shared" si="7"/>
        <v>45776</v>
      </c>
      <c r="E123" s="11">
        <f t="shared" si="5"/>
        <v>1</v>
      </c>
      <c r="G123" s="11"/>
      <c r="H123" s="206"/>
      <c r="I123" s="367"/>
      <c r="J123" s="228"/>
      <c r="K123" s="12"/>
      <c r="L123" s="219"/>
      <c r="M123" s="215"/>
      <c r="N123" s="12"/>
      <c r="O123" s="219"/>
      <c r="P123" s="219"/>
      <c r="Q123" s="219"/>
      <c r="R123" s="219"/>
      <c r="T123" s="277"/>
      <c r="U123" s="12"/>
      <c r="V123" s="12">
        <f t="shared" si="8"/>
        <v>0</v>
      </c>
      <c r="W123" s="98">
        <f t="shared" si="9"/>
        <v>0</v>
      </c>
      <c r="X123" s="12">
        <f t="shared" si="10"/>
        <v>0</v>
      </c>
      <c r="Z123" s="211" t="e">
        <f t="shared" si="11"/>
        <v>#DIV/0!</v>
      </c>
      <c r="AA123" s="245"/>
      <c r="AB123" s="200" t="e">
        <f>(#REF!-1)*(360/(C123-$C$76))</f>
        <v>#REF!</v>
      </c>
      <c r="AC123" s="13">
        <f>W123-U122*'OverNight €'!I123*E123/360</f>
        <v>0</v>
      </c>
    </row>
    <row r="124" spans="2:31" hidden="1" x14ac:dyDescent="0.2">
      <c r="B124" s="9" t="str">
        <f t="shared" si="4"/>
        <v>4 2025</v>
      </c>
      <c r="C124" s="142">
        <f t="shared" si="6"/>
        <v>45776</v>
      </c>
      <c r="D124" s="142">
        <f t="shared" si="7"/>
        <v>45777</v>
      </c>
      <c r="E124" s="143">
        <f t="shared" si="5"/>
        <v>1</v>
      </c>
      <c r="F124" s="17"/>
      <c r="G124" s="143"/>
      <c r="H124" s="244"/>
      <c r="I124" s="368"/>
      <c r="J124" s="228"/>
      <c r="K124" s="144"/>
      <c r="L124" s="220"/>
      <c r="M124" s="216"/>
      <c r="N124" s="144"/>
      <c r="O124" s="220"/>
      <c r="P124" s="220"/>
      <c r="Q124" s="220"/>
      <c r="R124" s="220"/>
      <c r="T124" s="278"/>
      <c r="U124" s="144"/>
      <c r="V124" s="144">
        <f t="shared" si="8"/>
        <v>0</v>
      </c>
      <c r="W124" s="144">
        <f t="shared" si="9"/>
        <v>0</v>
      </c>
      <c r="X124" s="144">
        <f t="shared" si="10"/>
        <v>0</v>
      </c>
      <c r="Z124" s="246" t="e">
        <f t="shared" si="11"/>
        <v>#DIV/0!</v>
      </c>
      <c r="AA124" s="246"/>
      <c r="AB124" s="247" t="e">
        <f>(#REF!-1)*(360/(C124-$C$76))</f>
        <v>#REF!</v>
      </c>
      <c r="AC124" s="146">
        <f>W124-U123*'OverNight €'!I124*E124/360</f>
        <v>0</v>
      </c>
      <c r="AD124" s="17"/>
      <c r="AE124" s="17"/>
    </row>
    <row r="125" spans="2:31" hidden="1" x14ac:dyDescent="0.2">
      <c r="B125" s="9" t="str">
        <f t="shared" si="4"/>
        <v>5 2025</v>
      </c>
      <c r="C125" s="10">
        <f t="shared" si="6"/>
        <v>45777</v>
      </c>
      <c r="D125" s="10">
        <f t="shared" si="7"/>
        <v>45778</v>
      </c>
      <c r="E125" s="11">
        <f t="shared" si="5"/>
        <v>1</v>
      </c>
      <c r="G125" s="11"/>
      <c r="H125" s="206"/>
      <c r="I125" s="367"/>
      <c r="J125" s="228"/>
      <c r="K125" s="12"/>
      <c r="L125" s="219"/>
      <c r="M125" s="215"/>
      <c r="N125" s="12"/>
      <c r="O125" s="219"/>
      <c r="P125" s="219"/>
      <c r="Q125" s="219"/>
      <c r="R125" s="219"/>
      <c r="T125" s="277"/>
      <c r="U125" s="12"/>
      <c r="V125" s="12">
        <f t="shared" si="8"/>
        <v>0</v>
      </c>
      <c r="W125" s="98">
        <f t="shared" si="9"/>
        <v>0</v>
      </c>
      <c r="X125" s="98">
        <f t="shared" si="10"/>
        <v>0</v>
      </c>
      <c r="Z125" s="211" t="e">
        <f t="shared" si="11"/>
        <v>#DIV/0!</v>
      </c>
      <c r="AA125" s="245"/>
      <c r="AB125" s="200" t="e">
        <f>(#REF!-1)*(360/(C125-$C$76))</f>
        <v>#REF!</v>
      </c>
      <c r="AC125" s="13">
        <f>W125-U124*'OverNight €'!I125*E125/360</f>
        <v>0</v>
      </c>
    </row>
    <row r="126" spans="2:31" hidden="1" x14ac:dyDescent="0.2">
      <c r="B126" s="9" t="str">
        <f t="shared" si="4"/>
        <v>5 2025</v>
      </c>
      <c r="C126" s="10">
        <f t="shared" si="6"/>
        <v>45778</v>
      </c>
      <c r="D126" s="10">
        <f t="shared" si="7"/>
        <v>45779</v>
      </c>
      <c r="E126" s="11">
        <f t="shared" si="5"/>
        <v>1</v>
      </c>
      <c r="G126" s="11"/>
      <c r="H126" s="206"/>
      <c r="I126" s="367"/>
      <c r="J126" s="228"/>
      <c r="K126" s="12"/>
      <c r="L126" s="219"/>
      <c r="M126" s="215"/>
      <c r="N126" s="12"/>
      <c r="O126" s="219"/>
      <c r="P126" s="219"/>
      <c r="Q126" s="219"/>
      <c r="R126" s="219"/>
      <c r="T126" s="277"/>
      <c r="U126" s="12"/>
      <c r="V126" s="12">
        <f t="shared" si="8"/>
        <v>0</v>
      </c>
      <c r="W126" s="98">
        <f t="shared" si="9"/>
        <v>0</v>
      </c>
      <c r="X126" s="12">
        <f t="shared" si="10"/>
        <v>0</v>
      </c>
      <c r="Z126" s="211" t="e">
        <f t="shared" si="11"/>
        <v>#DIV/0!</v>
      </c>
      <c r="AA126" s="245"/>
      <c r="AB126" s="200" t="e">
        <f>(#REF!-1)*(360/(C126-$C$76))</f>
        <v>#REF!</v>
      </c>
      <c r="AC126" s="13">
        <f>W126-U125*'OverNight €'!I126*E126/360</f>
        <v>0</v>
      </c>
    </row>
    <row r="127" spans="2:31" hidden="1" x14ac:dyDescent="0.2">
      <c r="B127" s="9" t="str">
        <f t="shared" si="4"/>
        <v>5 2025</v>
      </c>
      <c r="C127" s="10">
        <f t="shared" si="6"/>
        <v>45779</v>
      </c>
      <c r="D127" s="10">
        <f t="shared" si="7"/>
        <v>45780</v>
      </c>
      <c r="E127" s="11">
        <f t="shared" si="5"/>
        <v>1</v>
      </c>
      <c r="G127" s="11"/>
      <c r="H127" s="206"/>
      <c r="I127" s="367"/>
      <c r="J127" s="228"/>
      <c r="K127" s="12"/>
      <c r="L127" s="219"/>
      <c r="M127" s="215"/>
      <c r="N127" s="12"/>
      <c r="O127" s="219"/>
      <c r="P127" s="219"/>
      <c r="Q127" s="219"/>
      <c r="R127" s="219"/>
      <c r="T127" s="277"/>
      <c r="U127" s="12"/>
      <c r="V127" s="12">
        <f t="shared" si="8"/>
        <v>0</v>
      </c>
      <c r="W127" s="98">
        <f t="shared" si="9"/>
        <v>0</v>
      </c>
      <c r="X127" s="12">
        <f t="shared" si="10"/>
        <v>0</v>
      </c>
      <c r="Z127" s="211" t="e">
        <f t="shared" si="11"/>
        <v>#DIV/0!</v>
      </c>
      <c r="AA127" s="245"/>
      <c r="AB127" s="200" t="e">
        <f>(#REF!-1)*(360/(C127-$C$76))</f>
        <v>#REF!</v>
      </c>
      <c r="AC127" s="13">
        <f>W127-U126*'OverNight €'!I127*E127/360</f>
        <v>0</v>
      </c>
    </row>
    <row r="128" spans="2:31" hidden="1" x14ac:dyDescent="0.2">
      <c r="B128" s="9" t="str">
        <f t="shared" si="4"/>
        <v>5 2025</v>
      </c>
      <c r="C128" s="10">
        <f t="shared" si="6"/>
        <v>45780</v>
      </c>
      <c r="D128" s="10">
        <f t="shared" si="7"/>
        <v>45781</v>
      </c>
      <c r="E128" s="11">
        <f t="shared" si="5"/>
        <v>1</v>
      </c>
      <c r="G128" s="11"/>
      <c r="H128" s="206"/>
      <c r="I128" s="367"/>
      <c r="J128" s="228"/>
      <c r="K128" s="12"/>
      <c r="L128" s="219"/>
      <c r="M128" s="215"/>
      <c r="N128" s="12"/>
      <c r="O128" s="219"/>
      <c r="P128" s="219"/>
      <c r="Q128" s="219"/>
      <c r="R128" s="219"/>
      <c r="T128" s="277"/>
      <c r="U128" s="12"/>
      <c r="V128" s="12">
        <f t="shared" si="8"/>
        <v>0</v>
      </c>
      <c r="W128" s="98">
        <f t="shared" si="9"/>
        <v>0</v>
      </c>
      <c r="X128" s="12">
        <f t="shared" si="10"/>
        <v>0</v>
      </c>
      <c r="Z128" s="211" t="e">
        <f t="shared" si="11"/>
        <v>#DIV/0!</v>
      </c>
      <c r="AA128" s="245"/>
      <c r="AB128" s="200" t="e">
        <f>(#REF!-1)*(360/(C128-$C$76))</f>
        <v>#REF!</v>
      </c>
      <c r="AC128" s="13">
        <f>W128-U127*'OverNight €'!I128*E128/360</f>
        <v>0</v>
      </c>
    </row>
    <row r="129" spans="2:29" hidden="1" x14ac:dyDescent="0.2">
      <c r="B129" s="9" t="str">
        <f t="shared" si="4"/>
        <v>5 2025</v>
      </c>
      <c r="C129" s="10">
        <f t="shared" si="6"/>
        <v>45781</v>
      </c>
      <c r="D129" s="10">
        <f t="shared" si="7"/>
        <v>45782</v>
      </c>
      <c r="E129" s="11">
        <f t="shared" si="5"/>
        <v>1</v>
      </c>
      <c r="G129" s="11"/>
      <c r="H129" s="206"/>
      <c r="I129" s="367"/>
      <c r="J129" s="228"/>
      <c r="K129" s="12"/>
      <c r="L129" s="219"/>
      <c r="M129" s="215"/>
      <c r="N129" s="12"/>
      <c r="O129" s="219"/>
      <c r="P129" s="219"/>
      <c r="Q129" s="219"/>
      <c r="R129" s="219"/>
      <c r="T129" s="277"/>
      <c r="U129" s="12"/>
      <c r="V129" s="12">
        <f t="shared" si="8"/>
        <v>0</v>
      </c>
      <c r="W129" s="98">
        <f t="shared" si="9"/>
        <v>0</v>
      </c>
      <c r="X129" s="12">
        <f t="shared" si="10"/>
        <v>0</v>
      </c>
      <c r="Z129" s="211" t="e">
        <f t="shared" si="11"/>
        <v>#DIV/0!</v>
      </c>
      <c r="AA129" s="245"/>
      <c r="AB129" s="200" t="e">
        <f>(#REF!-1)*(360/(C129-$C$76))</f>
        <v>#REF!</v>
      </c>
      <c r="AC129" s="13">
        <f>W129-U128*'OverNight €'!I129*E129/360</f>
        <v>0</v>
      </c>
    </row>
    <row r="130" spans="2:29" hidden="1" x14ac:dyDescent="0.2">
      <c r="B130" s="9" t="str">
        <f t="shared" si="4"/>
        <v>5 2025</v>
      </c>
      <c r="C130" s="10">
        <f t="shared" si="6"/>
        <v>45782</v>
      </c>
      <c r="D130" s="10">
        <f t="shared" si="7"/>
        <v>45783</v>
      </c>
      <c r="E130" s="11">
        <f t="shared" si="5"/>
        <v>1</v>
      </c>
      <c r="G130" s="11"/>
      <c r="H130" s="249"/>
      <c r="I130" s="367"/>
      <c r="J130" s="228"/>
      <c r="K130" s="12"/>
      <c r="L130" s="219"/>
      <c r="M130" s="215"/>
      <c r="N130" s="12"/>
      <c r="O130" s="219"/>
      <c r="P130" s="219"/>
      <c r="Q130" s="219"/>
      <c r="R130" s="219"/>
      <c r="T130" s="277"/>
      <c r="U130" s="12"/>
      <c r="V130" s="248">
        <f t="shared" si="8"/>
        <v>0</v>
      </c>
      <c r="W130" s="98">
        <f t="shared" si="9"/>
        <v>0</v>
      </c>
      <c r="X130" s="12">
        <f t="shared" si="10"/>
        <v>0</v>
      </c>
      <c r="Z130" s="211" t="e">
        <f t="shared" si="11"/>
        <v>#DIV/0!</v>
      </c>
      <c r="AA130" s="14" t="e">
        <f>I130/I97-1</f>
        <v>#DIV/0!</v>
      </c>
      <c r="AB130" s="200" t="e">
        <f>(#REF!-1)*(360/(C130-$C$76))</f>
        <v>#REF!</v>
      </c>
      <c r="AC130" s="13">
        <f>W130-U129*'OverNight €'!I130*E130/360</f>
        <v>0</v>
      </c>
    </row>
    <row r="131" spans="2:29" hidden="1" x14ac:dyDescent="0.2">
      <c r="B131" s="9" t="str">
        <f t="shared" si="4"/>
        <v>5 2025</v>
      </c>
      <c r="C131" s="10">
        <f t="shared" si="6"/>
        <v>45783</v>
      </c>
      <c r="D131" s="10">
        <f t="shared" si="7"/>
        <v>45784</v>
      </c>
      <c r="E131" s="11">
        <f t="shared" si="5"/>
        <v>1</v>
      </c>
      <c r="G131" s="11"/>
      <c r="H131" s="206"/>
      <c r="I131" s="367"/>
      <c r="J131" s="228"/>
      <c r="K131" s="12"/>
      <c r="L131" s="219"/>
      <c r="M131" s="215"/>
      <c r="N131" s="12"/>
      <c r="O131" s="219"/>
      <c r="P131" s="219"/>
      <c r="Q131" s="219"/>
      <c r="R131" s="219"/>
      <c r="T131" s="277"/>
      <c r="U131" s="12"/>
      <c r="V131" s="12">
        <f t="shared" si="8"/>
        <v>0</v>
      </c>
      <c r="W131" s="12">
        <f t="shared" si="9"/>
        <v>0</v>
      </c>
      <c r="X131" s="12">
        <f t="shared" si="10"/>
        <v>0</v>
      </c>
      <c r="Z131" s="211" t="e">
        <f t="shared" si="11"/>
        <v>#DIV/0!</v>
      </c>
      <c r="AA131" s="118"/>
      <c r="AB131" s="200" t="e">
        <f>(#REF!-1)*(360/(C131-$C$76))</f>
        <v>#REF!</v>
      </c>
      <c r="AC131" s="13">
        <f>W131-U130*'OverNight €'!I131*E131/360</f>
        <v>0</v>
      </c>
    </row>
    <row r="132" spans="2:29" hidden="1" x14ac:dyDescent="0.2">
      <c r="B132" s="9" t="str">
        <f t="shared" si="4"/>
        <v>5 2025</v>
      </c>
      <c r="C132" s="10">
        <f t="shared" si="6"/>
        <v>45784</v>
      </c>
      <c r="D132" s="10">
        <f t="shared" si="7"/>
        <v>45785</v>
      </c>
      <c r="E132" s="11">
        <f t="shared" si="5"/>
        <v>1</v>
      </c>
      <c r="G132" s="11"/>
      <c r="H132" s="206"/>
      <c r="I132" s="367"/>
      <c r="J132" s="228"/>
      <c r="K132" s="12"/>
      <c r="L132" s="219"/>
      <c r="M132" s="215"/>
      <c r="N132" s="12"/>
      <c r="O132" s="219"/>
      <c r="P132" s="219"/>
      <c r="Q132" s="219"/>
      <c r="R132" s="219"/>
      <c r="T132" s="277"/>
      <c r="U132" s="12"/>
      <c r="V132" s="12">
        <f t="shared" si="8"/>
        <v>0</v>
      </c>
      <c r="W132" s="12">
        <f t="shared" si="9"/>
        <v>0</v>
      </c>
      <c r="X132" s="12">
        <f t="shared" si="10"/>
        <v>0</v>
      </c>
      <c r="Z132" s="211" t="e">
        <f t="shared" si="11"/>
        <v>#DIV/0!</v>
      </c>
      <c r="AA132" s="118"/>
      <c r="AB132" s="200" t="e">
        <f>(#REF!-1)*(360/(C132-$C$76))</f>
        <v>#REF!</v>
      </c>
      <c r="AC132" s="13">
        <f>W132-U131*'OverNight €'!I132*E132/360</f>
        <v>0</v>
      </c>
    </row>
    <row r="133" spans="2:29" hidden="1" x14ac:dyDescent="0.2">
      <c r="B133" s="9" t="str">
        <f t="shared" si="4"/>
        <v>5 2025</v>
      </c>
      <c r="C133" s="10">
        <f t="shared" si="6"/>
        <v>45785</v>
      </c>
      <c r="D133" s="10">
        <f t="shared" si="7"/>
        <v>45786</v>
      </c>
      <c r="E133" s="11">
        <f t="shared" si="5"/>
        <v>1</v>
      </c>
      <c r="G133" s="11"/>
      <c r="H133" s="206"/>
      <c r="I133" s="367"/>
      <c r="J133" s="228"/>
      <c r="K133" s="12"/>
      <c r="L133" s="219"/>
      <c r="M133" s="215"/>
      <c r="N133" s="12"/>
      <c r="O133" s="219"/>
      <c r="P133" s="219"/>
      <c r="Q133" s="219"/>
      <c r="R133" s="219"/>
      <c r="T133" s="277"/>
      <c r="U133" s="12"/>
      <c r="V133" s="12">
        <f t="shared" si="8"/>
        <v>0</v>
      </c>
      <c r="W133" s="12">
        <f t="shared" si="9"/>
        <v>0</v>
      </c>
      <c r="X133" s="12">
        <f t="shared" si="10"/>
        <v>0</v>
      </c>
      <c r="Z133" s="211" t="e">
        <f t="shared" si="11"/>
        <v>#DIV/0!</v>
      </c>
      <c r="AA133" s="118"/>
      <c r="AB133" s="200" t="e">
        <f>(#REF!-1)*(360/(C133-$C$76))</f>
        <v>#REF!</v>
      </c>
      <c r="AC133" s="13">
        <f>W133-U132*'OverNight €'!I133*E133/360</f>
        <v>0</v>
      </c>
    </row>
    <row r="134" spans="2:29" hidden="1" x14ac:dyDescent="0.2">
      <c r="B134" s="9" t="str">
        <f t="shared" ref="B134:B197" si="14">CONCATENATE(MONTH(D134)," ",YEAR(D134))</f>
        <v>5 2025</v>
      </c>
      <c r="C134" s="10">
        <f t="shared" si="6"/>
        <v>45786</v>
      </c>
      <c r="D134" s="10">
        <f t="shared" si="7"/>
        <v>45787</v>
      </c>
      <c r="E134" s="11">
        <f t="shared" ref="E134:E197" si="15">D134-C134</f>
        <v>1</v>
      </c>
      <c r="G134" s="11"/>
      <c r="H134" s="206"/>
      <c r="I134" s="367"/>
      <c r="J134" s="228"/>
      <c r="K134" s="12"/>
      <c r="L134" s="219"/>
      <c r="M134" s="215"/>
      <c r="N134" s="12"/>
      <c r="O134" s="219"/>
      <c r="P134" s="219"/>
      <c r="Q134" s="219"/>
      <c r="R134" s="219"/>
      <c r="T134" s="277"/>
      <c r="U134" s="12"/>
      <c r="V134" s="12">
        <f t="shared" si="8"/>
        <v>0</v>
      </c>
      <c r="W134" s="12">
        <f t="shared" si="9"/>
        <v>0</v>
      </c>
      <c r="X134" s="12">
        <f t="shared" si="10"/>
        <v>0</v>
      </c>
      <c r="Z134" s="211" t="e">
        <f t="shared" si="11"/>
        <v>#DIV/0!</v>
      </c>
      <c r="AA134" s="118"/>
      <c r="AB134" s="200" t="e">
        <f>(#REF!-1)*(360/(C134-$C$76))</f>
        <v>#REF!</v>
      </c>
      <c r="AC134" s="13">
        <f>W134-U133*'OverNight €'!I134*E134/360</f>
        <v>0</v>
      </c>
    </row>
    <row r="135" spans="2:29" hidden="1" x14ac:dyDescent="0.2">
      <c r="B135" s="9" t="str">
        <f t="shared" si="14"/>
        <v>5 2025</v>
      </c>
      <c r="C135" s="10">
        <f t="shared" si="6"/>
        <v>45787</v>
      </c>
      <c r="D135" s="10">
        <f t="shared" si="7"/>
        <v>45788</v>
      </c>
      <c r="E135" s="11">
        <f t="shared" si="15"/>
        <v>1</v>
      </c>
      <c r="G135" s="11"/>
      <c r="H135" s="206"/>
      <c r="I135" s="367"/>
      <c r="J135" s="228"/>
      <c r="K135" s="12"/>
      <c r="L135" s="219"/>
      <c r="M135" s="215"/>
      <c r="N135" s="12"/>
      <c r="O135" s="219"/>
      <c r="P135" s="219"/>
      <c r="Q135" s="219"/>
      <c r="R135" s="219"/>
      <c r="T135" s="277"/>
      <c r="U135" s="12"/>
      <c r="V135" s="12">
        <f t="shared" si="8"/>
        <v>0</v>
      </c>
      <c r="W135" s="12">
        <f t="shared" si="9"/>
        <v>0</v>
      </c>
      <c r="X135" s="12">
        <f t="shared" si="10"/>
        <v>0</v>
      </c>
      <c r="Z135" s="211" t="e">
        <f t="shared" si="11"/>
        <v>#DIV/0!</v>
      </c>
      <c r="AA135" s="118"/>
      <c r="AB135" s="200" t="e">
        <f>(#REF!-1)*(360/(C135-$C$76))</f>
        <v>#REF!</v>
      </c>
      <c r="AC135" s="13">
        <f>W135-U134*'OverNight €'!I135*E135/360</f>
        <v>0</v>
      </c>
    </row>
    <row r="136" spans="2:29" hidden="1" x14ac:dyDescent="0.2">
      <c r="B136" s="9" t="str">
        <f t="shared" si="14"/>
        <v>5 2025</v>
      </c>
      <c r="C136" s="10">
        <f t="shared" ref="C136:C199" si="16">D135</f>
        <v>45788</v>
      </c>
      <c r="D136" s="10">
        <f t="shared" ref="D136:D199" si="17">D135+1</f>
        <v>45789</v>
      </c>
      <c r="E136" s="11">
        <f t="shared" si="15"/>
        <v>1</v>
      </c>
      <c r="G136" s="11"/>
      <c r="H136" s="206"/>
      <c r="I136" s="367"/>
      <c r="J136" s="228"/>
      <c r="K136" s="12"/>
      <c r="L136" s="219"/>
      <c r="M136" s="215"/>
      <c r="N136" s="12"/>
      <c r="O136" s="219"/>
      <c r="P136" s="219"/>
      <c r="Q136" s="219"/>
      <c r="R136" s="219"/>
      <c r="T136" s="277"/>
      <c r="U136" s="12"/>
      <c r="V136" s="12">
        <f t="shared" si="8"/>
        <v>0</v>
      </c>
      <c r="W136" s="12">
        <f t="shared" si="9"/>
        <v>0</v>
      </c>
      <c r="X136" s="12">
        <f t="shared" si="10"/>
        <v>0</v>
      </c>
      <c r="Z136" s="211" t="e">
        <f t="shared" si="11"/>
        <v>#DIV/0!</v>
      </c>
      <c r="AA136" s="118"/>
      <c r="AB136" s="200" t="e">
        <f>(#REF!-1)*(360/(C136-$C$76))</f>
        <v>#REF!</v>
      </c>
      <c r="AC136" s="13">
        <f>W136-U135*'OverNight €'!I136*E136/360</f>
        <v>0</v>
      </c>
    </row>
    <row r="137" spans="2:29" hidden="1" x14ac:dyDescent="0.2">
      <c r="B137" s="9" t="str">
        <f t="shared" si="14"/>
        <v>5 2025</v>
      </c>
      <c r="C137" s="10">
        <f t="shared" si="16"/>
        <v>45789</v>
      </c>
      <c r="D137" s="10">
        <f t="shared" si="17"/>
        <v>45790</v>
      </c>
      <c r="E137" s="11">
        <f t="shared" si="15"/>
        <v>1</v>
      </c>
      <c r="G137" s="11"/>
      <c r="H137" s="206"/>
      <c r="I137" s="367"/>
      <c r="J137" s="228"/>
      <c r="K137" s="12"/>
      <c r="L137" s="219"/>
      <c r="M137" s="215"/>
      <c r="N137" s="12"/>
      <c r="O137" s="219"/>
      <c r="P137" s="219"/>
      <c r="Q137" s="219"/>
      <c r="R137" s="219"/>
      <c r="T137" s="277"/>
      <c r="U137" s="12"/>
      <c r="V137" s="12">
        <f t="shared" si="8"/>
        <v>0</v>
      </c>
      <c r="W137" s="12">
        <f t="shared" si="9"/>
        <v>0</v>
      </c>
      <c r="X137" s="12">
        <f t="shared" si="10"/>
        <v>0</v>
      </c>
      <c r="Z137" s="211" t="e">
        <f t="shared" si="11"/>
        <v>#DIV/0!</v>
      </c>
      <c r="AA137" s="118"/>
      <c r="AB137" s="200" t="e">
        <f>(#REF!-1)*(360/(C137-$C$76))</f>
        <v>#REF!</v>
      </c>
      <c r="AC137" s="13">
        <f>W137-U136*'OverNight €'!I137*E137/360</f>
        <v>0</v>
      </c>
    </row>
    <row r="138" spans="2:29" hidden="1" x14ac:dyDescent="0.2">
      <c r="B138" s="9" t="str">
        <f t="shared" si="14"/>
        <v>5 2025</v>
      </c>
      <c r="C138" s="10">
        <f t="shared" si="16"/>
        <v>45790</v>
      </c>
      <c r="D138" s="10">
        <f t="shared" si="17"/>
        <v>45791</v>
      </c>
      <c r="E138" s="11">
        <f t="shared" si="15"/>
        <v>1</v>
      </c>
      <c r="G138" s="11"/>
      <c r="H138" s="206"/>
      <c r="I138" s="367"/>
      <c r="J138" s="228"/>
      <c r="K138" s="12"/>
      <c r="L138" s="219"/>
      <c r="M138" s="215"/>
      <c r="N138" s="12"/>
      <c r="O138" s="219"/>
      <c r="P138" s="219"/>
      <c r="Q138" s="219"/>
      <c r="R138" s="219"/>
      <c r="T138" s="277"/>
      <c r="U138" s="12"/>
      <c r="V138" s="12">
        <f t="shared" si="8"/>
        <v>0</v>
      </c>
      <c r="W138" s="12">
        <f t="shared" si="9"/>
        <v>0</v>
      </c>
      <c r="X138" s="12">
        <f t="shared" si="10"/>
        <v>0</v>
      </c>
      <c r="Z138" s="211" t="e">
        <f t="shared" si="11"/>
        <v>#DIV/0!</v>
      </c>
      <c r="AA138" s="118"/>
      <c r="AB138" s="200" t="e">
        <f>(#REF!-1)*(360/(C138-$C$76))</f>
        <v>#REF!</v>
      </c>
      <c r="AC138" s="13">
        <f>W138-U137*'OverNight €'!I138*E138/360</f>
        <v>0</v>
      </c>
    </row>
    <row r="139" spans="2:29" hidden="1" x14ac:dyDescent="0.2">
      <c r="B139" s="9" t="str">
        <f t="shared" si="14"/>
        <v>5 2025</v>
      </c>
      <c r="C139" s="10">
        <f t="shared" si="16"/>
        <v>45791</v>
      </c>
      <c r="D139" s="10">
        <f t="shared" si="17"/>
        <v>45792</v>
      </c>
      <c r="E139" s="11">
        <f t="shared" si="15"/>
        <v>1</v>
      </c>
      <c r="G139" s="11"/>
      <c r="H139" s="206"/>
      <c r="I139" s="367"/>
      <c r="J139" s="228"/>
      <c r="K139" s="12"/>
      <c r="L139" s="219"/>
      <c r="M139" s="215"/>
      <c r="N139" s="12"/>
      <c r="O139" s="219"/>
      <c r="P139" s="219"/>
      <c r="Q139" s="219"/>
      <c r="R139" s="219"/>
      <c r="T139" s="277"/>
      <c r="U139" s="12"/>
      <c r="V139" s="12">
        <f t="shared" si="8"/>
        <v>0</v>
      </c>
      <c r="W139" s="12">
        <f t="shared" si="9"/>
        <v>0</v>
      </c>
      <c r="X139" s="12">
        <f t="shared" si="10"/>
        <v>0</v>
      </c>
      <c r="Z139" s="211" t="e">
        <f t="shared" si="11"/>
        <v>#DIV/0!</v>
      </c>
      <c r="AA139" s="118"/>
      <c r="AB139" s="200" t="e">
        <f>(#REF!-1)*(360/(C139-$C$76))</f>
        <v>#REF!</v>
      </c>
      <c r="AC139" s="13">
        <f>W139-U138*'OverNight €'!I139*E139/360</f>
        <v>0</v>
      </c>
    </row>
    <row r="140" spans="2:29" hidden="1" x14ac:dyDescent="0.2">
      <c r="B140" s="9" t="str">
        <f t="shared" si="14"/>
        <v>5 2025</v>
      </c>
      <c r="C140" s="10">
        <f t="shared" si="16"/>
        <v>45792</v>
      </c>
      <c r="D140" s="10">
        <f t="shared" si="17"/>
        <v>45793</v>
      </c>
      <c r="E140" s="11">
        <f t="shared" si="15"/>
        <v>1</v>
      </c>
      <c r="G140" s="11"/>
      <c r="H140" s="206"/>
      <c r="I140" s="367"/>
      <c r="J140" s="228"/>
      <c r="K140" s="12"/>
      <c r="L140" s="219"/>
      <c r="M140" s="215"/>
      <c r="N140" s="12"/>
      <c r="O140" s="219"/>
      <c r="P140" s="219"/>
      <c r="Q140" s="219"/>
      <c r="R140" s="219"/>
      <c r="T140" s="277"/>
      <c r="U140" s="12"/>
      <c r="V140" s="12">
        <f t="shared" ref="V140:V203" si="18">X140-U140</f>
        <v>0</v>
      </c>
      <c r="W140" s="12">
        <f t="shared" ref="W140:W166" si="19">V140-V139</f>
        <v>0</v>
      </c>
      <c r="X140" s="12">
        <f t="shared" ref="X140:X203" si="20">T140*I140</f>
        <v>0</v>
      </c>
      <c r="Z140" s="211" t="e">
        <f t="shared" si="11"/>
        <v>#DIV/0!</v>
      </c>
      <c r="AA140" s="118"/>
      <c r="AB140" s="200" t="e">
        <f>(#REF!-1)*(360/(C140-$C$76))</f>
        <v>#REF!</v>
      </c>
      <c r="AC140" s="13">
        <f>W140-U139*'OverNight €'!I140*E140/360</f>
        <v>0</v>
      </c>
    </row>
    <row r="141" spans="2:29" hidden="1" x14ac:dyDescent="0.2">
      <c r="B141" s="9" t="str">
        <f t="shared" si="14"/>
        <v>5 2025</v>
      </c>
      <c r="C141" s="10">
        <f t="shared" si="16"/>
        <v>45793</v>
      </c>
      <c r="D141" s="10">
        <f t="shared" si="17"/>
        <v>45794</v>
      </c>
      <c r="E141" s="11">
        <f t="shared" si="15"/>
        <v>1</v>
      </c>
      <c r="G141" s="11"/>
      <c r="H141" s="206"/>
      <c r="I141" s="367"/>
      <c r="J141" s="228"/>
      <c r="K141" s="12"/>
      <c r="L141" s="219"/>
      <c r="M141" s="215"/>
      <c r="N141" s="12"/>
      <c r="O141" s="219"/>
      <c r="P141" s="219"/>
      <c r="Q141" s="219"/>
      <c r="R141" s="219"/>
      <c r="T141" s="277"/>
      <c r="U141" s="12"/>
      <c r="V141" s="12">
        <f t="shared" si="18"/>
        <v>0</v>
      </c>
      <c r="W141" s="12">
        <f t="shared" si="19"/>
        <v>0</v>
      </c>
      <c r="X141" s="12">
        <f t="shared" si="20"/>
        <v>0</v>
      </c>
      <c r="Z141" s="211" t="e">
        <f t="shared" ref="Z141:Z204" si="21">I141/I140-1</f>
        <v>#DIV/0!</v>
      </c>
      <c r="AA141" s="118"/>
      <c r="AB141" s="200" t="e">
        <f>(#REF!-1)*(360/(C141-$C$76))</f>
        <v>#REF!</v>
      </c>
      <c r="AC141" s="13">
        <f>W141-U140*'OverNight €'!I141*E141/360</f>
        <v>0</v>
      </c>
    </row>
    <row r="142" spans="2:29" hidden="1" x14ac:dyDescent="0.2">
      <c r="B142" s="9" t="str">
        <f t="shared" si="14"/>
        <v>5 2025</v>
      </c>
      <c r="C142" s="10">
        <f t="shared" si="16"/>
        <v>45794</v>
      </c>
      <c r="D142" s="10">
        <f t="shared" si="17"/>
        <v>45795</v>
      </c>
      <c r="E142" s="11">
        <f t="shared" si="15"/>
        <v>1</v>
      </c>
      <c r="G142" s="11"/>
      <c r="H142" s="206"/>
      <c r="I142" s="367"/>
      <c r="J142" s="228"/>
      <c r="K142" s="12"/>
      <c r="L142" s="219"/>
      <c r="M142" s="215"/>
      <c r="N142" s="12"/>
      <c r="O142" s="219"/>
      <c r="P142" s="219"/>
      <c r="Q142" s="219"/>
      <c r="R142" s="219"/>
      <c r="T142" s="277"/>
      <c r="U142" s="12"/>
      <c r="V142" s="12">
        <f t="shared" si="18"/>
        <v>0</v>
      </c>
      <c r="W142" s="12">
        <f t="shared" si="19"/>
        <v>0</v>
      </c>
      <c r="X142" s="12">
        <f t="shared" si="20"/>
        <v>0</v>
      </c>
      <c r="Z142" s="211" t="e">
        <f t="shared" si="21"/>
        <v>#DIV/0!</v>
      </c>
      <c r="AA142" s="118"/>
      <c r="AB142" s="200" t="e">
        <f>(#REF!-1)*(360/(C142-$C$76))</f>
        <v>#REF!</v>
      </c>
      <c r="AC142" s="13">
        <f>W142-U141*'OverNight €'!I142*E142/360</f>
        <v>0</v>
      </c>
    </row>
    <row r="143" spans="2:29" hidden="1" x14ac:dyDescent="0.2">
      <c r="B143" s="9" t="str">
        <f t="shared" si="14"/>
        <v>5 2025</v>
      </c>
      <c r="C143" s="10">
        <f t="shared" si="16"/>
        <v>45795</v>
      </c>
      <c r="D143" s="10">
        <f t="shared" si="17"/>
        <v>45796</v>
      </c>
      <c r="E143" s="11">
        <f t="shared" si="15"/>
        <v>1</v>
      </c>
      <c r="G143" s="11"/>
      <c r="H143" s="206"/>
      <c r="I143" s="367"/>
      <c r="J143" s="228"/>
      <c r="K143" s="12"/>
      <c r="L143" s="219"/>
      <c r="M143" s="215"/>
      <c r="N143" s="12"/>
      <c r="O143" s="219"/>
      <c r="P143" s="219"/>
      <c r="Q143" s="219"/>
      <c r="R143" s="219"/>
      <c r="T143" s="277"/>
      <c r="U143" s="12"/>
      <c r="V143" s="12">
        <f t="shared" si="18"/>
        <v>0</v>
      </c>
      <c r="W143" s="12">
        <f t="shared" si="19"/>
        <v>0</v>
      </c>
      <c r="X143" s="12">
        <f t="shared" si="20"/>
        <v>0</v>
      </c>
      <c r="Z143" s="211" t="e">
        <f t="shared" si="21"/>
        <v>#DIV/0!</v>
      </c>
      <c r="AA143" s="118"/>
      <c r="AB143" s="200" t="e">
        <f>(#REF!-1)*(360/(C143-$C$76))</f>
        <v>#REF!</v>
      </c>
      <c r="AC143" s="13">
        <f>W143-U142*'OverNight €'!I143*E143/360</f>
        <v>0</v>
      </c>
    </row>
    <row r="144" spans="2:29" hidden="1" x14ac:dyDescent="0.2">
      <c r="B144" s="9" t="str">
        <f t="shared" si="14"/>
        <v>5 2025</v>
      </c>
      <c r="C144" s="10">
        <f t="shared" si="16"/>
        <v>45796</v>
      </c>
      <c r="D144" s="10">
        <f t="shared" si="17"/>
        <v>45797</v>
      </c>
      <c r="E144" s="11">
        <f t="shared" si="15"/>
        <v>1</v>
      </c>
      <c r="G144" s="11"/>
      <c r="H144" s="206"/>
      <c r="I144" s="367"/>
      <c r="J144" s="228"/>
      <c r="K144" s="12"/>
      <c r="L144" s="219"/>
      <c r="M144" s="215"/>
      <c r="N144" s="12"/>
      <c r="O144" s="219"/>
      <c r="P144" s="219"/>
      <c r="Q144" s="219"/>
      <c r="R144" s="219"/>
      <c r="T144" s="277"/>
      <c r="U144" s="12"/>
      <c r="V144" s="12">
        <f t="shared" si="18"/>
        <v>0</v>
      </c>
      <c r="W144" s="12">
        <f t="shared" si="19"/>
        <v>0</v>
      </c>
      <c r="X144" s="12">
        <f t="shared" si="20"/>
        <v>0</v>
      </c>
      <c r="Z144" s="211" t="e">
        <f t="shared" si="21"/>
        <v>#DIV/0!</v>
      </c>
      <c r="AA144" s="118"/>
      <c r="AB144" s="200" t="e">
        <f>(#REF!-1)*(360/(C144-$C$76))</f>
        <v>#REF!</v>
      </c>
      <c r="AC144" s="13">
        <f>W144-U143*'OverNight €'!I144*E144/360</f>
        <v>0</v>
      </c>
    </row>
    <row r="145" spans="2:31" hidden="1" x14ac:dyDescent="0.2">
      <c r="B145" s="9" t="str">
        <f t="shared" si="14"/>
        <v>5 2025</v>
      </c>
      <c r="C145" s="10">
        <f t="shared" si="16"/>
        <v>45797</v>
      </c>
      <c r="D145" s="10">
        <f t="shared" si="17"/>
        <v>45798</v>
      </c>
      <c r="E145" s="11">
        <f t="shared" si="15"/>
        <v>1</v>
      </c>
      <c r="G145" s="11"/>
      <c r="H145" s="206"/>
      <c r="I145" s="367"/>
      <c r="J145" s="228"/>
      <c r="K145" s="12"/>
      <c r="L145" s="219"/>
      <c r="M145" s="215"/>
      <c r="N145" s="12"/>
      <c r="O145" s="219"/>
      <c r="P145" s="219"/>
      <c r="Q145" s="219"/>
      <c r="R145" s="219"/>
      <c r="T145" s="277"/>
      <c r="U145" s="12"/>
      <c r="V145" s="12">
        <f t="shared" si="18"/>
        <v>0</v>
      </c>
      <c r="W145" s="12">
        <f t="shared" si="19"/>
        <v>0</v>
      </c>
      <c r="X145" s="12">
        <f t="shared" si="20"/>
        <v>0</v>
      </c>
      <c r="Z145" s="211" t="e">
        <f t="shared" si="21"/>
        <v>#DIV/0!</v>
      </c>
      <c r="AA145" s="118"/>
      <c r="AB145" s="200" t="e">
        <f>(#REF!-1)*(360/(C145-$C$76))</f>
        <v>#REF!</v>
      </c>
      <c r="AC145" s="13">
        <f>W145-U144*'OverNight €'!I145*E145/360</f>
        <v>0</v>
      </c>
    </row>
    <row r="146" spans="2:31" hidden="1" x14ac:dyDescent="0.2">
      <c r="B146" s="9" t="str">
        <f t="shared" si="14"/>
        <v>5 2025</v>
      </c>
      <c r="C146" s="10">
        <f t="shared" si="16"/>
        <v>45798</v>
      </c>
      <c r="D146" s="10">
        <f t="shared" si="17"/>
        <v>45799</v>
      </c>
      <c r="E146" s="11">
        <f t="shared" si="15"/>
        <v>1</v>
      </c>
      <c r="G146" s="11"/>
      <c r="H146" s="206"/>
      <c r="I146" s="367"/>
      <c r="J146" s="228"/>
      <c r="K146" s="12"/>
      <c r="L146" s="219"/>
      <c r="M146" s="215"/>
      <c r="N146" s="12"/>
      <c r="O146" s="219"/>
      <c r="P146" s="219"/>
      <c r="Q146" s="219"/>
      <c r="R146" s="219"/>
      <c r="T146" s="277"/>
      <c r="U146" s="12"/>
      <c r="V146" s="12">
        <f t="shared" si="18"/>
        <v>0</v>
      </c>
      <c r="W146" s="12">
        <f t="shared" si="19"/>
        <v>0</v>
      </c>
      <c r="X146" s="12">
        <f t="shared" si="20"/>
        <v>0</v>
      </c>
      <c r="Z146" s="211" t="e">
        <f t="shared" si="21"/>
        <v>#DIV/0!</v>
      </c>
      <c r="AA146" s="118"/>
      <c r="AB146" s="200" t="e">
        <f>(#REF!-1)*(360/(C146-$C$76))</f>
        <v>#REF!</v>
      </c>
      <c r="AC146" s="13">
        <f>W146-U145*'OverNight €'!I146*E146/360</f>
        <v>0</v>
      </c>
    </row>
    <row r="147" spans="2:31" hidden="1" x14ac:dyDescent="0.2">
      <c r="B147" s="9" t="str">
        <f t="shared" si="14"/>
        <v>5 2025</v>
      </c>
      <c r="C147" s="10">
        <f t="shared" si="16"/>
        <v>45799</v>
      </c>
      <c r="D147" s="10">
        <f t="shared" si="17"/>
        <v>45800</v>
      </c>
      <c r="E147" s="11">
        <f t="shared" si="15"/>
        <v>1</v>
      </c>
      <c r="G147" s="11"/>
      <c r="H147" s="206"/>
      <c r="I147" s="367"/>
      <c r="J147" s="228"/>
      <c r="K147" s="12"/>
      <c r="L147" s="219"/>
      <c r="M147" s="215"/>
      <c r="N147" s="12"/>
      <c r="O147" s="219"/>
      <c r="P147" s="219"/>
      <c r="Q147" s="219"/>
      <c r="R147" s="219"/>
      <c r="T147" s="277"/>
      <c r="U147" s="12"/>
      <c r="V147" s="12">
        <f t="shared" si="18"/>
        <v>0</v>
      </c>
      <c r="W147" s="12">
        <f t="shared" si="19"/>
        <v>0</v>
      </c>
      <c r="X147" s="12">
        <f t="shared" si="20"/>
        <v>0</v>
      </c>
      <c r="Z147" s="211" t="e">
        <f t="shared" si="21"/>
        <v>#DIV/0!</v>
      </c>
      <c r="AA147" s="118"/>
      <c r="AB147" s="200" t="e">
        <f>(#REF!-1)*(360/(C147-$C$76))</f>
        <v>#REF!</v>
      </c>
      <c r="AC147" s="13">
        <f>W147-U146*'OverNight €'!I147*E147/360</f>
        <v>0</v>
      </c>
    </row>
    <row r="148" spans="2:31" hidden="1" x14ac:dyDescent="0.2">
      <c r="B148" s="9" t="str">
        <f t="shared" si="14"/>
        <v>5 2025</v>
      </c>
      <c r="C148" s="10">
        <f t="shared" si="16"/>
        <v>45800</v>
      </c>
      <c r="D148" s="10">
        <f t="shared" si="17"/>
        <v>45801</v>
      </c>
      <c r="E148" s="11">
        <f t="shared" si="15"/>
        <v>1</v>
      </c>
      <c r="G148" s="11"/>
      <c r="H148" s="206"/>
      <c r="I148" s="367"/>
      <c r="J148" s="228"/>
      <c r="K148" s="12"/>
      <c r="L148" s="219"/>
      <c r="M148" s="215"/>
      <c r="N148" s="12"/>
      <c r="O148" s="219"/>
      <c r="P148" s="219"/>
      <c r="Q148" s="219"/>
      <c r="R148" s="219"/>
      <c r="T148" s="277"/>
      <c r="U148" s="12"/>
      <c r="V148" s="12">
        <f t="shared" si="18"/>
        <v>0</v>
      </c>
      <c r="W148" s="12">
        <f t="shared" si="19"/>
        <v>0</v>
      </c>
      <c r="X148" s="12">
        <f t="shared" si="20"/>
        <v>0</v>
      </c>
      <c r="Z148" s="211" t="e">
        <f t="shared" si="21"/>
        <v>#DIV/0!</v>
      </c>
      <c r="AA148" s="118"/>
      <c r="AB148" s="200" t="e">
        <f>(#REF!-1)*(360/(C148-$C$76))</f>
        <v>#REF!</v>
      </c>
      <c r="AC148" s="13">
        <f>W148-U147*'OverNight €'!I148*E148/360</f>
        <v>0</v>
      </c>
    </row>
    <row r="149" spans="2:31" hidden="1" x14ac:dyDescent="0.2">
      <c r="B149" s="9" t="str">
        <f t="shared" si="14"/>
        <v>5 2025</v>
      </c>
      <c r="C149" s="10">
        <f t="shared" si="16"/>
        <v>45801</v>
      </c>
      <c r="D149" s="10">
        <f t="shared" si="17"/>
        <v>45802</v>
      </c>
      <c r="E149" s="11">
        <f t="shared" si="15"/>
        <v>1</v>
      </c>
      <c r="G149" s="11"/>
      <c r="H149" s="206"/>
      <c r="I149" s="367"/>
      <c r="J149" s="228"/>
      <c r="K149" s="12"/>
      <c r="L149" s="219"/>
      <c r="M149" s="215"/>
      <c r="N149" s="12"/>
      <c r="O149" s="219"/>
      <c r="P149" s="219"/>
      <c r="Q149" s="219"/>
      <c r="R149" s="219"/>
      <c r="T149" s="277"/>
      <c r="U149" s="12"/>
      <c r="V149" s="12">
        <f t="shared" si="18"/>
        <v>0</v>
      </c>
      <c r="W149" s="12">
        <f t="shared" si="19"/>
        <v>0</v>
      </c>
      <c r="X149" s="12">
        <f t="shared" si="20"/>
        <v>0</v>
      </c>
      <c r="Z149" s="211" t="e">
        <f t="shared" si="21"/>
        <v>#DIV/0!</v>
      </c>
      <c r="AA149" s="118"/>
      <c r="AB149" s="200" t="e">
        <f>(#REF!-1)*(360/(C149-$C$76))</f>
        <v>#REF!</v>
      </c>
      <c r="AC149" s="13">
        <f>W149-U148*'OverNight €'!I149*E149/360</f>
        <v>0</v>
      </c>
    </row>
    <row r="150" spans="2:31" hidden="1" x14ac:dyDescent="0.2">
      <c r="B150" s="9" t="str">
        <f t="shared" si="14"/>
        <v>5 2025</v>
      </c>
      <c r="C150" s="10">
        <f t="shared" si="16"/>
        <v>45802</v>
      </c>
      <c r="D150" s="10">
        <f t="shared" si="17"/>
        <v>45803</v>
      </c>
      <c r="E150" s="11">
        <f t="shared" si="15"/>
        <v>1</v>
      </c>
      <c r="G150" s="11"/>
      <c r="H150" s="206"/>
      <c r="I150" s="367"/>
      <c r="J150" s="228"/>
      <c r="K150" s="12"/>
      <c r="L150" s="219"/>
      <c r="M150" s="215"/>
      <c r="N150" s="12"/>
      <c r="O150" s="219"/>
      <c r="P150" s="219"/>
      <c r="Q150" s="219"/>
      <c r="R150" s="219"/>
      <c r="T150" s="277"/>
      <c r="U150" s="12"/>
      <c r="V150" s="12">
        <f t="shared" si="18"/>
        <v>0</v>
      </c>
      <c r="W150" s="12">
        <f t="shared" si="19"/>
        <v>0</v>
      </c>
      <c r="X150" s="12">
        <f t="shared" si="20"/>
        <v>0</v>
      </c>
      <c r="Z150" s="211" t="e">
        <f t="shared" si="21"/>
        <v>#DIV/0!</v>
      </c>
      <c r="AA150" s="118"/>
      <c r="AB150" s="200" t="e">
        <f>(#REF!-1)*(360/(C150-$C$76))</f>
        <v>#REF!</v>
      </c>
      <c r="AC150" s="13">
        <f>W150-U149*'OverNight €'!I150*E150/360</f>
        <v>0</v>
      </c>
    </row>
    <row r="151" spans="2:31" hidden="1" x14ac:dyDescent="0.2">
      <c r="B151" s="9" t="str">
        <f t="shared" si="14"/>
        <v>5 2025</v>
      </c>
      <c r="C151" s="10">
        <f t="shared" si="16"/>
        <v>45803</v>
      </c>
      <c r="D151" s="10">
        <f t="shared" si="17"/>
        <v>45804</v>
      </c>
      <c r="E151" s="11">
        <f t="shared" si="15"/>
        <v>1</v>
      </c>
      <c r="G151" s="11"/>
      <c r="H151" s="206"/>
      <c r="I151" s="367"/>
      <c r="J151" s="228"/>
      <c r="K151" s="12"/>
      <c r="L151" s="219"/>
      <c r="M151" s="215"/>
      <c r="N151" s="12"/>
      <c r="O151" s="219"/>
      <c r="P151" s="219"/>
      <c r="Q151" s="219"/>
      <c r="R151" s="219"/>
      <c r="T151" s="277"/>
      <c r="U151" s="12"/>
      <c r="V151" s="12">
        <f t="shared" si="18"/>
        <v>0</v>
      </c>
      <c r="W151" s="12">
        <f t="shared" si="19"/>
        <v>0</v>
      </c>
      <c r="X151" s="12">
        <f t="shared" si="20"/>
        <v>0</v>
      </c>
      <c r="Z151" s="211" t="e">
        <f t="shared" si="21"/>
        <v>#DIV/0!</v>
      </c>
      <c r="AA151" s="118"/>
      <c r="AB151" s="200" t="e">
        <f>(#REF!-1)*(360/(C151-$C$76))</f>
        <v>#REF!</v>
      </c>
      <c r="AC151" s="13">
        <f>W151-U150*'OverNight €'!I151*E151/360</f>
        <v>0</v>
      </c>
    </row>
    <row r="152" spans="2:31" hidden="1" x14ac:dyDescent="0.2">
      <c r="B152" s="9" t="str">
        <f t="shared" si="14"/>
        <v>5 2025</v>
      </c>
      <c r="C152" s="10">
        <f t="shared" si="16"/>
        <v>45804</v>
      </c>
      <c r="D152" s="10">
        <f t="shared" si="17"/>
        <v>45805</v>
      </c>
      <c r="E152" s="11">
        <f t="shared" si="15"/>
        <v>1</v>
      </c>
      <c r="G152" s="11"/>
      <c r="H152" s="206"/>
      <c r="I152" s="367"/>
      <c r="J152" s="228"/>
      <c r="K152" s="12"/>
      <c r="L152" s="219"/>
      <c r="M152" s="215"/>
      <c r="N152" s="12"/>
      <c r="O152" s="219"/>
      <c r="P152" s="219"/>
      <c r="Q152" s="219"/>
      <c r="R152" s="219"/>
      <c r="T152" s="277"/>
      <c r="U152" s="12"/>
      <c r="V152" s="12">
        <f t="shared" si="18"/>
        <v>0</v>
      </c>
      <c r="W152" s="12">
        <f t="shared" si="19"/>
        <v>0</v>
      </c>
      <c r="X152" s="12">
        <f t="shared" si="20"/>
        <v>0</v>
      </c>
      <c r="Z152" s="211" t="e">
        <f t="shared" si="21"/>
        <v>#DIV/0!</v>
      </c>
      <c r="AA152" s="118"/>
      <c r="AB152" s="200" t="e">
        <f>(#REF!-1)*(360/(C152-$C$76))</f>
        <v>#REF!</v>
      </c>
      <c r="AC152" s="13">
        <f>W152-U151*'OverNight €'!I152*E152/360</f>
        <v>0</v>
      </c>
    </row>
    <row r="153" spans="2:31" hidden="1" x14ac:dyDescent="0.2">
      <c r="B153" s="9" t="str">
        <f t="shared" si="14"/>
        <v>5 2025</v>
      </c>
      <c r="C153" s="10">
        <f t="shared" si="16"/>
        <v>45805</v>
      </c>
      <c r="D153" s="10">
        <f t="shared" si="17"/>
        <v>45806</v>
      </c>
      <c r="E153" s="11">
        <f t="shared" si="15"/>
        <v>1</v>
      </c>
      <c r="G153" s="11"/>
      <c r="H153" s="206"/>
      <c r="I153" s="367"/>
      <c r="J153" s="228"/>
      <c r="K153" s="12"/>
      <c r="L153" s="219"/>
      <c r="M153" s="215"/>
      <c r="N153" s="12"/>
      <c r="O153" s="219"/>
      <c r="P153" s="219"/>
      <c r="Q153" s="219"/>
      <c r="R153" s="219"/>
      <c r="T153" s="277"/>
      <c r="U153" s="12"/>
      <c r="V153" s="12">
        <f t="shared" si="18"/>
        <v>0</v>
      </c>
      <c r="W153" s="12">
        <f t="shared" si="19"/>
        <v>0</v>
      </c>
      <c r="X153" s="12">
        <f t="shared" si="20"/>
        <v>0</v>
      </c>
      <c r="Z153" s="211" t="e">
        <f t="shared" si="21"/>
        <v>#DIV/0!</v>
      </c>
      <c r="AA153" s="118"/>
      <c r="AB153" s="200" t="e">
        <f>(#REF!-1)*(360/(C153-$C$76))</f>
        <v>#REF!</v>
      </c>
      <c r="AC153" s="13">
        <f>W153-U152*'OverNight €'!I153*E153/360</f>
        <v>0</v>
      </c>
    </row>
    <row r="154" spans="2:31" hidden="1" x14ac:dyDescent="0.2">
      <c r="B154" s="9" t="str">
        <f t="shared" si="14"/>
        <v>5 2025</v>
      </c>
      <c r="C154" s="10">
        <f t="shared" si="16"/>
        <v>45806</v>
      </c>
      <c r="D154" s="10">
        <f t="shared" si="17"/>
        <v>45807</v>
      </c>
      <c r="E154" s="11">
        <f t="shared" si="15"/>
        <v>1</v>
      </c>
      <c r="G154" s="11"/>
      <c r="H154" s="206"/>
      <c r="I154" s="367"/>
      <c r="J154" s="228"/>
      <c r="K154" s="12"/>
      <c r="L154" s="219"/>
      <c r="M154" s="215"/>
      <c r="N154" s="12"/>
      <c r="O154" s="219"/>
      <c r="P154" s="219"/>
      <c r="Q154" s="219"/>
      <c r="R154" s="219"/>
      <c r="T154" s="277"/>
      <c r="U154" s="12"/>
      <c r="V154" s="12">
        <f t="shared" si="18"/>
        <v>0</v>
      </c>
      <c r="W154" s="12">
        <f t="shared" si="19"/>
        <v>0</v>
      </c>
      <c r="X154" s="12">
        <f t="shared" si="20"/>
        <v>0</v>
      </c>
      <c r="Z154" s="211" t="e">
        <f t="shared" si="21"/>
        <v>#DIV/0!</v>
      </c>
      <c r="AA154" s="118"/>
      <c r="AB154" s="200" t="e">
        <f>(#REF!-1)*(360/(C154-$C$76))</f>
        <v>#REF!</v>
      </c>
      <c r="AC154" s="13">
        <f>W154-U153*'OverNight €'!I154*E154/360</f>
        <v>0</v>
      </c>
    </row>
    <row r="155" spans="2:31" hidden="1" x14ac:dyDescent="0.2">
      <c r="B155" s="9" t="str">
        <f t="shared" si="14"/>
        <v>5 2025</v>
      </c>
      <c r="C155" s="142">
        <f t="shared" si="16"/>
        <v>45807</v>
      </c>
      <c r="D155" s="142">
        <f t="shared" si="17"/>
        <v>45808</v>
      </c>
      <c r="E155" s="143">
        <f t="shared" si="15"/>
        <v>1</v>
      </c>
      <c r="F155" s="17"/>
      <c r="G155" s="143"/>
      <c r="H155" s="244"/>
      <c r="I155" s="368"/>
      <c r="J155" s="228"/>
      <c r="K155" s="144"/>
      <c r="L155" s="220"/>
      <c r="M155" s="216"/>
      <c r="N155" s="144"/>
      <c r="O155" s="220"/>
      <c r="P155" s="220"/>
      <c r="Q155" s="220"/>
      <c r="R155" s="220"/>
      <c r="T155" s="278"/>
      <c r="U155" s="144"/>
      <c r="V155" s="144">
        <f t="shared" si="18"/>
        <v>0</v>
      </c>
      <c r="W155" s="144">
        <f t="shared" si="19"/>
        <v>0</v>
      </c>
      <c r="X155" s="144">
        <f t="shared" si="20"/>
        <v>0</v>
      </c>
      <c r="Z155" s="254" t="e">
        <f t="shared" si="21"/>
        <v>#DIV/0!</v>
      </c>
      <c r="AA155" s="147"/>
      <c r="AB155" s="255" t="e">
        <f>(#REF!-1)*(360/(C155-$C$76))</f>
        <v>#REF!</v>
      </c>
      <c r="AC155" s="256">
        <f>W155-U154*'OverNight €'!I155*E155/360</f>
        <v>0</v>
      </c>
      <c r="AD155" s="17"/>
      <c r="AE155" s="17"/>
    </row>
    <row r="156" spans="2:31" hidden="1" x14ac:dyDescent="0.2">
      <c r="B156" s="9" t="str">
        <f t="shared" si="14"/>
        <v>6 2025</v>
      </c>
      <c r="C156" s="10">
        <f t="shared" si="16"/>
        <v>45808</v>
      </c>
      <c r="D156" s="10">
        <f t="shared" si="17"/>
        <v>45809</v>
      </c>
      <c r="E156" s="11">
        <f t="shared" si="15"/>
        <v>1</v>
      </c>
      <c r="G156" s="11"/>
      <c r="H156" s="206"/>
      <c r="I156" s="367"/>
      <c r="J156" s="228"/>
      <c r="K156" s="12"/>
      <c r="L156" s="219"/>
      <c r="M156" s="215"/>
      <c r="N156" s="12"/>
      <c r="O156" s="219"/>
      <c r="P156" s="219"/>
      <c r="Q156" s="219"/>
      <c r="R156" s="219"/>
      <c r="T156" s="277"/>
      <c r="U156" s="12"/>
      <c r="V156" s="12">
        <f t="shared" si="18"/>
        <v>0</v>
      </c>
      <c r="W156" s="12">
        <f t="shared" si="19"/>
        <v>0</v>
      </c>
      <c r="X156" s="12">
        <f t="shared" si="20"/>
        <v>0</v>
      </c>
      <c r="Z156" s="211" t="e">
        <f t="shared" si="21"/>
        <v>#DIV/0!</v>
      </c>
      <c r="AA156" s="118"/>
      <c r="AB156" s="200" t="e">
        <f>(#REF!-1)*(360/(C156-$C$76))</f>
        <v>#REF!</v>
      </c>
      <c r="AC156" s="13">
        <f>W156-U155*'OverNight €'!I156*E156/360</f>
        <v>0</v>
      </c>
    </row>
    <row r="157" spans="2:31" hidden="1" x14ac:dyDescent="0.2">
      <c r="B157" s="9" t="str">
        <f t="shared" si="14"/>
        <v>6 2025</v>
      </c>
      <c r="C157" s="10">
        <f t="shared" si="16"/>
        <v>45809</v>
      </c>
      <c r="D157" s="10">
        <f t="shared" si="17"/>
        <v>45810</v>
      </c>
      <c r="E157" s="11">
        <f t="shared" si="15"/>
        <v>1</v>
      </c>
      <c r="G157" s="11"/>
      <c r="H157" s="206"/>
      <c r="I157" s="367"/>
      <c r="J157" s="228"/>
      <c r="K157" s="12"/>
      <c r="L157" s="219"/>
      <c r="M157" s="215"/>
      <c r="N157" s="12"/>
      <c r="O157" s="219"/>
      <c r="P157" s="219"/>
      <c r="Q157" s="219"/>
      <c r="R157" s="219"/>
      <c r="T157" s="277"/>
      <c r="U157" s="12"/>
      <c r="V157" s="12">
        <f t="shared" si="18"/>
        <v>0</v>
      </c>
      <c r="W157" s="12">
        <f t="shared" si="19"/>
        <v>0</v>
      </c>
      <c r="X157" s="12">
        <f t="shared" si="20"/>
        <v>0</v>
      </c>
      <c r="Z157" s="211" t="e">
        <f t="shared" si="21"/>
        <v>#DIV/0!</v>
      </c>
      <c r="AA157" s="118"/>
      <c r="AB157" s="200" t="e">
        <f>(#REF!-1)*(360/(C157-$C$76))</f>
        <v>#REF!</v>
      </c>
      <c r="AC157" s="13">
        <f>W157-U156*'OverNight €'!I157*E157/360</f>
        <v>0</v>
      </c>
    </row>
    <row r="158" spans="2:31" hidden="1" x14ac:dyDescent="0.2">
      <c r="B158" s="9" t="str">
        <f t="shared" si="14"/>
        <v>6 2025</v>
      </c>
      <c r="C158" s="10">
        <f t="shared" si="16"/>
        <v>45810</v>
      </c>
      <c r="D158" s="10">
        <f t="shared" si="17"/>
        <v>45811</v>
      </c>
      <c r="E158" s="11">
        <f t="shared" si="15"/>
        <v>1</v>
      </c>
      <c r="G158" s="11"/>
      <c r="H158" s="206"/>
      <c r="I158" s="367"/>
      <c r="J158" s="228"/>
      <c r="K158" s="12"/>
      <c r="L158" s="219"/>
      <c r="M158" s="215"/>
      <c r="N158" s="12"/>
      <c r="O158" s="219"/>
      <c r="P158" s="219"/>
      <c r="Q158" s="219"/>
      <c r="R158" s="219"/>
      <c r="T158" s="277"/>
      <c r="U158" s="12"/>
      <c r="V158" s="12">
        <f t="shared" si="18"/>
        <v>0</v>
      </c>
      <c r="W158" s="12">
        <f t="shared" si="19"/>
        <v>0</v>
      </c>
      <c r="X158" s="12">
        <f t="shared" si="20"/>
        <v>0</v>
      </c>
      <c r="Z158" s="211" t="e">
        <f t="shared" si="21"/>
        <v>#DIV/0!</v>
      </c>
      <c r="AA158" s="118"/>
      <c r="AB158" s="200" t="e">
        <f>(#REF!-1)*(360/(C158-$C$76))</f>
        <v>#REF!</v>
      </c>
      <c r="AC158" s="13">
        <f>W158-U157*'OverNight €'!I158*E158/360</f>
        <v>0</v>
      </c>
    </row>
    <row r="159" spans="2:31" hidden="1" x14ac:dyDescent="0.2">
      <c r="B159" s="9" t="str">
        <f t="shared" si="14"/>
        <v>6 2025</v>
      </c>
      <c r="C159" s="10">
        <f t="shared" si="16"/>
        <v>45811</v>
      </c>
      <c r="D159" s="10">
        <f t="shared" si="17"/>
        <v>45812</v>
      </c>
      <c r="E159" s="11">
        <f t="shared" si="15"/>
        <v>1</v>
      </c>
      <c r="G159" s="11"/>
      <c r="H159" s="206"/>
      <c r="I159" s="367"/>
      <c r="J159" s="228"/>
      <c r="K159" s="12"/>
      <c r="L159" s="219"/>
      <c r="M159" s="215"/>
      <c r="N159" s="12"/>
      <c r="O159" s="219"/>
      <c r="P159" s="219"/>
      <c r="Q159" s="219"/>
      <c r="R159" s="219"/>
      <c r="T159" s="277"/>
      <c r="U159" s="12"/>
      <c r="V159" s="12">
        <f t="shared" si="18"/>
        <v>0</v>
      </c>
      <c r="W159" s="12">
        <f t="shared" si="19"/>
        <v>0</v>
      </c>
      <c r="X159" s="12">
        <f t="shared" si="20"/>
        <v>0</v>
      </c>
      <c r="Z159" s="211" t="e">
        <f t="shared" si="21"/>
        <v>#DIV/0!</v>
      </c>
      <c r="AA159" s="14" t="e">
        <f>I159/I130-1</f>
        <v>#DIV/0!</v>
      </c>
      <c r="AB159" s="200" t="e">
        <f>(#REF!-1)*(360/(C159-$C$76))</f>
        <v>#REF!</v>
      </c>
      <c r="AC159" s="13">
        <f>W159-U158*'OverNight €'!I159*E159/360</f>
        <v>0</v>
      </c>
    </row>
    <row r="160" spans="2:31" hidden="1" x14ac:dyDescent="0.2">
      <c r="B160" s="9" t="str">
        <f t="shared" si="14"/>
        <v>6 2025</v>
      </c>
      <c r="C160" s="10">
        <f t="shared" si="16"/>
        <v>45812</v>
      </c>
      <c r="D160" s="10">
        <f t="shared" si="17"/>
        <v>45813</v>
      </c>
      <c r="E160" s="11">
        <f t="shared" si="15"/>
        <v>1</v>
      </c>
      <c r="G160" s="11"/>
      <c r="H160" s="206"/>
      <c r="I160" s="367"/>
      <c r="J160" s="228"/>
      <c r="K160" s="12"/>
      <c r="L160" s="219"/>
      <c r="M160" s="215"/>
      <c r="N160" s="12"/>
      <c r="O160" s="219"/>
      <c r="P160" s="219"/>
      <c r="Q160" s="219"/>
      <c r="R160" s="219"/>
      <c r="T160" s="277"/>
      <c r="U160" s="12"/>
      <c r="V160" s="12">
        <f t="shared" si="18"/>
        <v>0</v>
      </c>
      <c r="W160" s="12">
        <f t="shared" si="19"/>
        <v>0</v>
      </c>
      <c r="X160" s="12">
        <f t="shared" si="20"/>
        <v>0</v>
      </c>
      <c r="Z160" s="211" t="e">
        <f t="shared" si="21"/>
        <v>#DIV/0!</v>
      </c>
      <c r="AA160" s="118"/>
      <c r="AB160" s="200" t="e">
        <f>(#REF!-1)*(360/(C160-$C$76))</f>
        <v>#REF!</v>
      </c>
      <c r="AC160" s="13">
        <f>W160-U159*'OverNight €'!I160*E160/360</f>
        <v>0</v>
      </c>
    </row>
    <row r="161" spans="2:30" hidden="1" x14ac:dyDescent="0.2">
      <c r="B161" s="9" t="str">
        <f t="shared" si="14"/>
        <v>6 2025</v>
      </c>
      <c r="C161" s="10">
        <f t="shared" si="16"/>
        <v>45813</v>
      </c>
      <c r="D161" s="10">
        <f t="shared" si="17"/>
        <v>45814</v>
      </c>
      <c r="E161" s="11">
        <f t="shared" si="15"/>
        <v>1</v>
      </c>
      <c r="G161" s="11"/>
      <c r="H161" s="206"/>
      <c r="I161" s="367"/>
      <c r="J161" s="228"/>
      <c r="K161" s="12"/>
      <c r="L161" s="219"/>
      <c r="M161" s="215"/>
      <c r="N161" s="12"/>
      <c r="O161" s="219"/>
      <c r="P161" s="219"/>
      <c r="Q161" s="219"/>
      <c r="R161" s="219"/>
      <c r="T161" s="277"/>
      <c r="U161" s="12"/>
      <c r="V161" s="12">
        <f t="shared" si="18"/>
        <v>0</v>
      </c>
      <c r="W161" s="12">
        <f t="shared" si="19"/>
        <v>0</v>
      </c>
      <c r="X161" s="12">
        <f t="shared" si="20"/>
        <v>0</v>
      </c>
      <c r="Z161" s="211" t="e">
        <f t="shared" si="21"/>
        <v>#DIV/0!</v>
      </c>
      <c r="AA161" s="118"/>
      <c r="AB161" s="200" t="e">
        <f>(#REF!-1)*(360/(C161-$C$76))</f>
        <v>#REF!</v>
      </c>
      <c r="AC161" s="13">
        <f>W161-U160*'OverNight €'!I161*E161/360</f>
        <v>0</v>
      </c>
    </row>
    <row r="162" spans="2:30" hidden="1" x14ac:dyDescent="0.2">
      <c r="B162" s="9" t="str">
        <f t="shared" si="14"/>
        <v>6 2025</v>
      </c>
      <c r="C162" s="10">
        <f t="shared" si="16"/>
        <v>45814</v>
      </c>
      <c r="D162" s="10">
        <f t="shared" si="17"/>
        <v>45815</v>
      </c>
      <c r="E162" s="11">
        <f t="shared" si="15"/>
        <v>1</v>
      </c>
      <c r="G162" s="11"/>
      <c r="H162" s="206"/>
      <c r="I162" s="367"/>
      <c r="J162" s="228"/>
      <c r="K162" s="12"/>
      <c r="L162" s="219"/>
      <c r="M162" s="215"/>
      <c r="N162" s="12"/>
      <c r="O162" s="219"/>
      <c r="P162" s="219"/>
      <c r="Q162" s="219"/>
      <c r="R162" s="219"/>
      <c r="T162" s="277"/>
      <c r="U162" s="12"/>
      <c r="V162" s="12">
        <f t="shared" si="18"/>
        <v>0</v>
      </c>
      <c r="W162" s="12">
        <f t="shared" si="19"/>
        <v>0</v>
      </c>
      <c r="X162" s="12">
        <f t="shared" si="20"/>
        <v>0</v>
      </c>
      <c r="Z162" s="211" t="e">
        <f t="shared" si="21"/>
        <v>#DIV/0!</v>
      </c>
      <c r="AA162" s="118"/>
      <c r="AB162" s="200" t="e">
        <f>(#REF!-1)*(360/(C162-$C$76))</f>
        <v>#REF!</v>
      </c>
      <c r="AC162" s="13">
        <f>W162-U161*'OverNight €'!I162*E162/360</f>
        <v>0</v>
      </c>
    </row>
    <row r="163" spans="2:30" hidden="1" x14ac:dyDescent="0.2">
      <c r="B163" s="9" t="str">
        <f t="shared" si="14"/>
        <v>6 2025</v>
      </c>
      <c r="C163" s="10">
        <f t="shared" si="16"/>
        <v>45815</v>
      </c>
      <c r="D163" s="10">
        <f t="shared" si="17"/>
        <v>45816</v>
      </c>
      <c r="E163" s="11">
        <f t="shared" si="15"/>
        <v>1</v>
      </c>
      <c r="G163" s="11"/>
      <c r="H163" s="206"/>
      <c r="I163" s="367"/>
      <c r="J163" s="228"/>
      <c r="K163" s="12"/>
      <c r="L163" s="219"/>
      <c r="M163" s="215"/>
      <c r="N163" s="12"/>
      <c r="O163" s="219"/>
      <c r="P163" s="219"/>
      <c r="Q163" s="219"/>
      <c r="R163" s="219"/>
      <c r="T163" s="277"/>
      <c r="U163" s="12"/>
      <c r="V163" s="12">
        <f t="shared" si="18"/>
        <v>0</v>
      </c>
      <c r="W163" s="12">
        <f t="shared" si="19"/>
        <v>0</v>
      </c>
      <c r="X163" s="12">
        <f t="shared" si="20"/>
        <v>0</v>
      </c>
      <c r="Z163" s="211" t="e">
        <f t="shared" si="21"/>
        <v>#DIV/0!</v>
      </c>
      <c r="AA163" s="118"/>
      <c r="AB163" s="200" t="e">
        <f>(#REF!-1)*(360/(C163-$C$76))</f>
        <v>#REF!</v>
      </c>
      <c r="AC163" s="13">
        <f>W163-U162*'OverNight €'!I163*E163/360</f>
        <v>0</v>
      </c>
    </row>
    <row r="164" spans="2:30" hidden="1" x14ac:dyDescent="0.2">
      <c r="B164" s="9" t="str">
        <f t="shared" si="14"/>
        <v>6 2025</v>
      </c>
      <c r="C164" s="10">
        <f t="shared" si="16"/>
        <v>45816</v>
      </c>
      <c r="D164" s="10">
        <f t="shared" si="17"/>
        <v>45817</v>
      </c>
      <c r="E164" s="11">
        <f t="shared" si="15"/>
        <v>1</v>
      </c>
      <c r="G164" s="11"/>
      <c r="H164" s="206"/>
      <c r="I164" s="367"/>
      <c r="J164" s="228"/>
      <c r="K164" s="12"/>
      <c r="L164" s="219"/>
      <c r="M164" s="215"/>
      <c r="N164" s="12"/>
      <c r="O164" s="219"/>
      <c r="P164" s="219"/>
      <c r="Q164" s="219"/>
      <c r="R164" s="219"/>
      <c r="T164" s="277"/>
      <c r="U164" s="12"/>
      <c r="V164" s="12">
        <f t="shared" si="18"/>
        <v>0</v>
      </c>
      <c r="W164" s="12">
        <f t="shared" si="19"/>
        <v>0</v>
      </c>
      <c r="X164" s="12">
        <f t="shared" si="20"/>
        <v>0</v>
      </c>
      <c r="Z164" s="211" t="e">
        <f t="shared" si="21"/>
        <v>#DIV/0!</v>
      </c>
      <c r="AA164" s="118"/>
      <c r="AB164" s="200" t="e">
        <f>(#REF!-1)*(360/(C164-$C$76))</f>
        <v>#REF!</v>
      </c>
      <c r="AC164" s="13">
        <f>W164-U163*'OverNight €'!I164*E164/360</f>
        <v>0</v>
      </c>
    </row>
    <row r="165" spans="2:30" hidden="1" x14ac:dyDescent="0.2">
      <c r="B165" s="9" t="str">
        <f t="shared" si="14"/>
        <v>6 2025</v>
      </c>
      <c r="C165" s="10">
        <f t="shared" si="16"/>
        <v>45817</v>
      </c>
      <c r="D165" s="10">
        <f t="shared" si="17"/>
        <v>45818</v>
      </c>
      <c r="E165" s="11">
        <f t="shared" si="15"/>
        <v>1</v>
      </c>
      <c r="G165" s="11"/>
      <c r="H165" s="206"/>
      <c r="I165" s="367"/>
      <c r="J165" s="228"/>
      <c r="K165" s="12"/>
      <c r="L165" s="219"/>
      <c r="M165" s="215"/>
      <c r="N165" s="12"/>
      <c r="O165" s="219"/>
      <c r="P165" s="219"/>
      <c r="Q165" s="219"/>
      <c r="R165" s="219"/>
      <c r="T165" s="277"/>
      <c r="U165" s="12"/>
      <c r="V165" s="12">
        <f t="shared" si="18"/>
        <v>0</v>
      </c>
      <c r="W165" s="12">
        <f t="shared" si="19"/>
        <v>0</v>
      </c>
      <c r="X165" s="12">
        <f t="shared" si="20"/>
        <v>0</v>
      </c>
      <c r="Z165" s="211" t="e">
        <f t="shared" si="21"/>
        <v>#DIV/0!</v>
      </c>
      <c r="AA165" s="118"/>
      <c r="AB165" s="200" t="e">
        <f>(#REF!-1)*(360/(C165-$C$76))</f>
        <v>#REF!</v>
      </c>
      <c r="AC165" s="13">
        <f>W165-U164*'OverNight €'!I165*E165/360</f>
        <v>0</v>
      </c>
    </row>
    <row r="166" spans="2:30" hidden="1" x14ac:dyDescent="0.2">
      <c r="B166" s="9" t="str">
        <f t="shared" si="14"/>
        <v>6 2025</v>
      </c>
      <c r="C166" s="10">
        <f t="shared" si="16"/>
        <v>45818</v>
      </c>
      <c r="D166" s="10">
        <f t="shared" si="17"/>
        <v>45819</v>
      </c>
      <c r="E166" s="11">
        <f t="shared" si="15"/>
        <v>1</v>
      </c>
      <c r="G166" s="11"/>
      <c r="H166" s="206"/>
      <c r="I166" s="367"/>
      <c r="J166" s="228"/>
      <c r="K166" s="12"/>
      <c r="L166" s="219"/>
      <c r="M166" s="215"/>
      <c r="N166" s="12"/>
      <c r="O166" s="219"/>
      <c r="P166" s="219"/>
      <c r="Q166" s="219"/>
      <c r="R166" s="219"/>
      <c r="T166" s="277"/>
      <c r="U166" s="12"/>
      <c r="V166" s="12">
        <f t="shared" si="18"/>
        <v>0</v>
      </c>
      <c r="W166" s="12">
        <f t="shared" si="19"/>
        <v>0</v>
      </c>
      <c r="X166" s="12">
        <f t="shared" si="20"/>
        <v>0</v>
      </c>
      <c r="Z166" s="211" t="e">
        <f t="shared" si="21"/>
        <v>#DIV/0!</v>
      </c>
      <c r="AA166" s="118"/>
      <c r="AB166" s="200" t="e">
        <f>(#REF!-1)*(360/(C166-$C$76))</f>
        <v>#REF!</v>
      </c>
      <c r="AC166" s="13">
        <f>W166-U165*'OverNight €'!I166*E166/360</f>
        <v>0</v>
      </c>
    </row>
    <row r="167" spans="2:30" hidden="1" x14ac:dyDescent="0.2">
      <c r="B167" s="9" t="str">
        <f t="shared" si="14"/>
        <v>6 2025</v>
      </c>
      <c r="C167" s="10">
        <f t="shared" si="16"/>
        <v>45819</v>
      </c>
      <c r="D167" s="10">
        <f t="shared" si="17"/>
        <v>45820</v>
      </c>
      <c r="E167" s="11">
        <f t="shared" si="15"/>
        <v>1</v>
      </c>
      <c r="G167" s="11"/>
      <c r="H167" s="206"/>
      <c r="I167" s="367"/>
      <c r="J167" s="228"/>
      <c r="K167" s="12"/>
      <c r="L167" s="219"/>
      <c r="M167" s="215"/>
      <c r="N167" s="12"/>
      <c r="O167" s="219"/>
      <c r="P167" s="259"/>
      <c r="Q167" s="259"/>
      <c r="R167" s="259"/>
      <c r="T167" s="277"/>
      <c r="U167" s="12"/>
      <c r="V167" s="12">
        <f t="shared" si="18"/>
        <v>0</v>
      </c>
      <c r="W167" s="12">
        <f>V167+R167-V166</f>
        <v>0</v>
      </c>
      <c r="X167" s="12">
        <f t="shared" si="20"/>
        <v>0</v>
      </c>
      <c r="Z167" s="211" t="e">
        <f t="shared" si="21"/>
        <v>#DIV/0!</v>
      </c>
      <c r="AA167" s="118"/>
      <c r="AB167" s="200" t="e">
        <f>(#REF!-1)*(360/(C167-$C$76))</f>
        <v>#REF!</v>
      </c>
      <c r="AC167" s="13">
        <f>W167-U166*'OverNight €'!I167*E167/360</f>
        <v>0</v>
      </c>
      <c r="AD167" s="269" t="s">
        <v>106</v>
      </c>
    </row>
    <row r="168" spans="2:30" hidden="1" x14ac:dyDescent="0.2">
      <c r="B168" s="9" t="str">
        <f t="shared" si="14"/>
        <v>6 2025</v>
      </c>
      <c r="C168" s="10">
        <f t="shared" si="16"/>
        <v>45820</v>
      </c>
      <c r="D168" s="10">
        <f t="shared" si="17"/>
        <v>45821</v>
      </c>
      <c r="E168" s="11">
        <f t="shared" si="15"/>
        <v>1</v>
      </c>
      <c r="G168" s="11"/>
      <c r="H168" s="206"/>
      <c r="I168" s="367"/>
      <c r="J168" s="228"/>
      <c r="K168" s="12"/>
      <c r="L168" s="219"/>
      <c r="M168" s="215"/>
      <c r="N168" s="12"/>
      <c r="O168" s="219"/>
      <c r="P168" s="219"/>
      <c r="Q168" s="219"/>
      <c r="R168" s="219"/>
      <c r="T168" s="277"/>
      <c r="U168" s="12"/>
      <c r="V168" s="12">
        <f t="shared" si="18"/>
        <v>0</v>
      </c>
      <c r="W168" s="12">
        <f>V168+R168-V167</f>
        <v>0</v>
      </c>
      <c r="X168" s="12">
        <f t="shared" si="20"/>
        <v>0</v>
      </c>
      <c r="Z168" s="211" t="e">
        <f t="shared" si="21"/>
        <v>#DIV/0!</v>
      </c>
      <c r="AA168" s="118"/>
      <c r="AB168" s="200" t="e">
        <f>(#REF!-1)*(360/(C168-$C$76))</f>
        <v>#REF!</v>
      </c>
      <c r="AC168" s="13">
        <f>W168-U167*'OverNight €'!I168*E168/360</f>
        <v>0</v>
      </c>
    </row>
    <row r="169" spans="2:30" hidden="1" x14ac:dyDescent="0.2">
      <c r="B169" s="9" t="str">
        <f t="shared" si="14"/>
        <v>6 2025</v>
      </c>
      <c r="C169" s="10">
        <f t="shared" si="16"/>
        <v>45821</v>
      </c>
      <c r="D169" s="10">
        <f t="shared" si="17"/>
        <v>45822</v>
      </c>
      <c r="E169" s="11">
        <f t="shared" si="15"/>
        <v>1</v>
      </c>
      <c r="G169" s="11"/>
      <c r="H169" s="206"/>
      <c r="I169" s="367"/>
      <c r="J169" s="228"/>
      <c r="K169" s="12"/>
      <c r="L169" s="219"/>
      <c r="M169" s="215"/>
      <c r="N169" s="12"/>
      <c r="O169" s="219"/>
      <c r="P169" s="219"/>
      <c r="Q169" s="219"/>
      <c r="R169" s="219"/>
      <c r="T169" s="277"/>
      <c r="U169" s="12"/>
      <c r="V169" s="12">
        <f t="shared" si="18"/>
        <v>0</v>
      </c>
      <c r="W169" s="12">
        <f t="shared" ref="W169:W232" si="22">V169+R169-V168</f>
        <v>0</v>
      </c>
      <c r="X169" s="12">
        <f t="shared" si="20"/>
        <v>0</v>
      </c>
      <c r="Z169" s="211" t="e">
        <f t="shared" si="21"/>
        <v>#DIV/0!</v>
      </c>
      <c r="AA169" s="118"/>
      <c r="AB169" s="200" t="e">
        <f>(#REF!-1)*(360/(C169-$C$76))</f>
        <v>#REF!</v>
      </c>
      <c r="AC169" s="13">
        <f>W169-U168*'OverNight €'!I169*E169/360</f>
        <v>0</v>
      </c>
    </row>
    <row r="170" spans="2:30" hidden="1" x14ac:dyDescent="0.2">
      <c r="B170" s="9" t="str">
        <f t="shared" si="14"/>
        <v>6 2025</v>
      </c>
      <c r="C170" s="10">
        <f t="shared" si="16"/>
        <v>45822</v>
      </c>
      <c r="D170" s="10">
        <f t="shared" si="17"/>
        <v>45823</v>
      </c>
      <c r="E170" s="11">
        <f t="shared" si="15"/>
        <v>1</v>
      </c>
      <c r="G170" s="11"/>
      <c r="H170" s="206"/>
      <c r="I170" s="367"/>
      <c r="J170" s="228"/>
      <c r="K170" s="12"/>
      <c r="L170" s="219"/>
      <c r="M170" s="215"/>
      <c r="N170" s="12"/>
      <c r="O170" s="219"/>
      <c r="P170" s="219"/>
      <c r="Q170" s="219"/>
      <c r="R170" s="219"/>
      <c r="T170" s="277"/>
      <c r="U170" s="12"/>
      <c r="V170" s="12">
        <f t="shared" si="18"/>
        <v>0</v>
      </c>
      <c r="W170" s="12">
        <f t="shared" si="22"/>
        <v>0</v>
      </c>
      <c r="X170" s="12">
        <f t="shared" si="20"/>
        <v>0</v>
      </c>
      <c r="Z170" s="211" t="e">
        <f t="shared" si="21"/>
        <v>#DIV/0!</v>
      </c>
      <c r="AA170" s="118"/>
      <c r="AB170" s="200" t="e">
        <f>(#REF!-1)*(360/(C170-$C$76))</f>
        <v>#REF!</v>
      </c>
      <c r="AC170" s="13">
        <f>W170-U169*'OverNight €'!I170*E170/360</f>
        <v>0</v>
      </c>
    </row>
    <row r="171" spans="2:30" hidden="1" x14ac:dyDescent="0.2">
      <c r="B171" s="9" t="str">
        <f t="shared" si="14"/>
        <v>6 2025</v>
      </c>
      <c r="C171" s="10">
        <f t="shared" si="16"/>
        <v>45823</v>
      </c>
      <c r="D171" s="10">
        <f t="shared" si="17"/>
        <v>45824</v>
      </c>
      <c r="E171" s="11">
        <f t="shared" si="15"/>
        <v>1</v>
      </c>
      <c r="G171" s="11"/>
      <c r="H171" s="206"/>
      <c r="I171" s="367"/>
      <c r="J171" s="228"/>
      <c r="K171" s="12"/>
      <c r="L171" s="219"/>
      <c r="M171" s="215"/>
      <c r="N171" s="12"/>
      <c r="O171" s="219"/>
      <c r="P171" s="219"/>
      <c r="Q171" s="219"/>
      <c r="R171" s="219"/>
      <c r="T171" s="277"/>
      <c r="U171" s="12"/>
      <c r="V171" s="12">
        <f t="shared" si="18"/>
        <v>0</v>
      </c>
      <c r="W171" s="12">
        <f t="shared" si="22"/>
        <v>0</v>
      </c>
      <c r="X171" s="12">
        <f t="shared" si="20"/>
        <v>0</v>
      </c>
      <c r="Z171" s="211" t="e">
        <f t="shared" si="21"/>
        <v>#DIV/0!</v>
      </c>
      <c r="AA171" s="118"/>
      <c r="AB171" s="200" t="e">
        <f>(#REF!-1)*(360/(C171-$C$76))</f>
        <v>#REF!</v>
      </c>
      <c r="AC171" s="13">
        <f>W171-U170*'OverNight €'!I171*E171/360</f>
        <v>0</v>
      </c>
    </row>
    <row r="172" spans="2:30" hidden="1" x14ac:dyDescent="0.2">
      <c r="B172" s="9" t="str">
        <f t="shared" si="14"/>
        <v>6 2025</v>
      </c>
      <c r="C172" s="10">
        <f t="shared" si="16"/>
        <v>45824</v>
      </c>
      <c r="D172" s="10">
        <f t="shared" si="17"/>
        <v>45825</v>
      </c>
      <c r="E172" s="11">
        <f t="shared" si="15"/>
        <v>1</v>
      </c>
      <c r="G172" s="11"/>
      <c r="H172" s="206"/>
      <c r="I172" s="367"/>
      <c r="J172" s="228"/>
      <c r="K172" s="12"/>
      <c r="L172" s="219"/>
      <c r="M172" s="215"/>
      <c r="N172" s="12"/>
      <c r="O172" s="219"/>
      <c r="P172" s="219"/>
      <c r="Q172" s="219"/>
      <c r="R172" s="219"/>
      <c r="T172" s="277"/>
      <c r="U172" s="12"/>
      <c r="V172" s="12">
        <f t="shared" si="18"/>
        <v>0</v>
      </c>
      <c r="W172" s="12">
        <f t="shared" si="22"/>
        <v>0</v>
      </c>
      <c r="X172" s="12">
        <f t="shared" si="20"/>
        <v>0</v>
      </c>
      <c r="Z172" s="211" t="e">
        <f t="shared" si="21"/>
        <v>#DIV/0!</v>
      </c>
      <c r="AA172" s="118"/>
      <c r="AB172" s="200" t="e">
        <f>(#REF!-1)*(360/(C172-$C$76))</f>
        <v>#REF!</v>
      </c>
      <c r="AC172" s="13">
        <f>W172-U171*'OverNight €'!I172*E172/360</f>
        <v>0</v>
      </c>
    </row>
    <row r="173" spans="2:30" hidden="1" x14ac:dyDescent="0.2">
      <c r="B173" s="9" t="str">
        <f t="shared" si="14"/>
        <v>6 2025</v>
      </c>
      <c r="C173" s="10">
        <f t="shared" si="16"/>
        <v>45825</v>
      </c>
      <c r="D173" s="10">
        <f t="shared" si="17"/>
        <v>45826</v>
      </c>
      <c r="E173" s="11">
        <f t="shared" si="15"/>
        <v>1</v>
      </c>
      <c r="G173" s="11"/>
      <c r="H173" s="206"/>
      <c r="I173" s="367"/>
      <c r="J173" s="228"/>
      <c r="K173" s="12"/>
      <c r="L173" s="219"/>
      <c r="M173" s="215"/>
      <c r="N173" s="12"/>
      <c r="O173" s="219"/>
      <c r="P173" s="219"/>
      <c r="Q173" s="219"/>
      <c r="R173" s="219"/>
      <c r="T173" s="277"/>
      <c r="U173" s="12"/>
      <c r="V173" s="12">
        <f t="shared" si="18"/>
        <v>0</v>
      </c>
      <c r="W173" s="12">
        <f t="shared" si="22"/>
        <v>0</v>
      </c>
      <c r="X173" s="12">
        <f t="shared" si="20"/>
        <v>0</v>
      </c>
      <c r="Z173" s="211" t="e">
        <f t="shared" si="21"/>
        <v>#DIV/0!</v>
      </c>
      <c r="AA173" s="118"/>
      <c r="AB173" s="200" t="e">
        <f>(#REF!-1)*(360/(C173-$C$76))</f>
        <v>#REF!</v>
      </c>
      <c r="AC173" s="13">
        <f>W173-U172*'OverNight €'!I173*E173/360</f>
        <v>0</v>
      </c>
    </row>
    <row r="174" spans="2:30" hidden="1" x14ac:dyDescent="0.2">
      <c r="B174" s="9" t="str">
        <f t="shared" si="14"/>
        <v>6 2025</v>
      </c>
      <c r="C174" s="10">
        <f t="shared" si="16"/>
        <v>45826</v>
      </c>
      <c r="D174" s="10">
        <f t="shared" si="17"/>
        <v>45827</v>
      </c>
      <c r="E174" s="11">
        <f t="shared" si="15"/>
        <v>1</v>
      </c>
      <c r="G174" s="11"/>
      <c r="H174" s="206"/>
      <c r="I174" s="367"/>
      <c r="J174" s="228"/>
      <c r="K174" s="12"/>
      <c r="L174" s="219"/>
      <c r="M174" s="215"/>
      <c r="N174" s="12"/>
      <c r="O174" s="219"/>
      <c r="P174" s="219"/>
      <c r="Q174" s="219"/>
      <c r="R174" s="219"/>
      <c r="T174" s="277"/>
      <c r="U174" s="12"/>
      <c r="V174" s="12">
        <f t="shared" si="18"/>
        <v>0</v>
      </c>
      <c r="W174" s="12">
        <f t="shared" si="22"/>
        <v>0</v>
      </c>
      <c r="X174" s="12">
        <f t="shared" si="20"/>
        <v>0</v>
      </c>
      <c r="Z174" s="211" t="e">
        <f t="shared" si="21"/>
        <v>#DIV/0!</v>
      </c>
      <c r="AA174" s="118"/>
      <c r="AB174" s="200" t="e">
        <f>(#REF!-1)*(360/(C174-$C$76))</f>
        <v>#REF!</v>
      </c>
      <c r="AC174" s="13">
        <f>W174-U173*'OverNight €'!I174*E174/360</f>
        <v>0</v>
      </c>
    </row>
    <row r="175" spans="2:30" hidden="1" x14ac:dyDescent="0.2">
      <c r="B175" s="9" t="str">
        <f t="shared" si="14"/>
        <v>6 2025</v>
      </c>
      <c r="C175" s="10">
        <f t="shared" si="16"/>
        <v>45827</v>
      </c>
      <c r="D175" s="10">
        <f t="shared" si="17"/>
        <v>45828</v>
      </c>
      <c r="E175" s="11">
        <f t="shared" si="15"/>
        <v>1</v>
      </c>
      <c r="G175" s="11"/>
      <c r="H175" s="206"/>
      <c r="I175" s="367"/>
      <c r="J175" s="228"/>
      <c r="K175" s="12"/>
      <c r="L175" s="219"/>
      <c r="M175" s="215"/>
      <c r="N175" s="12"/>
      <c r="O175" s="219"/>
      <c r="P175" s="219"/>
      <c r="Q175" s="219"/>
      <c r="R175" s="219"/>
      <c r="T175" s="277"/>
      <c r="U175" s="12"/>
      <c r="V175" s="12">
        <f t="shared" si="18"/>
        <v>0</v>
      </c>
      <c r="W175" s="12">
        <f t="shared" si="22"/>
        <v>0</v>
      </c>
      <c r="X175" s="12">
        <f t="shared" si="20"/>
        <v>0</v>
      </c>
      <c r="Z175" s="211" t="e">
        <f t="shared" si="21"/>
        <v>#DIV/0!</v>
      </c>
      <c r="AA175" s="118"/>
      <c r="AB175" s="200" t="e">
        <f>(#REF!-1)*(360/(C175-$C$76))</f>
        <v>#REF!</v>
      </c>
      <c r="AC175" s="13">
        <f>W175-U174*'OverNight €'!I175*E175/360</f>
        <v>0</v>
      </c>
    </row>
    <row r="176" spans="2:30" hidden="1" x14ac:dyDescent="0.2">
      <c r="B176" s="9" t="str">
        <f t="shared" si="14"/>
        <v>6 2025</v>
      </c>
      <c r="C176" s="10">
        <f t="shared" si="16"/>
        <v>45828</v>
      </c>
      <c r="D176" s="10">
        <f t="shared" si="17"/>
        <v>45829</v>
      </c>
      <c r="E176" s="11">
        <f t="shared" si="15"/>
        <v>1</v>
      </c>
      <c r="G176" s="11"/>
      <c r="H176" s="206"/>
      <c r="I176" s="367"/>
      <c r="J176" s="228"/>
      <c r="K176" s="12"/>
      <c r="L176" s="219"/>
      <c r="M176" s="215"/>
      <c r="N176" s="12"/>
      <c r="O176" s="219"/>
      <c r="P176" s="219"/>
      <c r="Q176" s="219"/>
      <c r="R176" s="219"/>
      <c r="T176" s="277"/>
      <c r="U176" s="12"/>
      <c r="V176" s="12">
        <f t="shared" si="18"/>
        <v>0</v>
      </c>
      <c r="W176" s="12">
        <f t="shared" si="22"/>
        <v>0</v>
      </c>
      <c r="X176" s="12">
        <f t="shared" si="20"/>
        <v>0</v>
      </c>
      <c r="Z176" s="211" t="e">
        <f t="shared" si="21"/>
        <v>#DIV/0!</v>
      </c>
      <c r="AA176" s="118"/>
      <c r="AB176" s="200" t="e">
        <f>(#REF!-1)*(360/(C176-$C$76))</f>
        <v>#REF!</v>
      </c>
      <c r="AC176" s="13">
        <f>W176-U175*'OverNight €'!I176*E176/360</f>
        <v>0</v>
      </c>
    </row>
    <row r="177" spans="2:31" hidden="1" x14ac:dyDescent="0.2">
      <c r="B177" s="9" t="str">
        <f t="shared" si="14"/>
        <v>6 2025</v>
      </c>
      <c r="C177" s="10">
        <f t="shared" si="16"/>
        <v>45829</v>
      </c>
      <c r="D177" s="10">
        <f t="shared" si="17"/>
        <v>45830</v>
      </c>
      <c r="E177" s="11">
        <f t="shared" si="15"/>
        <v>1</v>
      </c>
      <c r="G177" s="11"/>
      <c r="H177" s="206"/>
      <c r="I177" s="367"/>
      <c r="J177" s="228"/>
      <c r="K177" s="12"/>
      <c r="L177" s="219"/>
      <c r="M177" s="215"/>
      <c r="N177" s="12"/>
      <c r="O177" s="219"/>
      <c r="P177" s="219"/>
      <c r="Q177" s="219"/>
      <c r="R177" s="219"/>
      <c r="T177" s="277"/>
      <c r="U177" s="12"/>
      <c r="V177" s="12">
        <f t="shared" si="18"/>
        <v>0</v>
      </c>
      <c r="W177" s="12">
        <f t="shared" si="22"/>
        <v>0</v>
      </c>
      <c r="X177" s="12">
        <f t="shared" si="20"/>
        <v>0</v>
      </c>
      <c r="Z177" s="211" t="e">
        <f t="shared" si="21"/>
        <v>#DIV/0!</v>
      </c>
      <c r="AA177" s="118"/>
      <c r="AB177" s="200" t="e">
        <f>(#REF!-1)*(360/(C177-$C$76))</f>
        <v>#REF!</v>
      </c>
      <c r="AC177" s="13">
        <f>W177-U176*'OverNight €'!I177*E177/360</f>
        <v>0</v>
      </c>
    </row>
    <row r="178" spans="2:31" hidden="1" x14ac:dyDescent="0.2">
      <c r="B178" s="9" t="str">
        <f t="shared" si="14"/>
        <v>6 2025</v>
      </c>
      <c r="C178" s="10">
        <f t="shared" si="16"/>
        <v>45830</v>
      </c>
      <c r="D178" s="10">
        <f t="shared" si="17"/>
        <v>45831</v>
      </c>
      <c r="E178" s="11">
        <f t="shared" si="15"/>
        <v>1</v>
      </c>
      <c r="G178" s="11"/>
      <c r="H178" s="206"/>
      <c r="I178" s="367"/>
      <c r="J178" s="228"/>
      <c r="K178" s="12"/>
      <c r="L178" s="219"/>
      <c r="M178" s="215"/>
      <c r="N178" s="12"/>
      <c r="O178" s="219"/>
      <c r="P178" s="219"/>
      <c r="Q178" s="219"/>
      <c r="R178" s="219"/>
      <c r="T178" s="277"/>
      <c r="U178" s="12"/>
      <c r="V178" s="12">
        <f t="shared" si="18"/>
        <v>0</v>
      </c>
      <c r="W178" s="12">
        <f t="shared" si="22"/>
        <v>0</v>
      </c>
      <c r="X178" s="12">
        <f t="shared" si="20"/>
        <v>0</v>
      </c>
      <c r="Z178" s="211" t="e">
        <f t="shared" si="21"/>
        <v>#DIV/0!</v>
      </c>
      <c r="AA178" s="118"/>
      <c r="AB178" s="200" t="e">
        <f>(#REF!-1)*(360/(C178-$C$76))</f>
        <v>#REF!</v>
      </c>
      <c r="AC178" s="13">
        <f>W178-U177*'OverNight €'!I178*E178/360</f>
        <v>0</v>
      </c>
    </row>
    <row r="179" spans="2:31" hidden="1" x14ac:dyDescent="0.2">
      <c r="B179" s="9" t="str">
        <f t="shared" si="14"/>
        <v>6 2025</v>
      </c>
      <c r="C179" s="10">
        <f t="shared" si="16"/>
        <v>45831</v>
      </c>
      <c r="D179" s="10">
        <f t="shared" si="17"/>
        <v>45832</v>
      </c>
      <c r="E179" s="11">
        <f t="shared" si="15"/>
        <v>1</v>
      </c>
      <c r="G179" s="11"/>
      <c r="H179" s="206"/>
      <c r="I179" s="367"/>
      <c r="J179" s="228"/>
      <c r="K179" s="12"/>
      <c r="L179" s="219"/>
      <c r="M179" s="215"/>
      <c r="N179" s="12"/>
      <c r="O179" s="219"/>
      <c r="P179" s="219"/>
      <c r="Q179" s="219"/>
      <c r="R179" s="219"/>
      <c r="T179" s="277"/>
      <c r="U179" s="12"/>
      <c r="V179" s="12">
        <f t="shared" si="18"/>
        <v>0</v>
      </c>
      <c r="W179" s="12">
        <f t="shared" si="22"/>
        <v>0</v>
      </c>
      <c r="X179" s="12">
        <f t="shared" si="20"/>
        <v>0</v>
      </c>
      <c r="Z179" s="211" t="e">
        <f t="shared" si="21"/>
        <v>#DIV/0!</v>
      </c>
      <c r="AA179" s="118"/>
      <c r="AB179" s="200" t="e">
        <f>(#REF!-1)*(360/(C179-$C$76))</f>
        <v>#REF!</v>
      </c>
      <c r="AC179" s="13">
        <f>W179-U178*'OverNight €'!I179*E179/360</f>
        <v>0</v>
      </c>
    </row>
    <row r="180" spans="2:31" hidden="1" x14ac:dyDescent="0.2">
      <c r="B180" s="9" t="str">
        <f t="shared" si="14"/>
        <v>6 2025</v>
      </c>
      <c r="C180" s="10">
        <f t="shared" si="16"/>
        <v>45832</v>
      </c>
      <c r="D180" s="10">
        <f t="shared" si="17"/>
        <v>45833</v>
      </c>
      <c r="E180" s="11">
        <f t="shared" si="15"/>
        <v>1</v>
      </c>
      <c r="G180" s="11"/>
      <c r="H180" s="206"/>
      <c r="I180" s="367"/>
      <c r="J180" s="228"/>
      <c r="K180" s="12"/>
      <c r="L180" s="219"/>
      <c r="M180" s="215"/>
      <c r="N180" s="12"/>
      <c r="O180" s="219"/>
      <c r="P180" s="219"/>
      <c r="Q180" s="219"/>
      <c r="R180" s="219"/>
      <c r="T180" s="277"/>
      <c r="U180" s="12"/>
      <c r="V180" s="12">
        <f t="shared" si="18"/>
        <v>0</v>
      </c>
      <c r="W180" s="12">
        <f t="shared" si="22"/>
        <v>0</v>
      </c>
      <c r="X180" s="12">
        <f t="shared" si="20"/>
        <v>0</v>
      </c>
      <c r="Z180" s="211" t="e">
        <f t="shared" si="21"/>
        <v>#DIV/0!</v>
      </c>
      <c r="AA180" s="118"/>
      <c r="AB180" s="200" t="e">
        <f>(#REF!-1)*(360/(C180-$C$76))</f>
        <v>#REF!</v>
      </c>
      <c r="AC180" s="13">
        <f>W180-U179*'OverNight €'!I180*E180/360</f>
        <v>0</v>
      </c>
    </row>
    <row r="181" spans="2:31" hidden="1" x14ac:dyDescent="0.2">
      <c r="B181" s="9" t="str">
        <f t="shared" si="14"/>
        <v>6 2025</v>
      </c>
      <c r="C181" s="10">
        <f t="shared" si="16"/>
        <v>45833</v>
      </c>
      <c r="D181" s="10">
        <f t="shared" si="17"/>
        <v>45834</v>
      </c>
      <c r="E181" s="11">
        <f t="shared" si="15"/>
        <v>1</v>
      </c>
      <c r="G181" s="11"/>
      <c r="H181" s="206"/>
      <c r="I181" s="367"/>
      <c r="J181" s="228"/>
      <c r="K181" s="12"/>
      <c r="L181" s="219"/>
      <c r="M181" s="215"/>
      <c r="N181" s="12"/>
      <c r="O181" s="219"/>
      <c r="P181" s="219"/>
      <c r="Q181" s="219"/>
      <c r="R181" s="219"/>
      <c r="T181" s="277"/>
      <c r="U181" s="12"/>
      <c r="V181" s="12">
        <f t="shared" si="18"/>
        <v>0</v>
      </c>
      <c r="W181" s="12">
        <f t="shared" si="22"/>
        <v>0</v>
      </c>
      <c r="X181" s="12">
        <f t="shared" si="20"/>
        <v>0</v>
      </c>
      <c r="Z181" s="211" t="e">
        <f t="shared" si="21"/>
        <v>#DIV/0!</v>
      </c>
      <c r="AA181" s="118"/>
      <c r="AB181" s="200" t="e">
        <f>(#REF!-1)*(360/(C181-$C$76))</f>
        <v>#REF!</v>
      </c>
      <c r="AC181" s="13">
        <f>W181-U180*'OverNight €'!I181*E181/360</f>
        <v>0</v>
      </c>
    </row>
    <row r="182" spans="2:31" hidden="1" x14ac:dyDescent="0.2">
      <c r="B182" s="9" t="str">
        <f t="shared" si="14"/>
        <v>6 2025</v>
      </c>
      <c r="C182" s="10">
        <f t="shared" si="16"/>
        <v>45834</v>
      </c>
      <c r="D182" s="10">
        <f t="shared" si="17"/>
        <v>45835</v>
      </c>
      <c r="E182" s="11">
        <f t="shared" si="15"/>
        <v>1</v>
      </c>
      <c r="G182" s="11"/>
      <c r="H182" s="206"/>
      <c r="I182" s="367"/>
      <c r="J182" s="228"/>
      <c r="K182" s="12"/>
      <c r="L182" s="219"/>
      <c r="M182" s="215"/>
      <c r="N182" s="12"/>
      <c r="O182" s="219"/>
      <c r="P182" s="219"/>
      <c r="Q182" s="219"/>
      <c r="R182" s="219"/>
      <c r="T182" s="277"/>
      <c r="U182" s="12"/>
      <c r="V182" s="12">
        <f t="shared" si="18"/>
        <v>0</v>
      </c>
      <c r="W182" s="12">
        <f t="shared" si="22"/>
        <v>0</v>
      </c>
      <c r="X182" s="12">
        <f t="shared" si="20"/>
        <v>0</v>
      </c>
      <c r="Z182" s="211" t="e">
        <f t="shared" si="21"/>
        <v>#DIV/0!</v>
      </c>
      <c r="AA182" s="118"/>
      <c r="AB182" s="200" t="e">
        <f>(#REF!-1)*(360/(C182-$C$76))</f>
        <v>#REF!</v>
      </c>
      <c r="AC182" s="13">
        <f>W182-U181*'OverNight €'!I182*E182/360</f>
        <v>0</v>
      </c>
    </row>
    <row r="183" spans="2:31" hidden="1" x14ac:dyDescent="0.2">
      <c r="B183" s="9" t="str">
        <f t="shared" si="14"/>
        <v>6 2025</v>
      </c>
      <c r="C183" s="10">
        <f t="shared" si="16"/>
        <v>45835</v>
      </c>
      <c r="D183" s="10">
        <f t="shared" si="17"/>
        <v>45836</v>
      </c>
      <c r="E183" s="11">
        <f t="shared" si="15"/>
        <v>1</v>
      </c>
      <c r="G183" s="11"/>
      <c r="H183" s="206"/>
      <c r="I183" s="367"/>
      <c r="J183" s="228"/>
      <c r="K183" s="12"/>
      <c r="L183" s="219"/>
      <c r="M183" s="215"/>
      <c r="N183" s="12"/>
      <c r="O183" s="219"/>
      <c r="P183" s="219"/>
      <c r="Q183" s="219"/>
      <c r="R183" s="219"/>
      <c r="T183" s="277"/>
      <c r="U183" s="12"/>
      <c r="V183" s="12">
        <f t="shared" si="18"/>
        <v>0</v>
      </c>
      <c r="W183" s="12">
        <f t="shared" si="22"/>
        <v>0</v>
      </c>
      <c r="X183" s="12">
        <f t="shared" si="20"/>
        <v>0</v>
      </c>
      <c r="Z183" s="211" t="e">
        <f t="shared" si="21"/>
        <v>#DIV/0!</v>
      </c>
      <c r="AA183" s="118"/>
      <c r="AB183" s="200" t="e">
        <f>(#REF!-1)*(360/(C183-$C$76))</f>
        <v>#REF!</v>
      </c>
      <c r="AC183" s="13">
        <f>W183-U182*'OverNight €'!I183*E183/360</f>
        <v>0</v>
      </c>
    </row>
    <row r="184" spans="2:31" hidden="1" x14ac:dyDescent="0.2">
      <c r="B184" s="9" t="str">
        <f t="shared" si="14"/>
        <v>6 2025</v>
      </c>
      <c r="C184" s="10">
        <f t="shared" si="16"/>
        <v>45836</v>
      </c>
      <c r="D184" s="10">
        <f t="shared" si="17"/>
        <v>45837</v>
      </c>
      <c r="E184" s="11">
        <f t="shared" si="15"/>
        <v>1</v>
      </c>
      <c r="G184" s="11"/>
      <c r="H184" s="206"/>
      <c r="I184" s="367"/>
      <c r="J184" s="228"/>
      <c r="K184" s="12"/>
      <c r="L184" s="219"/>
      <c r="M184" s="215"/>
      <c r="N184" s="12"/>
      <c r="O184" s="219"/>
      <c r="P184" s="219"/>
      <c r="Q184" s="219"/>
      <c r="R184" s="219"/>
      <c r="T184" s="277"/>
      <c r="U184" s="12"/>
      <c r="V184" s="12">
        <f t="shared" si="18"/>
        <v>0</v>
      </c>
      <c r="W184" s="12">
        <f t="shared" si="22"/>
        <v>0</v>
      </c>
      <c r="X184" s="12">
        <f t="shared" si="20"/>
        <v>0</v>
      </c>
      <c r="Z184" s="211" t="e">
        <f t="shared" si="21"/>
        <v>#DIV/0!</v>
      </c>
      <c r="AA184" s="118"/>
      <c r="AB184" s="200" t="e">
        <f>(#REF!-1)*(360/(C184-$C$76))</f>
        <v>#REF!</v>
      </c>
      <c r="AC184" s="13">
        <f>W184-U183*'OverNight €'!I184*E184/360</f>
        <v>0</v>
      </c>
    </row>
    <row r="185" spans="2:31" hidden="1" x14ac:dyDescent="0.2">
      <c r="B185" s="9" t="str">
        <f t="shared" si="14"/>
        <v>6 2025</v>
      </c>
      <c r="C185" s="142">
        <f t="shared" si="16"/>
        <v>45837</v>
      </c>
      <c r="D185" s="142">
        <f t="shared" si="17"/>
        <v>45838</v>
      </c>
      <c r="E185" s="143">
        <f t="shared" si="15"/>
        <v>1</v>
      </c>
      <c r="F185" s="17"/>
      <c r="G185" s="143"/>
      <c r="H185" s="244"/>
      <c r="I185" s="368"/>
      <c r="J185" s="228"/>
      <c r="K185" s="144"/>
      <c r="L185" s="220"/>
      <c r="M185" s="216"/>
      <c r="N185" s="144"/>
      <c r="O185" s="220"/>
      <c r="P185" s="220"/>
      <c r="Q185" s="220"/>
      <c r="R185" s="220"/>
      <c r="T185" s="278"/>
      <c r="U185" s="144"/>
      <c r="V185" s="144">
        <f t="shared" si="18"/>
        <v>0</v>
      </c>
      <c r="W185" s="144">
        <f t="shared" si="22"/>
        <v>0</v>
      </c>
      <c r="X185" s="261">
        <f t="shared" si="20"/>
        <v>0</v>
      </c>
      <c r="Z185" s="257" t="e">
        <f t="shared" si="21"/>
        <v>#DIV/0!</v>
      </c>
      <c r="AA185" s="147"/>
      <c r="AB185" s="247" t="e">
        <f>(#REF!-1)*(360/(C185-$C$76))</f>
        <v>#REF!</v>
      </c>
      <c r="AC185" s="268">
        <f>W185-U184*'OverNight €'!I185*E185/360</f>
        <v>0</v>
      </c>
      <c r="AD185" s="17"/>
      <c r="AE185" s="17"/>
    </row>
    <row r="186" spans="2:31" hidden="1" x14ac:dyDescent="0.2">
      <c r="B186" s="9" t="str">
        <f t="shared" si="14"/>
        <v>7 2025</v>
      </c>
      <c r="C186" s="10">
        <f t="shared" si="16"/>
        <v>45838</v>
      </c>
      <c r="D186" s="10">
        <f t="shared" si="17"/>
        <v>45839</v>
      </c>
      <c r="E186" s="11">
        <f t="shared" si="15"/>
        <v>1</v>
      </c>
      <c r="G186" s="11"/>
      <c r="H186" s="206"/>
      <c r="I186" s="367"/>
      <c r="J186" s="228"/>
      <c r="K186" s="12"/>
      <c r="L186" s="219"/>
      <c r="M186" s="215"/>
      <c r="N186" s="12"/>
      <c r="O186" s="219"/>
      <c r="P186" s="219"/>
      <c r="Q186" s="219"/>
      <c r="R186" s="219"/>
      <c r="T186" s="277"/>
      <c r="U186" s="12"/>
      <c r="V186" s="12">
        <f t="shared" si="18"/>
        <v>0</v>
      </c>
      <c r="W186" s="12">
        <f t="shared" si="22"/>
        <v>0</v>
      </c>
      <c r="X186" s="12">
        <f t="shared" si="20"/>
        <v>0</v>
      </c>
      <c r="Z186" s="211" t="e">
        <f t="shared" si="21"/>
        <v>#DIV/0!</v>
      </c>
      <c r="AA186" s="118"/>
      <c r="AB186" s="200" t="e">
        <f>(#REF!-1)*(360/(C186-$C$76))</f>
        <v>#REF!</v>
      </c>
      <c r="AC186" s="13">
        <f>W186-U185*'OverNight €'!I186*E186/360</f>
        <v>0</v>
      </c>
    </row>
    <row r="187" spans="2:31" hidden="1" x14ac:dyDescent="0.2">
      <c r="B187" s="9" t="str">
        <f t="shared" si="14"/>
        <v>7 2025</v>
      </c>
      <c r="C187" s="10">
        <f t="shared" si="16"/>
        <v>45839</v>
      </c>
      <c r="D187" s="10">
        <f t="shared" si="17"/>
        <v>45840</v>
      </c>
      <c r="E187" s="11">
        <f t="shared" si="15"/>
        <v>1</v>
      </c>
      <c r="G187" s="11"/>
      <c r="H187" s="206"/>
      <c r="I187" s="367"/>
      <c r="J187" s="228"/>
      <c r="K187" s="12"/>
      <c r="L187" s="12"/>
      <c r="M187" s="215"/>
      <c r="N187" s="12"/>
      <c r="O187" s="219"/>
      <c r="P187" s="219"/>
      <c r="Q187" s="219"/>
      <c r="R187" s="219"/>
      <c r="T187" s="277"/>
      <c r="U187" s="12"/>
      <c r="V187" s="12">
        <f t="shared" si="18"/>
        <v>0</v>
      </c>
      <c r="W187" s="12">
        <f t="shared" si="22"/>
        <v>0</v>
      </c>
      <c r="X187" s="12">
        <f t="shared" si="20"/>
        <v>0</v>
      </c>
      <c r="Z187" s="211" t="e">
        <f t="shared" si="21"/>
        <v>#DIV/0!</v>
      </c>
      <c r="AA187" s="118"/>
      <c r="AB187" s="200" t="e">
        <f>(#REF!-1)*(360/(C187-$C$76))</f>
        <v>#REF!</v>
      </c>
      <c r="AC187" s="13">
        <f>W187-U186*'OverNight €'!I187*E187/360</f>
        <v>0</v>
      </c>
    </row>
    <row r="188" spans="2:31" hidden="1" x14ac:dyDescent="0.2">
      <c r="B188" s="9" t="str">
        <f t="shared" si="14"/>
        <v>7 2025</v>
      </c>
      <c r="C188" s="262">
        <f t="shared" si="16"/>
        <v>45840</v>
      </c>
      <c r="D188" s="262">
        <f t="shared" si="17"/>
        <v>45841</v>
      </c>
      <c r="E188" s="263">
        <f t="shared" si="15"/>
        <v>1</v>
      </c>
      <c r="F188" s="192"/>
      <c r="G188" s="263"/>
      <c r="H188" s="249"/>
      <c r="I188" s="369"/>
      <c r="J188" s="228"/>
      <c r="K188" s="107"/>
      <c r="L188" s="107"/>
      <c r="M188" s="264"/>
      <c r="N188" s="107"/>
      <c r="O188" s="265"/>
      <c r="P188" s="265"/>
      <c r="Q188" s="265"/>
      <c r="R188" s="265"/>
      <c r="T188" s="279"/>
      <c r="U188" s="107"/>
      <c r="V188" s="107">
        <f t="shared" si="18"/>
        <v>0</v>
      </c>
      <c r="W188" s="107">
        <f t="shared" si="22"/>
        <v>0</v>
      </c>
      <c r="X188" s="107">
        <f t="shared" si="20"/>
        <v>0</v>
      </c>
      <c r="Z188" s="266" t="e">
        <f t="shared" si="21"/>
        <v>#DIV/0!</v>
      </c>
      <c r="AA188" s="184" t="e">
        <f>I188/I159-1</f>
        <v>#DIV/0!</v>
      </c>
      <c r="AB188" s="267" t="e">
        <f>(#REF!-1)*(360/(C188-$C$76))</f>
        <v>#REF!</v>
      </c>
      <c r="AC188" s="182">
        <f>W188-U187*'OverNight €'!I188*E188/360</f>
        <v>0</v>
      </c>
    </row>
    <row r="189" spans="2:31" hidden="1" x14ac:dyDescent="0.2">
      <c r="B189" s="9" t="str">
        <f t="shared" si="14"/>
        <v>7 2025</v>
      </c>
      <c r="C189" s="10">
        <f t="shared" si="16"/>
        <v>45841</v>
      </c>
      <c r="D189" s="10">
        <f t="shared" si="17"/>
        <v>45842</v>
      </c>
      <c r="E189" s="11">
        <f t="shared" si="15"/>
        <v>1</v>
      </c>
      <c r="G189" s="11"/>
      <c r="H189" s="206"/>
      <c r="I189" s="367"/>
      <c r="J189" s="228"/>
      <c r="K189" s="12"/>
      <c r="L189" s="12"/>
      <c r="M189" s="215"/>
      <c r="N189" s="12"/>
      <c r="O189" s="219"/>
      <c r="P189" s="219"/>
      <c r="Q189" s="219"/>
      <c r="R189" s="219"/>
      <c r="T189" s="277"/>
      <c r="U189" s="12"/>
      <c r="V189" s="12">
        <f t="shared" si="18"/>
        <v>0</v>
      </c>
      <c r="W189" s="12">
        <f t="shared" si="22"/>
        <v>0</v>
      </c>
      <c r="X189" s="12">
        <f t="shared" si="20"/>
        <v>0</v>
      </c>
      <c r="Z189" s="211" t="e">
        <f t="shared" si="21"/>
        <v>#DIV/0!</v>
      </c>
      <c r="AA189" s="118"/>
      <c r="AB189" s="200" t="e">
        <f>(#REF!-1)*(360/(C189-$C$76))</f>
        <v>#REF!</v>
      </c>
      <c r="AC189" s="13">
        <f>W189-U188*'OverNight €'!I189*E189/360</f>
        <v>0</v>
      </c>
    </row>
    <row r="190" spans="2:31" hidden="1" x14ac:dyDescent="0.2">
      <c r="B190" s="9" t="str">
        <f t="shared" si="14"/>
        <v>7 2025</v>
      </c>
      <c r="C190" s="10">
        <f t="shared" si="16"/>
        <v>45842</v>
      </c>
      <c r="D190" s="10">
        <f t="shared" si="17"/>
        <v>45843</v>
      </c>
      <c r="E190" s="11">
        <f t="shared" si="15"/>
        <v>1</v>
      </c>
      <c r="G190" s="11"/>
      <c r="H190" s="206"/>
      <c r="I190" s="367"/>
      <c r="J190" s="228"/>
      <c r="K190" s="12"/>
      <c r="L190" s="12"/>
      <c r="M190" s="215"/>
      <c r="N190" s="12"/>
      <c r="O190" s="219"/>
      <c r="P190" s="219"/>
      <c r="Q190" s="219"/>
      <c r="R190" s="219"/>
      <c r="T190" s="277"/>
      <c r="U190" s="12"/>
      <c r="V190" s="12">
        <f t="shared" si="18"/>
        <v>0</v>
      </c>
      <c r="W190" s="12">
        <f t="shared" si="22"/>
        <v>0</v>
      </c>
      <c r="X190" s="12">
        <f t="shared" si="20"/>
        <v>0</v>
      </c>
      <c r="Z190" s="211" t="e">
        <f t="shared" si="21"/>
        <v>#DIV/0!</v>
      </c>
      <c r="AA190" s="118"/>
      <c r="AB190" s="200" t="e">
        <f>(#REF!-1)*(360/(C190-$C$76))</f>
        <v>#REF!</v>
      </c>
      <c r="AC190" s="13">
        <f>W190-U189*'OverNight €'!I190*E190/360</f>
        <v>0</v>
      </c>
    </row>
    <row r="191" spans="2:31" hidden="1" x14ac:dyDescent="0.2">
      <c r="B191" s="9" t="str">
        <f t="shared" si="14"/>
        <v>7 2025</v>
      </c>
      <c r="C191" s="10">
        <f t="shared" si="16"/>
        <v>45843</v>
      </c>
      <c r="D191" s="10">
        <f t="shared" si="17"/>
        <v>45844</v>
      </c>
      <c r="E191" s="11">
        <f t="shared" si="15"/>
        <v>1</v>
      </c>
      <c r="G191" s="11"/>
      <c r="H191" s="206"/>
      <c r="I191" s="367"/>
      <c r="J191" s="228"/>
      <c r="K191" s="12"/>
      <c r="L191" s="12"/>
      <c r="M191" s="215"/>
      <c r="N191" s="12"/>
      <c r="O191" s="219"/>
      <c r="P191" s="219"/>
      <c r="Q191" s="219"/>
      <c r="R191" s="219"/>
      <c r="T191" s="277"/>
      <c r="U191" s="12"/>
      <c r="V191" s="12">
        <f t="shared" si="18"/>
        <v>0</v>
      </c>
      <c r="W191" s="12">
        <f t="shared" si="22"/>
        <v>0</v>
      </c>
      <c r="X191" s="12">
        <f t="shared" si="20"/>
        <v>0</v>
      </c>
      <c r="Z191" s="211" t="e">
        <f t="shared" si="21"/>
        <v>#DIV/0!</v>
      </c>
      <c r="AA191" s="118"/>
      <c r="AB191" s="200" t="e">
        <f>(#REF!-1)*(360/(C191-$C$76))</f>
        <v>#REF!</v>
      </c>
      <c r="AC191" s="13">
        <f>W191-U190*'OverNight €'!I191*E191/360</f>
        <v>0</v>
      </c>
    </row>
    <row r="192" spans="2:31" hidden="1" x14ac:dyDescent="0.2">
      <c r="B192" s="9" t="str">
        <f t="shared" si="14"/>
        <v>7 2025</v>
      </c>
      <c r="C192" s="10">
        <f t="shared" si="16"/>
        <v>45844</v>
      </c>
      <c r="D192" s="10">
        <f t="shared" si="17"/>
        <v>45845</v>
      </c>
      <c r="E192" s="11">
        <f t="shared" si="15"/>
        <v>1</v>
      </c>
      <c r="G192" s="11"/>
      <c r="H192" s="206"/>
      <c r="I192" s="367"/>
      <c r="J192" s="228"/>
      <c r="K192" s="12"/>
      <c r="L192" s="12"/>
      <c r="M192" s="215"/>
      <c r="N192" s="12"/>
      <c r="O192" s="219"/>
      <c r="P192" s="219"/>
      <c r="Q192" s="219"/>
      <c r="R192" s="219"/>
      <c r="T192" s="277"/>
      <c r="U192" s="12"/>
      <c r="V192" s="12">
        <f t="shared" si="18"/>
        <v>0</v>
      </c>
      <c r="W192" s="12">
        <f t="shared" si="22"/>
        <v>0</v>
      </c>
      <c r="X192" s="12">
        <f t="shared" si="20"/>
        <v>0</v>
      </c>
      <c r="Z192" s="211" t="e">
        <f t="shared" si="21"/>
        <v>#DIV/0!</v>
      </c>
      <c r="AA192" s="118"/>
      <c r="AB192" s="200" t="e">
        <f>(#REF!-1)*(360/(C192-$C$76))</f>
        <v>#REF!</v>
      </c>
      <c r="AC192" s="13">
        <f>W192-U191*'OverNight €'!I192*E192/360</f>
        <v>0</v>
      </c>
    </row>
    <row r="193" spans="2:29" hidden="1" x14ac:dyDescent="0.2">
      <c r="B193" s="9" t="str">
        <f t="shared" si="14"/>
        <v>7 2025</v>
      </c>
      <c r="C193" s="10">
        <f t="shared" si="16"/>
        <v>45845</v>
      </c>
      <c r="D193" s="10">
        <f t="shared" si="17"/>
        <v>45846</v>
      </c>
      <c r="E193" s="11">
        <f t="shared" si="15"/>
        <v>1</v>
      </c>
      <c r="G193" s="11"/>
      <c r="H193" s="206"/>
      <c r="I193" s="367"/>
      <c r="J193" s="228"/>
      <c r="K193" s="12"/>
      <c r="L193" s="12"/>
      <c r="M193" s="215"/>
      <c r="N193" s="12"/>
      <c r="O193" s="219"/>
      <c r="P193" s="219"/>
      <c r="Q193" s="219"/>
      <c r="R193" s="219"/>
      <c r="T193" s="277"/>
      <c r="U193" s="12"/>
      <c r="V193" s="12">
        <f t="shared" si="18"/>
        <v>0</v>
      </c>
      <c r="W193" s="12">
        <f t="shared" si="22"/>
        <v>0</v>
      </c>
      <c r="X193" s="12">
        <f t="shared" si="20"/>
        <v>0</v>
      </c>
      <c r="Z193" s="211" t="e">
        <f t="shared" si="21"/>
        <v>#DIV/0!</v>
      </c>
      <c r="AA193" s="118"/>
      <c r="AB193" s="200" t="e">
        <f>(#REF!-1)*(360/(C193-$C$76))</f>
        <v>#REF!</v>
      </c>
      <c r="AC193" s="13">
        <f>W193-U192*'OverNight €'!I193*E193/360</f>
        <v>0</v>
      </c>
    </row>
    <row r="194" spans="2:29" hidden="1" x14ac:dyDescent="0.2">
      <c r="B194" s="9" t="str">
        <f t="shared" si="14"/>
        <v>7 2025</v>
      </c>
      <c r="C194" s="10">
        <f t="shared" si="16"/>
        <v>45846</v>
      </c>
      <c r="D194" s="10">
        <f t="shared" si="17"/>
        <v>45847</v>
      </c>
      <c r="E194" s="11">
        <f t="shared" si="15"/>
        <v>1</v>
      </c>
      <c r="G194" s="11"/>
      <c r="H194" s="206"/>
      <c r="I194" s="367"/>
      <c r="J194" s="228"/>
      <c r="K194" s="12"/>
      <c r="L194" s="12"/>
      <c r="M194" s="215"/>
      <c r="N194" s="12"/>
      <c r="O194" s="219"/>
      <c r="P194" s="219"/>
      <c r="Q194" s="219"/>
      <c r="R194" s="219"/>
      <c r="T194" s="277"/>
      <c r="U194" s="12"/>
      <c r="V194" s="12">
        <f t="shared" si="18"/>
        <v>0</v>
      </c>
      <c r="W194" s="12">
        <f t="shared" si="22"/>
        <v>0</v>
      </c>
      <c r="X194" s="12">
        <f t="shared" si="20"/>
        <v>0</v>
      </c>
      <c r="Z194" s="211" t="e">
        <f t="shared" si="21"/>
        <v>#DIV/0!</v>
      </c>
      <c r="AA194" s="118"/>
      <c r="AB194" s="200" t="e">
        <f>(#REF!-1)*(360/(C194-$C$76))</f>
        <v>#REF!</v>
      </c>
      <c r="AC194" s="13">
        <f>W194-U193*'OverNight €'!I194*E194/360</f>
        <v>0</v>
      </c>
    </row>
    <row r="195" spans="2:29" hidden="1" x14ac:dyDescent="0.2">
      <c r="B195" s="9" t="str">
        <f t="shared" si="14"/>
        <v>7 2025</v>
      </c>
      <c r="C195" s="10">
        <f t="shared" si="16"/>
        <v>45847</v>
      </c>
      <c r="D195" s="10">
        <f t="shared" si="17"/>
        <v>45848</v>
      </c>
      <c r="E195" s="11">
        <f t="shared" si="15"/>
        <v>1</v>
      </c>
      <c r="G195" s="11"/>
      <c r="H195" s="206"/>
      <c r="I195" s="367"/>
      <c r="J195" s="228"/>
      <c r="K195" s="12"/>
      <c r="L195" s="12"/>
      <c r="M195" s="215"/>
      <c r="N195" s="12"/>
      <c r="O195" s="219"/>
      <c r="P195" s="219"/>
      <c r="Q195" s="219"/>
      <c r="R195" s="219"/>
      <c r="T195" s="277"/>
      <c r="U195" s="12"/>
      <c r="V195" s="12">
        <f t="shared" si="18"/>
        <v>0</v>
      </c>
      <c r="W195" s="12">
        <f t="shared" si="22"/>
        <v>0</v>
      </c>
      <c r="X195" s="12">
        <f t="shared" si="20"/>
        <v>0</v>
      </c>
      <c r="Z195" s="211" t="e">
        <f t="shared" si="21"/>
        <v>#DIV/0!</v>
      </c>
      <c r="AA195" s="118"/>
      <c r="AB195" s="200" t="e">
        <f>(#REF!-1)*(360/(C195-$C$76))</f>
        <v>#REF!</v>
      </c>
      <c r="AC195" s="13">
        <f>W195-U194*'OverNight €'!I195*E195/360</f>
        <v>0</v>
      </c>
    </row>
    <row r="196" spans="2:29" hidden="1" x14ac:dyDescent="0.2">
      <c r="B196" s="9" t="str">
        <f t="shared" si="14"/>
        <v>7 2025</v>
      </c>
      <c r="C196" s="10">
        <f t="shared" si="16"/>
        <v>45848</v>
      </c>
      <c r="D196" s="10">
        <f t="shared" si="17"/>
        <v>45849</v>
      </c>
      <c r="E196" s="11">
        <f t="shared" si="15"/>
        <v>1</v>
      </c>
      <c r="G196" s="11"/>
      <c r="H196" s="206"/>
      <c r="I196" s="367"/>
      <c r="J196" s="228"/>
      <c r="K196" s="12"/>
      <c r="L196" s="12"/>
      <c r="M196" s="215"/>
      <c r="N196" s="12"/>
      <c r="O196" s="219"/>
      <c r="P196" s="219"/>
      <c r="Q196" s="219"/>
      <c r="R196" s="219"/>
      <c r="T196" s="277"/>
      <c r="U196" s="12"/>
      <c r="V196" s="12">
        <f t="shared" si="18"/>
        <v>0</v>
      </c>
      <c r="W196" s="12">
        <f t="shared" si="22"/>
        <v>0</v>
      </c>
      <c r="X196" s="12">
        <f t="shared" si="20"/>
        <v>0</v>
      </c>
      <c r="Z196" s="211" t="e">
        <f t="shared" si="21"/>
        <v>#DIV/0!</v>
      </c>
      <c r="AA196" s="118"/>
      <c r="AB196" s="200" t="e">
        <f>(#REF!-1)*(360/(C196-$C$76))</f>
        <v>#REF!</v>
      </c>
      <c r="AC196" s="13">
        <f>W196-U195*'OverNight €'!I196*E196/360</f>
        <v>0</v>
      </c>
    </row>
    <row r="197" spans="2:29" hidden="1" x14ac:dyDescent="0.2">
      <c r="B197" s="9" t="str">
        <f t="shared" si="14"/>
        <v>7 2025</v>
      </c>
      <c r="C197" s="10">
        <f t="shared" si="16"/>
        <v>45849</v>
      </c>
      <c r="D197" s="10">
        <f t="shared" si="17"/>
        <v>45850</v>
      </c>
      <c r="E197" s="11">
        <f t="shared" si="15"/>
        <v>1</v>
      </c>
      <c r="G197" s="11"/>
      <c r="H197" s="206"/>
      <c r="I197" s="367"/>
      <c r="J197" s="228"/>
      <c r="K197" s="12"/>
      <c r="L197" s="12"/>
      <c r="M197" s="215"/>
      <c r="N197" s="12"/>
      <c r="O197" s="219"/>
      <c r="P197" s="219"/>
      <c r="Q197" s="219"/>
      <c r="R197" s="219"/>
      <c r="T197" s="277"/>
      <c r="U197" s="12"/>
      <c r="V197" s="12">
        <f t="shared" si="18"/>
        <v>0</v>
      </c>
      <c r="W197" s="12">
        <f t="shared" si="22"/>
        <v>0</v>
      </c>
      <c r="X197" s="12">
        <f t="shared" si="20"/>
        <v>0</v>
      </c>
      <c r="Z197" s="211" t="e">
        <f t="shared" si="21"/>
        <v>#DIV/0!</v>
      </c>
      <c r="AA197" s="118"/>
      <c r="AB197" s="200" t="e">
        <f>(#REF!-1)*(360/(C197-$C$76))</f>
        <v>#REF!</v>
      </c>
      <c r="AC197" s="13">
        <f>W197-U196*'OverNight €'!I197*E197/360</f>
        <v>0</v>
      </c>
    </row>
    <row r="198" spans="2:29" hidden="1" x14ac:dyDescent="0.2">
      <c r="B198" s="9" t="str">
        <f t="shared" ref="B198:B261" si="23">CONCATENATE(MONTH(D198)," ",YEAR(D198))</f>
        <v>7 2025</v>
      </c>
      <c r="C198" s="10">
        <f>D197</f>
        <v>45850</v>
      </c>
      <c r="D198" s="10">
        <f>D197+1</f>
        <v>45851</v>
      </c>
      <c r="E198" s="11">
        <f t="shared" ref="E198:E261" si="24">D198-C198</f>
        <v>1</v>
      </c>
      <c r="G198" s="11"/>
      <c r="H198" s="206"/>
      <c r="I198" s="367"/>
      <c r="J198" s="228"/>
      <c r="K198" s="12"/>
      <c r="L198" s="12"/>
      <c r="M198" s="215"/>
      <c r="N198" s="12"/>
      <c r="O198" s="219"/>
      <c r="P198" s="219"/>
      <c r="Q198" s="219"/>
      <c r="R198" s="219"/>
      <c r="T198" s="277"/>
      <c r="U198" s="12"/>
      <c r="V198" s="12">
        <f t="shared" si="18"/>
        <v>0</v>
      </c>
      <c r="W198" s="12">
        <f t="shared" si="22"/>
        <v>0</v>
      </c>
      <c r="X198" s="12">
        <f t="shared" si="20"/>
        <v>0</v>
      </c>
      <c r="Z198" s="211" t="e">
        <f t="shared" si="21"/>
        <v>#DIV/0!</v>
      </c>
      <c r="AA198" s="118"/>
      <c r="AB198" s="200" t="e">
        <f>(#REF!-1)*(360/(C198-$C$76))</f>
        <v>#REF!</v>
      </c>
      <c r="AC198" s="13">
        <f>W198-U197*'OverNight €'!I198*E198/360</f>
        <v>0</v>
      </c>
    </row>
    <row r="199" spans="2:29" hidden="1" x14ac:dyDescent="0.2">
      <c r="B199" s="9" t="str">
        <f t="shared" si="23"/>
        <v>7 2025</v>
      </c>
      <c r="C199" s="10">
        <f t="shared" si="16"/>
        <v>45851</v>
      </c>
      <c r="D199" s="10">
        <f t="shared" si="17"/>
        <v>45852</v>
      </c>
      <c r="E199" s="11">
        <f t="shared" si="24"/>
        <v>1</v>
      </c>
      <c r="G199" s="11"/>
      <c r="H199" s="206"/>
      <c r="I199" s="367"/>
      <c r="J199" s="228"/>
      <c r="K199" s="12"/>
      <c r="L199" s="12"/>
      <c r="M199" s="215"/>
      <c r="N199" s="12"/>
      <c r="O199" s="219"/>
      <c r="P199" s="219"/>
      <c r="Q199" s="219"/>
      <c r="R199" s="219"/>
      <c r="T199" s="277"/>
      <c r="U199" s="12"/>
      <c r="V199" s="12">
        <f t="shared" si="18"/>
        <v>0</v>
      </c>
      <c r="W199" s="12">
        <f t="shared" si="22"/>
        <v>0</v>
      </c>
      <c r="X199" s="12">
        <f t="shared" si="20"/>
        <v>0</v>
      </c>
      <c r="Z199" s="211" t="e">
        <f t="shared" si="21"/>
        <v>#DIV/0!</v>
      </c>
      <c r="AA199" s="118"/>
      <c r="AB199" s="200" t="e">
        <f>(#REF!-1)*(360/(C199-$C$76))</f>
        <v>#REF!</v>
      </c>
      <c r="AC199" s="13">
        <f>W199-U198*'OverNight €'!I199*E199/360</f>
        <v>0</v>
      </c>
    </row>
    <row r="200" spans="2:29" hidden="1" x14ac:dyDescent="0.2">
      <c r="B200" s="9" t="str">
        <f t="shared" si="23"/>
        <v>7 2025</v>
      </c>
      <c r="C200" s="10">
        <f t="shared" ref="C200:C263" si="25">D199</f>
        <v>45852</v>
      </c>
      <c r="D200" s="10">
        <f t="shared" ref="D200:D263" si="26">D199+1</f>
        <v>45853</v>
      </c>
      <c r="E200" s="11">
        <f t="shared" si="24"/>
        <v>1</v>
      </c>
      <c r="G200" s="11"/>
      <c r="H200" s="206"/>
      <c r="I200" s="367"/>
      <c r="J200" s="228"/>
      <c r="K200" s="12"/>
      <c r="L200" s="12"/>
      <c r="M200" s="215"/>
      <c r="N200" s="12"/>
      <c r="O200" s="219"/>
      <c r="P200" s="219"/>
      <c r="Q200" s="219"/>
      <c r="R200" s="219"/>
      <c r="T200" s="277"/>
      <c r="U200" s="12"/>
      <c r="V200" s="12">
        <f t="shared" si="18"/>
        <v>0</v>
      </c>
      <c r="W200" s="12">
        <f t="shared" si="22"/>
        <v>0</v>
      </c>
      <c r="X200" s="12">
        <f t="shared" si="20"/>
        <v>0</v>
      </c>
      <c r="Z200" s="211" t="e">
        <f t="shared" si="21"/>
        <v>#DIV/0!</v>
      </c>
      <c r="AA200" s="118"/>
      <c r="AB200" s="200" t="e">
        <f>(#REF!-1)*(360/(C200-$C$76))</f>
        <v>#REF!</v>
      </c>
      <c r="AC200" s="13">
        <f>W200-U199*'OverNight €'!I200*E200/360</f>
        <v>0</v>
      </c>
    </row>
    <row r="201" spans="2:29" hidden="1" x14ac:dyDescent="0.2">
      <c r="B201" s="9" t="str">
        <f t="shared" si="23"/>
        <v>7 2025</v>
      </c>
      <c r="C201" s="10">
        <f t="shared" si="25"/>
        <v>45853</v>
      </c>
      <c r="D201" s="10">
        <f t="shared" si="26"/>
        <v>45854</v>
      </c>
      <c r="E201" s="11">
        <f t="shared" si="24"/>
        <v>1</v>
      </c>
      <c r="G201" s="11"/>
      <c r="H201" s="206"/>
      <c r="I201" s="367"/>
      <c r="J201" s="228"/>
      <c r="K201" s="12"/>
      <c r="L201" s="12"/>
      <c r="M201" s="215"/>
      <c r="N201" s="12"/>
      <c r="O201" s="219"/>
      <c r="P201" s="219"/>
      <c r="Q201" s="219"/>
      <c r="R201" s="219"/>
      <c r="T201" s="277"/>
      <c r="U201" s="12"/>
      <c r="V201" s="12">
        <f t="shared" si="18"/>
        <v>0</v>
      </c>
      <c r="W201" s="12">
        <f t="shared" si="22"/>
        <v>0</v>
      </c>
      <c r="X201" s="12">
        <f t="shared" si="20"/>
        <v>0</v>
      </c>
      <c r="Z201" s="211" t="e">
        <f t="shared" si="21"/>
        <v>#DIV/0!</v>
      </c>
      <c r="AA201" s="118"/>
      <c r="AB201" s="200" t="e">
        <f>(#REF!-1)*(360/(C201-$C$76))</f>
        <v>#REF!</v>
      </c>
      <c r="AC201" s="13">
        <f>W201-U200*'OverNight €'!I201*E201/360</f>
        <v>0</v>
      </c>
    </row>
    <row r="202" spans="2:29" hidden="1" x14ac:dyDescent="0.2">
      <c r="B202" s="9" t="str">
        <f t="shared" si="23"/>
        <v>7 2025</v>
      </c>
      <c r="C202" s="10">
        <f t="shared" si="25"/>
        <v>45854</v>
      </c>
      <c r="D202" s="10">
        <f t="shared" si="26"/>
        <v>45855</v>
      </c>
      <c r="E202" s="11">
        <f t="shared" si="24"/>
        <v>1</v>
      </c>
      <c r="G202" s="11"/>
      <c r="H202" s="206"/>
      <c r="I202" s="367"/>
      <c r="J202" s="228"/>
      <c r="K202" s="12"/>
      <c r="L202" s="12"/>
      <c r="M202" s="215"/>
      <c r="N202" s="12"/>
      <c r="O202" s="219"/>
      <c r="P202" s="219"/>
      <c r="Q202" s="219"/>
      <c r="R202" s="219"/>
      <c r="T202" s="277"/>
      <c r="U202" s="12"/>
      <c r="V202" s="12">
        <f t="shared" si="18"/>
        <v>0</v>
      </c>
      <c r="W202" s="12">
        <f t="shared" si="22"/>
        <v>0</v>
      </c>
      <c r="X202" s="12">
        <f t="shared" si="20"/>
        <v>0</v>
      </c>
      <c r="Z202" s="211" t="e">
        <f t="shared" si="21"/>
        <v>#DIV/0!</v>
      </c>
      <c r="AA202" s="118"/>
      <c r="AB202" s="200" t="e">
        <f>(#REF!-1)*(360/(C202-$C$76))</f>
        <v>#REF!</v>
      </c>
      <c r="AC202" s="13">
        <f>W202-U201*'OverNight €'!I202*E202/360</f>
        <v>0</v>
      </c>
    </row>
    <row r="203" spans="2:29" hidden="1" x14ac:dyDescent="0.2">
      <c r="B203" s="9" t="str">
        <f t="shared" si="23"/>
        <v>7 2025</v>
      </c>
      <c r="C203" s="10">
        <f t="shared" si="25"/>
        <v>45855</v>
      </c>
      <c r="D203" s="10">
        <f t="shared" si="26"/>
        <v>45856</v>
      </c>
      <c r="E203" s="11">
        <f t="shared" si="24"/>
        <v>1</v>
      </c>
      <c r="G203" s="11"/>
      <c r="H203" s="206"/>
      <c r="I203" s="367"/>
      <c r="J203" s="228"/>
      <c r="K203" s="12"/>
      <c r="L203" s="12"/>
      <c r="M203" s="215"/>
      <c r="N203" s="12"/>
      <c r="O203" s="219"/>
      <c r="P203" s="219"/>
      <c r="Q203" s="219"/>
      <c r="R203" s="219"/>
      <c r="T203" s="277"/>
      <c r="U203" s="12"/>
      <c r="V203" s="12">
        <f t="shared" si="18"/>
        <v>0</v>
      </c>
      <c r="W203" s="12">
        <f t="shared" si="22"/>
        <v>0</v>
      </c>
      <c r="X203" s="12">
        <f t="shared" si="20"/>
        <v>0</v>
      </c>
      <c r="Z203" s="211" t="e">
        <f t="shared" si="21"/>
        <v>#DIV/0!</v>
      </c>
      <c r="AA203" s="118"/>
      <c r="AB203" s="200" t="e">
        <f>(#REF!-1)*(360/(C203-$C$76))</f>
        <v>#REF!</v>
      </c>
      <c r="AC203" s="13">
        <f>W203-U202*'OverNight €'!I203*E203/360</f>
        <v>0</v>
      </c>
    </row>
    <row r="204" spans="2:29" hidden="1" x14ac:dyDescent="0.2">
      <c r="B204" s="9" t="str">
        <f t="shared" si="23"/>
        <v>7 2025</v>
      </c>
      <c r="C204" s="10">
        <f t="shared" si="25"/>
        <v>45856</v>
      </c>
      <c r="D204" s="10">
        <f t="shared" si="26"/>
        <v>45857</v>
      </c>
      <c r="E204" s="11">
        <f t="shared" si="24"/>
        <v>1</v>
      </c>
      <c r="G204" s="11"/>
      <c r="H204" s="206"/>
      <c r="I204" s="367"/>
      <c r="J204" s="228"/>
      <c r="K204" s="12"/>
      <c r="L204" s="12"/>
      <c r="M204" s="215"/>
      <c r="N204" s="12"/>
      <c r="O204" s="219"/>
      <c r="P204" s="219"/>
      <c r="Q204" s="219"/>
      <c r="R204" s="219"/>
      <c r="T204" s="277"/>
      <c r="U204" s="12"/>
      <c r="V204" s="12">
        <f t="shared" ref="V204:V267" si="27">X204-U204</f>
        <v>0</v>
      </c>
      <c r="W204" s="12">
        <f t="shared" si="22"/>
        <v>0</v>
      </c>
      <c r="X204" s="12">
        <f t="shared" ref="X204:X267" si="28">T204*I204</f>
        <v>0</v>
      </c>
      <c r="Z204" s="211" t="e">
        <f t="shared" si="21"/>
        <v>#DIV/0!</v>
      </c>
      <c r="AA204" s="118"/>
      <c r="AB204" s="200" t="e">
        <f>(#REF!-1)*(360/(C204-$C$76))</f>
        <v>#REF!</v>
      </c>
      <c r="AC204" s="13">
        <f>W204-U203*'OverNight €'!I204*E204/360</f>
        <v>0</v>
      </c>
    </row>
    <row r="205" spans="2:29" hidden="1" x14ac:dyDescent="0.2">
      <c r="B205" s="9" t="str">
        <f t="shared" si="23"/>
        <v>7 2025</v>
      </c>
      <c r="C205" s="10">
        <f t="shared" si="25"/>
        <v>45857</v>
      </c>
      <c r="D205" s="10">
        <f t="shared" si="26"/>
        <v>45858</v>
      </c>
      <c r="E205" s="11">
        <f t="shared" si="24"/>
        <v>1</v>
      </c>
      <c r="G205" s="11"/>
      <c r="H205" s="206"/>
      <c r="I205" s="367"/>
      <c r="J205" s="228"/>
      <c r="K205" s="12"/>
      <c r="L205" s="12"/>
      <c r="M205" s="215"/>
      <c r="N205" s="12"/>
      <c r="O205" s="219"/>
      <c r="P205" s="219"/>
      <c r="Q205" s="219"/>
      <c r="R205" s="219"/>
      <c r="T205" s="277"/>
      <c r="U205" s="12"/>
      <c r="V205" s="12">
        <f t="shared" si="27"/>
        <v>0</v>
      </c>
      <c r="W205" s="12">
        <f t="shared" si="22"/>
        <v>0</v>
      </c>
      <c r="X205" s="12">
        <f t="shared" si="28"/>
        <v>0</v>
      </c>
      <c r="Z205" s="211" t="e">
        <f t="shared" ref="Z205:Z268" si="29">I205/I204-1</f>
        <v>#DIV/0!</v>
      </c>
      <c r="AA205" s="118"/>
      <c r="AB205" s="200" t="e">
        <f>(#REF!-1)*(360/(C205-$C$76))</f>
        <v>#REF!</v>
      </c>
      <c r="AC205" s="13">
        <f>W205-U204*'OverNight €'!I205*E205/360</f>
        <v>0</v>
      </c>
    </row>
    <row r="206" spans="2:29" hidden="1" x14ac:dyDescent="0.2">
      <c r="B206" s="9" t="str">
        <f t="shared" si="23"/>
        <v>7 2025</v>
      </c>
      <c r="C206" s="10">
        <f t="shared" si="25"/>
        <v>45858</v>
      </c>
      <c r="D206" s="10">
        <f t="shared" si="26"/>
        <v>45859</v>
      </c>
      <c r="E206" s="11">
        <f t="shared" si="24"/>
        <v>1</v>
      </c>
      <c r="G206" s="11"/>
      <c r="H206" s="206"/>
      <c r="I206" s="367"/>
      <c r="J206" s="228"/>
      <c r="K206" s="12"/>
      <c r="L206" s="12"/>
      <c r="M206" s="215"/>
      <c r="N206" s="12"/>
      <c r="O206" s="219"/>
      <c r="P206" s="219"/>
      <c r="Q206" s="219"/>
      <c r="R206" s="219"/>
      <c r="T206" s="277"/>
      <c r="U206" s="12"/>
      <c r="V206" s="12">
        <f t="shared" si="27"/>
        <v>0</v>
      </c>
      <c r="W206" s="12">
        <f t="shared" si="22"/>
        <v>0</v>
      </c>
      <c r="X206" s="12">
        <f t="shared" si="28"/>
        <v>0</v>
      </c>
      <c r="Z206" s="211" t="e">
        <f t="shared" si="29"/>
        <v>#DIV/0!</v>
      </c>
      <c r="AA206" s="118"/>
      <c r="AB206" s="200" t="e">
        <f>(#REF!-1)*(360/(C206-$C$76))</f>
        <v>#REF!</v>
      </c>
      <c r="AC206" s="13">
        <f>W206-U205*'OverNight €'!I206*E206/360</f>
        <v>0</v>
      </c>
    </row>
    <row r="207" spans="2:29" hidden="1" x14ac:dyDescent="0.2">
      <c r="B207" s="9" t="str">
        <f t="shared" si="23"/>
        <v>7 2025</v>
      </c>
      <c r="C207" s="10">
        <f t="shared" si="25"/>
        <v>45859</v>
      </c>
      <c r="D207" s="10">
        <f t="shared" si="26"/>
        <v>45860</v>
      </c>
      <c r="E207" s="11">
        <f t="shared" si="24"/>
        <v>1</v>
      </c>
      <c r="G207" s="11"/>
      <c r="H207" s="206"/>
      <c r="I207" s="367"/>
      <c r="J207" s="228"/>
      <c r="K207" s="12"/>
      <c r="L207" s="12"/>
      <c r="M207" s="215"/>
      <c r="N207" s="12"/>
      <c r="O207" s="219"/>
      <c r="P207" s="219"/>
      <c r="Q207" s="219"/>
      <c r="R207" s="219"/>
      <c r="T207" s="277"/>
      <c r="U207" s="12"/>
      <c r="V207" s="12">
        <f t="shared" si="27"/>
        <v>0</v>
      </c>
      <c r="W207" s="12">
        <f t="shared" si="22"/>
        <v>0</v>
      </c>
      <c r="X207" s="12">
        <f t="shared" si="28"/>
        <v>0</v>
      </c>
      <c r="Z207" s="211" t="e">
        <f t="shared" si="29"/>
        <v>#DIV/0!</v>
      </c>
      <c r="AA207" s="118"/>
      <c r="AB207" s="200" t="e">
        <f>(#REF!-1)*(360/(C207-$C$76))</f>
        <v>#REF!</v>
      </c>
      <c r="AC207" s="13">
        <f>W207-U206*'OverNight €'!I207*E207/360</f>
        <v>0</v>
      </c>
    </row>
    <row r="208" spans="2:29" hidden="1" x14ac:dyDescent="0.2">
      <c r="B208" s="9" t="str">
        <f t="shared" si="23"/>
        <v>7 2025</v>
      </c>
      <c r="C208" s="10">
        <f t="shared" si="25"/>
        <v>45860</v>
      </c>
      <c r="D208" s="10">
        <f t="shared" si="26"/>
        <v>45861</v>
      </c>
      <c r="E208" s="11">
        <f t="shared" si="24"/>
        <v>1</v>
      </c>
      <c r="G208" s="11"/>
      <c r="H208" s="206"/>
      <c r="I208" s="367"/>
      <c r="J208" s="228"/>
      <c r="K208" s="12"/>
      <c r="L208" s="12"/>
      <c r="M208" s="215"/>
      <c r="N208" s="12"/>
      <c r="O208" s="219"/>
      <c r="P208" s="219"/>
      <c r="Q208" s="219"/>
      <c r="R208" s="219"/>
      <c r="T208" s="277"/>
      <c r="U208" s="12"/>
      <c r="V208" s="12">
        <f t="shared" si="27"/>
        <v>0</v>
      </c>
      <c r="W208" s="12">
        <f t="shared" si="22"/>
        <v>0</v>
      </c>
      <c r="X208" s="12">
        <f t="shared" si="28"/>
        <v>0</v>
      </c>
      <c r="Z208" s="211" t="e">
        <f t="shared" si="29"/>
        <v>#DIV/0!</v>
      </c>
      <c r="AA208" s="118"/>
      <c r="AB208" s="200" t="e">
        <f>(#REF!-1)*(360/(C208-$C$76))</f>
        <v>#REF!</v>
      </c>
      <c r="AC208" s="13">
        <f>W208-U207*'OverNight €'!I208*E208/360</f>
        <v>0</v>
      </c>
    </row>
    <row r="209" spans="2:31" hidden="1" x14ac:dyDescent="0.2">
      <c r="B209" s="9" t="str">
        <f t="shared" si="23"/>
        <v>7 2025</v>
      </c>
      <c r="C209" s="10">
        <f t="shared" si="25"/>
        <v>45861</v>
      </c>
      <c r="D209" s="10">
        <f t="shared" si="26"/>
        <v>45862</v>
      </c>
      <c r="E209" s="11">
        <f t="shared" si="24"/>
        <v>1</v>
      </c>
      <c r="G209" s="11"/>
      <c r="H209" s="206"/>
      <c r="I209" s="367"/>
      <c r="J209" s="228"/>
      <c r="K209" s="12"/>
      <c r="L209" s="12"/>
      <c r="M209" s="215"/>
      <c r="N209" s="12"/>
      <c r="O209" s="219"/>
      <c r="P209" s="219"/>
      <c r="Q209" s="219"/>
      <c r="R209" s="219"/>
      <c r="T209" s="277"/>
      <c r="U209" s="12"/>
      <c r="V209" s="12">
        <f t="shared" si="27"/>
        <v>0</v>
      </c>
      <c r="W209" s="12">
        <f t="shared" si="22"/>
        <v>0</v>
      </c>
      <c r="X209" s="12">
        <f t="shared" si="28"/>
        <v>0</v>
      </c>
      <c r="Z209" s="211" t="e">
        <f t="shared" si="29"/>
        <v>#DIV/0!</v>
      </c>
      <c r="AA209" s="118"/>
      <c r="AB209" s="200" t="e">
        <f>(#REF!-1)*(360/(C209-$C$76))</f>
        <v>#REF!</v>
      </c>
      <c r="AC209" s="13">
        <f>W209-U208*'OverNight €'!I209*E209/360</f>
        <v>0</v>
      </c>
    </row>
    <row r="210" spans="2:31" hidden="1" x14ac:dyDescent="0.2">
      <c r="B210" s="9" t="str">
        <f t="shared" si="23"/>
        <v>7 2025</v>
      </c>
      <c r="C210" s="10">
        <f t="shared" si="25"/>
        <v>45862</v>
      </c>
      <c r="D210" s="10">
        <f t="shared" si="26"/>
        <v>45863</v>
      </c>
      <c r="E210" s="11">
        <f t="shared" si="24"/>
        <v>1</v>
      </c>
      <c r="G210" s="11"/>
      <c r="H210" s="206"/>
      <c r="I210" s="367"/>
      <c r="J210" s="228"/>
      <c r="K210" s="12"/>
      <c r="L210" s="12"/>
      <c r="M210" s="215"/>
      <c r="N210" s="12"/>
      <c r="O210" s="219"/>
      <c r="P210" s="219"/>
      <c r="Q210" s="219"/>
      <c r="R210" s="219"/>
      <c r="T210" s="277"/>
      <c r="U210" s="12"/>
      <c r="V210" s="12">
        <f t="shared" si="27"/>
        <v>0</v>
      </c>
      <c r="W210" s="12">
        <f t="shared" si="22"/>
        <v>0</v>
      </c>
      <c r="X210" s="12">
        <f t="shared" si="28"/>
        <v>0</v>
      </c>
      <c r="Z210" s="211" t="e">
        <f t="shared" si="29"/>
        <v>#DIV/0!</v>
      </c>
      <c r="AA210" s="118"/>
      <c r="AB210" s="200" t="e">
        <f>(#REF!-1)*(360/(C210-$C$76))</f>
        <v>#REF!</v>
      </c>
      <c r="AC210" s="13">
        <f>W210-U209*'OverNight €'!I210*E210/360</f>
        <v>0</v>
      </c>
    </row>
    <row r="211" spans="2:31" hidden="1" x14ac:dyDescent="0.2">
      <c r="B211" s="9" t="str">
        <f t="shared" si="23"/>
        <v>7 2025</v>
      </c>
      <c r="C211" s="10">
        <f t="shared" si="25"/>
        <v>45863</v>
      </c>
      <c r="D211" s="10">
        <f t="shared" si="26"/>
        <v>45864</v>
      </c>
      <c r="E211" s="11">
        <f t="shared" si="24"/>
        <v>1</v>
      </c>
      <c r="G211" s="11"/>
      <c r="H211" s="206"/>
      <c r="I211" s="367"/>
      <c r="J211" s="228"/>
      <c r="K211" s="12"/>
      <c r="L211" s="12"/>
      <c r="M211" s="215"/>
      <c r="N211" s="12"/>
      <c r="O211" s="219"/>
      <c r="P211" s="219"/>
      <c r="Q211" s="219"/>
      <c r="R211" s="219"/>
      <c r="T211" s="277"/>
      <c r="U211" s="12"/>
      <c r="V211" s="12">
        <f t="shared" si="27"/>
        <v>0</v>
      </c>
      <c r="W211" s="12">
        <f t="shared" si="22"/>
        <v>0</v>
      </c>
      <c r="X211" s="12">
        <f t="shared" si="28"/>
        <v>0</v>
      </c>
      <c r="Z211" s="211" t="e">
        <f t="shared" si="29"/>
        <v>#DIV/0!</v>
      </c>
      <c r="AA211" s="118"/>
      <c r="AB211" s="200" t="e">
        <f>(#REF!-1)*(360/(C211-$C$76))</f>
        <v>#REF!</v>
      </c>
      <c r="AC211" s="13">
        <f>W211-U210*'OverNight €'!I211*E211/360</f>
        <v>0</v>
      </c>
    </row>
    <row r="212" spans="2:31" hidden="1" x14ac:dyDescent="0.2">
      <c r="B212" s="9" t="str">
        <f t="shared" si="23"/>
        <v>7 2025</v>
      </c>
      <c r="C212" s="10">
        <f t="shared" si="25"/>
        <v>45864</v>
      </c>
      <c r="D212" s="10">
        <f t="shared" si="26"/>
        <v>45865</v>
      </c>
      <c r="E212" s="11">
        <f t="shared" si="24"/>
        <v>1</v>
      </c>
      <c r="G212" s="11"/>
      <c r="H212" s="206"/>
      <c r="I212" s="367"/>
      <c r="J212" s="228"/>
      <c r="K212" s="12"/>
      <c r="L212" s="12"/>
      <c r="M212" s="215"/>
      <c r="N212" s="12"/>
      <c r="O212" s="219"/>
      <c r="P212" s="219"/>
      <c r="Q212" s="219"/>
      <c r="R212" s="219"/>
      <c r="T212" s="277"/>
      <c r="U212" s="12"/>
      <c r="V212" s="12">
        <f t="shared" si="27"/>
        <v>0</v>
      </c>
      <c r="W212" s="12">
        <f t="shared" si="22"/>
        <v>0</v>
      </c>
      <c r="X212" s="12">
        <f t="shared" si="28"/>
        <v>0</v>
      </c>
      <c r="Z212" s="211" t="e">
        <f t="shared" si="29"/>
        <v>#DIV/0!</v>
      </c>
      <c r="AA212" s="118"/>
      <c r="AB212" s="200" t="e">
        <f>(#REF!-1)*(360/(C212-$C$76))</f>
        <v>#REF!</v>
      </c>
      <c r="AC212" s="13">
        <f>W212-U211*'OverNight €'!I212*E212/360</f>
        <v>0</v>
      </c>
    </row>
    <row r="213" spans="2:31" hidden="1" x14ac:dyDescent="0.2">
      <c r="B213" s="9" t="str">
        <f t="shared" si="23"/>
        <v>7 2025</v>
      </c>
      <c r="C213" s="10">
        <f t="shared" si="25"/>
        <v>45865</v>
      </c>
      <c r="D213" s="10">
        <f t="shared" si="26"/>
        <v>45866</v>
      </c>
      <c r="E213" s="11">
        <f t="shared" si="24"/>
        <v>1</v>
      </c>
      <c r="G213" s="11"/>
      <c r="H213" s="206"/>
      <c r="I213" s="367"/>
      <c r="J213" s="228"/>
      <c r="K213" s="12"/>
      <c r="L213" s="12"/>
      <c r="M213" s="215"/>
      <c r="N213" s="12"/>
      <c r="O213" s="219"/>
      <c r="P213" s="219"/>
      <c r="Q213" s="219"/>
      <c r="R213" s="219"/>
      <c r="T213" s="277"/>
      <c r="U213" s="12"/>
      <c r="V213" s="12">
        <f t="shared" si="27"/>
        <v>0</v>
      </c>
      <c r="W213" s="12">
        <f t="shared" si="22"/>
        <v>0</v>
      </c>
      <c r="X213" s="12">
        <f t="shared" si="28"/>
        <v>0</v>
      </c>
      <c r="Z213" s="211" t="e">
        <f t="shared" si="29"/>
        <v>#DIV/0!</v>
      </c>
      <c r="AA213" s="118"/>
      <c r="AB213" s="200" t="e">
        <f>(#REF!-1)*(360/(C213-$C$76))</f>
        <v>#REF!</v>
      </c>
      <c r="AC213" s="13">
        <f>W213-U212*'OverNight €'!I213*E213/360</f>
        <v>0</v>
      </c>
    </row>
    <row r="214" spans="2:31" hidden="1" x14ac:dyDescent="0.2">
      <c r="B214" s="9" t="str">
        <f t="shared" si="23"/>
        <v>7 2025</v>
      </c>
      <c r="C214" s="10">
        <f t="shared" si="25"/>
        <v>45866</v>
      </c>
      <c r="D214" s="10">
        <f t="shared" si="26"/>
        <v>45867</v>
      </c>
      <c r="E214" s="11">
        <f t="shared" si="24"/>
        <v>1</v>
      </c>
      <c r="G214" s="11"/>
      <c r="H214" s="206"/>
      <c r="I214" s="367"/>
      <c r="J214" s="228"/>
      <c r="K214" s="12"/>
      <c r="L214" s="12"/>
      <c r="M214" s="215"/>
      <c r="N214" s="12"/>
      <c r="O214" s="219"/>
      <c r="P214" s="219"/>
      <c r="Q214" s="219"/>
      <c r="R214" s="219"/>
      <c r="T214" s="277"/>
      <c r="U214" s="12"/>
      <c r="V214" s="12">
        <f t="shared" si="27"/>
        <v>0</v>
      </c>
      <c r="W214" s="12">
        <f t="shared" si="22"/>
        <v>0</v>
      </c>
      <c r="X214" s="12">
        <f t="shared" si="28"/>
        <v>0</v>
      </c>
      <c r="Z214" s="211" t="e">
        <f t="shared" si="29"/>
        <v>#DIV/0!</v>
      </c>
      <c r="AA214" s="118"/>
      <c r="AB214" s="200" t="e">
        <f>(#REF!-1)*(360/(C214-$C$76))</f>
        <v>#REF!</v>
      </c>
      <c r="AC214" s="13">
        <f>W214-U213*'OverNight €'!I214*E214/360</f>
        <v>0</v>
      </c>
    </row>
    <row r="215" spans="2:31" hidden="1" x14ac:dyDescent="0.2">
      <c r="B215" s="9" t="str">
        <f t="shared" si="23"/>
        <v>7 2025</v>
      </c>
      <c r="C215" s="10">
        <f t="shared" si="25"/>
        <v>45867</v>
      </c>
      <c r="D215" s="10">
        <f t="shared" si="26"/>
        <v>45868</v>
      </c>
      <c r="E215" s="11">
        <f t="shared" si="24"/>
        <v>1</v>
      </c>
      <c r="G215" s="11"/>
      <c r="H215" s="206"/>
      <c r="I215" s="367"/>
      <c r="J215" s="228"/>
      <c r="K215" s="12"/>
      <c r="L215" s="12"/>
      <c r="M215" s="215"/>
      <c r="N215" s="12"/>
      <c r="O215" s="219"/>
      <c r="P215" s="219"/>
      <c r="Q215" s="219"/>
      <c r="R215" s="219"/>
      <c r="T215" s="277"/>
      <c r="U215" s="12"/>
      <c r="V215" s="12">
        <f t="shared" si="27"/>
        <v>0</v>
      </c>
      <c r="W215" s="12">
        <f t="shared" si="22"/>
        <v>0</v>
      </c>
      <c r="X215" s="12">
        <f t="shared" si="28"/>
        <v>0</v>
      </c>
      <c r="Z215" s="211" t="e">
        <f t="shared" si="29"/>
        <v>#DIV/0!</v>
      </c>
      <c r="AA215" s="118"/>
      <c r="AB215" s="200" t="e">
        <f>(#REF!-1)*(360/(C215-$C$76))</f>
        <v>#REF!</v>
      </c>
      <c r="AC215" s="13">
        <f>W215-U214*'OverNight €'!I215*E215/360</f>
        <v>0</v>
      </c>
    </row>
    <row r="216" spans="2:31" hidden="1" x14ac:dyDescent="0.2">
      <c r="B216" s="9" t="str">
        <f t="shared" si="23"/>
        <v>7 2025</v>
      </c>
      <c r="C216" s="142">
        <f t="shared" si="25"/>
        <v>45868</v>
      </c>
      <c r="D216" s="142">
        <f t="shared" si="26"/>
        <v>45869</v>
      </c>
      <c r="E216" s="143">
        <f t="shared" si="24"/>
        <v>1</v>
      </c>
      <c r="F216" s="17"/>
      <c r="G216" s="143"/>
      <c r="H216" s="244"/>
      <c r="I216" s="370"/>
      <c r="J216" s="228"/>
      <c r="K216" s="144"/>
      <c r="L216" s="144"/>
      <c r="M216" s="216"/>
      <c r="N216" s="144"/>
      <c r="O216" s="220"/>
      <c r="P216" s="220"/>
      <c r="Q216" s="220"/>
      <c r="R216" s="220"/>
      <c r="T216" s="277"/>
      <c r="U216" s="12"/>
      <c r="V216" s="12">
        <f t="shared" si="27"/>
        <v>0</v>
      </c>
      <c r="W216" s="12">
        <f t="shared" si="22"/>
        <v>0</v>
      </c>
      <c r="X216" s="12">
        <f t="shared" si="28"/>
        <v>0</v>
      </c>
      <c r="Z216" s="211" t="e">
        <f t="shared" si="29"/>
        <v>#DIV/0!</v>
      </c>
      <c r="AA216" s="147"/>
      <c r="AB216" s="247" t="e">
        <f>(#REF!-1)*(360/(C216-$C$76))</f>
        <v>#REF!</v>
      </c>
      <c r="AC216" s="268">
        <f>W216-U215*'OverNight €'!I216*E216/360</f>
        <v>0</v>
      </c>
      <c r="AD216" s="17"/>
      <c r="AE216" s="17"/>
    </row>
    <row r="217" spans="2:31" hidden="1" x14ac:dyDescent="0.2">
      <c r="B217" s="9" t="str">
        <f t="shared" si="23"/>
        <v>8 2025</v>
      </c>
      <c r="C217" s="10">
        <f t="shared" si="25"/>
        <v>45869</v>
      </c>
      <c r="D217" s="10">
        <f t="shared" si="26"/>
        <v>45870</v>
      </c>
      <c r="E217" s="11">
        <f t="shared" si="24"/>
        <v>1</v>
      </c>
      <c r="G217" s="11"/>
      <c r="H217" s="206"/>
      <c r="I217" s="367"/>
      <c r="J217" s="228"/>
      <c r="K217" s="12"/>
      <c r="L217" s="12"/>
      <c r="M217" s="215"/>
      <c r="N217" s="12"/>
      <c r="O217" s="219"/>
      <c r="P217" s="219"/>
      <c r="Q217" s="219"/>
      <c r="R217" s="219"/>
      <c r="T217" s="277"/>
      <c r="U217" s="12"/>
      <c r="V217" s="12">
        <f t="shared" si="27"/>
        <v>0</v>
      </c>
      <c r="W217" s="12">
        <f t="shared" si="22"/>
        <v>0</v>
      </c>
      <c r="X217" s="12">
        <f t="shared" si="28"/>
        <v>0</v>
      </c>
      <c r="Z217" s="211" t="e">
        <f t="shared" si="29"/>
        <v>#DIV/0!</v>
      </c>
      <c r="AA217" s="118"/>
      <c r="AB217" s="200" t="e">
        <f>(#REF!-1)*(360/(C217-$C$76))</f>
        <v>#REF!</v>
      </c>
      <c r="AC217" s="13">
        <f>W217-U216*'OverNight €'!I217*E217/360</f>
        <v>0</v>
      </c>
    </row>
    <row r="218" spans="2:31" hidden="1" x14ac:dyDescent="0.2">
      <c r="B218" s="9" t="str">
        <f t="shared" si="23"/>
        <v>8 2025</v>
      </c>
      <c r="C218" s="10">
        <f t="shared" si="25"/>
        <v>45870</v>
      </c>
      <c r="D218" s="10">
        <f t="shared" si="26"/>
        <v>45871</v>
      </c>
      <c r="E218" s="11">
        <f t="shared" si="24"/>
        <v>1</v>
      </c>
      <c r="G218" s="11"/>
      <c r="H218" s="206"/>
      <c r="I218" s="367"/>
      <c r="J218" s="228"/>
      <c r="K218" s="12"/>
      <c r="L218" s="12"/>
      <c r="M218" s="215"/>
      <c r="N218" s="12"/>
      <c r="O218" s="219"/>
      <c r="P218" s="219"/>
      <c r="Q218" s="219"/>
      <c r="R218" s="219"/>
      <c r="T218" s="277"/>
      <c r="U218" s="12"/>
      <c r="V218" s="12">
        <f t="shared" si="27"/>
        <v>0</v>
      </c>
      <c r="W218" s="12">
        <f t="shared" si="22"/>
        <v>0</v>
      </c>
      <c r="X218" s="12">
        <f t="shared" si="28"/>
        <v>0</v>
      </c>
      <c r="Z218" s="211" t="e">
        <f t="shared" si="29"/>
        <v>#DIV/0!</v>
      </c>
      <c r="AA218" s="118"/>
      <c r="AB218" s="200" t="e">
        <f>(#REF!-1)*(360/(C218-$C$76))</f>
        <v>#REF!</v>
      </c>
      <c r="AC218" s="13">
        <f>W218-U217*'OverNight €'!I218*E218/360</f>
        <v>0</v>
      </c>
    </row>
    <row r="219" spans="2:31" hidden="1" x14ac:dyDescent="0.2">
      <c r="B219" s="9" t="str">
        <f t="shared" si="23"/>
        <v>8 2025</v>
      </c>
      <c r="C219" s="10">
        <f t="shared" si="25"/>
        <v>45871</v>
      </c>
      <c r="D219" s="10">
        <f t="shared" si="26"/>
        <v>45872</v>
      </c>
      <c r="E219" s="11">
        <f t="shared" si="24"/>
        <v>1</v>
      </c>
      <c r="G219" s="11"/>
      <c r="H219" s="206"/>
      <c r="I219" s="367"/>
      <c r="J219" s="228"/>
      <c r="K219" s="12"/>
      <c r="L219" s="12"/>
      <c r="M219" s="215"/>
      <c r="N219" s="12"/>
      <c r="O219" s="219"/>
      <c r="P219" s="219"/>
      <c r="Q219" s="219"/>
      <c r="R219" s="219"/>
      <c r="T219" s="277"/>
      <c r="U219" s="12"/>
      <c r="V219" s="12">
        <f t="shared" si="27"/>
        <v>0</v>
      </c>
      <c r="W219" s="12">
        <f t="shared" si="22"/>
        <v>0</v>
      </c>
      <c r="X219" s="12">
        <f t="shared" si="28"/>
        <v>0</v>
      </c>
      <c r="Z219" s="211" t="e">
        <f t="shared" si="29"/>
        <v>#DIV/0!</v>
      </c>
      <c r="AA219" s="118"/>
      <c r="AB219" s="200" t="e">
        <f>(#REF!-1)*(360/(C219-$C$76))</f>
        <v>#REF!</v>
      </c>
      <c r="AC219" s="13">
        <f>W219-U218*'OverNight €'!I219*E219/360</f>
        <v>0</v>
      </c>
    </row>
    <row r="220" spans="2:31" hidden="1" x14ac:dyDescent="0.2">
      <c r="B220" s="9" t="str">
        <f t="shared" si="23"/>
        <v>8 2025</v>
      </c>
      <c r="C220" s="10">
        <f t="shared" si="25"/>
        <v>45872</v>
      </c>
      <c r="D220" s="10">
        <f t="shared" si="26"/>
        <v>45873</v>
      </c>
      <c r="E220" s="11">
        <f t="shared" si="24"/>
        <v>1</v>
      </c>
      <c r="G220" s="11"/>
      <c r="H220" s="206"/>
      <c r="I220" s="367"/>
      <c r="J220" s="228"/>
      <c r="K220" s="12"/>
      <c r="L220" s="12"/>
      <c r="M220" s="215"/>
      <c r="N220" s="12"/>
      <c r="O220" s="219"/>
      <c r="P220" s="219"/>
      <c r="Q220" s="219"/>
      <c r="R220" s="219"/>
      <c r="T220" s="277"/>
      <c r="U220" s="12"/>
      <c r="V220" s="12">
        <f t="shared" si="27"/>
        <v>0</v>
      </c>
      <c r="W220" s="12">
        <f t="shared" si="22"/>
        <v>0</v>
      </c>
      <c r="X220" s="12">
        <f t="shared" si="28"/>
        <v>0</v>
      </c>
      <c r="Z220" s="211" t="e">
        <f t="shared" si="29"/>
        <v>#DIV/0!</v>
      </c>
      <c r="AA220" s="118"/>
      <c r="AB220" s="200" t="e">
        <f>(#REF!-1)*(360/(C220-$C$76))</f>
        <v>#REF!</v>
      </c>
      <c r="AC220" s="13">
        <f>W220-U219*'OverNight €'!I220*E220/360</f>
        <v>0</v>
      </c>
    </row>
    <row r="221" spans="2:31" hidden="1" x14ac:dyDescent="0.2">
      <c r="B221" s="9" t="str">
        <f t="shared" si="23"/>
        <v>8 2025</v>
      </c>
      <c r="C221" s="10">
        <f t="shared" si="25"/>
        <v>45873</v>
      </c>
      <c r="D221" s="10">
        <f t="shared" si="26"/>
        <v>45874</v>
      </c>
      <c r="E221" s="11">
        <f t="shared" si="24"/>
        <v>1</v>
      </c>
      <c r="G221" s="11"/>
      <c r="H221" s="206"/>
      <c r="I221" s="369"/>
      <c r="J221" s="228"/>
      <c r="K221" s="12"/>
      <c r="L221" s="12"/>
      <c r="M221" s="215"/>
      <c r="N221" s="12"/>
      <c r="O221" s="219"/>
      <c r="P221" s="219"/>
      <c r="Q221" s="219"/>
      <c r="R221" s="219"/>
      <c r="T221" s="279"/>
      <c r="U221" s="107"/>
      <c r="V221" s="107">
        <f t="shared" si="27"/>
        <v>0</v>
      </c>
      <c r="W221" s="107">
        <f t="shared" si="22"/>
        <v>0</v>
      </c>
      <c r="X221" s="107">
        <f t="shared" si="28"/>
        <v>0</v>
      </c>
      <c r="Z221" s="266" t="e">
        <f t="shared" si="29"/>
        <v>#DIV/0!</v>
      </c>
      <c r="AA221" s="184" t="e">
        <f>I221/I188-1</f>
        <v>#DIV/0!</v>
      </c>
      <c r="AB221" s="267" t="e">
        <f>(#REF!-1)*(360/(C221-$C$76))</f>
        <v>#REF!</v>
      </c>
      <c r="AC221" s="182">
        <f>W221-U220*'OverNight €'!I221*E221/360</f>
        <v>0</v>
      </c>
    </row>
    <row r="222" spans="2:31" hidden="1" x14ac:dyDescent="0.2">
      <c r="B222" s="9" t="str">
        <f t="shared" si="23"/>
        <v>8 2025</v>
      </c>
      <c r="C222" s="10">
        <f t="shared" si="25"/>
        <v>45874</v>
      </c>
      <c r="D222" s="10">
        <f t="shared" si="26"/>
        <v>45875</v>
      </c>
      <c r="E222" s="11">
        <f t="shared" si="24"/>
        <v>1</v>
      </c>
      <c r="G222" s="11"/>
      <c r="H222" s="206"/>
      <c r="I222" s="367"/>
      <c r="J222" s="228"/>
      <c r="K222" s="12"/>
      <c r="L222" s="12"/>
      <c r="M222" s="215"/>
      <c r="N222" s="12"/>
      <c r="O222" s="219"/>
      <c r="P222" s="219"/>
      <c r="Q222" s="219"/>
      <c r="R222" s="219"/>
      <c r="T222" s="277"/>
      <c r="U222" s="12"/>
      <c r="V222" s="98">
        <f t="shared" si="27"/>
        <v>0</v>
      </c>
      <c r="W222" s="12">
        <f t="shared" si="22"/>
        <v>0</v>
      </c>
      <c r="X222" s="12">
        <f t="shared" si="28"/>
        <v>0</v>
      </c>
      <c r="Z222" s="211" t="e">
        <f t="shared" si="29"/>
        <v>#DIV/0!</v>
      </c>
      <c r="AA222" s="118"/>
      <c r="AB222" s="200" t="e">
        <f>(#REF!-1)*(360/(C222-$C$76))</f>
        <v>#REF!</v>
      </c>
      <c r="AC222" s="13">
        <f>W222-U221*'OverNight €'!I222*E222/360</f>
        <v>0</v>
      </c>
    </row>
    <row r="223" spans="2:31" hidden="1" x14ac:dyDescent="0.2">
      <c r="B223" s="9" t="str">
        <f t="shared" si="23"/>
        <v>8 2025</v>
      </c>
      <c r="C223" s="10">
        <f t="shared" si="25"/>
        <v>45875</v>
      </c>
      <c r="D223" s="10">
        <f t="shared" si="26"/>
        <v>45876</v>
      </c>
      <c r="E223" s="11">
        <f t="shared" si="24"/>
        <v>1</v>
      </c>
      <c r="G223" s="11"/>
      <c r="H223" s="206"/>
      <c r="I223" s="367"/>
      <c r="J223" s="228"/>
      <c r="K223" s="12"/>
      <c r="L223" s="12"/>
      <c r="M223" s="215"/>
      <c r="N223" s="12"/>
      <c r="O223" s="219"/>
      <c r="P223" s="219"/>
      <c r="Q223" s="219"/>
      <c r="R223" s="219"/>
      <c r="T223" s="277"/>
      <c r="U223" s="12"/>
      <c r="V223" s="98">
        <f t="shared" si="27"/>
        <v>0</v>
      </c>
      <c r="W223" s="12">
        <f t="shared" si="22"/>
        <v>0</v>
      </c>
      <c r="X223" s="12">
        <f t="shared" si="28"/>
        <v>0</v>
      </c>
      <c r="Z223" s="211" t="e">
        <f t="shared" si="29"/>
        <v>#DIV/0!</v>
      </c>
      <c r="AA223" s="118"/>
      <c r="AB223" s="200" t="e">
        <f>(#REF!-1)*(360/(C223-$C$76))</f>
        <v>#REF!</v>
      </c>
      <c r="AC223" s="13">
        <f>W223-U222*'OverNight €'!I223*E223/360</f>
        <v>0</v>
      </c>
    </row>
    <row r="224" spans="2:31" hidden="1" x14ac:dyDescent="0.2">
      <c r="B224" s="9" t="str">
        <f t="shared" si="23"/>
        <v>8 2025</v>
      </c>
      <c r="C224" s="10">
        <f t="shared" si="25"/>
        <v>45876</v>
      </c>
      <c r="D224" s="10">
        <f t="shared" si="26"/>
        <v>45877</v>
      </c>
      <c r="E224" s="11">
        <f t="shared" si="24"/>
        <v>1</v>
      </c>
      <c r="G224" s="11"/>
      <c r="H224" s="206"/>
      <c r="I224" s="367"/>
      <c r="J224" s="228"/>
      <c r="K224" s="12"/>
      <c r="L224" s="12"/>
      <c r="M224" s="215"/>
      <c r="N224" s="12"/>
      <c r="O224" s="219"/>
      <c r="P224" s="219"/>
      <c r="Q224" s="219"/>
      <c r="R224" s="219"/>
      <c r="T224" s="277"/>
      <c r="U224" s="12"/>
      <c r="V224" s="98">
        <f t="shared" si="27"/>
        <v>0</v>
      </c>
      <c r="W224" s="12">
        <f t="shared" si="22"/>
        <v>0</v>
      </c>
      <c r="X224" s="12">
        <f t="shared" si="28"/>
        <v>0</v>
      </c>
      <c r="Z224" s="211" t="e">
        <f t="shared" si="29"/>
        <v>#DIV/0!</v>
      </c>
      <c r="AA224" s="118"/>
      <c r="AB224" s="200" t="e">
        <f>(#REF!-1)*(360/(C224-$C$76))</f>
        <v>#REF!</v>
      </c>
      <c r="AC224" s="13">
        <f>W224-U223*'OverNight €'!I224*E224/360</f>
        <v>0</v>
      </c>
    </row>
    <row r="225" spans="2:29" hidden="1" x14ac:dyDescent="0.2">
      <c r="B225" s="9" t="str">
        <f t="shared" si="23"/>
        <v>8 2025</v>
      </c>
      <c r="C225" s="10">
        <f t="shared" si="25"/>
        <v>45877</v>
      </c>
      <c r="D225" s="10">
        <f t="shared" si="26"/>
        <v>45878</v>
      </c>
      <c r="E225" s="11">
        <f t="shared" si="24"/>
        <v>1</v>
      </c>
      <c r="G225" s="11"/>
      <c r="H225" s="206"/>
      <c r="I225" s="367"/>
      <c r="J225" s="228"/>
      <c r="K225" s="12"/>
      <c r="L225" s="12"/>
      <c r="M225" s="215"/>
      <c r="N225" s="12"/>
      <c r="O225" s="219"/>
      <c r="P225" s="219"/>
      <c r="Q225" s="219"/>
      <c r="R225" s="219"/>
      <c r="T225" s="277"/>
      <c r="U225" s="12"/>
      <c r="V225" s="98">
        <f t="shared" si="27"/>
        <v>0</v>
      </c>
      <c r="W225" s="12">
        <f t="shared" si="22"/>
        <v>0</v>
      </c>
      <c r="X225" s="12">
        <f t="shared" si="28"/>
        <v>0</v>
      </c>
      <c r="Z225" s="211" t="e">
        <f t="shared" si="29"/>
        <v>#DIV/0!</v>
      </c>
      <c r="AA225" s="118"/>
      <c r="AB225" s="200" t="e">
        <f>(#REF!-1)*(360/(C225-$C$76))</f>
        <v>#REF!</v>
      </c>
      <c r="AC225" s="13">
        <f>W225-U224*'OverNight €'!I225*E225/360</f>
        <v>0</v>
      </c>
    </row>
    <row r="226" spans="2:29" hidden="1" x14ac:dyDescent="0.2">
      <c r="B226" s="9" t="str">
        <f t="shared" si="23"/>
        <v>8 2025</v>
      </c>
      <c r="C226" s="10">
        <f t="shared" si="25"/>
        <v>45878</v>
      </c>
      <c r="D226" s="10">
        <f t="shared" si="26"/>
        <v>45879</v>
      </c>
      <c r="E226" s="11">
        <f t="shared" si="24"/>
        <v>1</v>
      </c>
      <c r="G226" s="11"/>
      <c r="H226" s="206"/>
      <c r="I226" s="367"/>
      <c r="J226" s="228"/>
      <c r="K226" s="12"/>
      <c r="L226" s="12"/>
      <c r="M226" s="215"/>
      <c r="N226" s="12"/>
      <c r="O226" s="219"/>
      <c r="P226" s="219"/>
      <c r="Q226" s="219"/>
      <c r="R226" s="219"/>
      <c r="T226" s="277"/>
      <c r="U226" s="12"/>
      <c r="V226" s="98">
        <f t="shared" si="27"/>
        <v>0</v>
      </c>
      <c r="W226" s="12">
        <f t="shared" si="22"/>
        <v>0</v>
      </c>
      <c r="X226" s="12">
        <f t="shared" si="28"/>
        <v>0</v>
      </c>
      <c r="Z226" s="211" t="e">
        <f t="shared" si="29"/>
        <v>#DIV/0!</v>
      </c>
      <c r="AA226" s="118"/>
      <c r="AB226" s="200" t="e">
        <f>(#REF!-1)*(360/(C226-$C$76))</f>
        <v>#REF!</v>
      </c>
      <c r="AC226" s="13">
        <f>W226-U225*'OverNight €'!I226*E226/360</f>
        <v>0</v>
      </c>
    </row>
    <row r="227" spans="2:29" hidden="1" x14ac:dyDescent="0.2">
      <c r="B227" s="9" t="str">
        <f t="shared" si="23"/>
        <v>8 2025</v>
      </c>
      <c r="C227" s="10">
        <f t="shared" si="25"/>
        <v>45879</v>
      </c>
      <c r="D227" s="10">
        <f t="shared" si="26"/>
        <v>45880</v>
      </c>
      <c r="E227" s="11">
        <f t="shared" si="24"/>
        <v>1</v>
      </c>
      <c r="G227" s="11"/>
      <c r="H227" s="206"/>
      <c r="I227" s="367"/>
      <c r="J227" s="228"/>
      <c r="K227" s="12"/>
      <c r="L227" s="12"/>
      <c r="M227" s="215"/>
      <c r="N227" s="12"/>
      <c r="O227" s="219"/>
      <c r="P227" s="219"/>
      <c r="Q227" s="219"/>
      <c r="R227" s="219"/>
      <c r="T227" s="277"/>
      <c r="U227" s="12"/>
      <c r="V227" s="98">
        <f t="shared" si="27"/>
        <v>0</v>
      </c>
      <c r="W227" s="12">
        <f t="shared" si="22"/>
        <v>0</v>
      </c>
      <c r="X227" s="12">
        <f t="shared" si="28"/>
        <v>0</v>
      </c>
      <c r="Z227" s="211" t="e">
        <f t="shared" si="29"/>
        <v>#DIV/0!</v>
      </c>
      <c r="AA227" s="118"/>
      <c r="AB227" s="200" t="e">
        <f>(#REF!-1)*(360/(C227-$C$76))</f>
        <v>#REF!</v>
      </c>
      <c r="AC227" s="13">
        <f>W227-U226*'OverNight €'!I227*E227/360</f>
        <v>0</v>
      </c>
    </row>
    <row r="228" spans="2:29" hidden="1" x14ac:dyDescent="0.2">
      <c r="B228" s="9" t="str">
        <f t="shared" si="23"/>
        <v>8 2025</v>
      </c>
      <c r="C228" s="10">
        <f t="shared" si="25"/>
        <v>45880</v>
      </c>
      <c r="D228" s="10">
        <f t="shared" si="26"/>
        <v>45881</v>
      </c>
      <c r="E228" s="11">
        <f t="shared" si="24"/>
        <v>1</v>
      </c>
      <c r="G228" s="11"/>
      <c r="H228" s="206"/>
      <c r="I228" s="367"/>
      <c r="J228" s="228"/>
      <c r="K228" s="12"/>
      <c r="L228" s="12"/>
      <c r="M228" s="215"/>
      <c r="N228" s="12"/>
      <c r="O228" s="219"/>
      <c r="P228" s="219"/>
      <c r="Q228" s="219"/>
      <c r="R228" s="219"/>
      <c r="T228" s="277"/>
      <c r="U228" s="12"/>
      <c r="V228" s="98">
        <f t="shared" si="27"/>
        <v>0</v>
      </c>
      <c r="W228" s="12">
        <f t="shared" si="22"/>
        <v>0</v>
      </c>
      <c r="X228" s="12">
        <f t="shared" si="28"/>
        <v>0</v>
      </c>
      <c r="Z228" s="211" t="e">
        <f t="shared" si="29"/>
        <v>#DIV/0!</v>
      </c>
      <c r="AA228" s="118"/>
      <c r="AB228" s="200" t="e">
        <f>(#REF!-1)*(360/(C228-$C$76))</f>
        <v>#REF!</v>
      </c>
      <c r="AC228" s="13">
        <f>W228-U227*'OverNight €'!I228*E228/360</f>
        <v>0</v>
      </c>
    </row>
    <row r="229" spans="2:29" hidden="1" x14ac:dyDescent="0.2">
      <c r="B229" s="9" t="str">
        <f t="shared" si="23"/>
        <v>8 2025</v>
      </c>
      <c r="C229" s="10">
        <f t="shared" si="25"/>
        <v>45881</v>
      </c>
      <c r="D229" s="10">
        <f t="shared" si="26"/>
        <v>45882</v>
      </c>
      <c r="E229" s="11">
        <f t="shared" si="24"/>
        <v>1</v>
      </c>
      <c r="G229" s="11"/>
      <c r="H229" s="206"/>
      <c r="I229" s="367"/>
      <c r="J229" s="228"/>
      <c r="K229" s="12"/>
      <c r="L229" s="12"/>
      <c r="M229" s="215"/>
      <c r="N229" s="12"/>
      <c r="O229" s="219"/>
      <c r="P229" s="219"/>
      <c r="Q229" s="219"/>
      <c r="R229" s="219"/>
      <c r="T229" s="277"/>
      <c r="U229" s="12"/>
      <c r="V229" s="98">
        <f t="shared" si="27"/>
        <v>0</v>
      </c>
      <c r="W229" s="12">
        <f t="shared" si="22"/>
        <v>0</v>
      </c>
      <c r="X229" s="12">
        <f t="shared" si="28"/>
        <v>0</v>
      </c>
      <c r="Z229" s="211" t="e">
        <f t="shared" si="29"/>
        <v>#DIV/0!</v>
      </c>
      <c r="AA229" s="118"/>
      <c r="AB229" s="200" t="e">
        <f>(#REF!-1)*(360/(C229-$C$76))</f>
        <v>#REF!</v>
      </c>
      <c r="AC229" s="13">
        <f>W229-U228*'OverNight €'!I229*E229/360</f>
        <v>0</v>
      </c>
    </row>
    <row r="230" spans="2:29" hidden="1" x14ac:dyDescent="0.2">
      <c r="B230" s="9" t="str">
        <f t="shared" si="23"/>
        <v>8 2025</v>
      </c>
      <c r="C230" s="10">
        <f t="shared" si="25"/>
        <v>45882</v>
      </c>
      <c r="D230" s="10">
        <f t="shared" si="26"/>
        <v>45883</v>
      </c>
      <c r="E230" s="11">
        <f t="shared" si="24"/>
        <v>1</v>
      </c>
      <c r="G230" s="11"/>
      <c r="H230" s="206"/>
      <c r="I230" s="367"/>
      <c r="J230" s="228"/>
      <c r="K230" s="12"/>
      <c r="L230" s="12"/>
      <c r="M230" s="215"/>
      <c r="N230" s="12"/>
      <c r="O230" s="219"/>
      <c r="P230" s="219"/>
      <c r="Q230" s="219"/>
      <c r="R230" s="219"/>
      <c r="T230" s="277"/>
      <c r="U230" s="12"/>
      <c r="V230" s="98">
        <f t="shared" si="27"/>
        <v>0</v>
      </c>
      <c r="W230" s="12">
        <f t="shared" si="22"/>
        <v>0</v>
      </c>
      <c r="X230" s="12">
        <f t="shared" si="28"/>
        <v>0</v>
      </c>
      <c r="Z230" s="211" t="e">
        <f t="shared" si="29"/>
        <v>#DIV/0!</v>
      </c>
      <c r="AA230" s="118"/>
      <c r="AB230" s="200" t="e">
        <f>(#REF!-1)*(360/(C230-$C$76))</f>
        <v>#REF!</v>
      </c>
      <c r="AC230" s="13">
        <f>W230-U229*'OverNight €'!I230*E230/360</f>
        <v>0</v>
      </c>
    </row>
    <row r="231" spans="2:29" hidden="1" x14ac:dyDescent="0.2">
      <c r="B231" s="9" t="str">
        <f t="shared" si="23"/>
        <v>8 2025</v>
      </c>
      <c r="C231" s="10">
        <f t="shared" si="25"/>
        <v>45883</v>
      </c>
      <c r="D231" s="10">
        <f t="shared" si="26"/>
        <v>45884</v>
      </c>
      <c r="E231" s="11">
        <f t="shared" si="24"/>
        <v>1</v>
      </c>
      <c r="G231" s="11"/>
      <c r="H231" s="206"/>
      <c r="I231" s="367"/>
      <c r="J231" s="228"/>
      <c r="K231" s="12"/>
      <c r="L231" s="12"/>
      <c r="M231" s="215"/>
      <c r="N231" s="12"/>
      <c r="O231" s="219"/>
      <c r="P231" s="219"/>
      <c r="Q231" s="219"/>
      <c r="R231" s="219"/>
      <c r="T231" s="277"/>
      <c r="U231" s="12"/>
      <c r="V231" s="98">
        <f t="shared" si="27"/>
        <v>0</v>
      </c>
      <c r="W231" s="12">
        <f t="shared" si="22"/>
        <v>0</v>
      </c>
      <c r="X231" s="12">
        <f t="shared" si="28"/>
        <v>0</v>
      </c>
      <c r="Z231" s="211" t="e">
        <f t="shared" si="29"/>
        <v>#DIV/0!</v>
      </c>
      <c r="AA231" s="118"/>
      <c r="AB231" s="200" t="e">
        <f>(#REF!-1)*(360/(C231-$C$76))</f>
        <v>#REF!</v>
      </c>
      <c r="AC231" s="13">
        <f>W231-U230*'OverNight €'!I231*E231/360</f>
        <v>0</v>
      </c>
    </row>
    <row r="232" spans="2:29" hidden="1" x14ac:dyDescent="0.2">
      <c r="B232" s="9" t="str">
        <f t="shared" si="23"/>
        <v>8 2025</v>
      </c>
      <c r="C232" s="10">
        <f t="shared" si="25"/>
        <v>45884</v>
      </c>
      <c r="D232" s="10">
        <f t="shared" si="26"/>
        <v>45885</v>
      </c>
      <c r="E232" s="11">
        <f t="shared" si="24"/>
        <v>1</v>
      </c>
      <c r="G232" s="11"/>
      <c r="H232" s="206"/>
      <c r="I232" s="367"/>
      <c r="J232" s="228"/>
      <c r="K232" s="12"/>
      <c r="L232" s="12"/>
      <c r="M232" s="215"/>
      <c r="N232" s="12"/>
      <c r="O232" s="219"/>
      <c r="P232" s="219"/>
      <c r="Q232" s="219"/>
      <c r="R232" s="219"/>
      <c r="T232" s="277"/>
      <c r="U232" s="12"/>
      <c r="V232" s="98">
        <f t="shared" si="27"/>
        <v>0</v>
      </c>
      <c r="W232" s="12">
        <f t="shared" si="22"/>
        <v>0</v>
      </c>
      <c r="X232" s="12">
        <f t="shared" si="28"/>
        <v>0</v>
      </c>
      <c r="Z232" s="211" t="e">
        <f t="shared" si="29"/>
        <v>#DIV/0!</v>
      </c>
      <c r="AA232" s="118"/>
      <c r="AB232" s="200" t="e">
        <f>(#REF!-1)*(360/(C232-$C$76))</f>
        <v>#REF!</v>
      </c>
      <c r="AC232" s="13">
        <f>W232-U231*'OverNight €'!I232*E232/360</f>
        <v>0</v>
      </c>
    </row>
    <row r="233" spans="2:29" hidden="1" x14ac:dyDescent="0.2">
      <c r="B233" s="9" t="str">
        <f t="shared" si="23"/>
        <v>8 2025</v>
      </c>
      <c r="C233" s="10">
        <f t="shared" si="25"/>
        <v>45885</v>
      </c>
      <c r="D233" s="10">
        <f t="shared" si="26"/>
        <v>45886</v>
      </c>
      <c r="E233" s="11">
        <f t="shared" si="24"/>
        <v>1</v>
      </c>
      <c r="G233" s="11"/>
      <c r="H233" s="206"/>
      <c r="I233" s="367"/>
      <c r="J233" s="228"/>
      <c r="K233" s="12"/>
      <c r="L233" s="12"/>
      <c r="M233" s="215"/>
      <c r="N233" s="12"/>
      <c r="O233" s="219"/>
      <c r="P233" s="219"/>
      <c r="Q233" s="219"/>
      <c r="R233" s="219"/>
      <c r="T233" s="277"/>
      <c r="U233" s="12"/>
      <c r="V233" s="98">
        <f t="shared" si="27"/>
        <v>0</v>
      </c>
      <c r="W233" s="12">
        <f t="shared" ref="W233:W296" si="30">V233+R233-V232</f>
        <v>0</v>
      </c>
      <c r="X233" s="12">
        <f t="shared" si="28"/>
        <v>0</v>
      </c>
      <c r="Z233" s="211" t="e">
        <f t="shared" si="29"/>
        <v>#DIV/0!</v>
      </c>
      <c r="AA233" s="118"/>
      <c r="AB233" s="200" t="e">
        <f>(#REF!-1)*(360/(C233-$C$76))</f>
        <v>#REF!</v>
      </c>
      <c r="AC233" s="13">
        <f>W233-U232*'OverNight €'!I233*E233/360</f>
        <v>0</v>
      </c>
    </row>
    <row r="234" spans="2:29" hidden="1" x14ac:dyDescent="0.2">
      <c r="B234" s="9" t="str">
        <f t="shared" si="23"/>
        <v>8 2025</v>
      </c>
      <c r="C234" s="10">
        <f t="shared" si="25"/>
        <v>45886</v>
      </c>
      <c r="D234" s="10">
        <f t="shared" si="26"/>
        <v>45887</v>
      </c>
      <c r="E234" s="11">
        <f t="shared" si="24"/>
        <v>1</v>
      </c>
      <c r="G234" s="11"/>
      <c r="H234" s="206"/>
      <c r="I234" s="367"/>
      <c r="J234" s="228"/>
      <c r="K234" s="12"/>
      <c r="L234" s="12"/>
      <c r="M234" s="215"/>
      <c r="N234" s="12"/>
      <c r="O234" s="219"/>
      <c r="P234" s="219"/>
      <c r="Q234" s="219"/>
      <c r="R234" s="219"/>
      <c r="T234" s="277"/>
      <c r="U234" s="12"/>
      <c r="V234" s="98">
        <f t="shared" si="27"/>
        <v>0</v>
      </c>
      <c r="W234" s="12">
        <f t="shared" si="30"/>
        <v>0</v>
      </c>
      <c r="X234" s="12">
        <f t="shared" si="28"/>
        <v>0</v>
      </c>
      <c r="Z234" s="211" t="e">
        <f t="shared" si="29"/>
        <v>#DIV/0!</v>
      </c>
      <c r="AA234" s="118"/>
      <c r="AB234" s="200" t="e">
        <f>(#REF!-1)*(360/(C234-$C$76))</f>
        <v>#REF!</v>
      </c>
      <c r="AC234" s="13">
        <f>W234-U233*'OverNight €'!I234*E234/360</f>
        <v>0</v>
      </c>
    </row>
    <row r="235" spans="2:29" hidden="1" x14ac:dyDescent="0.2">
      <c r="B235" s="9" t="str">
        <f t="shared" si="23"/>
        <v>8 2025</v>
      </c>
      <c r="C235" s="10">
        <f t="shared" si="25"/>
        <v>45887</v>
      </c>
      <c r="D235" s="10">
        <f t="shared" si="26"/>
        <v>45888</v>
      </c>
      <c r="E235" s="11">
        <f t="shared" si="24"/>
        <v>1</v>
      </c>
      <c r="G235" s="11"/>
      <c r="H235" s="206"/>
      <c r="I235" s="367"/>
      <c r="J235" s="228"/>
      <c r="K235" s="12"/>
      <c r="L235" s="12"/>
      <c r="M235" s="215"/>
      <c r="N235" s="12"/>
      <c r="O235" s="219"/>
      <c r="P235" s="219"/>
      <c r="Q235" s="219"/>
      <c r="R235" s="219"/>
      <c r="T235" s="277"/>
      <c r="U235" s="12"/>
      <c r="V235" s="98">
        <f t="shared" si="27"/>
        <v>0</v>
      </c>
      <c r="W235" s="12">
        <f t="shared" si="30"/>
        <v>0</v>
      </c>
      <c r="X235" s="12">
        <f t="shared" si="28"/>
        <v>0</v>
      </c>
      <c r="Z235" s="211" t="e">
        <f t="shared" si="29"/>
        <v>#DIV/0!</v>
      </c>
      <c r="AA235" s="118"/>
      <c r="AB235" s="200" t="e">
        <f>(#REF!-1)*(360/(C235-$C$76))</f>
        <v>#REF!</v>
      </c>
      <c r="AC235" s="13">
        <f>W235-U234*'OverNight €'!I235*E235/360</f>
        <v>0</v>
      </c>
    </row>
    <row r="236" spans="2:29" hidden="1" x14ac:dyDescent="0.2">
      <c r="B236" s="9" t="str">
        <f t="shared" si="23"/>
        <v>8 2025</v>
      </c>
      <c r="C236" s="10">
        <f t="shared" si="25"/>
        <v>45888</v>
      </c>
      <c r="D236" s="10">
        <f t="shared" si="26"/>
        <v>45889</v>
      </c>
      <c r="E236" s="11">
        <f t="shared" si="24"/>
        <v>1</v>
      </c>
      <c r="G236" s="11"/>
      <c r="H236" s="206"/>
      <c r="I236" s="367"/>
      <c r="J236" s="228"/>
      <c r="K236" s="12"/>
      <c r="L236" s="12"/>
      <c r="M236" s="215"/>
      <c r="N236" s="12"/>
      <c r="O236" s="219"/>
      <c r="P236" s="219"/>
      <c r="Q236" s="219"/>
      <c r="R236" s="219"/>
      <c r="T236" s="277"/>
      <c r="U236" s="12"/>
      <c r="V236" s="98">
        <f t="shared" si="27"/>
        <v>0</v>
      </c>
      <c r="W236" s="12">
        <f t="shared" si="30"/>
        <v>0</v>
      </c>
      <c r="X236" s="12">
        <f t="shared" si="28"/>
        <v>0</v>
      </c>
      <c r="Z236" s="211" t="e">
        <f t="shared" si="29"/>
        <v>#DIV/0!</v>
      </c>
      <c r="AA236" s="118"/>
      <c r="AB236" s="200" t="e">
        <f>(#REF!-1)*(360/(C236-$C$76))</f>
        <v>#REF!</v>
      </c>
      <c r="AC236" s="13">
        <f>W236-U235*'OverNight €'!I236*E236/360</f>
        <v>0</v>
      </c>
    </row>
    <row r="237" spans="2:29" hidden="1" x14ac:dyDescent="0.2">
      <c r="B237" s="9" t="str">
        <f t="shared" si="23"/>
        <v>8 2025</v>
      </c>
      <c r="C237" s="10">
        <f t="shared" si="25"/>
        <v>45889</v>
      </c>
      <c r="D237" s="10">
        <f t="shared" si="26"/>
        <v>45890</v>
      </c>
      <c r="E237" s="11">
        <f t="shared" si="24"/>
        <v>1</v>
      </c>
      <c r="G237" s="11"/>
      <c r="H237" s="206"/>
      <c r="I237" s="367"/>
      <c r="J237" s="228"/>
      <c r="K237" s="12"/>
      <c r="L237" s="12"/>
      <c r="M237" s="215"/>
      <c r="N237" s="12"/>
      <c r="O237" s="219"/>
      <c r="P237" s="219"/>
      <c r="Q237" s="219"/>
      <c r="R237" s="219"/>
      <c r="T237" s="277"/>
      <c r="U237" s="12"/>
      <c r="V237" s="98">
        <f t="shared" si="27"/>
        <v>0</v>
      </c>
      <c r="W237" s="12">
        <f t="shared" si="30"/>
        <v>0</v>
      </c>
      <c r="X237" s="12">
        <f t="shared" si="28"/>
        <v>0</v>
      </c>
      <c r="Z237" s="211" t="e">
        <f t="shared" si="29"/>
        <v>#DIV/0!</v>
      </c>
      <c r="AA237" s="118"/>
      <c r="AB237" s="200" t="e">
        <f>(#REF!-1)*(360/(C237-$C$76))</f>
        <v>#REF!</v>
      </c>
      <c r="AC237" s="13">
        <f>W237-U236*'OverNight €'!I237*E237/360</f>
        <v>0</v>
      </c>
    </row>
    <row r="238" spans="2:29" hidden="1" x14ac:dyDescent="0.2">
      <c r="B238" s="9" t="str">
        <f t="shared" si="23"/>
        <v>8 2025</v>
      </c>
      <c r="C238" s="10">
        <f t="shared" si="25"/>
        <v>45890</v>
      </c>
      <c r="D238" s="10">
        <f t="shared" si="26"/>
        <v>45891</v>
      </c>
      <c r="E238" s="11">
        <f t="shared" si="24"/>
        <v>1</v>
      </c>
      <c r="G238" s="11"/>
      <c r="H238" s="206"/>
      <c r="I238" s="367"/>
      <c r="J238" s="228"/>
      <c r="K238" s="12"/>
      <c r="L238" s="12"/>
      <c r="M238" s="215"/>
      <c r="N238" s="12"/>
      <c r="O238" s="219"/>
      <c r="P238" s="219"/>
      <c r="Q238" s="219"/>
      <c r="R238" s="219"/>
      <c r="T238" s="277"/>
      <c r="U238" s="12"/>
      <c r="V238" s="98">
        <f t="shared" si="27"/>
        <v>0</v>
      </c>
      <c r="W238" s="12">
        <f t="shared" si="30"/>
        <v>0</v>
      </c>
      <c r="X238" s="12">
        <f t="shared" si="28"/>
        <v>0</v>
      </c>
      <c r="Z238" s="211" t="e">
        <f t="shared" si="29"/>
        <v>#DIV/0!</v>
      </c>
      <c r="AA238" s="118"/>
      <c r="AB238" s="200" t="e">
        <f>(#REF!-1)*(360/(C238-$C$76))</f>
        <v>#REF!</v>
      </c>
      <c r="AC238" s="13">
        <f>W238-U237*'OverNight €'!I238*E238/360</f>
        <v>0</v>
      </c>
    </row>
    <row r="239" spans="2:29" hidden="1" x14ac:dyDescent="0.2">
      <c r="B239" s="9" t="str">
        <f t="shared" si="23"/>
        <v>8 2025</v>
      </c>
      <c r="C239" s="10">
        <f t="shared" si="25"/>
        <v>45891</v>
      </c>
      <c r="D239" s="10">
        <f t="shared" si="26"/>
        <v>45892</v>
      </c>
      <c r="E239" s="11">
        <f t="shared" si="24"/>
        <v>1</v>
      </c>
      <c r="G239" s="11"/>
      <c r="H239" s="206"/>
      <c r="I239" s="367"/>
      <c r="J239" s="228"/>
      <c r="K239" s="12"/>
      <c r="L239" s="12"/>
      <c r="M239" s="215"/>
      <c r="N239" s="12"/>
      <c r="O239" s="219"/>
      <c r="P239" s="219"/>
      <c r="Q239" s="219"/>
      <c r="R239" s="219"/>
      <c r="T239" s="277"/>
      <c r="U239" s="12"/>
      <c r="V239" s="98">
        <f t="shared" si="27"/>
        <v>0</v>
      </c>
      <c r="W239" s="12">
        <f t="shared" si="30"/>
        <v>0</v>
      </c>
      <c r="X239" s="12">
        <f t="shared" si="28"/>
        <v>0</v>
      </c>
      <c r="Z239" s="211" t="e">
        <f t="shared" si="29"/>
        <v>#DIV/0!</v>
      </c>
      <c r="AA239" s="118"/>
      <c r="AB239" s="200" t="e">
        <f>(#REF!-1)*(360/(C239-$C$76))</f>
        <v>#REF!</v>
      </c>
      <c r="AC239" s="13">
        <f>W239-U238*'OverNight €'!I239*E239/360</f>
        <v>0</v>
      </c>
    </row>
    <row r="240" spans="2:29" hidden="1" x14ac:dyDescent="0.2">
      <c r="B240" s="9" t="str">
        <f t="shared" si="23"/>
        <v>8 2025</v>
      </c>
      <c r="C240" s="10">
        <f t="shared" si="25"/>
        <v>45892</v>
      </c>
      <c r="D240" s="10">
        <f t="shared" si="26"/>
        <v>45893</v>
      </c>
      <c r="E240" s="11">
        <f t="shared" si="24"/>
        <v>1</v>
      </c>
      <c r="G240" s="11"/>
      <c r="H240" s="206"/>
      <c r="I240" s="367"/>
      <c r="J240" s="228"/>
      <c r="K240" s="12"/>
      <c r="L240" s="12"/>
      <c r="M240" s="215"/>
      <c r="N240" s="12"/>
      <c r="O240" s="219"/>
      <c r="P240" s="219"/>
      <c r="Q240" s="219"/>
      <c r="R240" s="219"/>
      <c r="T240" s="277"/>
      <c r="U240" s="12"/>
      <c r="V240" s="98">
        <f t="shared" si="27"/>
        <v>0</v>
      </c>
      <c r="W240" s="12">
        <f t="shared" si="30"/>
        <v>0</v>
      </c>
      <c r="X240" s="12">
        <f t="shared" si="28"/>
        <v>0</v>
      </c>
      <c r="Z240" s="211" t="e">
        <f t="shared" si="29"/>
        <v>#DIV/0!</v>
      </c>
      <c r="AA240" s="118"/>
      <c r="AB240" s="200" t="e">
        <f>(#REF!-1)*(360/(C240-$C$76))</f>
        <v>#REF!</v>
      </c>
      <c r="AC240" s="13">
        <f>W240-U239*'OverNight €'!I240*E240/360</f>
        <v>0</v>
      </c>
    </row>
    <row r="241" spans="2:31" hidden="1" x14ac:dyDescent="0.2">
      <c r="B241" s="9" t="str">
        <f t="shared" si="23"/>
        <v>8 2025</v>
      </c>
      <c r="C241" s="10">
        <f t="shared" si="25"/>
        <v>45893</v>
      </c>
      <c r="D241" s="10">
        <f t="shared" si="26"/>
        <v>45894</v>
      </c>
      <c r="E241" s="11">
        <f t="shared" si="24"/>
        <v>1</v>
      </c>
      <c r="G241" s="11"/>
      <c r="H241" s="206"/>
      <c r="I241" s="367"/>
      <c r="J241" s="228"/>
      <c r="K241" s="12"/>
      <c r="L241" s="12"/>
      <c r="M241" s="215"/>
      <c r="N241" s="12"/>
      <c r="O241" s="219"/>
      <c r="P241" s="219"/>
      <c r="Q241" s="219"/>
      <c r="R241" s="219"/>
      <c r="T241" s="277"/>
      <c r="U241" s="12"/>
      <c r="V241" s="98">
        <f t="shared" si="27"/>
        <v>0</v>
      </c>
      <c r="W241" s="12">
        <f t="shared" si="30"/>
        <v>0</v>
      </c>
      <c r="X241" s="12">
        <f t="shared" si="28"/>
        <v>0</v>
      </c>
      <c r="Z241" s="211" t="e">
        <f t="shared" si="29"/>
        <v>#DIV/0!</v>
      </c>
      <c r="AA241" s="118"/>
      <c r="AB241" s="200" t="e">
        <f>(#REF!-1)*(360/(C241-$C$76))</f>
        <v>#REF!</v>
      </c>
      <c r="AC241" s="13">
        <f>W241-U240*'OverNight €'!I241*E241/360</f>
        <v>0</v>
      </c>
    </row>
    <row r="242" spans="2:31" hidden="1" x14ac:dyDescent="0.2">
      <c r="B242" s="9" t="str">
        <f t="shared" si="23"/>
        <v>8 2025</v>
      </c>
      <c r="C242" s="10">
        <f t="shared" si="25"/>
        <v>45894</v>
      </c>
      <c r="D242" s="10">
        <f t="shared" si="26"/>
        <v>45895</v>
      </c>
      <c r="E242" s="11">
        <f t="shared" si="24"/>
        <v>1</v>
      </c>
      <c r="G242" s="11"/>
      <c r="H242" s="206"/>
      <c r="I242" s="367"/>
      <c r="J242" s="228"/>
      <c r="K242" s="12"/>
      <c r="L242" s="12"/>
      <c r="M242" s="215"/>
      <c r="N242" s="12"/>
      <c r="O242" s="219"/>
      <c r="P242" s="219"/>
      <c r="Q242" s="219"/>
      <c r="R242" s="219"/>
      <c r="T242" s="277"/>
      <c r="U242" s="12"/>
      <c r="V242" s="98">
        <f t="shared" si="27"/>
        <v>0</v>
      </c>
      <c r="W242" s="12">
        <f t="shared" si="30"/>
        <v>0</v>
      </c>
      <c r="X242" s="12">
        <f t="shared" si="28"/>
        <v>0</v>
      </c>
      <c r="Z242" s="211" t="e">
        <f t="shared" si="29"/>
        <v>#DIV/0!</v>
      </c>
      <c r="AA242" s="118"/>
      <c r="AB242" s="200" t="e">
        <f>(#REF!-1)*(360/(C242-$C$76))</f>
        <v>#REF!</v>
      </c>
      <c r="AC242" s="13">
        <f>W242-U241*'OverNight €'!I242*E242/360</f>
        <v>0</v>
      </c>
    </row>
    <row r="243" spans="2:31" hidden="1" x14ac:dyDescent="0.2">
      <c r="B243" s="9" t="str">
        <f t="shared" si="23"/>
        <v>8 2025</v>
      </c>
      <c r="C243" s="10">
        <f t="shared" si="25"/>
        <v>45895</v>
      </c>
      <c r="D243" s="10">
        <f t="shared" si="26"/>
        <v>45896</v>
      </c>
      <c r="E243" s="11">
        <f t="shared" si="24"/>
        <v>1</v>
      </c>
      <c r="G243" s="11"/>
      <c r="H243" s="206"/>
      <c r="I243" s="367"/>
      <c r="J243" s="228"/>
      <c r="K243" s="12"/>
      <c r="L243" s="12"/>
      <c r="M243" s="215"/>
      <c r="N243" s="12"/>
      <c r="O243" s="219"/>
      <c r="P243" s="219"/>
      <c r="Q243" s="219"/>
      <c r="R243" s="219"/>
      <c r="T243" s="277"/>
      <c r="U243" s="12"/>
      <c r="V243" s="98">
        <f t="shared" si="27"/>
        <v>0</v>
      </c>
      <c r="W243" s="12">
        <f t="shared" si="30"/>
        <v>0</v>
      </c>
      <c r="X243" s="12">
        <f t="shared" si="28"/>
        <v>0</v>
      </c>
      <c r="Z243" s="211" t="e">
        <f t="shared" si="29"/>
        <v>#DIV/0!</v>
      </c>
      <c r="AA243" s="118"/>
      <c r="AB243" s="200" t="e">
        <f>(#REF!-1)*(360/(C243-$C$76))</f>
        <v>#REF!</v>
      </c>
      <c r="AC243" s="13">
        <f>W243-U242*'OverNight €'!I243*E243/360</f>
        <v>0</v>
      </c>
    </row>
    <row r="244" spans="2:31" hidden="1" x14ac:dyDescent="0.2">
      <c r="B244" s="9" t="str">
        <f t="shared" si="23"/>
        <v>8 2025</v>
      </c>
      <c r="C244" s="10">
        <f t="shared" si="25"/>
        <v>45896</v>
      </c>
      <c r="D244" s="10">
        <f t="shared" si="26"/>
        <v>45897</v>
      </c>
      <c r="E244" s="11">
        <f t="shared" si="24"/>
        <v>1</v>
      </c>
      <c r="G244" s="11"/>
      <c r="H244" s="206"/>
      <c r="I244" s="367"/>
      <c r="J244" s="228"/>
      <c r="K244" s="12"/>
      <c r="L244" s="12"/>
      <c r="M244" s="215"/>
      <c r="N244" s="12"/>
      <c r="O244" s="219"/>
      <c r="P244" s="219"/>
      <c r="Q244" s="219"/>
      <c r="R244" s="219"/>
      <c r="T244" s="277"/>
      <c r="U244" s="12"/>
      <c r="V244" s="98">
        <f t="shared" si="27"/>
        <v>0</v>
      </c>
      <c r="W244" s="12">
        <f t="shared" si="30"/>
        <v>0</v>
      </c>
      <c r="X244" s="12">
        <f t="shared" si="28"/>
        <v>0</v>
      </c>
      <c r="Z244" s="211" t="e">
        <f t="shared" si="29"/>
        <v>#DIV/0!</v>
      </c>
      <c r="AA244" s="118"/>
      <c r="AB244" s="200" t="e">
        <f>(#REF!-1)*(360/(C244-$C$76))</f>
        <v>#REF!</v>
      </c>
      <c r="AC244" s="13">
        <f>W244-U243*'OverNight €'!I244*E244/360</f>
        <v>0</v>
      </c>
    </row>
    <row r="245" spans="2:31" hidden="1" x14ac:dyDescent="0.2">
      <c r="B245" s="9" t="str">
        <f t="shared" si="23"/>
        <v>8 2025</v>
      </c>
      <c r="C245" s="10">
        <f t="shared" si="25"/>
        <v>45897</v>
      </c>
      <c r="D245" s="10">
        <f t="shared" si="26"/>
        <v>45898</v>
      </c>
      <c r="E245" s="11">
        <f t="shared" si="24"/>
        <v>1</v>
      </c>
      <c r="G245" s="11"/>
      <c r="H245" s="206"/>
      <c r="I245" s="367"/>
      <c r="J245" s="228"/>
      <c r="K245" s="12"/>
      <c r="L245" s="12"/>
      <c r="M245" s="215"/>
      <c r="N245" s="12"/>
      <c r="O245" s="219"/>
      <c r="P245" s="219"/>
      <c r="Q245" s="219"/>
      <c r="R245" s="219"/>
      <c r="T245" s="277"/>
      <c r="U245" s="12"/>
      <c r="V245" s="98">
        <f t="shared" si="27"/>
        <v>0</v>
      </c>
      <c r="W245" s="12">
        <f t="shared" si="30"/>
        <v>0</v>
      </c>
      <c r="X245" s="12">
        <f t="shared" si="28"/>
        <v>0</v>
      </c>
      <c r="Z245" s="211" t="e">
        <f t="shared" si="29"/>
        <v>#DIV/0!</v>
      </c>
      <c r="AA245" s="118"/>
      <c r="AB245" s="200" t="e">
        <f>(#REF!-1)*(360/(C245-$C$76))</f>
        <v>#REF!</v>
      </c>
      <c r="AC245" s="13">
        <f>W245-U244*'OverNight €'!I245*E245/360</f>
        <v>0</v>
      </c>
    </row>
    <row r="246" spans="2:31" hidden="1" x14ac:dyDescent="0.2">
      <c r="B246" s="9" t="str">
        <f t="shared" si="23"/>
        <v>8 2025</v>
      </c>
      <c r="C246" s="10">
        <f t="shared" si="25"/>
        <v>45898</v>
      </c>
      <c r="D246" s="10">
        <f t="shared" si="26"/>
        <v>45899</v>
      </c>
      <c r="E246" s="11">
        <f t="shared" si="24"/>
        <v>1</v>
      </c>
      <c r="G246" s="11"/>
      <c r="H246" s="206"/>
      <c r="I246" s="367"/>
      <c r="J246" s="228"/>
      <c r="K246" s="12"/>
      <c r="L246" s="12"/>
      <c r="M246" s="215"/>
      <c r="N246" s="12"/>
      <c r="O246" s="219"/>
      <c r="P246" s="219"/>
      <c r="Q246" s="219"/>
      <c r="R246" s="219"/>
      <c r="T246" s="277"/>
      <c r="U246" s="12"/>
      <c r="V246" s="98">
        <f t="shared" si="27"/>
        <v>0</v>
      </c>
      <c r="W246" s="12">
        <f t="shared" si="30"/>
        <v>0</v>
      </c>
      <c r="X246" s="12">
        <f t="shared" si="28"/>
        <v>0</v>
      </c>
      <c r="Z246" s="211" t="e">
        <f t="shared" si="29"/>
        <v>#DIV/0!</v>
      </c>
      <c r="AA246" s="118"/>
      <c r="AB246" s="200" t="e">
        <f>(#REF!-1)*(360/(C246-$C$76))</f>
        <v>#REF!</v>
      </c>
      <c r="AC246" s="13">
        <f>W246-U245*'OverNight €'!I246*E246/360</f>
        <v>0</v>
      </c>
    </row>
    <row r="247" spans="2:31" hidden="1" x14ac:dyDescent="0.2">
      <c r="B247" s="9" t="str">
        <f t="shared" si="23"/>
        <v>8 2025</v>
      </c>
      <c r="C247" s="142">
        <f t="shared" si="25"/>
        <v>45899</v>
      </c>
      <c r="D247" s="142">
        <f t="shared" si="26"/>
        <v>45900</v>
      </c>
      <c r="E247" s="143">
        <f t="shared" si="24"/>
        <v>1</v>
      </c>
      <c r="F247" s="17"/>
      <c r="G247" s="143"/>
      <c r="H247" s="244"/>
      <c r="I247" s="368"/>
      <c r="J247" s="228"/>
      <c r="K247" s="144"/>
      <c r="L247" s="144"/>
      <c r="M247" s="216"/>
      <c r="N247" s="144"/>
      <c r="O247" s="220"/>
      <c r="P247" s="220"/>
      <c r="Q247" s="220"/>
      <c r="R247" s="220"/>
      <c r="T247" s="277"/>
      <c r="U247" s="12"/>
      <c r="V247" s="98">
        <f t="shared" si="27"/>
        <v>0</v>
      </c>
      <c r="W247" s="12">
        <f t="shared" si="30"/>
        <v>0</v>
      </c>
      <c r="X247" s="12">
        <f t="shared" si="28"/>
        <v>0</v>
      </c>
      <c r="Z247" s="211" t="e">
        <f t="shared" si="29"/>
        <v>#DIV/0!</v>
      </c>
      <c r="AA247" s="147"/>
      <c r="AB247" s="247" t="e">
        <f>(#REF!-1)*(360/(C247-$C$76))</f>
        <v>#REF!</v>
      </c>
      <c r="AC247" s="146">
        <f>W247-U246*'OverNight €'!I247*E247/360</f>
        <v>0</v>
      </c>
      <c r="AD247" s="17"/>
      <c r="AE247" s="17"/>
    </row>
    <row r="248" spans="2:31" hidden="1" x14ac:dyDescent="0.2">
      <c r="B248" s="9" t="str">
        <f t="shared" si="23"/>
        <v>9 2025</v>
      </c>
      <c r="C248" s="10">
        <f t="shared" si="25"/>
        <v>45900</v>
      </c>
      <c r="D248" s="10">
        <f t="shared" si="26"/>
        <v>45901</v>
      </c>
      <c r="E248" s="11">
        <f t="shared" si="24"/>
        <v>1</v>
      </c>
      <c r="G248" s="11"/>
      <c r="H248" s="206"/>
      <c r="I248" s="367"/>
      <c r="J248" s="228"/>
      <c r="K248" s="12"/>
      <c r="L248" s="12"/>
      <c r="M248" s="215"/>
      <c r="N248" s="12"/>
      <c r="O248" s="219"/>
      <c r="P248" s="219"/>
      <c r="Q248" s="219"/>
      <c r="R248" s="219"/>
      <c r="T248" s="277"/>
      <c r="U248" s="12"/>
      <c r="V248" s="98">
        <f t="shared" si="27"/>
        <v>0</v>
      </c>
      <c r="W248" s="12">
        <f t="shared" si="30"/>
        <v>0</v>
      </c>
      <c r="X248" s="12">
        <f t="shared" si="28"/>
        <v>0</v>
      </c>
      <c r="Z248" s="211" t="e">
        <f t="shared" si="29"/>
        <v>#DIV/0!</v>
      </c>
      <c r="AA248" s="118"/>
      <c r="AB248" s="200" t="e">
        <f>(#REF!-1)*(360/(C248-$C$76))</f>
        <v>#REF!</v>
      </c>
      <c r="AC248" s="13">
        <f>W248-U247*'OverNight €'!I248*E248/360</f>
        <v>0</v>
      </c>
    </row>
    <row r="249" spans="2:31" hidden="1" x14ac:dyDescent="0.2">
      <c r="B249" s="9" t="str">
        <f t="shared" si="23"/>
        <v>9 2025</v>
      </c>
      <c r="C249" s="10">
        <f t="shared" si="25"/>
        <v>45901</v>
      </c>
      <c r="D249" s="10">
        <f t="shared" si="26"/>
        <v>45902</v>
      </c>
      <c r="E249" s="11">
        <f t="shared" si="24"/>
        <v>1</v>
      </c>
      <c r="G249" s="11"/>
      <c r="H249" s="206"/>
      <c r="I249" s="367"/>
      <c r="J249" s="228"/>
      <c r="K249" s="12"/>
      <c r="L249" s="12"/>
      <c r="M249" s="215"/>
      <c r="N249" s="12"/>
      <c r="O249" s="219"/>
      <c r="P249" s="219"/>
      <c r="Q249" s="219"/>
      <c r="R249" s="219"/>
      <c r="T249" s="277"/>
      <c r="U249" s="12"/>
      <c r="V249" s="98">
        <f t="shared" si="27"/>
        <v>0</v>
      </c>
      <c r="W249" s="12">
        <f t="shared" si="30"/>
        <v>0</v>
      </c>
      <c r="X249" s="12">
        <f t="shared" si="28"/>
        <v>0</v>
      </c>
      <c r="Z249" s="211" t="e">
        <f t="shared" si="29"/>
        <v>#DIV/0!</v>
      </c>
      <c r="AA249" s="118"/>
      <c r="AB249" s="200" t="e">
        <f>(#REF!-1)*(360/(C249-$C$76))</f>
        <v>#REF!</v>
      </c>
      <c r="AC249" s="13">
        <f>W249-U248*'OverNight €'!I249*E249/360</f>
        <v>0</v>
      </c>
    </row>
    <row r="250" spans="2:31" hidden="1" x14ac:dyDescent="0.2">
      <c r="B250" s="9" t="str">
        <f t="shared" si="23"/>
        <v>9 2025</v>
      </c>
      <c r="C250" s="10">
        <f t="shared" si="25"/>
        <v>45902</v>
      </c>
      <c r="D250" s="10">
        <f t="shared" si="26"/>
        <v>45903</v>
      </c>
      <c r="E250" s="11">
        <f t="shared" si="24"/>
        <v>1</v>
      </c>
      <c r="G250" s="11"/>
      <c r="H250" s="249"/>
      <c r="I250" s="369"/>
      <c r="J250" s="228"/>
      <c r="K250" s="12"/>
      <c r="L250" s="12"/>
      <c r="M250" s="215"/>
      <c r="N250" s="12"/>
      <c r="O250" s="219"/>
      <c r="P250" s="219"/>
      <c r="Q250" s="219"/>
      <c r="R250" s="219"/>
      <c r="T250" s="279"/>
      <c r="U250" s="107"/>
      <c r="V250" s="107">
        <f t="shared" si="27"/>
        <v>0</v>
      </c>
      <c r="W250" s="107">
        <f t="shared" si="30"/>
        <v>0</v>
      </c>
      <c r="X250" s="107">
        <f t="shared" si="28"/>
        <v>0</v>
      </c>
      <c r="Z250" s="211" t="e">
        <f t="shared" si="29"/>
        <v>#DIV/0!</v>
      </c>
      <c r="AA250" s="184" t="e">
        <f>I250/I221-1</f>
        <v>#DIV/0!</v>
      </c>
      <c r="AB250" s="200" t="e">
        <f>(#REF!-1)*(360/(C250-$C$76))</f>
        <v>#REF!</v>
      </c>
      <c r="AC250" s="13">
        <f>W250-U249*'OverNight €'!I250*E250/360</f>
        <v>0</v>
      </c>
    </row>
    <row r="251" spans="2:31" hidden="1" x14ac:dyDescent="0.2">
      <c r="B251" s="9" t="str">
        <f t="shared" si="23"/>
        <v>9 2025</v>
      </c>
      <c r="C251" s="10">
        <f t="shared" si="25"/>
        <v>45903</v>
      </c>
      <c r="D251" s="10">
        <f t="shared" si="26"/>
        <v>45904</v>
      </c>
      <c r="E251" s="11">
        <f t="shared" si="24"/>
        <v>1</v>
      </c>
      <c r="G251" s="11"/>
      <c r="H251" s="206"/>
      <c r="I251" s="367"/>
      <c r="J251" s="228"/>
      <c r="K251" s="12"/>
      <c r="L251" s="12"/>
      <c r="M251" s="215"/>
      <c r="N251" s="12"/>
      <c r="O251" s="219"/>
      <c r="P251" s="219"/>
      <c r="Q251" s="219"/>
      <c r="R251" s="219"/>
      <c r="T251" s="277"/>
      <c r="U251" s="12"/>
      <c r="V251" s="12">
        <f t="shared" si="27"/>
        <v>0</v>
      </c>
      <c r="W251" s="12">
        <f t="shared" si="30"/>
        <v>0</v>
      </c>
      <c r="X251" s="12">
        <f t="shared" si="28"/>
        <v>0</v>
      </c>
      <c r="Z251" s="211" t="e">
        <f t="shared" si="29"/>
        <v>#DIV/0!</v>
      </c>
      <c r="AA251" s="118"/>
      <c r="AB251" s="200" t="e">
        <f>(#REF!-1)*(360/(C251-$C$76))</f>
        <v>#REF!</v>
      </c>
      <c r="AC251" s="13">
        <f>W251-U250*'OverNight €'!I251*E251/360</f>
        <v>0</v>
      </c>
    </row>
    <row r="252" spans="2:31" hidden="1" x14ac:dyDescent="0.2">
      <c r="B252" s="9" t="str">
        <f t="shared" si="23"/>
        <v>9 2025</v>
      </c>
      <c r="C252" s="10">
        <f t="shared" si="25"/>
        <v>45904</v>
      </c>
      <c r="D252" s="10">
        <f t="shared" si="26"/>
        <v>45905</v>
      </c>
      <c r="E252" s="11">
        <f t="shared" si="24"/>
        <v>1</v>
      </c>
      <c r="G252" s="11"/>
      <c r="H252" s="206"/>
      <c r="I252" s="367"/>
      <c r="J252" s="228"/>
      <c r="K252" s="12"/>
      <c r="L252" s="12"/>
      <c r="M252" s="215"/>
      <c r="N252" s="12"/>
      <c r="O252" s="219"/>
      <c r="P252" s="219"/>
      <c r="Q252" s="219"/>
      <c r="R252" s="219"/>
      <c r="T252" s="277"/>
      <c r="U252" s="12"/>
      <c r="V252" s="12">
        <f t="shared" si="27"/>
        <v>0</v>
      </c>
      <c r="W252" s="12">
        <f t="shared" si="30"/>
        <v>0</v>
      </c>
      <c r="X252" s="12">
        <f t="shared" si="28"/>
        <v>0</v>
      </c>
      <c r="Z252" s="211" t="e">
        <f t="shared" si="29"/>
        <v>#DIV/0!</v>
      </c>
      <c r="AA252" s="118"/>
      <c r="AB252" s="200" t="e">
        <f>(#REF!-1)*(360/(C252-$C$76))</f>
        <v>#REF!</v>
      </c>
      <c r="AC252" s="13">
        <f>W252-U251*'OverNight €'!I252*E252/360</f>
        <v>0</v>
      </c>
    </row>
    <row r="253" spans="2:31" hidden="1" x14ac:dyDescent="0.2">
      <c r="B253" s="9" t="str">
        <f t="shared" si="23"/>
        <v>9 2025</v>
      </c>
      <c r="C253" s="10">
        <f t="shared" si="25"/>
        <v>45905</v>
      </c>
      <c r="D253" s="10">
        <f t="shared" si="26"/>
        <v>45906</v>
      </c>
      <c r="E253" s="11">
        <f t="shared" si="24"/>
        <v>1</v>
      </c>
      <c r="G253" s="11"/>
      <c r="H253" s="206"/>
      <c r="I253" s="367"/>
      <c r="J253" s="228"/>
      <c r="K253" s="12"/>
      <c r="L253" s="12"/>
      <c r="M253" s="215"/>
      <c r="N253" s="12"/>
      <c r="O253" s="219"/>
      <c r="P253" s="219"/>
      <c r="Q253" s="219"/>
      <c r="R253" s="219"/>
      <c r="T253" s="277"/>
      <c r="U253" s="12"/>
      <c r="V253" s="12">
        <f t="shared" si="27"/>
        <v>0</v>
      </c>
      <c r="W253" s="12">
        <f t="shared" si="30"/>
        <v>0</v>
      </c>
      <c r="X253" s="12">
        <f t="shared" si="28"/>
        <v>0</v>
      </c>
      <c r="Z253" s="211" t="e">
        <f t="shared" si="29"/>
        <v>#DIV/0!</v>
      </c>
      <c r="AA253" s="118"/>
      <c r="AB253" s="200" t="e">
        <f>(#REF!-1)*(360/(C253-$C$76))</f>
        <v>#REF!</v>
      </c>
      <c r="AC253" s="13">
        <f>W253-U252*'OverNight €'!I253*E253/360</f>
        <v>0</v>
      </c>
    </row>
    <row r="254" spans="2:31" hidden="1" x14ac:dyDescent="0.2">
      <c r="B254" s="9" t="str">
        <f t="shared" si="23"/>
        <v>9 2025</v>
      </c>
      <c r="C254" s="10">
        <f t="shared" si="25"/>
        <v>45906</v>
      </c>
      <c r="D254" s="10">
        <f t="shared" si="26"/>
        <v>45907</v>
      </c>
      <c r="E254" s="11">
        <f t="shared" si="24"/>
        <v>1</v>
      </c>
      <c r="G254" s="11"/>
      <c r="H254" s="206"/>
      <c r="I254" s="367"/>
      <c r="J254" s="228"/>
      <c r="K254" s="12"/>
      <c r="L254" s="12"/>
      <c r="M254" s="215"/>
      <c r="N254" s="12"/>
      <c r="O254" s="219"/>
      <c r="P254" s="219"/>
      <c r="Q254" s="219"/>
      <c r="R254" s="219"/>
      <c r="T254" s="277"/>
      <c r="U254" s="12"/>
      <c r="V254" s="12">
        <f t="shared" si="27"/>
        <v>0</v>
      </c>
      <c r="W254" s="12">
        <f t="shared" si="30"/>
        <v>0</v>
      </c>
      <c r="X254" s="12">
        <f t="shared" si="28"/>
        <v>0</v>
      </c>
      <c r="Z254" s="211" t="e">
        <f t="shared" si="29"/>
        <v>#DIV/0!</v>
      </c>
      <c r="AA254" s="118"/>
      <c r="AB254" s="200" t="e">
        <f>(#REF!-1)*(360/(C254-$C$76))</f>
        <v>#REF!</v>
      </c>
      <c r="AC254" s="13">
        <f>W254-U253*'OverNight €'!I254*E254/360</f>
        <v>0</v>
      </c>
    </row>
    <row r="255" spans="2:31" hidden="1" x14ac:dyDescent="0.2">
      <c r="B255" s="9" t="str">
        <f t="shared" si="23"/>
        <v>9 2025</v>
      </c>
      <c r="C255" s="10">
        <f t="shared" si="25"/>
        <v>45907</v>
      </c>
      <c r="D255" s="10">
        <f t="shared" si="26"/>
        <v>45908</v>
      </c>
      <c r="E255" s="11">
        <f t="shared" si="24"/>
        <v>1</v>
      </c>
      <c r="G255" s="11"/>
      <c r="H255" s="206"/>
      <c r="I255" s="367"/>
      <c r="J255" s="228"/>
      <c r="K255" s="12"/>
      <c r="L255" s="12"/>
      <c r="M255" s="215"/>
      <c r="N255" s="12"/>
      <c r="O255" s="219"/>
      <c r="P255" s="219"/>
      <c r="Q255" s="219"/>
      <c r="R255" s="219"/>
      <c r="T255" s="277"/>
      <c r="U255" s="12"/>
      <c r="V255" s="12">
        <f t="shared" si="27"/>
        <v>0</v>
      </c>
      <c r="W255" s="12">
        <f t="shared" si="30"/>
        <v>0</v>
      </c>
      <c r="X255" s="12">
        <f t="shared" si="28"/>
        <v>0</v>
      </c>
      <c r="Z255" s="211" t="e">
        <f t="shared" si="29"/>
        <v>#DIV/0!</v>
      </c>
      <c r="AA255" s="118"/>
      <c r="AB255" s="200" t="e">
        <f>(#REF!-1)*(360/(C255-$C$76))</f>
        <v>#REF!</v>
      </c>
      <c r="AC255" s="13">
        <f>W255-U254*'OverNight €'!I255*E255/360</f>
        <v>0</v>
      </c>
    </row>
    <row r="256" spans="2:31" hidden="1" x14ac:dyDescent="0.2">
      <c r="B256" s="9" t="str">
        <f t="shared" si="23"/>
        <v>9 2025</v>
      </c>
      <c r="C256" s="10">
        <f t="shared" si="25"/>
        <v>45908</v>
      </c>
      <c r="D256" s="10">
        <f t="shared" si="26"/>
        <v>45909</v>
      </c>
      <c r="E256" s="11">
        <f t="shared" si="24"/>
        <v>1</v>
      </c>
      <c r="G256" s="11"/>
      <c r="H256" s="206"/>
      <c r="I256" s="367"/>
      <c r="J256" s="228"/>
      <c r="K256" s="12"/>
      <c r="L256" s="12"/>
      <c r="M256" s="215"/>
      <c r="N256" s="12"/>
      <c r="O256" s="219"/>
      <c r="P256" s="219"/>
      <c r="Q256" s="219"/>
      <c r="R256" s="219"/>
      <c r="T256" s="277"/>
      <c r="U256" s="12"/>
      <c r="V256" s="12">
        <f t="shared" si="27"/>
        <v>0</v>
      </c>
      <c r="W256" s="12">
        <f t="shared" si="30"/>
        <v>0</v>
      </c>
      <c r="X256" s="12">
        <f t="shared" si="28"/>
        <v>0</v>
      </c>
      <c r="Z256" s="211" t="e">
        <f t="shared" si="29"/>
        <v>#DIV/0!</v>
      </c>
      <c r="AA256" s="118"/>
      <c r="AB256" s="200" t="e">
        <f>(#REF!-1)*(360/(C256-$C$76))</f>
        <v>#REF!</v>
      </c>
      <c r="AC256" s="13">
        <f>W256-U255*'OverNight €'!I256*E256/360</f>
        <v>0</v>
      </c>
    </row>
    <row r="257" spans="2:29" hidden="1" x14ac:dyDescent="0.2">
      <c r="B257" s="9" t="str">
        <f t="shared" si="23"/>
        <v>9 2025</v>
      </c>
      <c r="C257" s="10">
        <f t="shared" si="25"/>
        <v>45909</v>
      </c>
      <c r="D257" s="10">
        <f t="shared" si="26"/>
        <v>45910</v>
      </c>
      <c r="E257" s="11">
        <f t="shared" si="24"/>
        <v>1</v>
      </c>
      <c r="G257" s="11"/>
      <c r="H257" s="206"/>
      <c r="I257" s="367"/>
      <c r="J257" s="228"/>
      <c r="K257" s="12"/>
      <c r="L257" s="12"/>
      <c r="M257" s="215"/>
      <c r="N257" s="12"/>
      <c r="O257" s="219"/>
      <c r="P257" s="219"/>
      <c r="Q257" s="219"/>
      <c r="R257" s="219"/>
      <c r="T257" s="277"/>
      <c r="U257" s="12"/>
      <c r="V257" s="12">
        <f t="shared" si="27"/>
        <v>0</v>
      </c>
      <c r="W257" s="12">
        <f t="shared" si="30"/>
        <v>0</v>
      </c>
      <c r="X257" s="12">
        <f t="shared" si="28"/>
        <v>0</v>
      </c>
      <c r="Z257" s="211" t="e">
        <f t="shared" si="29"/>
        <v>#DIV/0!</v>
      </c>
      <c r="AA257" s="118"/>
      <c r="AB257" s="200" t="e">
        <f>(#REF!-1)*(360/(C257-$C$76))</f>
        <v>#REF!</v>
      </c>
      <c r="AC257" s="13">
        <f>W257-U256*'OverNight €'!I257*E257/360</f>
        <v>0</v>
      </c>
    </row>
    <row r="258" spans="2:29" hidden="1" x14ac:dyDescent="0.2">
      <c r="B258" s="9" t="str">
        <f t="shared" si="23"/>
        <v>9 2025</v>
      </c>
      <c r="C258" s="10">
        <f t="shared" si="25"/>
        <v>45910</v>
      </c>
      <c r="D258" s="10">
        <f t="shared" si="26"/>
        <v>45911</v>
      </c>
      <c r="E258" s="11">
        <f t="shared" si="24"/>
        <v>1</v>
      </c>
      <c r="G258" s="11"/>
      <c r="H258" s="206"/>
      <c r="I258" s="367"/>
      <c r="J258" s="228"/>
      <c r="K258" s="12"/>
      <c r="L258" s="12"/>
      <c r="M258" s="215"/>
      <c r="N258" s="12"/>
      <c r="O258" s="219"/>
      <c r="P258" s="219"/>
      <c r="Q258" s="219"/>
      <c r="R258" s="219"/>
      <c r="T258" s="277"/>
      <c r="U258" s="12"/>
      <c r="V258" s="12">
        <f t="shared" si="27"/>
        <v>0</v>
      </c>
      <c r="W258" s="12">
        <f t="shared" si="30"/>
        <v>0</v>
      </c>
      <c r="X258" s="12">
        <f t="shared" si="28"/>
        <v>0</v>
      </c>
      <c r="Z258" s="211" t="e">
        <f t="shared" si="29"/>
        <v>#DIV/0!</v>
      </c>
      <c r="AA258" s="118"/>
      <c r="AB258" s="200" t="e">
        <f>(#REF!-1)*(360/(C258-$C$76))</f>
        <v>#REF!</v>
      </c>
      <c r="AC258" s="13">
        <f>W258-U257*'OverNight €'!I258*E258/360</f>
        <v>0</v>
      </c>
    </row>
    <row r="259" spans="2:29" hidden="1" x14ac:dyDescent="0.2">
      <c r="B259" s="9" t="str">
        <f t="shared" si="23"/>
        <v>9 2025</v>
      </c>
      <c r="C259" s="10">
        <f t="shared" si="25"/>
        <v>45911</v>
      </c>
      <c r="D259" s="10">
        <f t="shared" si="26"/>
        <v>45912</v>
      </c>
      <c r="E259" s="11">
        <f t="shared" si="24"/>
        <v>1</v>
      </c>
      <c r="G259" s="11"/>
      <c r="H259" s="206"/>
      <c r="I259" s="367"/>
      <c r="J259" s="228"/>
      <c r="K259" s="215"/>
      <c r="L259" s="12"/>
      <c r="M259" s="215"/>
      <c r="N259" s="12"/>
      <c r="O259" s="219"/>
      <c r="P259" s="219"/>
      <c r="Q259" s="219"/>
      <c r="R259" s="219"/>
      <c r="T259" s="314"/>
      <c r="U259" s="315"/>
      <c r="V259" s="12">
        <f t="shared" si="27"/>
        <v>0</v>
      </c>
      <c r="W259" s="12">
        <f t="shared" si="30"/>
        <v>0</v>
      </c>
      <c r="X259" s="12">
        <f t="shared" si="28"/>
        <v>0</v>
      </c>
      <c r="Z259" s="211" t="e">
        <f t="shared" si="29"/>
        <v>#DIV/0!</v>
      </c>
      <c r="AA259" s="118"/>
      <c r="AB259" s="200" t="e">
        <f>(#REF!-1)*(360/(C259-$C$76))</f>
        <v>#REF!</v>
      </c>
      <c r="AC259" s="13">
        <f>W259-U258*'OverNight €'!I259*E259/360</f>
        <v>0</v>
      </c>
    </row>
    <row r="260" spans="2:29" hidden="1" x14ac:dyDescent="0.2">
      <c r="B260" s="9" t="str">
        <f t="shared" si="23"/>
        <v>9 2025</v>
      </c>
      <c r="C260" s="10">
        <f t="shared" si="25"/>
        <v>45912</v>
      </c>
      <c r="D260" s="10">
        <f t="shared" si="26"/>
        <v>45913</v>
      </c>
      <c r="E260" s="11">
        <f t="shared" si="24"/>
        <v>1</v>
      </c>
      <c r="G260" s="11"/>
      <c r="H260" s="206"/>
      <c r="I260" s="367"/>
      <c r="J260" s="228"/>
      <c r="K260" s="12"/>
      <c r="L260" s="12"/>
      <c r="M260" s="215"/>
      <c r="N260" s="12"/>
      <c r="O260" s="219"/>
      <c r="P260" s="219"/>
      <c r="Q260" s="219"/>
      <c r="R260" s="219"/>
      <c r="T260" s="277"/>
      <c r="U260" s="98"/>
      <c r="V260" s="12">
        <f t="shared" si="27"/>
        <v>0</v>
      </c>
      <c r="W260" s="12">
        <f t="shared" si="30"/>
        <v>0</v>
      </c>
      <c r="X260" s="12">
        <f t="shared" si="28"/>
        <v>0</v>
      </c>
      <c r="Z260" s="211" t="e">
        <f t="shared" si="29"/>
        <v>#DIV/0!</v>
      </c>
      <c r="AA260" s="118"/>
      <c r="AB260" s="200" t="e">
        <f>(#REF!-1)*(360/(C260-$C$76))</f>
        <v>#REF!</v>
      </c>
      <c r="AC260" s="13">
        <f>W260-U259*'OverNight €'!I260*E260/360</f>
        <v>0</v>
      </c>
    </row>
    <row r="261" spans="2:29" hidden="1" x14ac:dyDescent="0.2">
      <c r="B261" s="9" t="str">
        <f t="shared" si="23"/>
        <v>9 2025</v>
      </c>
      <c r="C261" s="10">
        <f t="shared" si="25"/>
        <v>45913</v>
      </c>
      <c r="D261" s="10">
        <f t="shared" si="26"/>
        <v>45914</v>
      </c>
      <c r="E261" s="11">
        <f t="shared" si="24"/>
        <v>1</v>
      </c>
      <c r="G261" s="11"/>
      <c r="H261" s="206"/>
      <c r="I261" s="367"/>
      <c r="J261" s="228"/>
      <c r="K261" s="12"/>
      <c r="L261" s="12"/>
      <c r="M261" s="215"/>
      <c r="N261" s="12"/>
      <c r="O261" s="219"/>
      <c r="P261" s="219"/>
      <c r="Q261" s="219"/>
      <c r="R261" s="219"/>
      <c r="T261" s="277"/>
      <c r="U261" s="98"/>
      <c r="V261" s="12">
        <f t="shared" si="27"/>
        <v>0</v>
      </c>
      <c r="W261" s="12">
        <f t="shared" si="30"/>
        <v>0</v>
      </c>
      <c r="X261" s="12">
        <f t="shared" si="28"/>
        <v>0</v>
      </c>
      <c r="Z261" s="211" t="e">
        <f t="shared" si="29"/>
        <v>#DIV/0!</v>
      </c>
      <c r="AA261" s="118"/>
      <c r="AB261" s="200" t="e">
        <f>(#REF!-1)*(360/(C261-$C$76))</f>
        <v>#REF!</v>
      </c>
      <c r="AC261" s="13">
        <f>W261-U260*'OverNight €'!I261*E261/360</f>
        <v>0</v>
      </c>
    </row>
    <row r="262" spans="2:29" hidden="1" x14ac:dyDescent="0.2">
      <c r="B262" s="9" t="str">
        <f t="shared" ref="B262:B325" si="31">CONCATENATE(MONTH(D262)," ",YEAR(D262))</f>
        <v>9 2025</v>
      </c>
      <c r="C262" s="10">
        <f t="shared" si="25"/>
        <v>45914</v>
      </c>
      <c r="D262" s="10">
        <f t="shared" si="26"/>
        <v>45915</v>
      </c>
      <c r="E262" s="11">
        <f t="shared" ref="E262:E325" si="32">D262-C262</f>
        <v>1</v>
      </c>
      <c r="G262" s="11"/>
      <c r="H262" s="206"/>
      <c r="I262" s="367"/>
      <c r="J262" s="228"/>
      <c r="K262" s="12"/>
      <c r="L262" s="12"/>
      <c r="M262" s="215"/>
      <c r="N262" s="12"/>
      <c r="O262" s="219"/>
      <c r="P262" s="219"/>
      <c r="Q262" s="219"/>
      <c r="R262" s="219"/>
      <c r="T262" s="277"/>
      <c r="U262" s="98"/>
      <c r="V262" s="12">
        <f t="shared" si="27"/>
        <v>0</v>
      </c>
      <c r="W262" s="12">
        <f t="shared" si="30"/>
        <v>0</v>
      </c>
      <c r="X262" s="12">
        <f t="shared" si="28"/>
        <v>0</v>
      </c>
      <c r="Z262" s="211" t="e">
        <f t="shared" si="29"/>
        <v>#DIV/0!</v>
      </c>
      <c r="AA262" s="118"/>
      <c r="AB262" s="200" t="e">
        <f>(#REF!-1)*(360/(C262-$C$76))</f>
        <v>#REF!</v>
      </c>
      <c r="AC262" s="13">
        <f>W262-U261*'OverNight €'!I262*E262/360</f>
        <v>0</v>
      </c>
    </row>
    <row r="263" spans="2:29" hidden="1" x14ac:dyDescent="0.2">
      <c r="B263" s="9" t="str">
        <f t="shared" si="31"/>
        <v>9 2025</v>
      </c>
      <c r="C263" s="10">
        <f t="shared" si="25"/>
        <v>45915</v>
      </c>
      <c r="D263" s="10">
        <f t="shared" si="26"/>
        <v>45916</v>
      </c>
      <c r="E263" s="11">
        <f t="shared" si="32"/>
        <v>1</v>
      </c>
      <c r="G263" s="11"/>
      <c r="H263" s="206"/>
      <c r="I263" s="367"/>
      <c r="J263" s="228"/>
      <c r="K263" s="12"/>
      <c r="L263" s="12"/>
      <c r="M263" s="215"/>
      <c r="N263" s="12"/>
      <c r="O263" s="219"/>
      <c r="P263" s="219"/>
      <c r="Q263" s="219"/>
      <c r="R263" s="219"/>
      <c r="T263" s="277"/>
      <c r="U263" s="98"/>
      <c r="V263" s="12">
        <f t="shared" si="27"/>
        <v>0</v>
      </c>
      <c r="W263" s="12">
        <f t="shared" si="30"/>
        <v>0</v>
      </c>
      <c r="X263" s="12">
        <f t="shared" si="28"/>
        <v>0</v>
      </c>
      <c r="Z263" s="211" t="e">
        <f t="shared" si="29"/>
        <v>#DIV/0!</v>
      </c>
      <c r="AA263" s="118"/>
      <c r="AB263" s="200" t="e">
        <f>(#REF!-1)*(360/(C263-$C$76))</f>
        <v>#REF!</v>
      </c>
      <c r="AC263" s="13">
        <f>W263-U262*'OverNight €'!I263*E263/360</f>
        <v>0</v>
      </c>
    </row>
    <row r="264" spans="2:29" hidden="1" x14ac:dyDescent="0.2">
      <c r="B264" s="9" t="str">
        <f t="shared" si="31"/>
        <v>9 2025</v>
      </c>
      <c r="C264" s="10">
        <f t="shared" ref="C264:C308" si="33">D263</f>
        <v>45916</v>
      </c>
      <c r="D264" s="10">
        <f t="shared" ref="D264:D308" si="34">D263+1</f>
        <v>45917</v>
      </c>
      <c r="E264" s="11">
        <f t="shared" si="32"/>
        <v>1</v>
      </c>
      <c r="G264" s="11"/>
      <c r="H264" s="206"/>
      <c r="I264" s="367"/>
      <c r="J264" s="228"/>
      <c r="K264" s="12"/>
      <c r="L264" s="12"/>
      <c r="M264" s="215"/>
      <c r="N264" s="12"/>
      <c r="O264" s="219"/>
      <c r="P264" s="219"/>
      <c r="Q264" s="219"/>
      <c r="R264" s="219"/>
      <c r="T264" s="277"/>
      <c r="U264" s="98"/>
      <c r="V264" s="12">
        <f t="shared" si="27"/>
        <v>0</v>
      </c>
      <c r="W264" s="12">
        <f t="shared" si="30"/>
        <v>0</v>
      </c>
      <c r="X264" s="12">
        <f t="shared" si="28"/>
        <v>0</v>
      </c>
      <c r="Z264" s="211" t="e">
        <f t="shared" si="29"/>
        <v>#DIV/0!</v>
      </c>
      <c r="AA264" s="118"/>
      <c r="AB264" s="200" t="e">
        <f>(#REF!-1)*(360/(C264-$C$76))</f>
        <v>#REF!</v>
      </c>
      <c r="AC264" s="13">
        <f>W264-U263*'OverNight €'!I264*E264/360</f>
        <v>0</v>
      </c>
    </row>
    <row r="265" spans="2:29" hidden="1" x14ac:dyDescent="0.2">
      <c r="B265" s="9" t="str">
        <f t="shared" si="31"/>
        <v>9 2025</v>
      </c>
      <c r="C265" s="10">
        <f t="shared" si="33"/>
        <v>45917</v>
      </c>
      <c r="D265" s="10">
        <f t="shared" si="34"/>
        <v>45918</v>
      </c>
      <c r="E265" s="11">
        <f t="shared" si="32"/>
        <v>1</v>
      </c>
      <c r="G265" s="11"/>
      <c r="H265" s="206"/>
      <c r="I265" s="367"/>
      <c r="J265" s="228"/>
      <c r="K265" s="12"/>
      <c r="L265" s="12"/>
      <c r="M265" s="215"/>
      <c r="N265" s="12"/>
      <c r="O265" s="219"/>
      <c r="P265" s="219"/>
      <c r="Q265" s="219"/>
      <c r="R265" s="219"/>
      <c r="T265" s="277"/>
      <c r="U265" s="98"/>
      <c r="V265" s="12">
        <f t="shared" si="27"/>
        <v>0</v>
      </c>
      <c r="W265" s="12">
        <f t="shared" si="30"/>
        <v>0</v>
      </c>
      <c r="X265" s="12">
        <f t="shared" si="28"/>
        <v>0</v>
      </c>
      <c r="Z265" s="211" t="e">
        <f t="shared" si="29"/>
        <v>#DIV/0!</v>
      </c>
      <c r="AA265" s="118"/>
      <c r="AB265" s="200" t="e">
        <f>(#REF!-1)*(360/(C265-$C$76))</f>
        <v>#REF!</v>
      </c>
      <c r="AC265" s="13">
        <f>W265-U264*'OverNight €'!I265*E265/360</f>
        <v>0</v>
      </c>
    </row>
    <row r="266" spans="2:29" hidden="1" x14ac:dyDescent="0.2">
      <c r="B266" s="9" t="str">
        <f t="shared" si="31"/>
        <v>9 2025</v>
      </c>
      <c r="C266" s="10">
        <f t="shared" si="33"/>
        <v>45918</v>
      </c>
      <c r="D266" s="10">
        <f t="shared" si="34"/>
        <v>45919</v>
      </c>
      <c r="E266" s="11">
        <f t="shared" si="32"/>
        <v>1</v>
      </c>
      <c r="G266" s="11"/>
      <c r="H266" s="206"/>
      <c r="I266" s="367"/>
      <c r="J266" s="228"/>
      <c r="K266" s="12"/>
      <c r="L266" s="12"/>
      <c r="M266" s="215"/>
      <c r="N266" s="12"/>
      <c r="O266" s="219"/>
      <c r="P266" s="219"/>
      <c r="Q266" s="219"/>
      <c r="R266" s="219"/>
      <c r="T266" s="277"/>
      <c r="U266" s="98"/>
      <c r="V266" s="12">
        <f t="shared" si="27"/>
        <v>0</v>
      </c>
      <c r="W266" s="12">
        <f t="shared" si="30"/>
        <v>0</v>
      </c>
      <c r="X266" s="12">
        <f t="shared" si="28"/>
        <v>0</v>
      </c>
      <c r="Z266" s="211" t="e">
        <f t="shared" si="29"/>
        <v>#DIV/0!</v>
      </c>
      <c r="AA266" s="118"/>
      <c r="AB266" s="200" t="e">
        <f>(#REF!-1)*(360/(C266-$C$76))</f>
        <v>#REF!</v>
      </c>
      <c r="AC266" s="13">
        <f>W266-U265*'OverNight €'!I266*E266/360</f>
        <v>0</v>
      </c>
    </row>
    <row r="267" spans="2:29" hidden="1" x14ac:dyDescent="0.2">
      <c r="B267" s="9" t="str">
        <f t="shared" si="31"/>
        <v>9 2025</v>
      </c>
      <c r="C267" s="10">
        <f t="shared" si="33"/>
        <v>45919</v>
      </c>
      <c r="D267" s="10">
        <f t="shared" si="34"/>
        <v>45920</v>
      </c>
      <c r="E267" s="11">
        <f t="shared" si="32"/>
        <v>1</v>
      </c>
      <c r="G267" s="11"/>
      <c r="H267" s="206"/>
      <c r="I267" s="367"/>
      <c r="J267" s="228"/>
      <c r="K267" s="12"/>
      <c r="L267" s="12"/>
      <c r="M267" s="215"/>
      <c r="N267" s="12"/>
      <c r="O267" s="219"/>
      <c r="P267" s="219"/>
      <c r="Q267" s="219"/>
      <c r="R267" s="219"/>
      <c r="T267" s="277"/>
      <c r="U267" s="98"/>
      <c r="V267" s="12">
        <f t="shared" si="27"/>
        <v>0</v>
      </c>
      <c r="W267" s="12">
        <f t="shared" si="30"/>
        <v>0</v>
      </c>
      <c r="X267" s="12">
        <f t="shared" si="28"/>
        <v>0</v>
      </c>
      <c r="Z267" s="211" t="e">
        <f t="shared" si="29"/>
        <v>#DIV/0!</v>
      </c>
      <c r="AA267" s="118"/>
      <c r="AB267" s="200" t="e">
        <f>(#REF!-1)*(360/(C267-$C$76))</f>
        <v>#REF!</v>
      </c>
      <c r="AC267" s="13">
        <f>W267-U266*'OverNight €'!I267*E267/360</f>
        <v>0</v>
      </c>
    </row>
    <row r="268" spans="2:29" hidden="1" x14ac:dyDescent="0.2">
      <c r="B268" s="9" t="str">
        <f t="shared" si="31"/>
        <v>9 2025</v>
      </c>
      <c r="C268" s="10">
        <f t="shared" si="33"/>
        <v>45920</v>
      </c>
      <c r="D268" s="10">
        <f t="shared" si="34"/>
        <v>45921</v>
      </c>
      <c r="E268" s="11">
        <f t="shared" si="32"/>
        <v>1</v>
      </c>
      <c r="G268" s="11"/>
      <c r="H268" s="206"/>
      <c r="I268" s="367"/>
      <c r="J268" s="228"/>
      <c r="K268" s="12"/>
      <c r="L268" s="12"/>
      <c r="M268" s="215"/>
      <c r="N268" s="12"/>
      <c r="O268" s="219"/>
      <c r="P268" s="219"/>
      <c r="Q268" s="219"/>
      <c r="R268" s="219"/>
      <c r="T268" s="277"/>
      <c r="U268" s="98"/>
      <c r="V268" s="12">
        <f t="shared" ref="V268:V308" si="35">X268-U268</f>
        <v>0</v>
      </c>
      <c r="W268" s="12">
        <f t="shared" si="30"/>
        <v>0</v>
      </c>
      <c r="X268" s="12">
        <f t="shared" ref="X268:X309" si="36">T268*I268</f>
        <v>0</v>
      </c>
      <c r="Z268" s="211" t="e">
        <f t="shared" si="29"/>
        <v>#DIV/0!</v>
      </c>
      <c r="AA268" s="118"/>
      <c r="AB268" s="200" t="e">
        <f>(#REF!-1)*(360/(C268-$C$76))</f>
        <v>#REF!</v>
      </c>
      <c r="AC268" s="13">
        <f>W268-U267*'OverNight €'!I268*E268/360</f>
        <v>0</v>
      </c>
    </row>
    <row r="269" spans="2:29" hidden="1" x14ac:dyDescent="0.2">
      <c r="B269" s="9" t="str">
        <f t="shared" si="31"/>
        <v>9 2025</v>
      </c>
      <c r="C269" s="10">
        <f t="shared" si="33"/>
        <v>45921</v>
      </c>
      <c r="D269" s="10">
        <f t="shared" si="34"/>
        <v>45922</v>
      </c>
      <c r="E269" s="11">
        <f t="shared" si="32"/>
        <v>1</v>
      </c>
      <c r="G269" s="11"/>
      <c r="H269" s="206"/>
      <c r="I269" s="367"/>
      <c r="J269" s="228"/>
      <c r="K269" s="12"/>
      <c r="L269" s="12"/>
      <c r="M269" s="215"/>
      <c r="N269" s="12"/>
      <c r="O269" s="219"/>
      <c r="P269" s="219"/>
      <c r="Q269" s="219"/>
      <c r="R269" s="219"/>
      <c r="T269" s="277"/>
      <c r="U269" s="98"/>
      <c r="V269" s="12">
        <f t="shared" si="35"/>
        <v>0</v>
      </c>
      <c r="W269" s="12">
        <f t="shared" si="30"/>
        <v>0</v>
      </c>
      <c r="X269" s="12">
        <f t="shared" si="36"/>
        <v>0</v>
      </c>
      <c r="Z269" s="211" t="e">
        <f t="shared" ref="Z269:Z307" si="37">I269/I268-1</f>
        <v>#DIV/0!</v>
      </c>
      <c r="AA269" s="118"/>
      <c r="AB269" s="200" t="e">
        <f>(#REF!-1)*(360/(C269-$C$76))</f>
        <v>#REF!</v>
      </c>
      <c r="AC269" s="13">
        <f>W269-U268*'OverNight €'!I269*E269/360</f>
        <v>0</v>
      </c>
    </row>
    <row r="270" spans="2:29" hidden="1" x14ac:dyDescent="0.2">
      <c r="B270" s="9" t="str">
        <f t="shared" si="31"/>
        <v>9 2025</v>
      </c>
      <c r="C270" s="10">
        <f t="shared" si="33"/>
        <v>45922</v>
      </c>
      <c r="D270" s="10">
        <f t="shared" si="34"/>
        <v>45923</v>
      </c>
      <c r="E270" s="11">
        <f t="shared" si="32"/>
        <v>1</v>
      </c>
      <c r="G270" s="11"/>
      <c r="H270" s="206"/>
      <c r="I270" s="367"/>
      <c r="J270" s="228"/>
      <c r="K270" s="12"/>
      <c r="L270" s="12"/>
      <c r="M270" s="215"/>
      <c r="N270" s="12"/>
      <c r="O270" s="219"/>
      <c r="P270" s="219"/>
      <c r="Q270" s="219"/>
      <c r="R270" s="219"/>
      <c r="T270" s="277"/>
      <c r="U270" s="98"/>
      <c r="V270" s="12">
        <f t="shared" si="35"/>
        <v>0</v>
      </c>
      <c r="W270" s="12">
        <f t="shared" si="30"/>
        <v>0</v>
      </c>
      <c r="X270" s="12">
        <f t="shared" si="36"/>
        <v>0</v>
      </c>
      <c r="Z270" s="211" t="e">
        <f t="shared" si="37"/>
        <v>#DIV/0!</v>
      </c>
      <c r="AA270" s="118"/>
      <c r="AB270" s="200" t="e">
        <f>(#REF!-1)*(360/(C270-$C$76))</f>
        <v>#REF!</v>
      </c>
      <c r="AC270" s="13">
        <f>W270-U269*'OverNight €'!I270*E270/360</f>
        <v>0</v>
      </c>
    </row>
    <row r="271" spans="2:29" hidden="1" x14ac:dyDescent="0.2">
      <c r="B271" s="9" t="str">
        <f t="shared" si="31"/>
        <v>9 2025</v>
      </c>
      <c r="C271" s="10">
        <f t="shared" si="33"/>
        <v>45923</v>
      </c>
      <c r="D271" s="10">
        <f t="shared" si="34"/>
        <v>45924</v>
      </c>
      <c r="E271" s="11">
        <f t="shared" si="32"/>
        <v>1</v>
      </c>
      <c r="G271" s="11"/>
      <c r="H271" s="206"/>
      <c r="I271" s="367"/>
      <c r="J271" s="228"/>
      <c r="K271" s="12"/>
      <c r="L271" s="12"/>
      <c r="M271" s="215"/>
      <c r="N271" s="12"/>
      <c r="O271" s="219"/>
      <c r="P271" s="219"/>
      <c r="Q271" s="219"/>
      <c r="R271" s="219"/>
      <c r="T271" s="277"/>
      <c r="U271" s="98"/>
      <c r="V271" s="12">
        <f t="shared" si="35"/>
        <v>0</v>
      </c>
      <c r="W271" s="12">
        <f t="shared" si="30"/>
        <v>0</v>
      </c>
      <c r="X271" s="12">
        <f t="shared" si="36"/>
        <v>0</v>
      </c>
      <c r="Z271" s="211" t="e">
        <f t="shared" si="37"/>
        <v>#DIV/0!</v>
      </c>
      <c r="AA271" s="118"/>
      <c r="AB271" s="200" t="e">
        <f>(#REF!-1)*(360/(C271-$C$76))</f>
        <v>#REF!</v>
      </c>
      <c r="AC271" s="13">
        <f>W271-U270*'OverNight €'!I271*E271/360</f>
        <v>0</v>
      </c>
    </row>
    <row r="272" spans="2:29" hidden="1" x14ac:dyDescent="0.2">
      <c r="B272" s="9" t="str">
        <f t="shared" si="31"/>
        <v>9 2025</v>
      </c>
      <c r="C272" s="10">
        <f t="shared" si="33"/>
        <v>45924</v>
      </c>
      <c r="D272" s="10">
        <f t="shared" si="34"/>
        <v>45925</v>
      </c>
      <c r="E272" s="11">
        <f t="shared" si="32"/>
        <v>1</v>
      </c>
      <c r="G272" s="11"/>
      <c r="H272" s="206"/>
      <c r="I272" s="367"/>
      <c r="J272" s="228"/>
      <c r="K272" s="12"/>
      <c r="L272" s="12"/>
      <c r="M272" s="215"/>
      <c r="N272" s="12"/>
      <c r="O272" s="219"/>
      <c r="P272" s="219"/>
      <c r="Q272" s="219"/>
      <c r="R272" s="219"/>
      <c r="T272" s="277"/>
      <c r="U272" s="98"/>
      <c r="V272" s="12">
        <f t="shared" si="35"/>
        <v>0</v>
      </c>
      <c r="W272" s="12">
        <f t="shared" si="30"/>
        <v>0</v>
      </c>
      <c r="X272" s="12">
        <f t="shared" si="36"/>
        <v>0</v>
      </c>
      <c r="Z272" s="211" t="e">
        <f t="shared" si="37"/>
        <v>#DIV/0!</v>
      </c>
      <c r="AA272" s="118"/>
      <c r="AB272" s="200" t="e">
        <f>(#REF!-1)*(360/(C272-$C$76))</f>
        <v>#REF!</v>
      </c>
      <c r="AC272" s="13">
        <f>W272-U271*'OverNight €'!I272*E272/360</f>
        <v>0</v>
      </c>
    </row>
    <row r="273" spans="2:31" hidden="1" x14ac:dyDescent="0.2">
      <c r="B273" s="9" t="str">
        <f t="shared" si="31"/>
        <v>9 2025</v>
      </c>
      <c r="C273" s="10">
        <f t="shared" si="33"/>
        <v>45925</v>
      </c>
      <c r="D273" s="10">
        <f t="shared" si="34"/>
        <v>45926</v>
      </c>
      <c r="E273" s="11">
        <f t="shared" si="32"/>
        <v>1</v>
      </c>
      <c r="G273" s="11"/>
      <c r="H273" s="206"/>
      <c r="I273" s="367"/>
      <c r="J273" s="228"/>
      <c r="K273" s="12"/>
      <c r="L273" s="12"/>
      <c r="M273" s="215"/>
      <c r="N273" s="12"/>
      <c r="O273" s="219"/>
      <c r="P273" s="219"/>
      <c r="Q273" s="219"/>
      <c r="R273" s="219"/>
      <c r="T273" s="277"/>
      <c r="U273" s="98"/>
      <c r="V273" s="12">
        <f t="shared" si="35"/>
        <v>0</v>
      </c>
      <c r="W273" s="12">
        <f t="shared" si="30"/>
        <v>0</v>
      </c>
      <c r="X273" s="12">
        <f t="shared" si="36"/>
        <v>0</v>
      </c>
      <c r="Z273" s="211" t="e">
        <f t="shared" si="37"/>
        <v>#DIV/0!</v>
      </c>
      <c r="AA273" s="118"/>
      <c r="AB273" s="200" t="e">
        <f>(#REF!-1)*(360/(C273-$C$76))</f>
        <v>#REF!</v>
      </c>
      <c r="AC273" s="13">
        <f>W273-U272*'OverNight €'!I273*E273/360</f>
        <v>0</v>
      </c>
    </row>
    <row r="274" spans="2:31" hidden="1" x14ac:dyDescent="0.2">
      <c r="B274" s="9" t="str">
        <f t="shared" si="31"/>
        <v>9 2025</v>
      </c>
      <c r="C274" s="10">
        <f t="shared" si="33"/>
        <v>45926</v>
      </c>
      <c r="D274" s="10">
        <f t="shared" si="34"/>
        <v>45927</v>
      </c>
      <c r="E274" s="11">
        <f t="shared" si="32"/>
        <v>1</v>
      </c>
      <c r="G274" s="11"/>
      <c r="H274" s="206"/>
      <c r="I274" s="367"/>
      <c r="J274" s="228"/>
      <c r="K274" s="12"/>
      <c r="L274" s="12"/>
      <c r="M274" s="215"/>
      <c r="N274" s="12"/>
      <c r="O274" s="219"/>
      <c r="P274" s="219"/>
      <c r="Q274" s="219"/>
      <c r="R274" s="219"/>
      <c r="T274" s="277"/>
      <c r="U274" s="98"/>
      <c r="V274" s="12">
        <f t="shared" si="35"/>
        <v>0</v>
      </c>
      <c r="W274" s="12">
        <f t="shared" si="30"/>
        <v>0</v>
      </c>
      <c r="X274" s="12">
        <f t="shared" si="36"/>
        <v>0</v>
      </c>
      <c r="Z274" s="211" t="e">
        <f t="shared" si="37"/>
        <v>#DIV/0!</v>
      </c>
      <c r="AA274" s="118"/>
      <c r="AB274" s="200" t="e">
        <f>(#REF!-1)*(360/(C274-$C$76))</f>
        <v>#REF!</v>
      </c>
      <c r="AC274" s="13">
        <f>W274-U273*'OverNight €'!I274*E274/360</f>
        <v>0</v>
      </c>
    </row>
    <row r="275" spans="2:31" hidden="1" x14ac:dyDescent="0.2">
      <c r="B275" s="9" t="str">
        <f t="shared" si="31"/>
        <v>9 2025</v>
      </c>
      <c r="C275" s="10">
        <f t="shared" si="33"/>
        <v>45927</v>
      </c>
      <c r="D275" s="10">
        <f t="shared" si="34"/>
        <v>45928</v>
      </c>
      <c r="E275" s="11">
        <f t="shared" si="32"/>
        <v>1</v>
      </c>
      <c r="G275" s="11"/>
      <c r="H275" s="206"/>
      <c r="I275" s="367"/>
      <c r="J275" s="228"/>
      <c r="K275" s="12"/>
      <c r="L275" s="12"/>
      <c r="M275" s="215"/>
      <c r="N275" s="12"/>
      <c r="O275" s="219"/>
      <c r="P275" s="219"/>
      <c r="Q275" s="219"/>
      <c r="R275" s="219"/>
      <c r="T275" s="277"/>
      <c r="U275" s="98"/>
      <c r="V275" s="12">
        <f t="shared" si="35"/>
        <v>0</v>
      </c>
      <c r="W275" s="12">
        <f t="shared" si="30"/>
        <v>0</v>
      </c>
      <c r="X275" s="12">
        <f t="shared" si="36"/>
        <v>0</v>
      </c>
      <c r="Z275" s="211" t="e">
        <f t="shared" si="37"/>
        <v>#DIV/0!</v>
      </c>
      <c r="AA275" s="118"/>
      <c r="AB275" s="200" t="e">
        <f>(#REF!-1)*(360/(C275-$C$76))</f>
        <v>#REF!</v>
      </c>
      <c r="AC275" s="13">
        <f>W275-U274*'OverNight €'!I275*E275/360</f>
        <v>0</v>
      </c>
    </row>
    <row r="276" spans="2:31" hidden="1" x14ac:dyDescent="0.2">
      <c r="B276" s="9" t="str">
        <f t="shared" si="31"/>
        <v>9 2025</v>
      </c>
      <c r="C276" s="10">
        <f t="shared" si="33"/>
        <v>45928</v>
      </c>
      <c r="D276" s="10">
        <f t="shared" si="34"/>
        <v>45929</v>
      </c>
      <c r="E276" s="11">
        <f t="shared" si="32"/>
        <v>1</v>
      </c>
      <c r="G276" s="11"/>
      <c r="H276" s="206"/>
      <c r="I276" s="367"/>
      <c r="J276" s="228"/>
      <c r="K276" s="12"/>
      <c r="L276" s="12"/>
      <c r="M276" s="215"/>
      <c r="N276" s="12"/>
      <c r="O276" s="219"/>
      <c r="P276" s="219"/>
      <c r="Q276" s="219"/>
      <c r="R276" s="219"/>
      <c r="T276" s="277"/>
      <c r="U276" s="98"/>
      <c r="V276" s="12">
        <f t="shared" si="35"/>
        <v>0</v>
      </c>
      <c r="W276" s="12">
        <f t="shared" si="30"/>
        <v>0</v>
      </c>
      <c r="X276" s="12">
        <f t="shared" si="36"/>
        <v>0</v>
      </c>
      <c r="Z276" s="211" t="e">
        <f t="shared" si="37"/>
        <v>#DIV/0!</v>
      </c>
      <c r="AA276" s="118"/>
      <c r="AB276" s="200" t="e">
        <f>(#REF!-1)*(360/(C276-$C$76))</f>
        <v>#REF!</v>
      </c>
      <c r="AC276" s="13">
        <f>W276-U275*'OverNight €'!I276*E276/360</f>
        <v>0</v>
      </c>
    </row>
    <row r="277" spans="2:31" hidden="1" x14ac:dyDescent="0.2">
      <c r="B277" s="9" t="str">
        <f t="shared" si="31"/>
        <v>9 2025</v>
      </c>
      <c r="C277" s="351">
        <f t="shared" si="33"/>
        <v>45929</v>
      </c>
      <c r="D277" s="351">
        <f t="shared" si="34"/>
        <v>45930</v>
      </c>
      <c r="E277" s="352">
        <f t="shared" si="32"/>
        <v>1</v>
      </c>
      <c r="F277" s="353"/>
      <c r="G277" s="352"/>
      <c r="H277" s="354"/>
      <c r="I277" s="371"/>
      <c r="J277" s="228"/>
      <c r="K277" s="355"/>
      <c r="L277" s="355"/>
      <c r="M277" s="356"/>
      <c r="N277" s="355"/>
      <c r="O277" s="357"/>
      <c r="P277" s="357"/>
      <c r="Q277" s="357"/>
      <c r="R277" s="357"/>
      <c r="S277" s="358"/>
      <c r="T277" s="359"/>
      <c r="U277" s="360"/>
      <c r="V277" s="360">
        <f t="shared" si="35"/>
        <v>0</v>
      </c>
      <c r="W277" s="360">
        <f t="shared" si="30"/>
        <v>0</v>
      </c>
      <c r="X277" s="360">
        <f t="shared" si="36"/>
        <v>0</v>
      </c>
      <c r="Z277" s="361" t="e">
        <f t="shared" si="37"/>
        <v>#DIV/0!</v>
      </c>
      <c r="AA277" s="362"/>
      <c r="AB277" s="363" t="e">
        <f>(#REF!-1)*(360/(C277-$C$76))</f>
        <v>#REF!</v>
      </c>
      <c r="AC277" s="364">
        <f>W277-U276*'OverNight €'!I277*E277/360</f>
        <v>0</v>
      </c>
      <c r="AD277" s="17"/>
      <c r="AE277" s="17"/>
    </row>
    <row r="278" spans="2:31" hidden="1" x14ac:dyDescent="0.2">
      <c r="B278" s="9" t="str">
        <f t="shared" si="31"/>
        <v>10 2025</v>
      </c>
      <c r="C278" s="10">
        <f t="shared" si="33"/>
        <v>45930</v>
      </c>
      <c r="D278" s="10">
        <f t="shared" si="34"/>
        <v>45931</v>
      </c>
      <c r="E278" s="11">
        <f t="shared" si="32"/>
        <v>1</v>
      </c>
      <c r="G278" s="11"/>
      <c r="H278" s="206"/>
      <c r="I278" s="367"/>
      <c r="J278" s="228"/>
      <c r="K278" s="12"/>
      <c r="L278" s="12"/>
      <c r="M278" s="215"/>
      <c r="N278" s="12"/>
      <c r="O278" s="219"/>
      <c r="P278" s="219"/>
      <c r="Q278" s="219"/>
      <c r="R278" s="219"/>
      <c r="T278" s="277"/>
      <c r="U278" s="98"/>
      <c r="V278" s="12">
        <f t="shared" si="35"/>
        <v>0</v>
      </c>
      <c r="W278" s="12">
        <f t="shared" si="30"/>
        <v>0</v>
      </c>
      <c r="X278" s="12">
        <f t="shared" si="36"/>
        <v>0</v>
      </c>
      <c r="Z278" s="211" t="e">
        <f t="shared" si="37"/>
        <v>#DIV/0!</v>
      </c>
      <c r="AA278" s="118"/>
      <c r="AB278" s="200" t="e">
        <f>(#REF!-1)*(360/(C278-$C$76))</f>
        <v>#REF!</v>
      </c>
      <c r="AC278" s="13">
        <f>W278-U277*'OverNight €'!I278*E278/360</f>
        <v>0</v>
      </c>
    </row>
    <row r="279" spans="2:31" hidden="1" x14ac:dyDescent="0.2">
      <c r="B279" s="9" t="str">
        <f t="shared" si="31"/>
        <v>10 2025</v>
      </c>
      <c r="C279" s="10">
        <f t="shared" si="33"/>
        <v>45931</v>
      </c>
      <c r="D279" s="10">
        <f t="shared" si="34"/>
        <v>45932</v>
      </c>
      <c r="E279" s="11">
        <f t="shared" si="32"/>
        <v>1</v>
      </c>
      <c r="G279" s="11"/>
      <c r="H279" s="206"/>
      <c r="I279" s="367"/>
      <c r="J279" s="228"/>
      <c r="K279" s="12"/>
      <c r="L279" s="12"/>
      <c r="M279" s="215"/>
      <c r="N279" s="12"/>
      <c r="O279" s="219"/>
      <c r="P279" s="219"/>
      <c r="Q279" s="219"/>
      <c r="R279" s="219"/>
      <c r="T279" s="277"/>
      <c r="U279" s="98"/>
      <c r="V279" s="12">
        <f t="shared" si="35"/>
        <v>0</v>
      </c>
      <c r="W279" s="12">
        <f t="shared" si="30"/>
        <v>0</v>
      </c>
      <c r="X279" s="12">
        <f t="shared" si="36"/>
        <v>0</v>
      </c>
      <c r="Z279" s="211" t="e">
        <f t="shared" si="37"/>
        <v>#DIV/0!</v>
      </c>
      <c r="AA279" s="118"/>
      <c r="AB279" s="200" t="e">
        <f>(#REF!-1)*(360/(C279-$C$76))</f>
        <v>#REF!</v>
      </c>
      <c r="AC279" s="13">
        <f>W279-U278*'OverNight €'!I279*E279/360</f>
        <v>0</v>
      </c>
    </row>
    <row r="280" spans="2:31" hidden="1" x14ac:dyDescent="0.2">
      <c r="B280" s="9" t="str">
        <f t="shared" si="31"/>
        <v>10 2025</v>
      </c>
      <c r="C280" s="10">
        <f t="shared" si="33"/>
        <v>45932</v>
      </c>
      <c r="D280" s="10">
        <f t="shared" si="34"/>
        <v>45933</v>
      </c>
      <c r="E280" s="11">
        <f t="shared" si="32"/>
        <v>1</v>
      </c>
      <c r="G280" s="11"/>
      <c r="H280" s="249"/>
      <c r="I280" s="369"/>
      <c r="J280" s="228"/>
      <c r="K280" s="12"/>
      <c r="L280" s="12"/>
      <c r="M280" s="215"/>
      <c r="N280" s="12"/>
      <c r="O280" s="219"/>
      <c r="P280" s="219"/>
      <c r="Q280" s="219"/>
      <c r="R280" s="219"/>
      <c r="T280" s="279"/>
      <c r="U280" s="107"/>
      <c r="V280" s="107">
        <f t="shared" si="35"/>
        <v>0</v>
      </c>
      <c r="W280" s="107">
        <f t="shared" si="30"/>
        <v>0</v>
      </c>
      <c r="X280" s="107">
        <f t="shared" si="36"/>
        <v>0</v>
      </c>
      <c r="Z280" s="266" t="e">
        <f t="shared" si="37"/>
        <v>#DIV/0!</v>
      </c>
      <c r="AA280" s="184" t="e">
        <f>I280/I250-1</f>
        <v>#DIV/0!</v>
      </c>
      <c r="AB280" s="200" t="e">
        <f>(#REF!-1)*(360/(C280-$C$76))</f>
        <v>#REF!</v>
      </c>
      <c r="AC280" s="13">
        <f>W280-U279*'OverNight €'!I280*E280/360</f>
        <v>0</v>
      </c>
    </row>
    <row r="281" spans="2:31" hidden="1" x14ac:dyDescent="0.2">
      <c r="B281" s="9" t="str">
        <f t="shared" si="31"/>
        <v>10 2025</v>
      </c>
      <c r="C281" s="10">
        <f t="shared" si="33"/>
        <v>45933</v>
      </c>
      <c r="D281" s="10">
        <f t="shared" si="34"/>
        <v>45934</v>
      </c>
      <c r="E281" s="11">
        <f t="shared" si="32"/>
        <v>1</v>
      </c>
      <c r="G281" s="11"/>
      <c r="H281" s="206"/>
      <c r="I281" s="277"/>
      <c r="J281" s="228"/>
      <c r="K281" s="12"/>
      <c r="L281" s="12"/>
      <c r="M281" s="215"/>
      <c r="N281" s="12"/>
      <c r="O281" s="219"/>
      <c r="P281" s="219"/>
      <c r="Q281" s="219"/>
      <c r="R281" s="219"/>
      <c r="T281" s="277"/>
      <c r="U281" s="98"/>
      <c r="V281" s="12">
        <f t="shared" si="35"/>
        <v>0</v>
      </c>
      <c r="W281" s="12">
        <f t="shared" si="30"/>
        <v>0</v>
      </c>
      <c r="X281" s="12">
        <f t="shared" si="36"/>
        <v>0</v>
      </c>
      <c r="Z281" s="211" t="e">
        <f t="shared" si="37"/>
        <v>#DIV/0!</v>
      </c>
      <c r="AA281" s="118"/>
      <c r="AB281" s="200" t="e">
        <f>(#REF!-1)*(360/(C281-$C$76))</f>
        <v>#REF!</v>
      </c>
      <c r="AC281" s="13">
        <f>W281-U280*'OverNight €'!I281*E281/360</f>
        <v>0</v>
      </c>
    </row>
    <row r="282" spans="2:31" hidden="1" x14ac:dyDescent="0.2">
      <c r="B282" s="9" t="str">
        <f t="shared" si="31"/>
        <v>10 2025</v>
      </c>
      <c r="C282" s="10">
        <f t="shared" si="33"/>
        <v>45934</v>
      </c>
      <c r="D282" s="10">
        <f t="shared" si="34"/>
        <v>45935</v>
      </c>
      <c r="E282" s="11">
        <f t="shared" si="32"/>
        <v>1</v>
      </c>
      <c r="G282" s="11"/>
      <c r="H282" s="206"/>
      <c r="I282" s="277"/>
      <c r="J282" s="228"/>
      <c r="K282" s="12"/>
      <c r="L282" s="12"/>
      <c r="M282" s="215"/>
      <c r="N282" s="12"/>
      <c r="O282" s="219"/>
      <c r="P282" s="219"/>
      <c r="Q282" s="219"/>
      <c r="R282" s="219"/>
      <c r="T282" s="277"/>
      <c r="U282" s="98"/>
      <c r="V282" s="12">
        <f t="shared" si="35"/>
        <v>0</v>
      </c>
      <c r="W282" s="12">
        <f t="shared" si="30"/>
        <v>0</v>
      </c>
      <c r="X282" s="12">
        <f t="shared" si="36"/>
        <v>0</v>
      </c>
      <c r="Z282" s="245" t="e">
        <f t="shared" si="37"/>
        <v>#DIV/0!</v>
      </c>
      <c r="AA282" s="118"/>
      <c r="AB282" s="200" t="e">
        <f>(#REF!-1)*(360/(C282-$C$76))</f>
        <v>#REF!</v>
      </c>
      <c r="AC282" s="13">
        <f>W282-U281*'OverNight €'!I282*E282/360</f>
        <v>0</v>
      </c>
    </row>
    <row r="283" spans="2:31" hidden="1" x14ac:dyDescent="0.2">
      <c r="B283" s="9" t="str">
        <f t="shared" si="31"/>
        <v>10 2025</v>
      </c>
      <c r="C283" s="10">
        <f t="shared" si="33"/>
        <v>45935</v>
      </c>
      <c r="D283" s="10">
        <f t="shared" si="34"/>
        <v>45936</v>
      </c>
      <c r="E283" s="11">
        <f t="shared" si="32"/>
        <v>1</v>
      </c>
      <c r="G283" s="11"/>
      <c r="H283" s="206"/>
      <c r="I283" s="277"/>
      <c r="J283" s="228"/>
      <c r="K283" s="12"/>
      <c r="L283" s="12"/>
      <c r="M283" s="215"/>
      <c r="N283" s="12"/>
      <c r="O283" s="219"/>
      <c r="P283" s="219"/>
      <c r="Q283" s="219"/>
      <c r="R283" s="219"/>
      <c r="T283" s="277"/>
      <c r="U283" s="98"/>
      <c r="V283" s="12">
        <f t="shared" si="35"/>
        <v>0</v>
      </c>
      <c r="W283" s="12">
        <f t="shared" si="30"/>
        <v>0</v>
      </c>
      <c r="X283" s="12">
        <f t="shared" si="36"/>
        <v>0</v>
      </c>
      <c r="Z283" s="245" t="e">
        <f t="shared" si="37"/>
        <v>#DIV/0!</v>
      </c>
      <c r="AA283" s="118"/>
      <c r="AB283" s="200" t="e">
        <f>(#REF!-1)*(360/(C283-$C$76))</f>
        <v>#REF!</v>
      </c>
      <c r="AC283" s="13">
        <f>W283-U282*'OverNight €'!I283*E283/360</f>
        <v>0</v>
      </c>
    </row>
    <row r="284" spans="2:31" hidden="1" x14ac:dyDescent="0.2">
      <c r="B284" s="9" t="str">
        <f t="shared" si="31"/>
        <v>10 2025</v>
      </c>
      <c r="C284" s="10">
        <f t="shared" si="33"/>
        <v>45936</v>
      </c>
      <c r="D284" s="10">
        <f t="shared" si="34"/>
        <v>45937</v>
      </c>
      <c r="E284" s="11">
        <f t="shared" si="32"/>
        <v>1</v>
      </c>
      <c r="G284" s="11"/>
      <c r="H284" s="206"/>
      <c r="I284" s="277"/>
      <c r="J284" s="228"/>
      <c r="K284" s="12"/>
      <c r="L284" s="12"/>
      <c r="M284" s="215"/>
      <c r="N284" s="12"/>
      <c r="O284" s="219"/>
      <c r="P284" s="219"/>
      <c r="Q284" s="219"/>
      <c r="R284" s="219"/>
      <c r="T284" s="277"/>
      <c r="U284" s="98"/>
      <c r="V284" s="12">
        <f t="shared" si="35"/>
        <v>0</v>
      </c>
      <c r="W284" s="12">
        <f t="shared" si="30"/>
        <v>0</v>
      </c>
      <c r="X284" s="12">
        <f t="shared" si="36"/>
        <v>0</v>
      </c>
      <c r="Z284" s="245" t="e">
        <f t="shared" si="37"/>
        <v>#DIV/0!</v>
      </c>
      <c r="AA284" s="118"/>
      <c r="AB284" s="200" t="e">
        <f>(#REF!-1)*(360/(C284-$C$76))</f>
        <v>#REF!</v>
      </c>
      <c r="AC284" s="13">
        <f>W284-U283*'OverNight €'!I284*E284/360</f>
        <v>0</v>
      </c>
    </row>
    <row r="285" spans="2:31" hidden="1" x14ac:dyDescent="0.2">
      <c r="B285" s="9" t="str">
        <f t="shared" si="31"/>
        <v>10 2025</v>
      </c>
      <c r="C285" s="10">
        <f t="shared" si="33"/>
        <v>45937</v>
      </c>
      <c r="D285" s="10">
        <f t="shared" si="34"/>
        <v>45938</v>
      </c>
      <c r="E285" s="11">
        <f t="shared" si="32"/>
        <v>1</v>
      </c>
      <c r="G285" s="11"/>
      <c r="H285" s="206"/>
      <c r="I285" s="277"/>
      <c r="J285" s="228"/>
      <c r="K285" s="12"/>
      <c r="L285" s="12"/>
      <c r="M285" s="215"/>
      <c r="N285" s="12"/>
      <c r="O285" s="219"/>
      <c r="P285" s="219"/>
      <c r="Q285" s="219"/>
      <c r="R285" s="219"/>
      <c r="T285" s="277"/>
      <c r="U285" s="98"/>
      <c r="V285" s="12">
        <f t="shared" si="35"/>
        <v>0</v>
      </c>
      <c r="W285" s="12">
        <f t="shared" si="30"/>
        <v>0</v>
      </c>
      <c r="X285" s="12">
        <f t="shared" si="36"/>
        <v>0</v>
      </c>
      <c r="Z285" s="245" t="e">
        <f t="shared" si="37"/>
        <v>#DIV/0!</v>
      </c>
      <c r="AA285" s="118"/>
      <c r="AB285" s="200" t="e">
        <f>(#REF!-1)*(360/(C285-$C$76))</f>
        <v>#REF!</v>
      </c>
      <c r="AC285" s="13">
        <f>W285-U284*'OverNight €'!I285*E285/360</f>
        <v>0</v>
      </c>
    </row>
    <row r="286" spans="2:31" hidden="1" x14ac:dyDescent="0.2">
      <c r="B286" s="9" t="str">
        <f t="shared" si="31"/>
        <v>10 2025</v>
      </c>
      <c r="C286" s="10">
        <f t="shared" si="33"/>
        <v>45938</v>
      </c>
      <c r="D286" s="10">
        <f t="shared" si="34"/>
        <v>45939</v>
      </c>
      <c r="E286" s="11">
        <f t="shared" si="32"/>
        <v>1</v>
      </c>
      <c r="G286" s="11"/>
      <c r="H286" s="206"/>
      <c r="I286" s="277"/>
      <c r="J286" s="228"/>
      <c r="K286" s="12"/>
      <c r="L286" s="12"/>
      <c r="M286" s="215"/>
      <c r="N286" s="12"/>
      <c r="O286" s="219"/>
      <c r="P286" s="219"/>
      <c r="Q286" s="219"/>
      <c r="R286" s="219"/>
      <c r="T286" s="277"/>
      <c r="U286" s="98"/>
      <c r="V286" s="12">
        <f t="shared" si="35"/>
        <v>0</v>
      </c>
      <c r="W286" s="12">
        <f t="shared" si="30"/>
        <v>0</v>
      </c>
      <c r="X286" s="12">
        <f t="shared" si="36"/>
        <v>0</v>
      </c>
      <c r="Z286" s="245" t="e">
        <f t="shared" si="37"/>
        <v>#DIV/0!</v>
      </c>
      <c r="AA286" s="118"/>
      <c r="AB286" s="200" t="e">
        <f>(#REF!-1)*(360/(C286-$C$76))</f>
        <v>#REF!</v>
      </c>
      <c r="AC286" s="13">
        <f>W286-U285*'OverNight €'!I286*E286/360</f>
        <v>0</v>
      </c>
    </row>
    <row r="287" spans="2:31" hidden="1" x14ac:dyDescent="0.2">
      <c r="B287" s="9" t="str">
        <f t="shared" si="31"/>
        <v>10 2025</v>
      </c>
      <c r="C287" s="10">
        <f t="shared" si="33"/>
        <v>45939</v>
      </c>
      <c r="D287" s="10">
        <f t="shared" si="34"/>
        <v>45940</v>
      </c>
      <c r="E287" s="11">
        <f t="shared" si="32"/>
        <v>1</v>
      </c>
      <c r="G287" s="11"/>
      <c r="H287" s="206"/>
      <c r="I287" s="277"/>
      <c r="J287" s="228"/>
      <c r="K287" s="12"/>
      <c r="L287" s="12"/>
      <c r="M287" s="215"/>
      <c r="N287" s="12"/>
      <c r="O287" s="219"/>
      <c r="P287" s="219"/>
      <c r="Q287" s="219"/>
      <c r="R287" s="219"/>
      <c r="T287" s="277"/>
      <c r="U287" s="98"/>
      <c r="V287" s="12">
        <f t="shared" si="35"/>
        <v>0</v>
      </c>
      <c r="W287" s="12">
        <f t="shared" si="30"/>
        <v>0</v>
      </c>
      <c r="X287" s="12">
        <f t="shared" si="36"/>
        <v>0</v>
      </c>
      <c r="Z287" s="245" t="e">
        <f t="shared" si="37"/>
        <v>#DIV/0!</v>
      </c>
      <c r="AA287" s="118"/>
      <c r="AB287" s="200" t="e">
        <f>(#REF!-1)*(360/(C287-$C$76))</f>
        <v>#REF!</v>
      </c>
      <c r="AC287" s="13">
        <f>W287-U286*'OverNight €'!I287*E287/360</f>
        <v>0</v>
      </c>
    </row>
    <row r="288" spans="2:31" hidden="1" x14ac:dyDescent="0.2">
      <c r="B288" s="9" t="str">
        <f t="shared" si="31"/>
        <v>10 2025</v>
      </c>
      <c r="C288" s="10">
        <f t="shared" si="33"/>
        <v>45940</v>
      </c>
      <c r="D288" s="10">
        <f t="shared" si="34"/>
        <v>45941</v>
      </c>
      <c r="E288" s="11">
        <f t="shared" si="32"/>
        <v>1</v>
      </c>
      <c r="G288" s="11"/>
      <c r="H288" s="206"/>
      <c r="I288" s="277"/>
      <c r="J288" s="228"/>
      <c r="K288" s="12"/>
      <c r="L288" s="12"/>
      <c r="M288" s="215"/>
      <c r="N288" s="12"/>
      <c r="O288" s="219"/>
      <c r="P288" s="219"/>
      <c r="Q288" s="219"/>
      <c r="R288" s="219"/>
      <c r="T288" s="277"/>
      <c r="U288" s="98"/>
      <c r="V288" s="12">
        <f t="shared" si="35"/>
        <v>0</v>
      </c>
      <c r="W288" s="12">
        <f t="shared" si="30"/>
        <v>0</v>
      </c>
      <c r="X288" s="12">
        <f t="shared" si="36"/>
        <v>0</v>
      </c>
      <c r="Z288" s="245" t="e">
        <f t="shared" si="37"/>
        <v>#DIV/0!</v>
      </c>
      <c r="AA288" s="118"/>
      <c r="AB288" s="200" t="e">
        <f>(#REF!-1)*(360/(C288-$C$76))</f>
        <v>#REF!</v>
      </c>
      <c r="AC288" s="13">
        <f>W288-U287*'OverNight €'!I288*E288/360</f>
        <v>0</v>
      </c>
    </row>
    <row r="289" spans="2:29" hidden="1" x14ac:dyDescent="0.2">
      <c r="B289" s="9" t="str">
        <f t="shared" si="31"/>
        <v>10 2025</v>
      </c>
      <c r="C289" s="10">
        <f t="shared" si="33"/>
        <v>45941</v>
      </c>
      <c r="D289" s="10">
        <f t="shared" si="34"/>
        <v>45942</v>
      </c>
      <c r="E289" s="11">
        <f t="shared" si="32"/>
        <v>1</v>
      </c>
      <c r="G289" s="11"/>
      <c r="H289" s="206"/>
      <c r="I289" s="277"/>
      <c r="J289" s="228"/>
      <c r="K289" s="12"/>
      <c r="L289" s="12"/>
      <c r="M289" s="215"/>
      <c r="N289" s="12"/>
      <c r="O289" s="219"/>
      <c r="P289" s="219"/>
      <c r="Q289" s="219"/>
      <c r="R289" s="219"/>
      <c r="T289" s="277"/>
      <c r="U289" s="98"/>
      <c r="V289" s="12">
        <f t="shared" si="35"/>
        <v>0</v>
      </c>
      <c r="W289" s="12">
        <f t="shared" si="30"/>
        <v>0</v>
      </c>
      <c r="X289" s="12">
        <f t="shared" si="36"/>
        <v>0</v>
      </c>
      <c r="Z289" s="245" t="e">
        <f t="shared" si="37"/>
        <v>#DIV/0!</v>
      </c>
      <c r="AA289" s="118"/>
      <c r="AB289" s="200" t="e">
        <f>(#REF!-1)*(360/(C289-$C$76))</f>
        <v>#REF!</v>
      </c>
      <c r="AC289" s="13">
        <f>W289-U288*'OverNight €'!I289*E289/360</f>
        <v>0</v>
      </c>
    </row>
    <row r="290" spans="2:29" hidden="1" x14ac:dyDescent="0.2">
      <c r="B290" s="9" t="str">
        <f t="shared" si="31"/>
        <v>10 2025</v>
      </c>
      <c r="C290" s="10">
        <f t="shared" si="33"/>
        <v>45942</v>
      </c>
      <c r="D290" s="10">
        <f t="shared" si="34"/>
        <v>45943</v>
      </c>
      <c r="E290" s="11">
        <f t="shared" si="32"/>
        <v>1</v>
      </c>
      <c r="G290" s="11"/>
      <c r="H290" s="206"/>
      <c r="I290" s="277"/>
      <c r="J290" s="228"/>
      <c r="K290" s="12"/>
      <c r="L290" s="12"/>
      <c r="M290" s="215"/>
      <c r="N290" s="12"/>
      <c r="O290" s="219"/>
      <c r="P290" s="219"/>
      <c r="Q290" s="219"/>
      <c r="R290" s="219"/>
      <c r="T290" s="277"/>
      <c r="U290" s="98"/>
      <c r="V290" s="12">
        <f t="shared" si="35"/>
        <v>0</v>
      </c>
      <c r="W290" s="12">
        <f t="shared" si="30"/>
        <v>0</v>
      </c>
      <c r="X290" s="12">
        <f t="shared" si="36"/>
        <v>0</v>
      </c>
      <c r="Z290" s="245" t="e">
        <f t="shared" si="37"/>
        <v>#DIV/0!</v>
      </c>
      <c r="AA290" s="118"/>
      <c r="AB290" s="200" t="e">
        <f>(#REF!-1)*(360/(C290-$C$76))</f>
        <v>#REF!</v>
      </c>
      <c r="AC290" s="13">
        <f>W290-U289*'OverNight €'!I290*E290/360</f>
        <v>0</v>
      </c>
    </row>
    <row r="291" spans="2:29" hidden="1" x14ac:dyDescent="0.2">
      <c r="B291" s="9" t="str">
        <f t="shared" si="31"/>
        <v>10 2025</v>
      </c>
      <c r="C291" s="10">
        <f t="shared" si="33"/>
        <v>45943</v>
      </c>
      <c r="D291" s="10">
        <f t="shared" si="34"/>
        <v>45944</v>
      </c>
      <c r="E291" s="11">
        <f t="shared" si="32"/>
        <v>1</v>
      </c>
      <c r="G291" s="11"/>
      <c r="H291" s="206"/>
      <c r="I291" s="277"/>
      <c r="J291" s="228"/>
      <c r="K291" s="12"/>
      <c r="L291" s="12"/>
      <c r="M291" s="215"/>
      <c r="N291" s="12"/>
      <c r="O291" s="219"/>
      <c r="P291" s="219"/>
      <c r="Q291" s="219"/>
      <c r="R291" s="219"/>
      <c r="T291" s="277"/>
      <c r="U291" s="98"/>
      <c r="V291" s="12">
        <f t="shared" si="35"/>
        <v>0</v>
      </c>
      <c r="W291" s="12">
        <f t="shared" si="30"/>
        <v>0</v>
      </c>
      <c r="X291" s="12">
        <f t="shared" si="36"/>
        <v>0</v>
      </c>
      <c r="Z291" s="245" t="e">
        <f t="shared" si="37"/>
        <v>#DIV/0!</v>
      </c>
      <c r="AA291" s="118"/>
      <c r="AB291" s="200" t="e">
        <f>(#REF!-1)*(360/(C291-$C$76))</f>
        <v>#REF!</v>
      </c>
      <c r="AC291" s="13">
        <f>W291-U290*'OverNight €'!I291*E291/360</f>
        <v>0</v>
      </c>
    </row>
    <row r="292" spans="2:29" hidden="1" x14ac:dyDescent="0.2">
      <c r="B292" s="9" t="str">
        <f t="shared" si="31"/>
        <v>10 2025</v>
      </c>
      <c r="C292" s="10">
        <f t="shared" si="33"/>
        <v>45944</v>
      </c>
      <c r="D292" s="10">
        <f t="shared" si="34"/>
        <v>45945</v>
      </c>
      <c r="E292" s="11">
        <f t="shared" si="32"/>
        <v>1</v>
      </c>
      <c r="G292" s="11"/>
      <c r="H292" s="206"/>
      <c r="I292" s="277"/>
      <c r="J292" s="228"/>
      <c r="K292" s="12"/>
      <c r="L292" s="12"/>
      <c r="M292" s="215"/>
      <c r="N292" s="12"/>
      <c r="O292" s="219"/>
      <c r="P292" s="219"/>
      <c r="Q292" s="219"/>
      <c r="R292" s="219"/>
      <c r="T292" s="277"/>
      <c r="U292" s="98"/>
      <c r="V292" s="12">
        <f t="shared" si="35"/>
        <v>0</v>
      </c>
      <c r="W292" s="12">
        <f t="shared" si="30"/>
        <v>0</v>
      </c>
      <c r="X292" s="12">
        <f t="shared" si="36"/>
        <v>0</v>
      </c>
      <c r="Z292" s="245" t="e">
        <f t="shared" si="37"/>
        <v>#DIV/0!</v>
      </c>
      <c r="AA292" s="118"/>
      <c r="AB292" s="200" t="e">
        <f>(#REF!-1)*(360/(C292-$C$76))</f>
        <v>#REF!</v>
      </c>
      <c r="AC292" s="13">
        <f>W292-U291*'OverNight €'!I292*E292/360</f>
        <v>0</v>
      </c>
    </row>
    <row r="293" spans="2:29" hidden="1" x14ac:dyDescent="0.2">
      <c r="B293" s="9" t="str">
        <f t="shared" si="31"/>
        <v>10 2025</v>
      </c>
      <c r="C293" s="10">
        <f t="shared" si="33"/>
        <v>45945</v>
      </c>
      <c r="D293" s="10">
        <f t="shared" si="34"/>
        <v>45946</v>
      </c>
      <c r="E293" s="11">
        <f t="shared" si="32"/>
        <v>1</v>
      </c>
      <c r="G293" s="11"/>
      <c r="H293" s="206"/>
      <c r="I293" s="277"/>
      <c r="J293" s="228"/>
      <c r="K293" s="12"/>
      <c r="L293" s="12"/>
      <c r="M293" s="215"/>
      <c r="N293" s="12"/>
      <c r="O293" s="219"/>
      <c r="P293" s="219"/>
      <c r="Q293" s="219"/>
      <c r="R293" s="219"/>
      <c r="T293" s="277"/>
      <c r="U293" s="98"/>
      <c r="V293" s="12">
        <f t="shared" si="35"/>
        <v>0</v>
      </c>
      <c r="W293" s="12">
        <f t="shared" si="30"/>
        <v>0</v>
      </c>
      <c r="X293" s="12">
        <f t="shared" si="36"/>
        <v>0</v>
      </c>
      <c r="Z293" s="245" t="e">
        <f t="shared" si="37"/>
        <v>#DIV/0!</v>
      </c>
      <c r="AA293" s="118"/>
      <c r="AB293" s="200" t="e">
        <f>(#REF!-1)*(360/(C293-$C$76))</f>
        <v>#REF!</v>
      </c>
      <c r="AC293" s="13">
        <f>W293-U292*'OverNight €'!I293*E293/360</f>
        <v>0</v>
      </c>
    </row>
    <row r="294" spans="2:29" hidden="1" x14ac:dyDescent="0.2">
      <c r="B294" s="9" t="str">
        <f t="shared" si="31"/>
        <v>10 2025</v>
      </c>
      <c r="C294" s="10">
        <f t="shared" si="33"/>
        <v>45946</v>
      </c>
      <c r="D294" s="10">
        <f t="shared" si="34"/>
        <v>45947</v>
      </c>
      <c r="E294" s="11">
        <f t="shared" si="32"/>
        <v>1</v>
      </c>
      <c r="G294" s="11"/>
      <c r="H294" s="206"/>
      <c r="I294" s="277"/>
      <c r="J294" s="228"/>
      <c r="K294" s="12"/>
      <c r="L294" s="12"/>
      <c r="M294" s="215"/>
      <c r="N294" s="12"/>
      <c r="O294" s="219"/>
      <c r="P294" s="219"/>
      <c r="Q294" s="219"/>
      <c r="R294" s="219"/>
      <c r="T294" s="277"/>
      <c r="U294" s="98"/>
      <c r="V294" s="12">
        <f t="shared" si="35"/>
        <v>0</v>
      </c>
      <c r="W294" s="12">
        <f t="shared" si="30"/>
        <v>0</v>
      </c>
      <c r="X294" s="12">
        <f t="shared" si="36"/>
        <v>0</v>
      </c>
      <c r="Z294" s="245" t="e">
        <f t="shared" si="37"/>
        <v>#DIV/0!</v>
      </c>
      <c r="AA294" s="118"/>
      <c r="AB294" s="200" t="e">
        <f>(#REF!-1)*(360/(C294-$C$76))</f>
        <v>#REF!</v>
      </c>
      <c r="AC294" s="13">
        <f>W294-U293*'OverNight €'!I294*E294/360</f>
        <v>0</v>
      </c>
    </row>
    <row r="295" spans="2:29" hidden="1" x14ac:dyDescent="0.2">
      <c r="B295" s="9" t="str">
        <f t="shared" si="31"/>
        <v>10 2025</v>
      </c>
      <c r="C295" s="10">
        <f t="shared" si="33"/>
        <v>45947</v>
      </c>
      <c r="D295" s="10">
        <f t="shared" si="34"/>
        <v>45948</v>
      </c>
      <c r="E295" s="11">
        <f t="shared" si="32"/>
        <v>1</v>
      </c>
      <c r="G295" s="11"/>
      <c r="H295" s="206"/>
      <c r="I295" s="277"/>
      <c r="J295" s="228"/>
      <c r="K295" s="12"/>
      <c r="L295" s="12"/>
      <c r="M295" s="215"/>
      <c r="N295" s="12"/>
      <c r="O295" s="219"/>
      <c r="P295" s="219"/>
      <c r="Q295" s="219"/>
      <c r="R295" s="219"/>
      <c r="T295" s="277"/>
      <c r="U295" s="98"/>
      <c r="V295" s="12">
        <f t="shared" si="35"/>
        <v>0</v>
      </c>
      <c r="W295" s="12">
        <f t="shared" si="30"/>
        <v>0</v>
      </c>
      <c r="X295" s="12">
        <f t="shared" si="36"/>
        <v>0</v>
      </c>
      <c r="Z295" s="245" t="e">
        <f t="shared" si="37"/>
        <v>#DIV/0!</v>
      </c>
      <c r="AA295" s="118"/>
      <c r="AB295" s="200" t="e">
        <f>(#REF!-1)*(360/(C295-$C$76))</f>
        <v>#REF!</v>
      </c>
      <c r="AC295" s="13">
        <f>W295-U294*'OverNight €'!I295*E295/360</f>
        <v>0</v>
      </c>
    </row>
    <row r="296" spans="2:29" hidden="1" x14ac:dyDescent="0.2">
      <c r="B296" s="9" t="str">
        <f t="shared" si="31"/>
        <v>10 2025</v>
      </c>
      <c r="C296" s="10">
        <f t="shared" si="33"/>
        <v>45948</v>
      </c>
      <c r="D296" s="10">
        <f t="shared" si="34"/>
        <v>45949</v>
      </c>
      <c r="E296" s="11">
        <f t="shared" si="32"/>
        <v>1</v>
      </c>
      <c r="G296" s="11"/>
      <c r="H296" s="206"/>
      <c r="I296" s="277"/>
      <c r="J296" s="228"/>
      <c r="K296" s="12"/>
      <c r="L296" s="12"/>
      <c r="M296" s="215"/>
      <c r="N296" s="12"/>
      <c r="O296" s="219"/>
      <c r="P296" s="219"/>
      <c r="Q296" s="219"/>
      <c r="R296" s="219"/>
      <c r="T296" s="277"/>
      <c r="U296" s="98"/>
      <c r="V296" s="12">
        <f t="shared" si="35"/>
        <v>0</v>
      </c>
      <c r="W296" s="12">
        <f t="shared" si="30"/>
        <v>0</v>
      </c>
      <c r="X296" s="12">
        <f t="shared" si="36"/>
        <v>0</v>
      </c>
      <c r="Z296" s="245" t="e">
        <f t="shared" si="37"/>
        <v>#DIV/0!</v>
      </c>
      <c r="AA296" s="118"/>
      <c r="AB296" s="200" t="e">
        <f>(#REF!-1)*(360/(C296-$C$76))</f>
        <v>#REF!</v>
      </c>
      <c r="AC296" s="13">
        <f>W296-U295*'OverNight €'!I296*E296/360</f>
        <v>0</v>
      </c>
    </row>
    <row r="297" spans="2:29" hidden="1" x14ac:dyDescent="0.2">
      <c r="B297" s="9" t="str">
        <f t="shared" si="31"/>
        <v>10 2025</v>
      </c>
      <c r="C297" s="10">
        <f t="shared" si="33"/>
        <v>45949</v>
      </c>
      <c r="D297" s="10">
        <f t="shared" si="34"/>
        <v>45950</v>
      </c>
      <c r="E297" s="11">
        <f t="shared" si="32"/>
        <v>1</v>
      </c>
      <c r="G297" s="11"/>
      <c r="H297" s="206"/>
      <c r="I297" s="277"/>
      <c r="J297" s="228"/>
      <c r="K297" s="12"/>
      <c r="L297" s="12"/>
      <c r="M297" s="215"/>
      <c r="N297" s="12"/>
      <c r="O297" s="219"/>
      <c r="P297" s="219"/>
      <c r="Q297" s="219"/>
      <c r="R297" s="219"/>
      <c r="T297" s="277"/>
      <c r="U297" s="98"/>
      <c r="V297" s="12">
        <f t="shared" si="35"/>
        <v>0</v>
      </c>
      <c r="W297" s="12">
        <f t="shared" ref="W297:W308" si="38">V297+R297-V296</f>
        <v>0</v>
      </c>
      <c r="X297" s="12">
        <f t="shared" si="36"/>
        <v>0</v>
      </c>
      <c r="Z297" s="245" t="e">
        <f t="shared" si="37"/>
        <v>#DIV/0!</v>
      </c>
      <c r="AA297" s="118"/>
      <c r="AB297" s="200" t="e">
        <f>(#REF!-1)*(360/(C297-$C$76))</f>
        <v>#REF!</v>
      </c>
      <c r="AC297" s="13">
        <f>W297-U296*'OverNight €'!I297*E297/360</f>
        <v>0</v>
      </c>
    </row>
    <row r="298" spans="2:29" hidden="1" x14ac:dyDescent="0.2">
      <c r="B298" s="9" t="str">
        <f t="shared" si="31"/>
        <v>10 2025</v>
      </c>
      <c r="C298" s="10">
        <f t="shared" si="33"/>
        <v>45950</v>
      </c>
      <c r="D298" s="10">
        <f t="shared" si="34"/>
        <v>45951</v>
      </c>
      <c r="E298" s="11">
        <f t="shared" si="32"/>
        <v>1</v>
      </c>
      <c r="G298" s="11"/>
      <c r="H298" s="206"/>
      <c r="I298" s="277"/>
      <c r="J298" s="228"/>
      <c r="K298" s="12"/>
      <c r="L298" s="12"/>
      <c r="M298" s="215"/>
      <c r="N298" s="12"/>
      <c r="O298" s="219"/>
      <c r="P298" s="219"/>
      <c r="Q298" s="219"/>
      <c r="R298" s="219"/>
      <c r="T298" s="277"/>
      <c r="U298" s="98"/>
      <c r="V298" s="12">
        <f t="shared" si="35"/>
        <v>0</v>
      </c>
      <c r="W298" s="12">
        <f t="shared" si="38"/>
        <v>0</v>
      </c>
      <c r="X298" s="12">
        <f t="shared" si="36"/>
        <v>0</v>
      </c>
      <c r="Z298" s="245" t="e">
        <f t="shared" si="37"/>
        <v>#DIV/0!</v>
      </c>
      <c r="AA298" s="118"/>
      <c r="AB298" s="200" t="e">
        <f>(#REF!-1)*(360/(C298-$C$76))</f>
        <v>#REF!</v>
      </c>
      <c r="AC298" s="13">
        <f>W298-U297*'OverNight €'!I298*E298/360</f>
        <v>0</v>
      </c>
    </row>
    <row r="299" spans="2:29" hidden="1" x14ac:dyDescent="0.2">
      <c r="B299" s="9" t="str">
        <f t="shared" si="31"/>
        <v>10 2025</v>
      </c>
      <c r="C299" s="10">
        <f t="shared" si="33"/>
        <v>45951</v>
      </c>
      <c r="D299" s="10">
        <f t="shared" si="34"/>
        <v>45952</v>
      </c>
      <c r="E299" s="11">
        <f t="shared" si="32"/>
        <v>1</v>
      </c>
      <c r="G299" s="11"/>
      <c r="H299" s="206"/>
      <c r="I299" s="277"/>
      <c r="J299" s="228"/>
      <c r="K299" s="12"/>
      <c r="L299" s="12"/>
      <c r="M299" s="215"/>
      <c r="N299" s="12"/>
      <c r="O299" s="219"/>
      <c r="P299" s="219"/>
      <c r="Q299" s="219"/>
      <c r="R299" s="219"/>
      <c r="T299" s="277"/>
      <c r="U299" s="98"/>
      <c r="V299" s="12">
        <f t="shared" si="35"/>
        <v>0</v>
      </c>
      <c r="W299" s="12">
        <f t="shared" si="38"/>
        <v>0</v>
      </c>
      <c r="X299" s="12">
        <f t="shared" si="36"/>
        <v>0</v>
      </c>
      <c r="Z299" s="245" t="e">
        <f t="shared" si="37"/>
        <v>#DIV/0!</v>
      </c>
      <c r="AA299" s="118"/>
      <c r="AB299" s="200" t="e">
        <f>(#REF!-1)*(360/(C299-$C$76))</f>
        <v>#REF!</v>
      </c>
      <c r="AC299" s="13">
        <f>W299-U298*'OverNight €'!I299*E299/360</f>
        <v>0</v>
      </c>
    </row>
    <row r="300" spans="2:29" hidden="1" x14ac:dyDescent="0.2">
      <c r="B300" s="9" t="str">
        <f t="shared" si="31"/>
        <v>10 2025</v>
      </c>
      <c r="C300" s="10">
        <f t="shared" si="33"/>
        <v>45952</v>
      </c>
      <c r="D300" s="10">
        <f t="shared" si="34"/>
        <v>45953</v>
      </c>
      <c r="E300" s="11">
        <f t="shared" si="32"/>
        <v>1</v>
      </c>
      <c r="G300" s="11"/>
      <c r="H300" s="206"/>
      <c r="I300" s="277"/>
      <c r="J300" s="228"/>
      <c r="K300" s="12"/>
      <c r="L300" s="12"/>
      <c r="M300" s="215"/>
      <c r="N300" s="12"/>
      <c r="O300" s="219"/>
      <c r="P300" s="219"/>
      <c r="Q300" s="219"/>
      <c r="R300" s="219"/>
      <c r="T300" s="277"/>
      <c r="U300" s="98"/>
      <c r="V300" s="12">
        <f t="shared" si="35"/>
        <v>0</v>
      </c>
      <c r="W300" s="12">
        <f t="shared" si="38"/>
        <v>0</v>
      </c>
      <c r="X300" s="12">
        <f t="shared" si="36"/>
        <v>0</v>
      </c>
      <c r="Z300" s="245" t="e">
        <f t="shared" si="37"/>
        <v>#DIV/0!</v>
      </c>
      <c r="AA300" s="118"/>
      <c r="AB300" s="200" t="e">
        <f>(#REF!-1)*(360/(C300-$C$76))</f>
        <v>#REF!</v>
      </c>
      <c r="AC300" s="13">
        <f>W300-U299*'OverNight €'!I300*E300/360</f>
        <v>0</v>
      </c>
    </row>
    <row r="301" spans="2:29" hidden="1" x14ac:dyDescent="0.2">
      <c r="B301" s="9" t="str">
        <f t="shared" si="31"/>
        <v>10 2025</v>
      </c>
      <c r="C301" s="10">
        <f t="shared" si="33"/>
        <v>45953</v>
      </c>
      <c r="D301" s="10">
        <f t="shared" si="34"/>
        <v>45954</v>
      </c>
      <c r="E301" s="11">
        <f t="shared" si="32"/>
        <v>1</v>
      </c>
      <c r="G301" s="11"/>
      <c r="H301" s="206"/>
      <c r="I301" s="277"/>
      <c r="J301" s="228"/>
      <c r="K301" s="12"/>
      <c r="L301" s="12"/>
      <c r="M301" s="215"/>
      <c r="N301" s="12"/>
      <c r="O301" s="219"/>
      <c r="P301" s="219"/>
      <c r="Q301" s="219"/>
      <c r="R301" s="219"/>
      <c r="T301" s="277"/>
      <c r="U301" s="98"/>
      <c r="V301" s="12">
        <f t="shared" si="35"/>
        <v>0</v>
      </c>
      <c r="W301" s="12">
        <f t="shared" si="38"/>
        <v>0</v>
      </c>
      <c r="X301" s="12">
        <f t="shared" si="36"/>
        <v>0</v>
      </c>
      <c r="Z301" s="245" t="e">
        <f t="shared" si="37"/>
        <v>#DIV/0!</v>
      </c>
      <c r="AA301" s="118"/>
      <c r="AB301" s="200" t="e">
        <f>(#REF!-1)*(360/(C301-$C$76))</f>
        <v>#REF!</v>
      </c>
      <c r="AC301" s="13">
        <f>W301-U300*'OverNight €'!I301*E301/360</f>
        <v>0</v>
      </c>
    </row>
    <row r="302" spans="2:29" hidden="1" x14ac:dyDescent="0.2">
      <c r="B302" s="9" t="str">
        <f t="shared" si="31"/>
        <v>10 2025</v>
      </c>
      <c r="C302" s="10">
        <f t="shared" si="33"/>
        <v>45954</v>
      </c>
      <c r="D302" s="10">
        <f t="shared" si="34"/>
        <v>45955</v>
      </c>
      <c r="E302" s="11">
        <f t="shared" si="32"/>
        <v>1</v>
      </c>
      <c r="G302" s="11"/>
      <c r="H302" s="206"/>
      <c r="I302" s="277"/>
      <c r="J302" s="228"/>
      <c r="K302" s="12"/>
      <c r="L302" s="12"/>
      <c r="M302" s="215"/>
      <c r="N302" s="12"/>
      <c r="O302" s="219"/>
      <c r="P302" s="219"/>
      <c r="Q302" s="219"/>
      <c r="R302" s="219"/>
      <c r="T302" s="277"/>
      <c r="U302" s="98"/>
      <c r="V302" s="12">
        <f t="shared" si="35"/>
        <v>0</v>
      </c>
      <c r="W302" s="12">
        <f t="shared" si="38"/>
        <v>0</v>
      </c>
      <c r="X302" s="12">
        <f t="shared" si="36"/>
        <v>0</v>
      </c>
      <c r="Z302" s="245" t="e">
        <f t="shared" si="37"/>
        <v>#DIV/0!</v>
      </c>
      <c r="AA302" s="118"/>
      <c r="AB302" s="200" t="e">
        <f>(#REF!-1)*(360/(C302-$C$76))</f>
        <v>#REF!</v>
      </c>
      <c r="AC302" s="13">
        <f>W302-U301*'OverNight €'!I302*E302/360</f>
        <v>0</v>
      </c>
    </row>
    <row r="303" spans="2:29" hidden="1" x14ac:dyDescent="0.2">
      <c r="B303" s="9" t="str">
        <f t="shared" si="31"/>
        <v>10 2025</v>
      </c>
      <c r="C303" s="10">
        <f t="shared" si="33"/>
        <v>45955</v>
      </c>
      <c r="D303" s="10">
        <f t="shared" si="34"/>
        <v>45956</v>
      </c>
      <c r="E303" s="11">
        <f t="shared" si="32"/>
        <v>1</v>
      </c>
      <c r="G303" s="11"/>
      <c r="H303" s="206"/>
      <c r="I303" s="277"/>
      <c r="J303" s="228"/>
      <c r="K303" s="12"/>
      <c r="L303" s="12"/>
      <c r="M303" s="215"/>
      <c r="N303" s="12"/>
      <c r="O303" s="219"/>
      <c r="P303" s="219"/>
      <c r="Q303" s="219"/>
      <c r="R303" s="219"/>
      <c r="T303" s="277"/>
      <c r="U303" s="98"/>
      <c r="V303" s="12">
        <f t="shared" si="35"/>
        <v>0</v>
      </c>
      <c r="W303" s="12">
        <f t="shared" si="38"/>
        <v>0</v>
      </c>
      <c r="X303" s="12">
        <f t="shared" si="36"/>
        <v>0</v>
      </c>
      <c r="Z303" s="245" t="e">
        <f t="shared" si="37"/>
        <v>#DIV/0!</v>
      </c>
      <c r="AA303" s="118"/>
      <c r="AB303" s="200" t="e">
        <f>(#REF!-1)*(360/(C303-$C$76))</f>
        <v>#REF!</v>
      </c>
      <c r="AC303" s="13">
        <f>W303-U302*'OverNight €'!I303*E303/360</f>
        <v>0</v>
      </c>
    </row>
    <row r="304" spans="2:29" hidden="1" x14ac:dyDescent="0.2">
      <c r="B304" s="9" t="str">
        <f t="shared" si="31"/>
        <v>10 2025</v>
      </c>
      <c r="C304" s="10">
        <f t="shared" si="33"/>
        <v>45956</v>
      </c>
      <c r="D304" s="10">
        <f t="shared" si="34"/>
        <v>45957</v>
      </c>
      <c r="E304" s="11">
        <f t="shared" si="32"/>
        <v>1</v>
      </c>
      <c r="G304" s="11"/>
      <c r="H304" s="206"/>
      <c r="I304" s="277"/>
      <c r="J304" s="228"/>
      <c r="K304" s="12"/>
      <c r="L304" s="12"/>
      <c r="M304" s="215"/>
      <c r="N304" s="12"/>
      <c r="O304" s="219"/>
      <c r="P304" s="219"/>
      <c r="Q304" s="219"/>
      <c r="R304" s="219"/>
      <c r="T304" s="277"/>
      <c r="U304" s="98"/>
      <c r="V304" s="12">
        <f t="shared" si="35"/>
        <v>0</v>
      </c>
      <c r="W304" s="12">
        <f t="shared" si="38"/>
        <v>0</v>
      </c>
      <c r="X304" s="12">
        <f t="shared" si="36"/>
        <v>0</v>
      </c>
      <c r="Z304" s="245" t="e">
        <f t="shared" si="37"/>
        <v>#DIV/0!</v>
      </c>
      <c r="AA304" s="118"/>
      <c r="AB304" s="200" t="e">
        <f>(#REF!-1)*(360/(C304-$C$76))</f>
        <v>#REF!</v>
      </c>
      <c r="AC304" s="13">
        <f>W304-U303*'OverNight €'!I304*E304/360</f>
        <v>0</v>
      </c>
    </row>
    <row r="305" spans="2:31" hidden="1" x14ac:dyDescent="0.2">
      <c r="B305" s="9" t="str">
        <f t="shared" si="31"/>
        <v>10 2025</v>
      </c>
      <c r="C305" s="10">
        <f t="shared" si="33"/>
        <v>45957</v>
      </c>
      <c r="D305" s="10">
        <f t="shared" si="34"/>
        <v>45958</v>
      </c>
      <c r="E305" s="11">
        <f t="shared" si="32"/>
        <v>1</v>
      </c>
      <c r="G305" s="11"/>
      <c r="H305" s="206"/>
      <c r="I305" s="277"/>
      <c r="J305" s="228"/>
      <c r="K305" s="12"/>
      <c r="L305" s="12"/>
      <c r="M305" s="215"/>
      <c r="N305" s="12"/>
      <c r="O305" s="219"/>
      <c r="P305" s="219"/>
      <c r="Q305" s="219"/>
      <c r="R305" s="219"/>
      <c r="T305" s="277"/>
      <c r="U305" s="98"/>
      <c r="V305" s="12">
        <f t="shared" si="35"/>
        <v>0</v>
      </c>
      <c r="W305" s="12">
        <f t="shared" si="38"/>
        <v>0</v>
      </c>
      <c r="X305" s="12">
        <f t="shared" si="36"/>
        <v>0</v>
      </c>
      <c r="Z305" s="245" t="e">
        <f t="shared" si="37"/>
        <v>#DIV/0!</v>
      </c>
      <c r="AA305" s="118"/>
      <c r="AB305" s="200" t="e">
        <f>(#REF!-1)*(360/(C305-$C$76))</f>
        <v>#REF!</v>
      </c>
      <c r="AC305" s="13">
        <f>W305-U304*'OverNight €'!I305*E305/360</f>
        <v>0</v>
      </c>
    </row>
    <row r="306" spans="2:31" hidden="1" x14ac:dyDescent="0.2">
      <c r="B306" s="9" t="str">
        <f t="shared" si="31"/>
        <v>10 2025</v>
      </c>
      <c r="C306" s="10">
        <f t="shared" si="33"/>
        <v>45958</v>
      </c>
      <c r="D306" s="10">
        <f t="shared" si="34"/>
        <v>45959</v>
      </c>
      <c r="E306" s="11">
        <f t="shared" si="32"/>
        <v>1</v>
      </c>
      <c r="G306" s="11"/>
      <c r="H306" s="206"/>
      <c r="I306" s="277"/>
      <c r="J306" s="228"/>
      <c r="K306" s="12"/>
      <c r="L306" s="12"/>
      <c r="M306" s="215"/>
      <c r="N306" s="12"/>
      <c r="O306" s="219"/>
      <c r="P306" s="219"/>
      <c r="Q306" s="219"/>
      <c r="R306" s="219"/>
      <c r="T306" s="277"/>
      <c r="U306" s="98"/>
      <c r="V306" s="12">
        <f t="shared" si="35"/>
        <v>0</v>
      </c>
      <c r="W306" s="12">
        <f t="shared" si="38"/>
        <v>0</v>
      </c>
      <c r="X306" s="12">
        <f t="shared" si="36"/>
        <v>0</v>
      </c>
      <c r="Z306" s="245" t="e">
        <f t="shared" si="37"/>
        <v>#DIV/0!</v>
      </c>
      <c r="AA306" s="118"/>
      <c r="AB306" s="200" t="e">
        <f>(#REF!-1)*(360/(C306-$C$76))</f>
        <v>#REF!</v>
      </c>
      <c r="AC306" s="13">
        <f>W306-U305*'OverNight €'!I306*E306/360</f>
        <v>0</v>
      </c>
    </row>
    <row r="307" spans="2:31" hidden="1" x14ac:dyDescent="0.2">
      <c r="B307" s="9" t="str">
        <f t="shared" si="31"/>
        <v>10 2025</v>
      </c>
      <c r="C307" s="10">
        <f t="shared" si="33"/>
        <v>45959</v>
      </c>
      <c r="D307" s="10">
        <f t="shared" si="34"/>
        <v>45960</v>
      </c>
      <c r="E307" s="11">
        <f t="shared" si="32"/>
        <v>1</v>
      </c>
      <c r="G307" s="11"/>
      <c r="H307" s="206"/>
      <c r="I307" s="277"/>
      <c r="J307" s="228"/>
      <c r="K307" s="12"/>
      <c r="L307" s="12"/>
      <c r="M307" s="215"/>
      <c r="N307" s="12"/>
      <c r="O307" s="219"/>
      <c r="P307" s="219"/>
      <c r="Q307" s="219"/>
      <c r="R307" s="219"/>
      <c r="T307" s="277"/>
      <c r="U307" s="98"/>
      <c r="V307" s="12">
        <f t="shared" si="35"/>
        <v>0</v>
      </c>
      <c r="W307" s="12">
        <f t="shared" si="38"/>
        <v>0</v>
      </c>
      <c r="X307" s="12">
        <f t="shared" si="36"/>
        <v>0</v>
      </c>
      <c r="Z307" s="245" t="e">
        <f t="shared" si="37"/>
        <v>#DIV/0!</v>
      </c>
      <c r="AA307" s="118"/>
      <c r="AB307" s="200" t="e">
        <f>(#REF!-1)*(360/(C307-$C$76))</f>
        <v>#REF!</v>
      </c>
      <c r="AC307" s="13">
        <f>W307-U306*'OverNight €'!I307*E307/360</f>
        <v>0</v>
      </c>
    </row>
    <row r="308" spans="2:31" x14ac:dyDescent="0.2">
      <c r="B308" s="9" t="str">
        <f t="shared" si="31"/>
        <v>10 2025</v>
      </c>
      <c r="C308" s="142">
        <f t="shared" si="33"/>
        <v>45960</v>
      </c>
      <c r="D308" s="142">
        <f t="shared" si="34"/>
        <v>45961</v>
      </c>
      <c r="E308" s="143">
        <f t="shared" si="32"/>
        <v>1</v>
      </c>
      <c r="F308" s="17"/>
      <c r="G308" s="143"/>
      <c r="H308" s="393"/>
      <c r="I308" s="393"/>
      <c r="J308" s="228"/>
      <c r="K308" s="144"/>
      <c r="L308" s="144"/>
      <c r="M308" s="216"/>
      <c r="N308" s="144"/>
      <c r="O308" s="220"/>
      <c r="P308" s="220"/>
      <c r="Q308" s="220"/>
      <c r="R308" s="220"/>
      <c r="T308" s="278"/>
      <c r="U308" s="261"/>
      <c r="V308" s="144">
        <f t="shared" si="35"/>
        <v>0</v>
      </c>
      <c r="W308" s="144">
        <f t="shared" si="38"/>
        <v>0</v>
      </c>
      <c r="X308" s="144">
        <f t="shared" si="36"/>
        <v>0</v>
      </c>
      <c r="Z308" s="246"/>
      <c r="AA308" s="147"/>
      <c r="AB308" s="147"/>
      <c r="AC308" s="146">
        <f>W308-U307*'OverNight €'!I308*E308/360</f>
        <v>0</v>
      </c>
      <c r="AD308" s="17"/>
      <c r="AE308" s="17"/>
    </row>
    <row r="309" spans="2:31" x14ac:dyDescent="0.2">
      <c r="B309" s="9" t="str">
        <f t="shared" si="31"/>
        <v>11 2025</v>
      </c>
      <c r="C309" s="10">
        <f>D308</f>
        <v>45961</v>
      </c>
      <c r="D309" s="10">
        <f>D308+1</f>
        <v>45962</v>
      </c>
      <c r="E309" s="11">
        <f t="shared" si="32"/>
        <v>1</v>
      </c>
      <c r="G309" s="11" t="s">
        <v>162</v>
      </c>
      <c r="H309" s="206">
        <v>45959</v>
      </c>
      <c r="I309" s="277">
        <v>10147.74</v>
      </c>
      <c r="J309" s="228"/>
      <c r="K309" s="12">
        <v>9854.4109000000008</v>
      </c>
      <c r="L309" s="12">
        <v>100000000</v>
      </c>
      <c r="M309" s="215"/>
      <c r="N309" s="12"/>
      <c r="O309" s="219"/>
      <c r="P309" s="219"/>
      <c r="Q309" s="219"/>
      <c r="R309" s="219"/>
      <c r="T309" s="277">
        <v>9854.4109000000008</v>
      </c>
      <c r="U309" s="98">
        <v>100000000</v>
      </c>
      <c r="V309" s="12">
        <f>X309-U309</f>
        <v>-0.33363398909568787</v>
      </c>
      <c r="W309" s="12">
        <f>V309+-V308</f>
        <v>-0.33363398909568787</v>
      </c>
      <c r="X309" s="12">
        <f t="shared" si="36"/>
        <v>99999999.666366011</v>
      </c>
      <c r="Z309" s="245"/>
      <c r="AA309" s="118">
        <f t="shared" ref="AA309:AA311" si="39">AA310</f>
        <v>2.2461114297369633E-2</v>
      </c>
      <c r="AB309" s="200"/>
      <c r="AC309" s="13">
        <f>W309-U308*'OverNight €'!I309*E309/360</f>
        <v>-0.33363398909568787</v>
      </c>
    </row>
    <row r="310" spans="2:31" x14ac:dyDescent="0.2">
      <c r="B310" s="9" t="str">
        <f t="shared" si="31"/>
        <v>11 2025</v>
      </c>
      <c r="C310" s="10">
        <f t="shared" ref="C310:C369" si="40">D309</f>
        <v>45962</v>
      </c>
      <c r="D310" s="10">
        <f t="shared" ref="D310:D369" si="41">D309+1</f>
        <v>45963</v>
      </c>
      <c r="E310" s="11">
        <f t="shared" si="32"/>
        <v>1</v>
      </c>
      <c r="G310" s="11" t="str">
        <f>G309</f>
        <v>BNP/SG</v>
      </c>
      <c r="H310" s="206">
        <v>45959</v>
      </c>
      <c r="I310" s="277">
        <v>10147.74</v>
      </c>
      <c r="J310" s="228"/>
      <c r="K310" s="12"/>
      <c r="L310" s="12"/>
      <c r="M310" s="215"/>
      <c r="N310" s="12"/>
      <c r="O310" s="219"/>
      <c r="P310" s="219"/>
      <c r="Q310" s="219"/>
      <c r="R310" s="219"/>
      <c r="T310" s="215">
        <f>T309</f>
        <v>9854.4109000000008</v>
      </c>
      <c r="U310" s="12">
        <f>U309</f>
        <v>100000000</v>
      </c>
      <c r="V310" s="12">
        <f t="shared" ref="V310:V341" si="42">X310-U310</f>
        <v>-0.33363398909568787</v>
      </c>
      <c r="W310" s="12">
        <f t="shared" ref="W310:W341" si="43">V310+-V309</f>
        <v>0</v>
      </c>
      <c r="X310" s="12">
        <f t="shared" ref="X310:X341" si="44">T310*I310</f>
        <v>99999999.666366011</v>
      </c>
      <c r="Z310" s="245">
        <f t="shared" ref="Z310:Z341" si="45">I310/I309-1</f>
        <v>0</v>
      </c>
      <c r="AA310" s="118">
        <f t="shared" si="39"/>
        <v>2.2461114297369633E-2</v>
      </c>
      <c r="AB310" s="118">
        <f>(I310/$I$309-1)*360/(C310-$C$309)</f>
        <v>0</v>
      </c>
      <c r="AC310" s="13">
        <f>W310-U309*'OverNight €'!I310*E310/360</f>
        <v>-4861.1111111111113</v>
      </c>
    </row>
    <row r="311" spans="2:31" x14ac:dyDescent="0.2">
      <c r="B311" s="9" t="str">
        <f t="shared" si="31"/>
        <v>11 2025</v>
      </c>
      <c r="C311" s="10">
        <f t="shared" si="40"/>
        <v>45963</v>
      </c>
      <c r="D311" s="10">
        <f t="shared" si="41"/>
        <v>45964</v>
      </c>
      <c r="E311" s="11">
        <f t="shared" si="32"/>
        <v>1</v>
      </c>
      <c r="G311" s="11" t="str">
        <f t="shared" ref="G311:G369" si="46">G310</f>
        <v>BNP/SG</v>
      </c>
      <c r="H311" s="206">
        <v>45959</v>
      </c>
      <c r="I311" s="277">
        <v>10147.74</v>
      </c>
      <c r="J311" s="228"/>
      <c r="K311" s="12"/>
      <c r="L311" s="12"/>
      <c r="M311" s="215"/>
      <c r="N311" s="12"/>
      <c r="O311" s="219"/>
      <c r="P311" s="219"/>
      <c r="Q311" s="219"/>
      <c r="R311" s="219"/>
      <c r="T311" s="215">
        <f>T310</f>
        <v>9854.4109000000008</v>
      </c>
      <c r="U311" s="12">
        <f t="shared" ref="U311:U369" si="47">U310</f>
        <v>100000000</v>
      </c>
      <c r="V311" s="12">
        <f t="shared" si="42"/>
        <v>-0.33363398909568787</v>
      </c>
      <c r="W311" s="12">
        <f t="shared" si="43"/>
        <v>0</v>
      </c>
      <c r="X311" s="12">
        <f t="shared" si="44"/>
        <v>99999999.666366011</v>
      </c>
      <c r="Z311" s="245">
        <f t="shared" si="45"/>
        <v>0</v>
      </c>
      <c r="AA311" s="118">
        <f t="shared" si="39"/>
        <v>2.2461114297369633E-2</v>
      </c>
      <c r="AB311" s="118">
        <f>(I311/$I$309-1)*360/(C311-$C$309)</f>
        <v>0</v>
      </c>
      <c r="AC311" s="13">
        <f>W311-U310*'OverNight €'!I311*E311/360</f>
        <v>-4861.1111111111113</v>
      </c>
    </row>
    <row r="312" spans="2:31" x14ac:dyDescent="0.2">
      <c r="B312" s="9" t="str">
        <f t="shared" si="31"/>
        <v>11 2025</v>
      </c>
      <c r="C312" s="10">
        <f t="shared" si="40"/>
        <v>45964</v>
      </c>
      <c r="D312" s="10">
        <f t="shared" si="41"/>
        <v>45965</v>
      </c>
      <c r="E312" s="11">
        <f t="shared" si="32"/>
        <v>1</v>
      </c>
      <c r="G312" s="11" t="str">
        <f t="shared" si="46"/>
        <v>BNP/SG</v>
      </c>
      <c r="H312" s="206">
        <v>45960</v>
      </c>
      <c r="I312" s="195">
        <v>10149.6369</v>
      </c>
      <c r="J312" s="228"/>
      <c r="K312" s="12"/>
      <c r="L312" s="12"/>
      <c r="M312" s="215"/>
      <c r="N312" s="12"/>
      <c r="O312" s="219"/>
      <c r="P312" s="219"/>
      <c r="Q312" s="219"/>
      <c r="R312" s="219"/>
      <c r="T312" s="215">
        <f t="shared" ref="T312:T369" si="48">T311</f>
        <v>9854.4109000000008</v>
      </c>
      <c r="U312" s="12">
        <f t="shared" si="47"/>
        <v>100000000</v>
      </c>
      <c r="V312" s="12">
        <f t="shared" si="42"/>
        <v>18692.49840220809</v>
      </c>
      <c r="W312" s="12">
        <f t="shared" si="43"/>
        <v>18692.832036197186</v>
      </c>
      <c r="X312" s="12">
        <f t="shared" si="44"/>
        <v>100018692.49840221</v>
      </c>
      <c r="Z312" s="245">
        <f t="shared" si="45"/>
        <v>1.8692832098565759E-4</v>
      </c>
      <c r="AA312" s="118">
        <f>AA313</f>
        <v>2.2461114297369633E-2</v>
      </c>
      <c r="AB312" s="118">
        <f>(I312/$I$309-1)*360/(C312-$C$309)</f>
        <v>2.2431398518278911E-2</v>
      </c>
      <c r="AC312" s="13">
        <f>W312-U311*'OverNight €'!I312*E312/360</f>
        <v>13831.720925086074</v>
      </c>
    </row>
    <row r="313" spans="2:31" x14ac:dyDescent="0.2">
      <c r="B313" s="9" t="str">
        <f t="shared" si="31"/>
        <v>11 2025</v>
      </c>
      <c r="C313" s="262">
        <f t="shared" si="40"/>
        <v>45965</v>
      </c>
      <c r="D313" s="262">
        <f t="shared" si="41"/>
        <v>45966</v>
      </c>
      <c r="E313" s="263">
        <f t="shared" si="32"/>
        <v>1</v>
      </c>
      <c r="G313" s="263" t="str">
        <f t="shared" si="46"/>
        <v>BNP/SG</v>
      </c>
      <c r="H313" s="249">
        <v>45961</v>
      </c>
      <c r="I313" s="264">
        <v>10150.272550533333</v>
      </c>
      <c r="J313" s="228"/>
      <c r="K313" s="107"/>
      <c r="L313" s="107"/>
      <c r="M313" s="264"/>
      <c r="N313" s="107"/>
      <c r="O313" s="265"/>
      <c r="P313" s="265"/>
      <c r="Q313" s="265"/>
      <c r="R313" s="265"/>
      <c r="T313" s="264">
        <f t="shared" si="48"/>
        <v>9854.4109000000008</v>
      </c>
      <c r="U313" s="107">
        <f t="shared" si="47"/>
        <v>100000000</v>
      </c>
      <c r="V313" s="107">
        <f t="shared" si="42"/>
        <v>24956.459946483374</v>
      </c>
      <c r="W313" s="107">
        <f t="shared" si="43"/>
        <v>6263.9615442752838</v>
      </c>
      <c r="X313" s="107">
        <f t="shared" si="44"/>
        <v>100024956.45994648</v>
      </c>
      <c r="Z313" s="266">
        <f t="shared" si="45"/>
        <v>6.2627908721912817E-5</v>
      </c>
      <c r="AA313" s="267">
        <f>(I313/I309-1)*360/(C313-C309)</f>
        <v>2.2461114297369633E-2</v>
      </c>
      <c r="AB313" s="267">
        <f>(I313/$I$309-1)*360/(C313-$C$309)</f>
        <v>2.2461114297369633E-2</v>
      </c>
      <c r="AC313" s="182">
        <f>W313-U312*'OverNight €'!I313*E313/360</f>
        <v>1402.8504331641725</v>
      </c>
    </row>
    <row r="314" spans="2:31" x14ac:dyDescent="0.2">
      <c r="B314" s="9" t="str">
        <f t="shared" si="31"/>
        <v>11 2025</v>
      </c>
      <c r="C314" s="10">
        <f t="shared" si="40"/>
        <v>45966</v>
      </c>
      <c r="D314" s="10">
        <f t="shared" si="41"/>
        <v>45967</v>
      </c>
      <c r="E314" s="11">
        <f t="shared" si="32"/>
        <v>1</v>
      </c>
      <c r="G314" s="11" t="str">
        <f t="shared" si="46"/>
        <v>BNP/SG</v>
      </c>
      <c r="H314" s="206">
        <v>45964</v>
      </c>
      <c r="I314" s="215">
        <v>10150.908188166666</v>
      </c>
      <c r="J314" s="228"/>
      <c r="K314" s="12"/>
      <c r="L314" s="12"/>
      <c r="M314" s="215"/>
      <c r="N314" s="12"/>
      <c r="O314" s="219"/>
      <c r="P314" s="219"/>
      <c r="Q314" s="219"/>
      <c r="R314" s="219"/>
      <c r="T314" s="215">
        <f t="shared" si="48"/>
        <v>9854.4109000000008</v>
      </c>
      <c r="U314" s="12">
        <f t="shared" si="47"/>
        <v>100000000</v>
      </c>
      <c r="V314" s="12">
        <f t="shared" si="42"/>
        <v>31220.294368848205</v>
      </c>
      <c r="W314" s="12">
        <f t="shared" si="43"/>
        <v>6263.834422364831</v>
      </c>
      <c r="X314" s="12">
        <f>T314*I314</f>
        <v>100031220.29436885</v>
      </c>
      <c r="Z314" s="245">
        <f t="shared" si="45"/>
        <v>6.2622715810700669E-5</v>
      </c>
      <c r="AA314" s="118">
        <f t="shared" ref="AA314:AA335" si="49">AA315</f>
        <v>2.2425954265440362E-2</v>
      </c>
      <c r="AB314" s="118">
        <f t="shared" ref="AB314:AB337" si="50">(I314/$I$309-1)*360/(C314-$C$309)</f>
        <v>2.2478852237046709E-2</v>
      </c>
      <c r="AC314" s="13">
        <f>W314-U313*'OverNight €'!I314*E314/360</f>
        <v>1402.7233112537197</v>
      </c>
    </row>
    <row r="315" spans="2:31" x14ac:dyDescent="0.2">
      <c r="B315" s="9" t="str">
        <f t="shared" si="31"/>
        <v>11 2025</v>
      </c>
      <c r="C315" s="10">
        <f t="shared" si="40"/>
        <v>45967</v>
      </c>
      <c r="D315" s="10">
        <f t="shared" si="41"/>
        <v>45968</v>
      </c>
      <c r="E315" s="11">
        <f t="shared" si="32"/>
        <v>1</v>
      </c>
      <c r="G315" s="11" t="str">
        <f t="shared" si="46"/>
        <v>BNP/SG</v>
      </c>
      <c r="H315" s="206">
        <v>45965</v>
      </c>
      <c r="I315" s="215">
        <v>10151.533825799999</v>
      </c>
      <c r="J315" s="228"/>
      <c r="K315" s="12"/>
      <c r="L315" s="12"/>
      <c r="M315" s="215"/>
      <c r="N315" s="12"/>
      <c r="O315" s="219"/>
      <c r="P315" s="219"/>
      <c r="Q315" s="219"/>
      <c r="R315" s="219"/>
      <c r="T315" s="215">
        <f t="shared" si="48"/>
        <v>9854.4109000000008</v>
      </c>
      <c r="U315" s="12">
        <f t="shared" si="47"/>
        <v>100000000</v>
      </c>
      <c r="V315" s="12">
        <f t="shared" si="42"/>
        <v>37385.584682226181</v>
      </c>
      <c r="W315" s="12">
        <f t="shared" si="43"/>
        <v>6165.2903133779764</v>
      </c>
      <c r="X315" s="12">
        <f t="shared" si="44"/>
        <v>100037385.58468223</v>
      </c>
      <c r="Z315" s="245">
        <f t="shared" si="45"/>
        <v>6.1633660923376965E-5</v>
      </c>
      <c r="AA315" s="118">
        <f t="shared" si="49"/>
        <v>2.2425954265440362E-2</v>
      </c>
      <c r="AB315" s="118">
        <f t="shared" si="50"/>
        <v>2.2431551064574506E-2</v>
      </c>
      <c r="AC315" s="13">
        <f>W315-U314*'OverNight €'!I315*E315/360</f>
        <v>1304.1792022668651</v>
      </c>
    </row>
    <row r="316" spans="2:31" x14ac:dyDescent="0.2">
      <c r="B316" s="9" t="str">
        <f t="shared" si="31"/>
        <v>11 2025</v>
      </c>
      <c r="C316" s="10">
        <f t="shared" si="40"/>
        <v>45968</v>
      </c>
      <c r="D316" s="10">
        <f t="shared" si="41"/>
        <v>45969</v>
      </c>
      <c r="E316" s="11">
        <f t="shared" si="32"/>
        <v>1</v>
      </c>
      <c r="G316" s="11" t="str">
        <f t="shared" si="46"/>
        <v>BNP/SG</v>
      </c>
      <c r="H316" s="206">
        <v>45966</v>
      </c>
      <c r="I316" s="215">
        <v>10152.169463433333</v>
      </c>
      <c r="J316" s="228"/>
      <c r="K316" s="12"/>
      <c r="L316" s="12"/>
      <c r="M316" s="215"/>
      <c r="N316" s="12"/>
      <c r="O316" s="219"/>
      <c r="P316" s="219"/>
      <c r="Q316" s="219"/>
      <c r="R316" s="219"/>
      <c r="T316" s="215">
        <f t="shared" si="48"/>
        <v>9854.4109000000008</v>
      </c>
      <c r="U316" s="12">
        <f t="shared" si="47"/>
        <v>100000000</v>
      </c>
      <c r="V316" s="12">
        <f t="shared" si="42"/>
        <v>43649.419104591012</v>
      </c>
      <c r="W316" s="12">
        <f t="shared" si="43"/>
        <v>6263.834422364831</v>
      </c>
      <c r="X316" s="12">
        <f t="shared" si="44"/>
        <v>100043649.41910459</v>
      </c>
      <c r="Z316" s="245">
        <f t="shared" si="45"/>
        <v>6.2614935264049265E-5</v>
      </c>
      <c r="AA316" s="118">
        <f t="shared" si="49"/>
        <v>2.2425954265440362E-2</v>
      </c>
      <c r="AB316" s="118">
        <f t="shared" si="50"/>
        <v>2.2448444340457435E-2</v>
      </c>
      <c r="AC316" s="13">
        <f>W316-U315*'OverNight €'!I316*E316/360</f>
        <v>1402.7233112537197</v>
      </c>
    </row>
    <row r="317" spans="2:31" x14ac:dyDescent="0.2">
      <c r="B317" s="9" t="str">
        <f t="shared" si="31"/>
        <v>11 2025</v>
      </c>
      <c r="C317" s="10">
        <f t="shared" si="40"/>
        <v>45969</v>
      </c>
      <c r="D317" s="10">
        <f t="shared" si="41"/>
        <v>45970</v>
      </c>
      <c r="E317" s="11">
        <f t="shared" si="32"/>
        <v>1</v>
      </c>
      <c r="G317" s="11" t="str">
        <f t="shared" si="46"/>
        <v>BNP/SG</v>
      </c>
      <c r="H317" s="206">
        <v>45966</v>
      </c>
      <c r="I317" s="215">
        <v>10152.169463433333</v>
      </c>
      <c r="J317" s="228"/>
      <c r="K317" s="12"/>
      <c r="L317" s="12"/>
      <c r="M317" s="215"/>
      <c r="N317" s="12"/>
      <c r="O317" s="219"/>
      <c r="P317" s="219"/>
      <c r="Q317" s="219"/>
      <c r="R317" s="219"/>
      <c r="T317" s="215">
        <f t="shared" si="48"/>
        <v>9854.4109000000008</v>
      </c>
      <c r="U317" s="12">
        <f t="shared" si="47"/>
        <v>100000000</v>
      </c>
      <c r="V317" s="12">
        <f t="shared" si="42"/>
        <v>43649.419104591012</v>
      </c>
      <c r="W317" s="12">
        <f t="shared" si="43"/>
        <v>0</v>
      </c>
      <c r="X317" s="12">
        <f t="shared" si="44"/>
        <v>100043649.41910459</v>
      </c>
      <c r="Z317" s="245">
        <f t="shared" si="45"/>
        <v>0</v>
      </c>
      <c r="AA317" s="118">
        <f t="shared" si="49"/>
        <v>2.2425954265440362E-2</v>
      </c>
      <c r="AB317" s="118">
        <f t="shared" si="50"/>
        <v>1.9642388797900256E-2</v>
      </c>
      <c r="AC317" s="13">
        <f>W317-U316*'OverNight €'!I317*E317/360</f>
        <v>-4861.1111111111113</v>
      </c>
    </row>
    <row r="318" spans="2:31" x14ac:dyDescent="0.2">
      <c r="B318" s="9" t="str">
        <f t="shared" si="31"/>
        <v>11 2025</v>
      </c>
      <c r="C318" s="10">
        <f t="shared" si="40"/>
        <v>45970</v>
      </c>
      <c r="D318" s="10">
        <f t="shared" si="41"/>
        <v>45971</v>
      </c>
      <c r="E318" s="11">
        <f t="shared" si="32"/>
        <v>1</v>
      </c>
      <c r="G318" s="11" t="str">
        <f t="shared" si="46"/>
        <v>BNP/SG</v>
      </c>
      <c r="H318" s="206">
        <v>45966</v>
      </c>
      <c r="I318" s="215">
        <v>10152.169463433333</v>
      </c>
      <c r="J318" s="228"/>
      <c r="K318" s="12"/>
      <c r="L318" s="12"/>
      <c r="M318" s="215"/>
      <c r="N318" s="12"/>
      <c r="O318" s="219"/>
      <c r="P318" s="219"/>
      <c r="Q318" s="219"/>
      <c r="R318" s="219"/>
      <c r="T318" s="215">
        <f t="shared" si="48"/>
        <v>9854.4109000000008</v>
      </c>
      <c r="U318" s="12">
        <f t="shared" si="47"/>
        <v>100000000</v>
      </c>
      <c r="V318" s="12">
        <f t="shared" si="42"/>
        <v>43649.419104591012</v>
      </c>
      <c r="W318" s="12">
        <f t="shared" si="43"/>
        <v>0</v>
      </c>
      <c r="X318" s="12">
        <f t="shared" si="44"/>
        <v>100043649.41910459</v>
      </c>
      <c r="Z318" s="245">
        <f t="shared" si="45"/>
        <v>0</v>
      </c>
      <c r="AA318" s="118">
        <f t="shared" si="49"/>
        <v>2.2425954265440362E-2</v>
      </c>
      <c r="AB318" s="118">
        <f t="shared" si="50"/>
        <v>1.7459901153689117E-2</v>
      </c>
      <c r="AC318" s="13">
        <f>W318-U317*'OverNight €'!I318*E318/360</f>
        <v>-4861.1111111111113</v>
      </c>
    </row>
    <row r="319" spans="2:31" x14ac:dyDescent="0.2">
      <c r="B319" s="9" t="str">
        <f t="shared" si="31"/>
        <v>11 2025</v>
      </c>
      <c r="C319" s="10">
        <f t="shared" si="40"/>
        <v>45971</v>
      </c>
      <c r="D319" s="10">
        <f t="shared" si="41"/>
        <v>45972</v>
      </c>
      <c r="E319" s="11">
        <f t="shared" si="32"/>
        <v>1</v>
      </c>
      <c r="G319" s="11" t="str">
        <f t="shared" si="46"/>
        <v>BNP/SG</v>
      </c>
      <c r="H319" s="206">
        <v>45967</v>
      </c>
      <c r="I319" s="215">
        <v>10154.066376333334</v>
      </c>
      <c r="J319" s="228"/>
      <c r="K319" s="12"/>
      <c r="L319" s="12"/>
      <c r="M319" s="215"/>
      <c r="N319" s="12"/>
      <c r="O319" s="219"/>
      <c r="P319" s="219"/>
      <c r="Q319" s="219"/>
      <c r="R319" s="219"/>
      <c r="T319" s="215">
        <f t="shared" si="48"/>
        <v>9854.4109000000008</v>
      </c>
      <c r="U319" s="12">
        <f t="shared" si="47"/>
        <v>100000000</v>
      </c>
      <c r="V319" s="12">
        <f t="shared" si="42"/>
        <v>62342.378262713552</v>
      </c>
      <c r="W319" s="12">
        <f t="shared" si="43"/>
        <v>18692.95915812254</v>
      </c>
      <c r="X319" s="12">
        <f t="shared" si="44"/>
        <v>100062342.37826271</v>
      </c>
      <c r="Z319" s="245">
        <f t="shared" si="45"/>
        <v>1.8684803350010881E-4</v>
      </c>
      <c r="AA319" s="118">
        <f t="shared" si="49"/>
        <v>2.2425954265440362E-2</v>
      </c>
      <c r="AB319" s="118">
        <f t="shared" si="50"/>
        <v>2.2443376357692557E-2</v>
      </c>
      <c r="AC319" s="13">
        <f>W319-U318*'OverNight €'!I319*E319/360</f>
        <v>13831.848047011428</v>
      </c>
    </row>
    <row r="320" spans="2:31" x14ac:dyDescent="0.2">
      <c r="B320" s="9" t="str">
        <f t="shared" si="31"/>
        <v>11 2025</v>
      </c>
      <c r="C320" s="10">
        <f t="shared" si="40"/>
        <v>45972</v>
      </c>
      <c r="D320" s="10">
        <f t="shared" si="41"/>
        <v>45973</v>
      </c>
      <c r="E320" s="11">
        <f t="shared" si="32"/>
        <v>1</v>
      </c>
      <c r="G320" s="11" t="str">
        <f t="shared" si="46"/>
        <v>BNP/SG</v>
      </c>
      <c r="H320" s="206">
        <v>45967</v>
      </c>
      <c r="I320" s="215">
        <v>10154.066376333334</v>
      </c>
      <c r="J320" s="228"/>
      <c r="K320" s="12"/>
      <c r="L320" s="12"/>
      <c r="M320" s="215"/>
      <c r="N320" s="12"/>
      <c r="O320" s="219"/>
      <c r="P320" s="219"/>
      <c r="Q320" s="219"/>
      <c r="R320" s="219"/>
      <c r="T320" s="215">
        <f t="shared" si="48"/>
        <v>9854.4109000000008</v>
      </c>
      <c r="U320" s="12">
        <f t="shared" si="47"/>
        <v>100000000</v>
      </c>
      <c r="V320" s="12">
        <f t="shared" si="42"/>
        <v>62342.378262713552</v>
      </c>
      <c r="W320" s="12">
        <f t="shared" si="43"/>
        <v>0</v>
      </c>
      <c r="X320" s="12">
        <f t="shared" si="44"/>
        <v>100062342.37826271</v>
      </c>
      <c r="Z320" s="245">
        <f t="shared" si="45"/>
        <v>0</v>
      </c>
      <c r="AA320" s="118">
        <f t="shared" si="49"/>
        <v>2.2425954265440362E-2</v>
      </c>
      <c r="AB320" s="118">
        <f t="shared" si="50"/>
        <v>2.0403069416084142E-2</v>
      </c>
      <c r="AC320" s="13">
        <f>W320-U319*'OverNight €'!I320*E320/360</f>
        <v>-4861.1111111111113</v>
      </c>
    </row>
    <row r="321" spans="2:29" x14ac:dyDescent="0.2">
      <c r="B321" s="9" t="str">
        <f t="shared" si="31"/>
        <v>11 2025</v>
      </c>
      <c r="C321" s="10">
        <f t="shared" si="40"/>
        <v>45973</v>
      </c>
      <c r="D321" s="10">
        <f t="shared" si="41"/>
        <v>45974</v>
      </c>
      <c r="E321" s="11">
        <f t="shared" si="32"/>
        <v>1</v>
      </c>
      <c r="G321" s="11" t="str">
        <f t="shared" si="46"/>
        <v>BNP/SG</v>
      </c>
      <c r="H321" s="206">
        <v>45968</v>
      </c>
      <c r="I321" s="215">
        <v>10155.327651600001</v>
      </c>
      <c r="J321" s="228"/>
      <c r="K321" s="12"/>
      <c r="L321" s="12"/>
      <c r="M321" s="215"/>
      <c r="N321" s="12"/>
      <c r="O321" s="219"/>
      <c r="P321" s="219"/>
      <c r="Q321" s="219"/>
      <c r="R321" s="219"/>
      <c r="T321" s="215">
        <f t="shared" si="48"/>
        <v>9854.4109000000008</v>
      </c>
      <c r="U321" s="12">
        <f t="shared" si="47"/>
        <v>100000000</v>
      </c>
      <c r="V321" s="12">
        <f t="shared" si="42"/>
        <v>74771.502998456359</v>
      </c>
      <c r="W321" s="12">
        <f t="shared" si="43"/>
        <v>12429.124735742807</v>
      </c>
      <c r="X321" s="12">
        <f t="shared" si="44"/>
        <v>100074771.50299846</v>
      </c>
      <c r="Z321" s="245">
        <f t="shared" si="45"/>
        <v>1.2421380951432859E-4</v>
      </c>
      <c r="AA321" s="118">
        <f t="shared" si="49"/>
        <v>2.2425954265440362E-2</v>
      </c>
      <c r="AB321" s="118">
        <f t="shared" si="50"/>
        <v>2.2431551064574506E-2</v>
      </c>
      <c r="AC321" s="13">
        <f>W321-U320*'OverNight €'!I321*E321/360</f>
        <v>7568.0136246316961</v>
      </c>
    </row>
    <row r="322" spans="2:29" x14ac:dyDescent="0.2">
      <c r="B322" s="9" t="str">
        <f t="shared" si="31"/>
        <v>11 2025</v>
      </c>
      <c r="C322" s="10">
        <f t="shared" si="40"/>
        <v>45974</v>
      </c>
      <c r="D322" s="10">
        <f t="shared" si="41"/>
        <v>45975</v>
      </c>
      <c r="E322" s="11">
        <f t="shared" si="32"/>
        <v>1</v>
      </c>
      <c r="G322" s="11" t="str">
        <f t="shared" si="46"/>
        <v>BNP/SG</v>
      </c>
      <c r="H322" s="206">
        <v>45971</v>
      </c>
      <c r="I322" s="215">
        <v>10155.963289233332</v>
      </c>
      <c r="J322" s="228"/>
      <c r="K322" s="12"/>
      <c r="L322" s="12"/>
      <c r="M322" s="215"/>
      <c r="N322" s="12"/>
      <c r="O322" s="219"/>
      <c r="P322" s="219"/>
      <c r="Q322" s="219"/>
      <c r="R322" s="219"/>
      <c r="T322" s="215">
        <f t="shared" si="48"/>
        <v>9854.4109000000008</v>
      </c>
      <c r="U322" s="12">
        <f t="shared" si="47"/>
        <v>100000000</v>
      </c>
      <c r="V322" s="12">
        <f t="shared" si="42"/>
        <v>81035.337420806289</v>
      </c>
      <c r="W322" s="12">
        <f t="shared" si="43"/>
        <v>6263.8344223499298</v>
      </c>
      <c r="X322" s="12">
        <f t="shared" si="44"/>
        <v>100081035.33742081</v>
      </c>
      <c r="Z322" s="245">
        <f t="shared" si="45"/>
        <v>6.2591543585677201E-5</v>
      </c>
      <c r="AA322" s="118">
        <f t="shared" si="49"/>
        <v>2.2425954265440362E-2</v>
      </c>
      <c r="AB322" s="118">
        <f t="shared" si="50"/>
        <v>2.2440647443889936E-2</v>
      </c>
      <c r="AC322" s="13">
        <f>W322-U321*'OverNight €'!I322*E322/360</f>
        <v>1402.7233112388185</v>
      </c>
    </row>
    <row r="323" spans="2:29" x14ac:dyDescent="0.2">
      <c r="B323" s="9" t="str">
        <f t="shared" si="31"/>
        <v>11 2025</v>
      </c>
      <c r="C323" s="10">
        <f t="shared" si="40"/>
        <v>45975</v>
      </c>
      <c r="D323" s="10">
        <f t="shared" si="41"/>
        <v>45976</v>
      </c>
      <c r="E323" s="11">
        <f t="shared" si="32"/>
        <v>1</v>
      </c>
      <c r="G323" s="11" t="str">
        <f t="shared" si="46"/>
        <v>BNP/SG</v>
      </c>
      <c r="H323" s="206">
        <v>45973</v>
      </c>
      <c r="I323" s="215">
        <v>10156.598926866667</v>
      </c>
      <c r="J323" s="228"/>
      <c r="K323" s="12"/>
      <c r="L323" s="12"/>
      <c r="M323" s="215"/>
      <c r="N323" s="12"/>
      <c r="O323" s="219"/>
      <c r="P323" s="219"/>
      <c r="Q323" s="219"/>
      <c r="R323" s="219"/>
      <c r="T323" s="215">
        <f t="shared" si="48"/>
        <v>9854.4109000000008</v>
      </c>
      <c r="U323" s="12">
        <f t="shared" si="47"/>
        <v>100000000</v>
      </c>
      <c r="V323" s="12">
        <f t="shared" si="42"/>
        <v>87299.171843200922</v>
      </c>
      <c r="W323" s="12">
        <f t="shared" si="43"/>
        <v>6263.8344223946333</v>
      </c>
      <c r="X323" s="12">
        <f t="shared" si="44"/>
        <v>100087299.1718432</v>
      </c>
      <c r="Z323" s="245">
        <f t="shared" si="45"/>
        <v>6.2587626129761986E-5</v>
      </c>
      <c r="AA323" s="118">
        <f t="shared" si="49"/>
        <v>2.2425954265440362E-2</v>
      </c>
      <c r="AB323" s="118">
        <f t="shared" si="50"/>
        <v>2.2448444340457435E-2</v>
      </c>
      <c r="AC323" s="13">
        <f>W323-U322*'OverNight €'!I323*E323/360</f>
        <v>1402.723311283522</v>
      </c>
    </row>
    <row r="324" spans="2:29" x14ac:dyDescent="0.2">
      <c r="B324" s="9" t="str">
        <f t="shared" si="31"/>
        <v>11 2025</v>
      </c>
      <c r="C324" s="10">
        <f t="shared" si="40"/>
        <v>45976</v>
      </c>
      <c r="D324" s="10">
        <f t="shared" si="41"/>
        <v>45977</v>
      </c>
      <c r="E324" s="11">
        <f t="shared" si="32"/>
        <v>1</v>
      </c>
      <c r="G324" s="11" t="str">
        <f t="shared" si="46"/>
        <v>BNP/SG</v>
      </c>
      <c r="H324" s="206">
        <v>45973</v>
      </c>
      <c r="I324" s="215">
        <v>10156.598926866667</v>
      </c>
      <c r="J324" s="228"/>
      <c r="K324" s="12"/>
      <c r="L324" s="12"/>
      <c r="M324" s="215"/>
      <c r="N324" s="12"/>
      <c r="O324" s="219"/>
      <c r="P324" s="219"/>
      <c r="Q324" s="219"/>
      <c r="R324" s="219"/>
      <c r="T324" s="215">
        <f t="shared" si="48"/>
        <v>9854.4109000000008</v>
      </c>
      <c r="U324" s="12">
        <f t="shared" si="47"/>
        <v>100000000</v>
      </c>
      <c r="V324" s="12">
        <f t="shared" si="42"/>
        <v>87299.171843200922</v>
      </c>
      <c r="W324" s="12">
        <f t="shared" si="43"/>
        <v>0</v>
      </c>
      <c r="X324" s="12">
        <f t="shared" si="44"/>
        <v>100087299.1718432</v>
      </c>
      <c r="Z324" s="245">
        <f t="shared" si="45"/>
        <v>0</v>
      </c>
      <c r="AA324" s="118">
        <f t="shared" si="49"/>
        <v>2.2425954265440362E-2</v>
      </c>
      <c r="AB324" s="118">
        <f t="shared" si="50"/>
        <v>2.095188138442694E-2</v>
      </c>
      <c r="AC324" s="13">
        <f>W324-U323*'OverNight €'!I324*E324/360</f>
        <v>-4861.1111111111113</v>
      </c>
    </row>
    <row r="325" spans="2:29" x14ac:dyDescent="0.2">
      <c r="B325" s="9" t="str">
        <f t="shared" si="31"/>
        <v>11 2025</v>
      </c>
      <c r="C325" s="10">
        <f t="shared" si="40"/>
        <v>45977</v>
      </c>
      <c r="D325" s="10">
        <f t="shared" si="41"/>
        <v>45978</v>
      </c>
      <c r="E325" s="11">
        <f t="shared" si="32"/>
        <v>1</v>
      </c>
      <c r="G325" s="11" t="str">
        <f t="shared" si="46"/>
        <v>BNP/SG</v>
      </c>
      <c r="H325" s="206">
        <v>45973</v>
      </c>
      <c r="I325" s="215">
        <v>10156.598926866667</v>
      </c>
      <c r="J325" s="228"/>
      <c r="K325" s="12"/>
      <c r="L325" s="12"/>
      <c r="M325" s="215"/>
      <c r="N325" s="12"/>
      <c r="O325" s="219"/>
      <c r="P325" s="219"/>
      <c r="Q325" s="219"/>
      <c r="R325" s="219"/>
      <c r="T325" s="215">
        <f t="shared" si="48"/>
        <v>9854.4109000000008</v>
      </c>
      <c r="U325" s="12">
        <f t="shared" si="47"/>
        <v>100000000</v>
      </c>
      <c r="V325" s="12">
        <f t="shared" si="42"/>
        <v>87299.171843200922</v>
      </c>
      <c r="W325" s="12">
        <f t="shared" si="43"/>
        <v>0</v>
      </c>
      <c r="X325" s="12">
        <f t="shared" si="44"/>
        <v>100087299.1718432</v>
      </c>
      <c r="Z325" s="245">
        <f t="shared" si="45"/>
        <v>0</v>
      </c>
      <c r="AA325" s="118">
        <f t="shared" si="49"/>
        <v>2.2425954265440362E-2</v>
      </c>
      <c r="AB325" s="118">
        <f t="shared" si="50"/>
        <v>1.9642388797900256E-2</v>
      </c>
      <c r="AC325" s="13">
        <f>W325-U324*'OverNight €'!I325*E325/360</f>
        <v>-4861.1111111111113</v>
      </c>
    </row>
    <row r="326" spans="2:29" x14ac:dyDescent="0.2">
      <c r="B326" s="9" t="str">
        <f t="shared" ref="B326:B369" si="51">CONCATENATE(MONTH(D326)," ",YEAR(D326))</f>
        <v>11 2025</v>
      </c>
      <c r="C326" s="10">
        <f t="shared" si="40"/>
        <v>45978</v>
      </c>
      <c r="D326" s="10">
        <f t="shared" si="41"/>
        <v>45979</v>
      </c>
      <c r="E326" s="11">
        <f t="shared" ref="E326:E369" si="52">D326-C326</f>
        <v>1</v>
      </c>
      <c r="G326" s="11" t="str">
        <f t="shared" si="46"/>
        <v>BNP/SG</v>
      </c>
      <c r="H326" s="206">
        <v>45974</v>
      </c>
      <c r="I326" s="215">
        <v>10158.495839766667</v>
      </c>
      <c r="J326" s="228"/>
      <c r="K326" s="12"/>
      <c r="L326" s="12"/>
      <c r="M326" s="215"/>
      <c r="N326" s="12"/>
      <c r="O326" s="219"/>
      <c r="P326" s="219"/>
      <c r="Q326" s="219"/>
      <c r="R326" s="219"/>
      <c r="T326" s="215">
        <f t="shared" si="48"/>
        <v>9854.4109000000008</v>
      </c>
      <c r="U326" s="12">
        <f t="shared" si="47"/>
        <v>100000000</v>
      </c>
      <c r="V326" s="12">
        <f t="shared" si="42"/>
        <v>105992.13100130856</v>
      </c>
      <c r="W326" s="12">
        <f t="shared" si="43"/>
        <v>18692.959158107638</v>
      </c>
      <c r="X326" s="12">
        <f t="shared" si="44"/>
        <v>100105992.13100131</v>
      </c>
      <c r="Z326" s="245">
        <f t="shared" si="45"/>
        <v>1.8676654593319242E-4</v>
      </c>
      <c r="AA326" s="118">
        <f t="shared" si="49"/>
        <v>2.2425954265440362E-2</v>
      </c>
      <c r="AB326" s="118">
        <f t="shared" si="50"/>
        <v>2.2445463174125154E-2</v>
      </c>
      <c r="AC326" s="13">
        <f>W326-U325*'OverNight €'!I326*E326/360</f>
        <v>13831.848046996527</v>
      </c>
    </row>
    <row r="327" spans="2:29" x14ac:dyDescent="0.2">
      <c r="B327" s="9" t="str">
        <f t="shared" si="51"/>
        <v>11 2025</v>
      </c>
      <c r="C327" s="10">
        <f t="shared" si="40"/>
        <v>45979</v>
      </c>
      <c r="D327" s="10">
        <f t="shared" si="41"/>
        <v>45980</v>
      </c>
      <c r="E327" s="11">
        <f t="shared" si="52"/>
        <v>1</v>
      </c>
      <c r="G327" s="11" t="str">
        <f t="shared" si="46"/>
        <v>BNP/SG</v>
      </c>
      <c r="H327" s="206">
        <v>45975</v>
      </c>
      <c r="I327" s="215">
        <v>10159.1214774</v>
      </c>
      <c r="J327" s="228"/>
      <c r="K327" s="12"/>
      <c r="L327" s="12"/>
      <c r="M327" s="215"/>
      <c r="N327" s="12"/>
      <c r="O327" s="219"/>
      <c r="P327" s="219"/>
      <c r="Q327" s="219"/>
      <c r="R327" s="219"/>
      <c r="T327" s="215">
        <f t="shared" si="48"/>
        <v>9854.4109000000008</v>
      </c>
      <c r="U327" s="12">
        <f t="shared" si="47"/>
        <v>100000000</v>
      </c>
      <c r="V327" s="12">
        <f t="shared" si="42"/>
        <v>112157.42131467164</v>
      </c>
      <c r="W327" s="12">
        <f t="shared" si="43"/>
        <v>6165.2903133630753</v>
      </c>
      <c r="X327" s="12">
        <f t="shared" si="44"/>
        <v>100112157.42131467</v>
      </c>
      <c r="Z327" s="245">
        <f t="shared" si="45"/>
        <v>6.158762509733684E-5</v>
      </c>
      <c r="AA327" s="118">
        <f t="shared" si="49"/>
        <v>2.2425954265440362E-2</v>
      </c>
      <c r="AB327" s="118">
        <f t="shared" si="50"/>
        <v>2.2431551064574506E-2</v>
      </c>
      <c r="AC327" s="13">
        <f>W327-U326*'OverNight €'!I327*E327/360</f>
        <v>1304.1792022519639</v>
      </c>
    </row>
    <row r="328" spans="2:29" x14ac:dyDescent="0.2">
      <c r="B328" s="9" t="str">
        <f t="shared" si="51"/>
        <v>11 2025</v>
      </c>
      <c r="C328" s="10">
        <f t="shared" si="40"/>
        <v>45980</v>
      </c>
      <c r="D328" s="10">
        <f t="shared" si="41"/>
        <v>45981</v>
      </c>
      <c r="E328" s="11">
        <f t="shared" si="52"/>
        <v>1</v>
      </c>
      <c r="G328" s="11" t="str">
        <f t="shared" si="46"/>
        <v>BNP/SG</v>
      </c>
      <c r="H328" s="206">
        <v>45978</v>
      </c>
      <c r="I328" s="215">
        <v>10159.757115033333</v>
      </c>
      <c r="J328" s="228"/>
      <c r="K328" s="12"/>
      <c r="L328" s="12"/>
      <c r="M328" s="215"/>
      <c r="N328" s="12"/>
      <c r="O328" s="219"/>
      <c r="P328" s="219"/>
      <c r="Q328" s="219"/>
      <c r="R328" s="219"/>
      <c r="T328" s="215">
        <f t="shared" si="48"/>
        <v>9854.4109000000008</v>
      </c>
      <c r="U328" s="12">
        <f t="shared" si="47"/>
        <v>100000000</v>
      </c>
      <c r="V328" s="12">
        <f t="shared" si="42"/>
        <v>118421.25573703647</v>
      </c>
      <c r="W328" s="12">
        <f t="shared" si="43"/>
        <v>6263.834422364831</v>
      </c>
      <c r="X328" s="12">
        <f t="shared" si="44"/>
        <v>100118421.25573704</v>
      </c>
      <c r="Z328" s="245">
        <f t="shared" si="45"/>
        <v>6.2568169378440786E-5</v>
      </c>
      <c r="AA328" s="118">
        <f t="shared" si="49"/>
        <v>2.2425954265440362E-2</v>
      </c>
      <c r="AB328" s="118">
        <f t="shared" si="50"/>
        <v>2.2437774903057692E-2</v>
      </c>
      <c r="AC328" s="13">
        <f>W328-U327*'OverNight €'!I328*E328/360</f>
        <v>1402.7233112537197</v>
      </c>
    </row>
    <row r="329" spans="2:29" x14ac:dyDescent="0.2">
      <c r="B329" s="9" t="str">
        <f t="shared" si="51"/>
        <v>11 2025</v>
      </c>
      <c r="C329" s="10">
        <f t="shared" si="40"/>
        <v>45981</v>
      </c>
      <c r="D329" s="10">
        <f t="shared" si="41"/>
        <v>45982</v>
      </c>
      <c r="E329" s="11">
        <f t="shared" si="52"/>
        <v>1</v>
      </c>
      <c r="G329" s="11" t="str">
        <f t="shared" si="46"/>
        <v>BNP/SG</v>
      </c>
      <c r="H329" s="206">
        <v>45979</v>
      </c>
      <c r="I329" s="215">
        <v>10160.392752666667</v>
      </c>
      <c r="J329" s="228"/>
      <c r="K329" s="12"/>
      <c r="L329" s="12"/>
      <c r="M329" s="215"/>
      <c r="N329" s="12"/>
      <c r="O329" s="219"/>
      <c r="P329" s="219"/>
      <c r="Q329" s="219"/>
      <c r="R329" s="219"/>
      <c r="T329" s="215">
        <f t="shared" si="48"/>
        <v>9854.4109000000008</v>
      </c>
      <c r="U329" s="12">
        <f t="shared" si="47"/>
        <v>100000000</v>
      </c>
      <c r="V329" s="12">
        <f t="shared" si="42"/>
        <v>124685.0901594162</v>
      </c>
      <c r="W329" s="12">
        <f t="shared" si="43"/>
        <v>6263.8344223797321</v>
      </c>
      <c r="X329" s="12">
        <f t="shared" si="44"/>
        <v>100124685.09015942</v>
      </c>
      <c r="Z329" s="245">
        <f t="shared" si="45"/>
        <v>6.2564254847519152E-5</v>
      </c>
      <c r="AA329" s="118">
        <f t="shared" si="49"/>
        <v>2.2425954265440362E-2</v>
      </c>
      <c r="AB329" s="118">
        <f t="shared" si="50"/>
        <v>2.2443376357692557E-2</v>
      </c>
      <c r="AC329" s="13">
        <f>W329-U328*'OverNight €'!I329*E329/360</f>
        <v>1402.7233112686208</v>
      </c>
    </row>
    <row r="330" spans="2:29" x14ac:dyDescent="0.2">
      <c r="B330" s="9" t="str">
        <f t="shared" si="51"/>
        <v>11 2025</v>
      </c>
      <c r="C330" s="10">
        <f t="shared" si="40"/>
        <v>45982</v>
      </c>
      <c r="D330" s="10">
        <f t="shared" si="41"/>
        <v>45983</v>
      </c>
      <c r="E330" s="11">
        <f t="shared" si="52"/>
        <v>1</v>
      </c>
      <c r="G330" s="11" t="str">
        <f t="shared" si="46"/>
        <v>BNP/SG</v>
      </c>
      <c r="H330" s="206">
        <v>45980</v>
      </c>
      <c r="I330" s="215">
        <v>10161.0183903</v>
      </c>
      <c r="J330" s="228"/>
      <c r="K330" s="12"/>
      <c r="L330" s="12"/>
      <c r="M330" s="215"/>
      <c r="N330" s="12"/>
      <c r="O330" s="219"/>
      <c r="P330" s="219"/>
      <c r="Q330" s="219"/>
      <c r="R330" s="219"/>
      <c r="T330" s="215">
        <f t="shared" si="48"/>
        <v>9854.4109000000008</v>
      </c>
      <c r="U330" s="12">
        <f t="shared" si="47"/>
        <v>100000000</v>
      </c>
      <c r="V330" s="12">
        <f t="shared" si="42"/>
        <v>130850.38047277927</v>
      </c>
      <c r="W330" s="12">
        <f t="shared" si="43"/>
        <v>6165.2903133630753</v>
      </c>
      <c r="X330" s="12">
        <f t="shared" si="44"/>
        <v>100130850.38047278</v>
      </c>
      <c r="Z330" s="245">
        <f t="shared" si="45"/>
        <v>6.1576126884288485E-5</v>
      </c>
      <c r="AA330" s="118">
        <f t="shared" si="49"/>
        <v>2.2425954265440362E-2</v>
      </c>
      <c r="AB330" s="118">
        <f t="shared" si="50"/>
        <v>2.24315510645707E-2</v>
      </c>
      <c r="AC330" s="13">
        <f>W330-U329*'OverNight €'!I330*E330/360</f>
        <v>1304.1792022519639</v>
      </c>
    </row>
    <row r="331" spans="2:29" x14ac:dyDescent="0.2">
      <c r="B331" s="9" t="str">
        <f t="shared" si="51"/>
        <v>11 2025</v>
      </c>
      <c r="C331" s="10">
        <f t="shared" si="40"/>
        <v>45983</v>
      </c>
      <c r="D331" s="10">
        <f t="shared" si="41"/>
        <v>45984</v>
      </c>
      <c r="E331" s="11">
        <f t="shared" si="52"/>
        <v>1</v>
      </c>
      <c r="G331" s="11" t="str">
        <f t="shared" si="46"/>
        <v>BNP/SG</v>
      </c>
      <c r="H331" s="206">
        <v>45980</v>
      </c>
      <c r="I331" s="215">
        <v>10161.0183903</v>
      </c>
      <c r="J331" s="228"/>
      <c r="K331" s="12"/>
      <c r="L331" s="12"/>
      <c r="M331" s="215"/>
      <c r="N331" s="12"/>
      <c r="O331" s="219"/>
      <c r="P331" s="219"/>
      <c r="Q331" s="219"/>
      <c r="R331" s="219"/>
      <c r="T331" s="215">
        <f t="shared" si="48"/>
        <v>9854.4109000000008</v>
      </c>
      <c r="U331" s="12">
        <f t="shared" si="47"/>
        <v>100000000</v>
      </c>
      <c r="V331" s="12">
        <f t="shared" si="42"/>
        <v>130850.38047277927</v>
      </c>
      <c r="W331" s="12">
        <f t="shared" si="43"/>
        <v>0</v>
      </c>
      <c r="X331" s="12">
        <f t="shared" si="44"/>
        <v>100130850.38047278</v>
      </c>
      <c r="Z331" s="245">
        <f t="shared" si="45"/>
        <v>0</v>
      </c>
      <c r="AA331" s="118">
        <f t="shared" si="49"/>
        <v>2.2425954265440362E-2</v>
      </c>
      <c r="AB331" s="118">
        <f t="shared" si="50"/>
        <v>2.1411935107090215E-2</v>
      </c>
      <c r="AC331" s="13">
        <f>W331-U330*'OverNight €'!I331*E331/360</f>
        <v>-4861.1111111111113</v>
      </c>
    </row>
    <row r="332" spans="2:29" x14ac:dyDescent="0.2">
      <c r="B332" s="9" t="str">
        <f t="shared" si="51"/>
        <v>11 2025</v>
      </c>
      <c r="C332" s="10">
        <f t="shared" si="40"/>
        <v>45984</v>
      </c>
      <c r="D332" s="10">
        <f t="shared" si="41"/>
        <v>45985</v>
      </c>
      <c r="E332" s="11">
        <f t="shared" si="52"/>
        <v>1</v>
      </c>
      <c r="G332" s="11" t="str">
        <f t="shared" si="46"/>
        <v>BNP/SG</v>
      </c>
      <c r="H332" s="206">
        <v>45980</v>
      </c>
      <c r="I332" s="215">
        <v>10161.0183903</v>
      </c>
      <c r="J332" s="228"/>
      <c r="K332" s="12"/>
      <c r="L332" s="12"/>
      <c r="M332" s="215"/>
      <c r="N332" s="12"/>
      <c r="O332" s="219"/>
      <c r="P332" s="219"/>
      <c r="Q332" s="219"/>
      <c r="R332" s="219"/>
      <c r="T332" s="215">
        <f t="shared" si="48"/>
        <v>9854.4109000000008</v>
      </c>
      <c r="U332" s="12">
        <f t="shared" si="47"/>
        <v>100000000</v>
      </c>
      <c r="V332" s="12">
        <f t="shared" si="42"/>
        <v>130850.38047277927</v>
      </c>
      <c r="W332" s="12">
        <f t="shared" si="43"/>
        <v>0</v>
      </c>
      <c r="X332" s="12">
        <f t="shared" si="44"/>
        <v>100130850.38047278</v>
      </c>
      <c r="Z332" s="245">
        <f t="shared" si="45"/>
        <v>0</v>
      </c>
      <c r="AA332" s="118">
        <f t="shared" si="49"/>
        <v>2.2425954265440362E-2</v>
      </c>
      <c r="AB332" s="118">
        <f t="shared" si="50"/>
        <v>2.0480981406781944E-2</v>
      </c>
      <c r="AC332" s="13">
        <f>W332-U331*'OverNight €'!I332*E332/360</f>
        <v>-4861.1111111111113</v>
      </c>
    </row>
    <row r="333" spans="2:29" x14ac:dyDescent="0.2">
      <c r="B333" s="9" t="str">
        <f t="shared" si="51"/>
        <v>11 2025</v>
      </c>
      <c r="C333" s="10">
        <f t="shared" si="40"/>
        <v>45985</v>
      </c>
      <c r="D333" s="10">
        <f t="shared" si="41"/>
        <v>45986</v>
      </c>
      <c r="E333" s="11">
        <f t="shared" si="52"/>
        <v>1</v>
      </c>
      <c r="G333" s="11" t="str">
        <f t="shared" si="46"/>
        <v>BNP/SG</v>
      </c>
      <c r="H333" s="206">
        <v>45981</v>
      </c>
      <c r="I333" s="215">
        <v>10162.915303200001</v>
      </c>
      <c r="J333" s="228"/>
      <c r="K333" s="12"/>
      <c r="L333" s="12"/>
      <c r="M333" s="215"/>
      <c r="N333" s="12"/>
      <c r="O333" s="219"/>
      <c r="P333" s="219"/>
      <c r="Q333" s="219"/>
      <c r="R333" s="219"/>
      <c r="T333" s="215">
        <f t="shared" si="48"/>
        <v>9854.4109000000008</v>
      </c>
      <c r="U333" s="12">
        <f t="shared" si="47"/>
        <v>100000000</v>
      </c>
      <c r="V333" s="12">
        <f t="shared" si="42"/>
        <v>149543.33963090181</v>
      </c>
      <c r="W333" s="12">
        <f t="shared" si="43"/>
        <v>18692.95915812254</v>
      </c>
      <c r="X333" s="12">
        <f t="shared" si="44"/>
        <v>100149543.3396309</v>
      </c>
      <c r="Z333" s="245">
        <f t="shared" si="45"/>
        <v>1.866853131387014E-4</v>
      </c>
      <c r="AA333" s="118">
        <f t="shared" si="49"/>
        <v>2.2425954265440362E-2</v>
      </c>
      <c r="AB333" s="118">
        <f t="shared" si="50"/>
        <v>2.2431551064574506E-2</v>
      </c>
      <c r="AC333" s="13">
        <f>W333-U332*'OverNight €'!I333*E333/360</f>
        <v>13831.848047011428</v>
      </c>
    </row>
    <row r="334" spans="2:29" x14ac:dyDescent="0.2">
      <c r="B334" s="9" t="str">
        <f t="shared" si="51"/>
        <v>11 2025</v>
      </c>
      <c r="C334" s="10">
        <f t="shared" si="40"/>
        <v>45986</v>
      </c>
      <c r="D334" s="10">
        <f t="shared" si="41"/>
        <v>45987</v>
      </c>
      <c r="E334" s="11">
        <f t="shared" si="52"/>
        <v>1</v>
      </c>
      <c r="G334" s="11" t="str">
        <f t="shared" si="46"/>
        <v>BNP/SG</v>
      </c>
      <c r="H334" s="206">
        <v>45982</v>
      </c>
      <c r="I334" s="215">
        <v>10163.550940833333</v>
      </c>
      <c r="J334" s="228"/>
      <c r="K334" s="12"/>
      <c r="L334" s="12"/>
      <c r="M334" s="215"/>
      <c r="N334" s="12"/>
      <c r="O334" s="219"/>
      <c r="P334" s="219"/>
      <c r="Q334" s="219"/>
      <c r="R334" s="219"/>
      <c r="T334" s="215">
        <f t="shared" si="48"/>
        <v>9854.4109000000008</v>
      </c>
      <c r="U334" s="12">
        <f t="shared" si="47"/>
        <v>100000000</v>
      </c>
      <c r="V334" s="12">
        <f t="shared" si="42"/>
        <v>155807.17405325174</v>
      </c>
      <c r="W334" s="12">
        <f t="shared" si="43"/>
        <v>6263.8344223499298</v>
      </c>
      <c r="X334" s="12">
        <f t="shared" si="44"/>
        <v>100155807.17405325</v>
      </c>
      <c r="Z334" s="245">
        <f t="shared" si="45"/>
        <v>6.2544812621911916E-5</v>
      </c>
      <c r="AA334" s="118">
        <f t="shared" si="49"/>
        <v>2.2425954265440362E-2</v>
      </c>
      <c r="AB334" s="118">
        <f t="shared" si="50"/>
        <v>2.2436281181818528E-2</v>
      </c>
      <c r="AC334" s="13">
        <f>W334-U333*'OverNight €'!I334*E334/360</f>
        <v>1402.7233112388185</v>
      </c>
    </row>
    <row r="335" spans="2:29" x14ac:dyDescent="0.2">
      <c r="B335" s="9" t="str">
        <f t="shared" si="51"/>
        <v>11 2025</v>
      </c>
      <c r="C335" s="10">
        <f t="shared" si="40"/>
        <v>45987</v>
      </c>
      <c r="D335" s="10">
        <f t="shared" si="41"/>
        <v>45988</v>
      </c>
      <c r="E335" s="11">
        <f t="shared" si="52"/>
        <v>1</v>
      </c>
      <c r="G335" s="11" t="str">
        <f t="shared" si="46"/>
        <v>BNP/SG</v>
      </c>
      <c r="H335" s="206">
        <v>45985</v>
      </c>
      <c r="I335" s="215">
        <v>10164.186578466668</v>
      </c>
      <c r="J335" s="228"/>
      <c r="K335" s="12"/>
      <c r="L335" s="12"/>
      <c r="M335" s="215"/>
      <c r="N335" s="12"/>
      <c r="O335" s="219"/>
      <c r="P335" s="219"/>
      <c r="Q335" s="219"/>
      <c r="R335" s="219"/>
      <c r="T335" s="215">
        <f t="shared" si="48"/>
        <v>9854.4109000000008</v>
      </c>
      <c r="U335" s="12">
        <f t="shared" si="47"/>
        <v>100000000</v>
      </c>
      <c r="V335" s="12">
        <f t="shared" si="42"/>
        <v>162071.00847564638</v>
      </c>
      <c r="W335" s="12">
        <f t="shared" si="43"/>
        <v>6263.8344223946333</v>
      </c>
      <c r="X335" s="12">
        <f t="shared" si="44"/>
        <v>100162071.00847565</v>
      </c>
      <c r="Z335" s="245">
        <f t="shared" si="45"/>
        <v>6.2540901013319328E-5</v>
      </c>
      <c r="AA335" s="118">
        <f t="shared" si="49"/>
        <v>2.2425954265440362E-2</v>
      </c>
      <c r="AB335" s="118">
        <f t="shared" si="50"/>
        <v>2.2440647443896084E-2</v>
      </c>
      <c r="AC335" s="13">
        <f>W335-U334*'OverNight €'!I335*E335/360</f>
        <v>1402.723311283522</v>
      </c>
    </row>
    <row r="336" spans="2:29" x14ac:dyDescent="0.2">
      <c r="B336" s="9" t="str">
        <f t="shared" si="51"/>
        <v>11 2025</v>
      </c>
      <c r="C336" s="10">
        <f t="shared" si="40"/>
        <v>45988</v>
      </c>
      <c r="D336" s="10">
        <f t="shared" si="41"/>
        <v>45989</v>
      </c>
      <c r="E336" s="11">
        <f t="shared" si="52"/>
        <v>1</v>
      </c>
      <c r="G336" s="11" t="str">
        <f t="shared" si="46"/>
        <v>BNP/SG</v>
      </c>
      <c r="H336" s="206">
        <v>45986</v>
      </c>
      <c r="I336" s="215">
        <v>10164.812216099999</v>
      </c>
      <c r="J336" s="228"/>
      <c r="K336" s="12"/>
      <c r="L336" s="12"/>
      <c r="M336" s="215"/>
      <c r="N336" s="12"/>
      <c r="O336" s="219"/>
      <c r="P336" s="219"/>
      <c r="Q336" s="219"/>
      <c r="R336" s="219"/>
      <c r="T336" s="215">
        <f t="shared" si="48"/>
        <v>9854.4109000000008</v>
      </c>
      <c r="U336" s="12">
        <f t="shared" si="47"/>
        <v>100000000</v>
      </c>
      <c r="V336" s="12">
        <f t="shared" si="42"/>
        <v>168236.29878899455</v>
      </c>
      <c r="W336" s="12">
        <f t="shared" si="43"/>
        <v>6165.2903133481741</v>
      </c>
      <c r="X336" s="12">
        <f t="shared" si="44"/>
        <v>100168236.29878899</v>
      </c>
      <c r="Z336" s="245">
        <f t="shared" si="45"/>
        <v>6.155314333344819E-5</v>
      </c>
      <c r="AA336" s="118">
        <f>AA337</f>
        <v>2.2425954265440362E-2</v>
      </c>
      <c r="AB336" s="118">
        <f t="shared" si="50"/>
        <v>2.2431551064571547E-2</v>
      </c>
      <c r="AC336" s="13">
        <f>W336-U335*'OverNight €'!I336*E336/360</f>
        <v>1304.1792022370628</v>
      </c>
    </row>
    <row r="337" spans="2:31" x14ac:dyDescent="0.2">
      <c r="B337" s="9" t="str">
        <f t="shared" si="51"/>
        <v>11 2025</v>
      </c>
      <c r="C337" s="262">
        <f t="shared" si="40"/>
        <v>45989</v>
      </c>
      <c r="D337" s="262">
        <f t="shared" si="41"/>
        <v>45990</v>
      </c>
      <c r="E337" s="263">
        <f t="shared" si="52"/>
        <v>1</v>
      </c>
      <c r="F337" s="192"/>
      <c r="G337" s="263" t="str">
        <f t="shared" si="46"/>
        <v>BNP/SG</v>
      </c>
      <c r="H337" s="249">
        <v>45987</v>
      </c>
      <c r="I337" s="264">
        <v>10165.447853733334</v>
      </c>
      <c r="J337" s="228"/>
      <c r="K337" s="107"/>
      <c r="L337" s="107"/>
      <c r="M337" s="264"/>
      <c r="N337" s="107"/>
      <c r="O337" s="265"/>
      <c r="P337" s="265"/>
      <c r="Q337" s="265"/>
      <c r="R337" s="265"/>
      <c r="T337" s="264">
        <f t="shared" si="48"/>
        <v>9854.4109000000008</v>
      </c>
      <c r="U337" s="107">
        <f t="shared" si="47"/>
        <v>100000000</v>
      </c>
      <c r="V337" s="107">
        <f t="shared" si="42"/>
        <v>174500.13321138918</v>
      </c>
      <c r="W337" s="107">
        <f t="shared" si="43"/>
        <v>6263.8344223946333</v>
      </c>
      <c r="X337" s="107">
        <f t="shared" si="44"/>
        <v>100174500.13321139</v>
      </c>
      <c r="Z337" s="266">
        <f t="shared" si="45"/>
        <v>6.2533140782417007E-5</v>
      </c>
      <c r="AA337" s="267">
        <f>(I337/I313-1)*360/(C337-C313)</f>
        <v>2.2425954265440362E-2</v>
      </c>
      <c r="AB337" s="267">
        <f t="shared" si="50"/>
        <v>2.2435774383545239E-2</v>
      </c>
      <c r="AC337" s="182">
        <f>W337-U336*'OverNight €'!I337*E337/360</f>
        <v>1402.723311283522</v>
      </c>
    </row>
    <row r="338" spans="2:31" x14ac:dyDescent="0.2">
      <c r="B338" s="9" t="str">
        <f t="shared" si="51"/>
        <v>11 2025</v>
      </c>
      <c r="C338" s="142">
        <f t="shared" si="40"/>
        <v>45990</v>
      </c>
      <c r="D338" s="142">
        <f t="shared" si="41"/>
        <v>45991</v>
      </c>
      <c r="E338" s="143">
        <f t="shared" si="52"/>
        <v>1</v>
      </c>
      <c r="F338" s="17"/>
      <c r="G338" s="143" t="str">
        <f t="shared" si="46"/>
        <v>BNP/SG</v>
      </c>
      <c r="H338" s="244">
        <v>45987</v>
      </c>
      <c r="I338" s="423">
        <v>10165.447853733334</v>
      </c>
      <c r="J338" s="228"/>
      <c r="K338" s="144"/>
      <c r="L338" s="144"/>
      <c r="M338" s="216"/>
      <c r="N338" s="144"/>
      <c r="O338" s="220"/>
      <c r="P338" s="220"/>
      <c r="Q338" s="220"/>
      <c r="R338" s="220"/>
      <c r="T338" s="216">
        <f t="shared" si="48"/>
        <v>9854.4109000000008</v>
      </c>
      <c r="U338" s="144">
        <f t="shared" si="47"/>
        <v>100000000</v>
      </c>
      <c r="V338" s="144">
        <f t="shared" si="42"/>
        <v>174500.13321138918</v>
      </c>
      <c r="W338" s="144">
        <f t="shared" si="43"/>
        <v>0</v>
      </c>
      <c r="X338" s="144">
        <f t="shared" si="44"/>
        <v>100174500.13321139</v>
      </c>
      <c r="Z338" s="246">
        <f t="shared" si="45"/>
        <v>0</v>
      </c>
      <c r="AA338" s="470">
        <f t="shared" ref="AA338:AA363" si="53">AA339</f>
        <v>2.2419458246552892E-2</v>
      </c>
      <c r="AB338" s="470">
        <f t="shared" ref="AB338:AB345" si="54">(I338/$I$309-1)*360/(C338-$C$309)</f>
        <v>2.1662126991009195E-2</v>
      </c>
      <c r="AC338" s="87">
        <f>W338-U337*'OverNight €'!I338*E338/360</f>
        <v>-4861.1111111111113</v>
      </c>
      <c r="AD338" s="17"/>
      <c r="AE338" s="17"/>
    </row>
    <row r="339" spans="2:31" x14ac:dyDescent="0.2">
      <c r="B339" s="9" t="str">
        <f t="shared" si="51"/>
        <v>12 2025</v>
      </c>
      <c r="C339" s="10">
        <f t="shared" si="40"/>
        <v>45991</v>
      </c>
      <c r="D339" s="10">
        <f t="shared" si="41"/>
        <v>45992</v>
      </c>
      <c r="E339" s="11">
        <f t="shared" si="52"/>
        <v>1</v>
      </c>
      <c r="G339" s="11" t="str">
        <f t="shared" si="46"/>
        <v>BNP/SG</v>
      </c>
      <c r="H339" s="206">
        <v>45987</v>
      </c>
      <c r="I339" s="215">
        <v>10165.447853733334</v>
      </c>
      <c r="J339" s="228"/>
      <c r="K339" s="12"/>
      <c r="L339" s="12"/>
      <c r="M339" s="215"/>
      <c r="N339" s="12"/>
      <c r="O339" s="219"/>
      <c r="P339" s="219"/>
      <c r="Q339" s="219"/>
      <c r="R339" s="219"/>
      <c r="T339" s="215">
        <f t="shared" si="48"/>
        <v>9854.4109000000008</v>
      </c>
      <c r="U339" s="12">
        <f t="shared" si="47"/>
        <v>100000000</v>
      </c>
      <c r="V339" s="12">
        <f t="shared" si="42"/>
        <v>174500.13321138918</v>
      </c>
      <c r="W339" s="12">
        <f t="shared" si="43"/>
        <v>0</v>
      </c>
      <c r="X339" s="12">
        <f t="shared" si="44"/>
        <v>100174500.13321139</v>
      </c>
      <c r="Z339" s="245">
        <f t="shared" si="45"/>
        <v>0</v>
      </c>
      <c r="AA339" s="118">
        <f t="shared" si="53"/>
        <v>2.2419458246552892E-2</v>
      </c>
      <c r="AB339" s="118">
        <f t="shared" si="54"/>
        <v>2.094005609130889E-2</v>
      </c>
      <c r="AC339" s="13">
        <f>W339-U338*'OverNight €'!I339*E339/360</f>
        <v>-4861.1111111111113</v>
      </c>
    </row>
    <row r="340" spans="2:31" x14ac:dyDescent="0.2">
      <c r="B340" s="9" t="str">
        <f t="shared" si="51"/>
        <v>12 2025</v>
      </c>
      <c r="C340" s="10">
        <f t="shared" si="40"/>
        <v>45992</v>
      </c>
      <c r="D340" s="10">
        <f t="shared" si="41"/>
        <v>45993</v>
      </c>
      <c r="E340" s="11">
        <f t="shared" si="52"/>
        <v>1</v>
      </c>
      <c r="G340" s="11" t="str">
        <f t="shared" si="46"/>
        <v>BNP/SG</v>
      </c>
      <c r="H340" s="206">
        <v>45987</v>
      </c>
      <c r="I340" s="215">
        <v>10165.447853733334</v>
      </c>
      <c r="J340" s="228"/>
      <c r="K340" s="12"/>
      <c r="L340" s="12"/>
      <c r="M340" s="215"/>
      <c r="N340" s="12"/>
      <c r="O340" s="219"/>
      <c r="P340" s="219"/>
      <c r="Q340" s="219"/>
      <c r="R340" s="219"/>
      <c r="T340" s="215">
        <f t="shared" si="48"/>
        <v>9854.4109000000008</v>
      </c>
      <c r="U340" s="12">
        <f t="shared" si="47"/>
        <v>100000000</v>
      </c>
      <c r="V340" s="12">
        <f t="shared" si="42"/>
        <v>174500.13321138918</v>
      </c>
      <c r="W340" s="12">
        <f t="shared" si="43"/>
        <v>0</v>
      </c>
      <c r="X340" s="12">
        <f t="shared" si="44"/>
        <v>100174500.13321139</v>
      </c>
      <c r="Z340" s="245">
        <f t="shared" si="45"/>
        <v>0</v>
      </c>
      <c r="AA340" s="118">
        <f t="shared" si="53"/>
        <v>2.2419458246552892E-2</v>
      </c>
      <c r="AB340" s="118">
        <f t="shared" si="54"/>
        <v>2.0264570410944087E-2</v>
      </c>
      <c r="AC340" s="13">
        <f>W340-U339*'OverNight €'!I340*E340/360</f>
        <v>-4861.1111111111113</v>
      </c>
    </row>
    <row r="341" spans="2:31" x14ac:dyDescent="0.2">
      <c r="B341" s="9" t="str">
        <f t="shared" si="51"/>
        <v>12 2025</v>
      </c>
      <c r="C341" s="10">
        <f t="shared" si="40"/>
        <v>45993</v>
      </c>
      <c r="D341" s="10">
        <f t="shared" si="41"/>
        <v>45994</v>
      </c>
      <c r="E341" s="11">
        <f t="shared" si="52"/>
        <v>1</v>
      </c>
      <c r="G341" s="11" t="str">
        <f t="shared" si="46"/>
        <v>BNP/SG</v>
      </c>
      <c r="H341" s="206">
        <v>45987</v>
      </c>
      <c r="I341" s="215">
        <v>10165.447853733334</v>
      </c>
      <c r="J341" s="228"/>
      <c r="K341" s="12"/>
      <c r="L341" s="12"/>
      <c r="M341" s="215"/>
      <c r="N341" s="12"/>
      <c r="O341" s="219"/>
      <c r="P341" s="219"/>
      <c r="Q341" s="219"/>
      <c r="R341" s="219"/>
      <c r="T341" s="215">
        <f t="shared" si="48"/>
        <v>9854.4109000000008</v>
      </c>
      <c r="U341" s="12">
        <f t="shared" si="47"/>
        <v>100000000</v>
      </c>
      <c r="V341" s="12">
        <f t="shared" si="42"/>
        <v>174500.13321138918</v>
      </c>
      <c r="W341" s="12">
        <f t="shared" si="43"/>
        <v>0</v>
      </c>
      <c r="X341" s="12">
        <f t="shared" si="44"/>
        <v>100174500.13321139</v>
      </c>
      <c r="Z341" s="245">
        <f t="shared" si="45"/>
        <v>0</v>
      </c>
      <c r="AA341" s="118">
        <f t="shared" si="53"/>
        <v>2.2419458246552892E-2</v>
      </c>
      <c r="AB341" s="118">
        <f t="shared" si="54"/>
        <v>1.9631302585602084E-2</v>
      </c>
      <c r="AC341" s="13">
        <f>W341-U340*'OverNight €'!I341*E341/360</f>
        <v>-4861.1111111111113</v>
      </c>
    </row>
    <row r="342" spans="2:31" x14ac:dyDescent="0.2">
      <c r="B342" s="9" t="str">
        <f t="shared" si="51"/>
        <v>12 2025</v>
      </c>
      <c r="C342" s="10">
        <f t="shared" si="40"/>
        <v>45994</v>
      </c>
      <c r="D342" s="10">
        <f t="shared" si="41"/>
        <v>45995</v>
      </c>
      <c r="E342" s="11">
        <f t="shared" si="52"/>
        <v>1</v>
      </c>
      <c r="G342" s="11" t="str">
        <f t="shared" si="46"/>
        <v>BNP/SG</v>
      </c>
      <c r="H342" s="206">
        <v>45992</v>
      </c>
      <c r="I342" s="215">
        <v>10168.6060419</v>
      </c>
      <c r="J342" s="228"/>
      <c r="K342" s="12"/>
      <c r="L342" s="12"/>
      <c r="M342" s="215"/>
      <c r="N342" s="12"/>
      <c r="O342" s="219"/>
      <c r="P342" s="219"/>
      <c r="Q342" s="219"/>
      <c r="R342" s="219"/>
      <c r="T342" s="215">
        <f t="shared" si="48"/>
        <v>9854.4109000000008</v>
      </c>
      <c r="U342" s="12">
        <f t="shared" si="47"/>
        <v>100000000</v>
      </c>
      <c r="V342" s="12">
        <f t="shared" ref="V342:V369" si="55">X342-U342</f>
        <v>205622.21710522473</v>
      </c>
      <c r="W342" s="12">
        <f t="shared" ref="W342:W369" si="56">V342+-V341</f>
        <v>31122.083893835545</v>
      </c>
      <c r="X342" s="12">
        <f t="shared" ref="X342:X369" si="57">T342*I342</f>
        <v>100205622.21710522</v>
      </c>
      <c r="Z342" s="245">
        <f t="shared" ref="Z342:Z369" si="58">I342/I341-1</f>
        <v>3.1067870418577392E-4</v>
      </c>
      <c r="AA342" s="118">
        <f t="shared" si="53"/>
        <v>2.2419458246552892E-2</v>
      </c>
      <c r="AB342" s="118">
        <f t="shared" si="54"/>
        <v>2.2431551064572085E-2</v>
      </c>
      <c r="AC342" s="13">
        <f>W342-U341*'OverNight €'!I342*E342/360</f>
        <v>26260.972782724435</v>
      </c>
    </row>
    <row r="343" spans="2:31" x14ac:dyDescent="0.2">
      <c r="B343" s="9" t="str">
        <f t="shared" si="51"/>
        <v>12 2025</v>
      </c>
      <c r="C343" s="10">
        <f t="shared" si="40"/>
        <v>45995</v>
      </c>
      <c r="D343" s="10">
        <f t="shared" si="41"/>
        <v>45996</v>
      </c>
      <c r="E343" s="11">
        <f t="shared" si="52"/>
        <v>1</v>
      </c>
      <c r="G343" s="11" t="str">
        <f t="shared" si="46"/>
        <v>BNP/SG</v>
      </c>
      <c r="H343" s="206">
        <v>45993</v>
      </c>
      <c r="I343" s="215">
        <v>10169.241679533332</v>
      </c>
      <c r="J343" s="228"/>
      <c r="K343" s="12"/>
      <c r="L343" s="12"/>
      <c r="M343" s="215"/>
      <c r="N343" s="12"/>
      <c r="O343" s="219"/>
      <c r="P343" s="219"/>
      <c r="Q343" s="219"/>
      <c r="R343" s="219"/>
      <c r="T343" s="215">
        <f t="shared" si="48"/>
        <v>9854.4109000000008</v>
      </c>
      <c r="U343" s="12">
        <f t="shared" si="47"/>
        <v>100000000</v>
      </c>
      <c r="V343" s="12">
        <f t="shared" si="55"/>
        <v>211886.05152757466</v>
      </c>
      <c r="W343" s="12">
        <f t="shared" si="56"/>
        <v>6263.8344223499298</v>
      </c>
      <c r="X343" s="12">
        <f t="shared" si="57"/>
        <v>100211886.05152757</v>
      </c>
      <c r="Z343" s="245">
        <f t="shared" si="58"/>
        <v>6.2509810165867208E-5</v>
      </c>
      <c r="AA343" s="118">
        <f t="shared" si="53"/>
        <v>2.2419458246552892E-2</v>
      </c>
      <c r="AB343" s="118">
        <f t="shared" si="54"/>
        <v>2.2435029091959817E-2</v>
      </c>
      <c r="AC343" s="13">
        <f>W343-U342*'OverNight €'!I343*E343/360</f>
        <v>1402.7233112388185</v>
      </c>
    </row>
    <row r="344" spans="2:31" x14ac:dyDescent="0.2">
      <c r="B344" s="9" t="str">
        <f t="shared" si="51"/>
        <v>12 2025</v>
      </c>
      <c r="C344" s="10">
        <f t="shared" si="40"/>
        <v>45996</v>
      </c>
      <c r="D344" s="10">
        <f t="shared" si="41"/>
        <v>45997</v>
      </c>
      <c r="E344" s="11">
        <f t="shared" si="52"/>
        <v>1</v>
      </c>
      <c r="G344" s="11" t="str">
        <f t="shared" si="46"/>
        <v>BNP/SG</v>
      </c>
      <c r="H344" s="206">
        <v>45994</v>
      </c>
      <c r="I344" s="215">
        <v>10169.867317166667</v>
      </c>
      <c r="J344" s="228"/>
      <c r="K344" s="12"/>
      <c r="L344" s="12"/>
      <c r="M344" s="215"/>
      <c r="N344" s="12"/>
      <c r="O344" s="219"/>
      <c r="P344" s="219"/>
      <c r="Q344" s="219"/>
      <c r="R344" s="219"/>
      <c r="T344" s="215">
        <f t="shared" si="48"/>
        <v>9854.4109000000008</v>
      </c>
      <c r="U344" s="12">
        <f t="shared" si="47"/>
        <v>100000000</v>
      </c>
      <c r="V344" s="12">
        <f t="shared" si="55"/>
        <v>218051.34184096754</v>
      </c>
      <c r="W344" s="12">
        <f t="shared" si="56"/>
        <v>6165.2903133928776</v>
      </c>
      <c r="X344" s="12">
        <f t="shared" si="57"/>
        <v>100218051.34184097</v>
      </c>
      <c r="Z344" s="245">
        <f t="shared" si="58"/>
        <v>6.1522545441450305E-5</v>
      </c>
      <c r="AA344" s="118">
        <f t="shared" si="53"/>
        <v>2.2419458246552892E-2</v>
      </c>
      <c r="AB344" s="118">
        <f t="shared" si="54"/>
        <v>2.2428172409395635E-2</v>
      </c>
      <c r="AC344" s="13">
        <f>W344-U343*'OverNight €'!I344*E344/360</f>
        <v>1304.1792022817663</v>
      </c>
    </row>
    <row r="345" spans="2:31" x14ac:dyDescent="0.2">
      <c r="B345" s="9" t="str">
        <f t="shared" si="51"/>
        <v>12 2025</v>
      </c>
      <c r="C345" s="10">
        <f t="shared" si="40"/>
        <v>45997</v>
      </c>
      <c r="D345" s="10">
        <f t="shared" si="41"/>
        <v>45998</v>
      </c>
      <c r="E345" s="11">
        <f t="shared" si="52"/>
        <v>1</v>
      </c>
      <c r="G345" s="11" t="str">
        <f t="shared" si="46"/>
        <v>BNP/SG</v>
      </c>
      <c r="H345" s="206">
        <v>45994</v>
      </c>
      <c r="I345" s="215">
        <v>10169.867317166667</v>
      </c>
      <c r="J345" s="228"/>
      <c r="K345" s="12"/>
      <c r="L345" s="12"/>
      <c r="M345" s="215"/>
      <c r="N345" s="12"/>
      <c r="O345" s="219"/>
      <c r="P345" s="219"/>
      <c r="Q345" s="219"/>
      <c r="R345" s="219"/>
      <c r="T345" s="215">
        <f t="shared" si="48"/>
        <v>9854.4109000000008</v>
      </c>
      <c r="U345" s="12">
        <f t="shared" si="47"/>
        <v>100000000</v>
      </c>
      <c r="V345" s="12">
        <f t="shared" si="55"/>
        <v>218051.34184096754</v>
      </c>
      <c r="W345" s="12">
        <f t="shared" si="56"/>
        <v>0</v>
      </c>
      <c r="X345" s="12">
        <f t="shared" si="57"/>
        <v>100218051.34184097</v>
      </c>
      <c r="Z345" s="245">
        <f t="shared" si="58"/>
        <v>0</v>
      </c>
      <c r="AA345" s="118">
        <f t="shared" si="53"/>
        <v>2.2419458246552892E-2</v>
      </c>
      <c r="AB345" s="118">
        <f t="shared" si="54"/>
        <v>2.1805167620245758E-2</v>
      </c>
      <c r="AC345" s="13">
        <f>W345-U344*'OverNight €'!I345*E345/360</f>
        <v>-4861.1111111111113</v>
      </c>
    </row>
    <row r="346" spans="2:31" x14ac:dyDescent="0.2">
      <c r="B346" s="9" t="str">
        <f t="shared" si="51"/>
        <v>12 2025</v>
      </c>
      <c r="C346" s="10">
        <f t="shared" si="40"/>
        <v>45998</v>
      </c>
      <c r="D346" s="10">
        <f t="shared" si="41"/>
        <v>45999</v>
      </c>
      <c r="E346" s="11">
        <f t="shared" si="52"/>
        <v>1</v>
      </c>
      <c r="G346" s="11" t="str">
        <f t="shared" si="46"/>
        <v>BNP/SG</v>
      </c>
      <c r="H346" s="206">
        <v>45994</v>
      </c>
      <c r="I346" s="215">
        <v>10169.867317166667</v>
      </c>
      <c r="J346" s="228"/>
      <c r="K346" s="12"/>
      <c r="L346" s="12"/>
      <c r="M346" s="215"/>
      <c r="N346" s="12"/>
      <c r="O346" s="219"/>
      <c r="P346" s="219"/>
      <c r="Q346" s="219"/>
      <c r="R346" s="219"/>
      <c r="T346" s="215">
        <f t="shared" si="48"/>
        <v>9854.4109000000008</v>
      </c>
      <c r="U346" s="12">
        <f t="shared" si="47"/>
        <v>100000000</v>
      </c>
      <c r="V346" s="12">
        <f t="shared" si="55"/>
        <v>218051.34184096754</v>
      </c>
      <c r="W346" s="12">
        <f t="shared" si="56"/>
        <v>0</v>
      </c>
      <c r="X346" s="12">
        <f t="shared" si="57"/>
        <v>100218051.34184097</v>
      </c>
      <c r="Z346" s="245">
        <f t="shared" si="58"/>
        <v>0</v>
      </c>
      <c r="AA346" s="118">
        <f t="shared" si="53"/>
        <v>2.2419458246552892E-2</v>
      </c>
      <c r="AB346" s="118">
        <f t="shared" ref="AB346:AB369" si="59">(I346/$I$309-1)*360/(C346-$C$309)</f>
        <v>2.1215838765644521E-2</v>
      </c>
      <c r="AC346" s="13">
        <f>W346-U345*'OverNight €'!I346*E346/360</f>
        <v>-4861.1111111111113</v>
      </c>
    </row>
    <row r="347" spans="2:31" x14ac:dyDescent="0.2">
      <c r="B347" s="9" t="str">
        <f t="shared" si="51"/>
        <v>12 2025</v>
      </c>
      <c r="C347" s="10">
        <f t="shared" si="40"/>
        <v>45999</v>
      </c>
      <c r="D347" s="10">
        <f t="shared" si="41"/>
        <v>46000</v>
      </c>
      <c r="E347" s="11">
        <f t="shared" si="52"/>
        <v>1</v>
      </c>
      <c r="G347" s="11" t="str">
        <f t="shared" si="46"/>
        <v>BNP/SG</v>
      </c>
      <c r="H347" s="206">
        <v>45995</v>
      </c>
      <c r="I347" s="215">
        <v>10171.764230066667</v>
      </c>
      <c r="J347" s="228"/>
      <c r="K347" s="12"/>
      <c r="L347" s="12"/>
      <c r="M347" s="215"/>
      <c r="N347" s="12"/>
      <c r="O347" s="219"/>
      <c r="P347" s="219"/>
      <c r="Q347" s="219"/>
      <c r="R347" s="219"/>
      <c r="T347" s="215">
        <f t="shared" si="48"/>
        <v>9854.4109000000008</v>
      </c>
      <c r="U347" s="12">
        <f t="shared" si="47"/>
        <v>100000000</v>
      </c>
      <c r="V347" s="12">
        <f t="shared" si="55"/>
        <v>236744.30099907517</v>
      </c>
      <c r="W347" s="12">
        <f t="shared" si="56"/>
        <v>18692.959158107638</v>
      </c>
      <c r="X347" s="12">
        <f t="shared" si="57"/>
        <v>100236744.30099908</v>
      </c>
      <c r="Z347" s="245">
        <f t="shared" si="58"/>
        <v>1.8652287594722594E-4</v>
      </c>
      <c r="AA347" s="118">
        <f t="shared" si="53"/>
        <v>2.2419458246552892E-2</v>
      </c>
      <c r="AB347" s="118">
        <f t="shared" si="59"/>
        <v>2.2428439145330811E-2</v>
      </c>
      <c r="AC347" s="13">
        <f>W347-U346*'OverNight €'!I347*E347/360</f>
        <v>13831.848046996527</v>
      </c>
    </row>
    <row r="348" spans="2:31" x14ac:dyDescent="0.2">
      <c r="B348" s="9" t="str">
        <f t="shared" si="51"/>
        <v>12 2025</v>
      </c>
      <c r="C348" s="10">
        <f t="shared" si="40"/>
        <v>46000</v>
      </c>
      <c r="D348" s="10">
        <f t="shared" si="41"/>
        <v>46001</v>
      </c>
      <c r="E348" s="11">
        <f t="shared" si="52"/>
        <v>1</v>
      </c>
      <c r="G348" s="11" t="str">
        <f t="shared" si="46"/>
        <v>BNP/SG</v>
      </c>
      <c r="H348" s="206">
        <v>45996</v>
      </c>
      <c r="I348" s="215">
        <v>10172.3998677</v>
      </c>
      <c r="J348" s="228"/>
      <c r="K348" s="12"/>
      <c r="L348" s="12"/>
      <c r="M348" s="215"/>
      <c r="N348" s="12"/>
      <c r="O348" s="219"/>
      <c r="P348" s="219"/>
      <c r="Q348" s="219"/>
      <c r="R348" s="219"/>
      <c r="T348" s="215">
        <f t="shared" si="48"/>
        <v>9854.4109000000008</v>
      </c>
      <c r="U348" s="12">
        <f t="shared" si="47"/>
        <v>100000000</v>
      </c>
      <c r="V348" s="12">
        <f t="shared" si="55"/>
        <v>243008.13542144001</v>
      </c>
      <c r="W348" s="12">
        <f t="shared" si="56"/>
        <v>6263.834422364831</v>
      </c>
      <c r="X348" s="12">
        <f t="shared" si="57"/>
        <v>100243008.13542144</v>
      </c>
      <c r="Z348" s="245">
        <f t="shared" si="58"/>
        <v>6.2490401758763525E-5</v>
      </c>
      <c r="AA348" s="118">
        <f t="shared" si="53"/>
        <v>2.2419458246552892E-2</v>
      </c>
      <c r="AB348" s="118">
        <f t="shared" si="59"/>
        <v>2.2431551064572456E-2</v>
      </c>
      <c r="AC348" s="13">
        <f>W348-U347*'OverNight €'!I348*E348/360</f>
        <v>1402.7233112537197</v>
      </c>
    </row>
    <row r="349" spans="2:31" x14ac:dyDescent="0.2">
      <c r="B349" s="9" t="str">
        <f t="shared" si="51"/>
        <v>12 2025</v>
      </c>
      <c r="C349" s="10">
        <f t="shared" si="40"/>
        <v>46001</v>
      </c>
      <c r="D349" s="10">
        <f t="shared" si="41"/>
        <v>46002</v>
      </c>
      <c r="E349" s="11">
        <f t="shared" si="52"/>
        <v>1</v>
      </c>
      <c r="G349" s="11" t="str">
        <f t="shared" si="46"/>
        <v>BNP/SG</v>
      </c>
      <c r="H349" s="206">
        <v>45999</v>
      </c>
      <c r="I349" s="215">
        <v>10173.035505333333</v>
      </c>
      <c r="J349" s="228"/>
      <c r="K349" s="12"/>
      <c r="L349" s="12"/>
      <c r="M349" s="215"/>
      <c r="N349" s="12"/>
      <c r="O349" s="219"/>
      <c r="P349" s="219"/>
      <c r="Q349" s="219"/>
      <c r="R349" s="219"/>
      <c r="T349" s="215">
        <f t="shared" si="48"/>
        <v>9854.4109000000008</v>
      </c>
      <c r="U349" s="12">
        <f t="shared" si="47"/>
        <v>100000000</v>
      </c>
      <c r="V349" s="12">
        <f t="shared" si="55"/>
        <v>249271.96984381974</v>
      </c>
      <c r="W349" s="12">
        <f t="shared" si="56"/>
        <v>6263.8344223797321</v>
      </c>
      <c r="X349" s="12">
        <f t="shared" si="57"/>
        <v>100249271.96984382</v>
      </c>
      <c r="Z349" s="245">
        <f t="shared" si="58"/>
        <v>6.2486496952507409E-5</v>
      </c>
      <c r="AA349" s="118">
        <f t="shared" si="53"/>
        <v>2.2419458246552892E-2</v>
      </c>
      <c r="AB349" s="118">
        <f t="shared" si="59"/>
        <v>2.2434507387852021E-2</v>
      </c>
      <c r="AC349" s="13">
        <f>W349-U348*'OverNight €'!I349*E349/360</f>
        <v>1402.7233112686208</v>
      </c>
    </row>
    <row r="350" spans="2:31" x14ac:dyDescent="0.2">
      <c r="B350" s="9" t="str">
        <f t="shared" si="51"/>
        <v>12 2025</v>
      </c>
      <c r="C350" s="10">
        <f t="shared" si="40"/>
        <v>46002</v>
      </c>
      <c r="D350" s="10">
        <f t="shared" si="41"/>
        <v>46003</v>
      </c>
      <c r="E350" s="11">
        <f t="shared" si="52"/>
        <v>1</v>
      </c>
      <c r="G350" s="11" t="str">
        <f t="shared" si="46"/>
        <v>BNP/SG</v>
      </c>
      <c r="H350" s="206">
        <v>46000</v>
      </c>
      <c r="I350" s="215">
        <v>10173.671142966667</v>
      </c>
      <c r="J350" s="228"/>
      <c r="K350" s="12"/>
      <c r="L350" s="12"/>
      <c r="M350" s="215"/>
      <c r="N350" s="12"/>
      <c r="O350" s="219"/>
      <c r="P350" s="219"/>
      <c r="Q350" s="219"/>
      <c r="R350" s="219"/>
      <c r="T350" s="215">
        <f t="shared" si="48"/>
        <v>9854.4109000000008</v>
      </c>
      <c r="U350" s="12">
        <f t="shared" si="47"/>
        <v>100000000</v>
      </c>
      <c r="V350" s="12">
        <f t="shared" si="55"/>
        <v>255535.80426618457</v>
      </c>
      <c r="W350" s="12">
        <f t="shared" si="56"/>
        <v>6263.834422364831</v>
      </c>
      <c r="X350" s="12">
        <f t="shared" si="57"/>
        <v>100255535.80426618</v>
      </c>
      <c r="Z350" s="245">
        <f t="shared" si="58"/>
        <v>6.2482592634305334E-5</v>
      </c>
      <c r="AA350" s="118">
        <f t="shared" si="53"/>
        <v>2.2419458246552892E-2</v>
      </c>
      <c r="AB350" s="118">
        <f t="shared" si="59"/>
        <v>2.2437319500239899E-2</v>
      </c>
      <c r="AC350" s="13">
        <f>W350-U349*'OverNight €'!I350*E350/360</f>
        <v>1402.7233112537197</v>
      </c>
    </row>
    <row r="351" spans="2:31" x14ac:dyDescent="0.2">
      <c r="B351" s="9" t="str">
        <f t="shared" si="51"/>
        <v>12 2025</v>
      </c>
      <c r="C351" s="10">
        <f t="shared" si="40"/>
        <v>46003</v>
      </c>
      <c r="D351" s="10">
        <f t="shared" si="41"/>
        <v>46004</v>
      </c>
      <c r="E351" s="11">
        <f t="shared" si="52"/>
        <v>1</v>
      </c>
      <c r="G351" s="11" t="str">
        <f t="shared" si="46"/>
        <v>BNP/SG</v>
      </c>
      <c r="H351" s="206">
        <v>46001</v>
      </c>
      <c r="I351" s="215">
        <v>10174.2967806</v>
      </c>
      <c r="J351" s="228"/>
      <c r="K351" s="12"/>
      <c r="L351" s="12"/>
      <c r="M351" s="215"/>
      <c r="N351" s="12"/>
      <c r="O351" s="219"/>
      <c r="P351" s="219"/>
      <c r="Q351" s="219"/>
      <c r="R351" s="219"/>
      <c r="T351" s="215">
        <f t="shared" si="48"/>
        <v>9854.4109000000008</v>
      </c>
      <c r="U351" s="12">
        <f t="shared" si="47"/>
        <v>100000000</v>
      </c>
      <c r="V351" s="12">
        <f t="shared" si="55"/>
        <v>261701.09457954764</v>
      </c>
      <c r="W351" s="12">
        <f t="shared" si="56"/>
        <v>6165.2903133630753</v>
      </c>
      <c r="X351" s="12">
        <f t="shared" si="57"/>
        <v>100261701.09457955</v>
      </c>
      <c r="Z351" s="245">
        <f t="shared" si="58"/>
        <v>6.1495759450247434E-5</v>
      </c>
      <c r="AA351" s="118">
        <f t="shared" si="53"/>
        <v>2.2419458246552892E-2</v>
      </c>
      <c r="AB351" s="118">
        <f t="shared" si="59"/>
        <v>2.2431551064572602E-2</v>
      </c>
      <c r="AC351" s="13">
        <f>W351-U350*'OverNight €'!I351*E351/360</f>
        <v>1304.1792022519639</v>
      </c>
    </row>
    <row r="352" spans="2:31" x14ac:dyDescent="0.2">
      <c r="B352" s="9" t="str">
        <f t="shared" si="51"/>
        <v>12 2025</v>
      </c>
      <c r="C352" s="10">
        <f t="shared" si="40"/>
        <v>46004</v>
      </c>
      <c r="D352" s="10">
        <f t="shared" si="41"/>
        <v>46005</v>
      </c>
      <c r="E352" s="11">
        <f t="shared" si="52"/>
        <v>1</v>
      </c>
      <c r="G352" s="11" t="str">
        <f t="shared" si="46"/>
        <v>BNP/SG</v>
      </c>
      <c r="H352" s="206">
        <v>46001</v>
      </c>
      <c r="I352" s="215">
        <v>10174.2967806</v>
      </c>
      <c r="J352" s="228"/>
      <c r="K352" s="12"/>
      <c r="L352" s="12"/>
      <c r="M352" s="215"/>
      <c r="N352" s="12"/>
      <c r="O352" s="219"/>
      <c r="P352" s="219"/>
      <c r="Q352" s="219"/>
      <c r="R352" s="219"/>
      <c r="T352" s="215">
        <f t="shared" si="48"/>
        <v>9854.4109000000008</v>
      </c>
      <c r="U352" s="12">
        <f t="shared" si="47"/>
        <v>100000000</v>
      </c>
      <c r="V352" s="12">
        <f t="shared" si="55"/>
        <v>261701.09457954764</v>
      </c>
      <c r="W352" s="12">
        <f t="shared" si="56"/>
        <v>0</v>
      </c>
      <c r="X352" s="12">
        <f t="shared" si="57"/>
        <v>100261701.09457955</v>
      </c>
      <c r="Z352" s="245">
        <f t="shared" si="58"/>
        <v>0</v>
      </c>
      <c r="AA352" s="118">
        <f t="shared" si="53"/>
        <v>2.2419458246552892E-2</v>
      </c>
      <c r="AB352" s="118">
        <f t="shared" si="59"/>
        <v>2.190988708632673E-2</v>
      </c>
      <c r="AC352" s="13">
        <f>W352-U351*'OverNight €'!I352*E352/360</f>
        <v>-4861.1111111111113</v>
      </c>
    </row>
    <row r="353" spans="2:29" x14ac:dyDescent="0.2">
      <c r="B353" s="9" t="str">
        <f t="shared" si="51"/>
        <v>12 2025</v>
      </c>
      <c r="C353" s="10">
        <f t="shared" si="40"/>
        <v>46005</v>
      </c>
      <c r="D353" s="10">
        <f t="shared" si="41"/>
        <v>46006</v>
      </c>
      <c r="E353" s="11">
        <f t="shared" si="52"/>
        <v>1</v>
      </c>
      <c r="G353" s="11" t="str">
        <f t="shared" si="46"/>
        <v>BNP/SG</v>
      </c>
      <c r="H353" s="206">
        <v>46001</v>
      </c>
      <c r="I353" s="215">
        <v>10174.2967806</v>
      </c>
      <c r="J353" s="228"/>
      <c r="K353" s="12"/>
      <c r="L353" s="12"/>
      <c r="M353" s="215"/>
      <c r="N353" s="12"/>
      <c r="O353" s="219"/>
      <c r="P353" s="219"/>
      <c r="Q353" s="219"/>
      <c r="R353" s="219"/>
      <c r="T353" s="215">
        <f t="shared" si="48"/>
        <v>9854.4109000000008</v>
      </c>
      <c r="U353" s="12">
        <f t="shared" si="47"/>
        <v>100000000</v>
      </c>
      <c r="V353" s="12">
        <f t="shared" si="55"/>
        <v>261701.09457954764</v>
      </c>
      <c r="W353" s="12">
        <f t="shared" si="56"/>
        <v>0</v>
      </c>
      <c r="X353" s="12">
        <f t="shared" si="57"/>
        <v>100261701.09457955</v>
      </c>
      <c r="Z353" s="245">
        <f t="shared" si="58"/>
        <v>0</v>
      </c>
      <c r="AA353" s="118">
        <f t="shared" si="53"/>
        <v>2.2419458246552892E-2</v>
      </c>
      <c r="AB353" s="118">
        <f t="shared" si="59"/>
        <v>2.141193510709203E-2</v>
      </c>
      <c r="AC353" s="13">
        <f>W353-U352*'OverNight €'!I353*E353/360</f>
        <v>-4861.1111111111113</v>
      </c>
    </row>
    <row r="354" spans="2:29" x14ac:dyDescent="0.2">
      <c r="B354" s="9" t="str">
        <f t="shared" si="51"/>
        <v>12 2025</v>
      </c>
      <c r="C354" s="10">
        <f t="shared" si="40"/>
        <v>46006</v>
      </c>
      <c r="D354" s="10">
        <f t="shared" si="41"/>
        <v>46007</v>
      </c>
      <c r="E354" s="11">
        <f t="shared" si="52"/>
        <v>1</v>
      </c>
      <c r="G354" s="11" t="str">
        <f t="shared" si="46"/>
        <v>BNP/SG</v>
      </c>
      <c r="H354" s="206">
        <v>46002</v>
      </c>
      <c r="I354" s="215">
        <v>10176.203693500001</v>
      </c>
      <c r="J354" s="228"/>
      <c r="K354" s="12"/>
      <c r="L354" s="12"/>
      <c r="M354" s="215"/>
      <c r="N354" s="12"/>
      <c r="O354" s="219"/>
      <c r="P354" s="219"/>
      <c r="Q354" s="219"/>
      <c r="R354" s="219"/>
      <c r="T354" s="215">
        <f t="shared" si="48"/>
        <v>9854.4109000000008</v>
      </c>
      <c r="U354" s="12">
        <f t="shared" si="47"/>
        <v>100000000</v>
      </c>
      <c r="V354" s="12">
        <f t="shared" si="55"/>
        <v>280492.59784668684</v>
      </c>
      <c r="W354" s="12">
        <f t="shared" si="56"/>
        <v>18791.503267139196</v>
      </c>
      <c r="X354" s="12">
        <f t="shared" si="57"/>
        <v>100280492.59784669</v>
      </c>
      <c r="Z354" s="245">
        <f t="shared" si="58"/>
        <v>1.8742454059705871E-4</v>
      </c>
      <c r="AA354" s="118">
        <f t="shared" si="53"/>
        <v>2.2419458246552892E-2</v>
      </c>
      <c r="AB354" s="118">
        <f t="shared" si="59"/>
        <v>2.2439434593319874E-2</v>
      </c>
      <c r="AC354" s="13">
        <f>W354-U353*'OverNight €'!I354*E354/360</f>
        <v>13930.392156028085</v>
      </c>
    </row>
    <row r="355" spans="2:29" x14ac:dyDescent="0.2">
      <c r="B355" s="9" t="str">
        <f t="shared" si="51"/>
        <v>12 2025</v>
      </c>
      <c r="C355" s="10">
        <f t="shared" si="40"/>
        <v>46007</v>
      </c>
      <c r="D355" s="10">
        <f t="shared" si="41"/>
        <v>46008</v>
      </c>
      <c r="E355" s="11">
        <f t="shared" si="52"/>
        <v>1</v>
      </c>
      <c r="G355" s="11" t="str">
        <f t="shared" si="46"/>
        <v>BNP/SG</v>
      </c>
      <c r="H355" s="206">
        <v>46003</v>
      </c>
      <c r="I355" s="215">
        <v>10176.829331133333</v>
      </c>
      <c r="J355" s="228"/>
      <c r="K355" s="12"/>
      <c r="L355" s="12"/>
      <c r="M355" s="215"/>
      <c r="N355" s="12"/>
      <c r="O355" s="219"/>
      <c r="P355" s="219"/>
      <c r="Q355" s="219"/>
      <c r="R355" s="219"/>
      <c r="T355" s="215">
        <f t="shared" si="48"/>
        <v>9854.4109000000008</v>
      </c>
      <c r="U355" s="12">
        <f t="shared" si="47"/>
        <v>100000000</v>
      </c>
      <c r="V355" s="12">
        <f t="shared" si="55"/>
        <v>286657.88816003501</v>
      </c>
      <c r="W355" s="12">
        <f t="shared" si="56"/>
        <v>6165.2903133481741</v>
      </c>
      <c r="X355" s="12">
        <f t="shared" si="57"/>
        <v>100286657.88816004</v>
      </c>
      <c r="Z355" s="245">
        <f t="shared" si="58"/>
        <v>6.1480455008089407E-5</v>
      </c>
      <c r="AA355" s="118">
        <f t="shared" si="53"/>
        <v>2.2419458246552892E-2</v>
      </c>
      <c r="AB355" s="118">
        <f t="shared" si="59"/>
        <v>2.2434121780467997E-2</v>
      </c>
      <c r="AC355" s="13">
        <f>W355-U354*'OverNight €'!I355*E355/360</f>
        <v>1304.1792022370628</v>
      </c>
    </row>
    <row r="356" spans="2:29" x14ac:dyDescent="0.2">
      <c r="B356" s="9" t="str">
        <f t="shared" si="51"/>
        <v>12 2025</v>
      </c>
      <c r="C356" s="10">
        <f t="shared" si="40"/>
        <v>46008</v>
      </c>
      <c r="D356" s="10">
        <f t="shared" si="41"/>
        <v>46009</v>
      </c>
      <c r="E356" s="11">
        <f t="shared" si="52"/>
        <v>1</v>
      </c>
      <c r="G356" s="11" t="str">
        <f t="shared" si="46"/>
        <v>BNP/SG</v>
      </c>
      <c r="H356" s="206">
        <v>46006</v>
      </c>
      <c r="I356" s="215">
        <v>10177.464968766668</v>
      </c>
      <c r="J356" s="228"/>
      <c r="K356" s="12"/>
      <c r="L356" s="12"/>
      <c r="M356" s="215"/>
      <c r="N356" s="12"/>
      <c r="O356" s="219"/>
      <c r="P356" s="219"/>
      <c r="Q356" s="219"/>
      <c r="R356" s="219"/>
      <c r="T356" s="215">
        <f t="shared" si="48"/>
        <v>9854.4109000000008</v>
      </c>
      <c r="U356" s="12">
        <f t="shared" si="47"/>
        <v>100000000</v>
      </c>
      <c r="V356" s="12">
        <f t="shared" si="55"/>
        <v>292921.72258241475</v>
      </c>
      <c r="W356" s="12">
        <f t="shared" si="56"/>
        <v>6263.8344223797321</v>
      </c>
      <c r="X356" s="12">
        <f t="shared" si="57"/>
        <v>100292921.72258241</v>
      </c>
      <c r="Z356" s="245">
        <f t="shared" si="58"/>
        <v>6.2459299714268113E-5</v>
      </c>
      <c r="AA356" s="118">
        <f t="shared" si="53"/>
        <v>2.2419458246552892E-2</v>
      </c>
      <c r="AB356" s="118">
        <f t="shared" si="59"/>
        <v>2.2436583104199208E-2</v>
      </c>
      <c r="AC356" s="13">
        <f>W356-U355*'OverNight €'!I356*E356/360</f>
        <v>1402.7233112686208</v>
      </c>
    </row>
    <row r="357" spans="2:29" x14ac:dyDescent="0.2">
      <c r="B357" s="9" t="str">
        <f t="shared" si="51"/>
        <v>12 2025</v>
      </c>
      <c r="C357" s="10">
        <f t="shared" si="40"/>
        <v>46009</v>
      </c>
      <c r="D357" s="10">
        <f t="shared" si="41"/>
        <v>46010</v>
      </c>
      <c r="E357" s="11">
        <f t="shared" si="52"/>
        <v>1</v>
      </c>
      <c r="G357" s="11" t="str">
        <f t="shared" si="46"/>
        <v>BNP/SG</v>
      </c>
      <c r="H357" s="206">
        <v>46007</v>
      </c>
      <c r="I357" s="215">
        <v>10178.100606399999</v>
      </c>
      <c r="J357" s="228"/>
      <c r="K357" s="12"/>
      <c r="L357" s="12"/>
      <c r="M357" s="215"/>
      <c r="N357" s="12"/>
      <c r="O357" s="219"/>
      <c r="P357" s="219"/>
      <c r="Q357" s="219"/>
      <c r="R357" s="219"/>
      <c r="T357" s="215">
        <f t="shared" si="48"/>
        <v>9854.4109000000008</v>
      </c>
      <c r="U357" s="12">
        <f t="shared" si="47"/>
        <v>100000000</v>
      </c>
      <c r="V357" s="12">
        <f t="shared" si="55"/>
        <v>299185.55700476468</v>
      </c>
      <c r="W357" s="12">
        <f t="shared" si="56"/>
        <v>6263.8344223499298</v>
      </c>
      <c r="X357" s="12">
        <f t="shared" si="57"/>
        <v>100299185.55700476</v>
      </c>
      <c r="Z357" s="245">
        <f t="shared" si="58"/>
        <v>6.2455398793570538E-5</v>
      </c>
      <c r="AA357" s="118">
        <f t="shared" si="53"/>
        <v>2.2419458246552892E-2</v>
      </c>
      <c r="AB357" s="118">
        <f t="shared" si="59"/>
        <v>2.2438941872771623E-2</v>
      </c>
      <c r="AC357" s="13">
        <f>W357-U356*'OverNight €'!I357*E357/360</f>
        <v>1402.7233112388185</v>
      </c>
    </row>
    <row r="358" spans="2:29" x14ac:dyDescent="0.2">
      <c r="B358" s="9" t="str">
        <f t="shared" si="51"/>
        <v>12 2025</v>
      </c>
      <c r="C358" s="10">
        <f t="shared" si="40"/>
        <v>46010</v>
      </c>
      <c r="D358" s="10">
        <f t="shared" si="41"/>
        <v>46011</v>
      </c>
      <c r="E358" s="11">
        <f t="shared" si="52"/>
        <v>1</v>
      </c>
      <c r="G358" s="11" t="str">
        <f t="shared" si="46"/>
        <v>BNP/SG</v>
      </c>
      <c r="H358" s="206">
        <v>46008</v>
      </c>
      <c r="I358" s="215">
        <v>10178.100606399999</v>
      </c>
      <c r="J358" s="228"/>
      <c r="K358" s="12"/>
      <c r="L358" s="12"/>
      <c r="M358" s="215"/>
      <c r="N358" s="12"/>
      <c r="O358" s="219"/>
      <c r="P358" s="219"/>
      <c r="Q358" s="219"/>
      <c r="R358" s="219"/>
      <c r="T358" s="215">
        <f t="shared" si="48"/>
        <v>9854.4109000000008</v>
      </c>
      <c r="U358" s="12">
        <f t="shared" si="47"/>
        <v>100000000</v>
      </c>
      <c r="V358" s="12">
        <f t="shared" si="55"/>
        <v>299185.55700476468</v>
      </c>
      <c r="W358" s="12">
        <f t="shared" si="56"/>
        <v>0</v>
      </c>
      <c r="X358" s="12">
        <f t="shared" si="57"/>
        <v>100299185.55700476</v>
      </c>
      <c r="Z358" s="245">
        <f t="shared" si="58"/>
        <v>0</v>
      </c>
      <c r="AA358" s="118">
        <f t="shared" si="53"/>
        <v>2.2419458246552892E-2</v>
      </c>
      <c r="AB358" s="118">
        <f t="shared" si="59"/>
        <v>2.1981004283531384E-2</v>
      </c>
      <c r="AC358" s="13">
        <f>W358-U357*'OverNight €'!I358*E358/360</f>
        <v>-4861.1111111111113</v>
      </c>
    </row>
    <row r="359" spans="2:29" x14ac:dyDescent="0.2">
      <c r="B359" s="9" t="str">
        <f t="shared" si="51"/>
        <v>12 2025</v>
      </c>
      <c r="C359" s="10">
        <f t="shared" si="40"/>
        <v>46011</v>
      </c>
      <c r="D359" s="10">
        <f t="shared" si="41"/>
        <v>46012</v>
      </c>
      <c r="E359" s="11">
        <f t="shared" si="52"/>
        <v>1</v>
      </c>
      <c r="G359" s="11" t="str">
        <f t="shared" si="46"/>
        <v>BNP/SG</v>
      </c>
      <c r="H359" s="206">
        <v>46008</v>
      </c>
      <c r="I359" s="215">
        <v>10178.100606399999</v>
      </c>
      <c r="J359" s="228"/>
      <c r="K359" s="12"/>
      <c r="L359" s="12"/>
      <c r="M359" s="215"/>
      <c r="N359" s="12"/>
      <c r="O359" s="219"/>
      <c r="P359" s="219"/>
      <c r="Q359" s="219"/>
      <c r="R359" s="219"/>
      <c r="T359" s="215">
        <f t="shared" si="48"/>
        <v>9854.4109000000008</v>
      </c>
      <c r="U359" s="12">
        <f t="shared" si="47"/>
        <v>100000000</v>
      </c>
      <c r="V359" s="12">
        <f t="shared" si="55"/>
        <v>299185.55700476468</v>
      </c>
      <c r="W359" s="12">
        <f t="shared" si="56"/>
        <v>0</v>
      </c>
      <c r="X359" s="12">
        <f t="shared" si="57"/>
        <v>100299185.55700476</v>
      </c>
      <c r="Z359" s="245">
        <f t="shared" si="58"/>
        <v>0</v>
      </c>
      <c r="AA359" s="118">
        <f t="shared" si="53"/>
        <v>2.2419458246552892E-2</v>
      </c>
      <c r="AB359" s="118">
        <f t="shared" si="59"/>
        <v>2.1541384197860759E-2</v>
      </c>
      <c r="AC359" s="13">
        <f>W359-U358*'OverNight €'!I359*E359/360</f>
        <v>-4861.1111111111113</v>
      </c>
    </row>
    <row r="360" spans="2:29" x14ac:dyDescent="0.2">
      <c r="B360" s="9" t="str">
        <f t="shared" si="51"/>
        <v>12 2025</v>
      </c>
      <c r="C360" s="10">
        <f t="shared" si="40"/>
        <v>46012</v>
      </c>
      <c r="D360" s="10">
        <f t="shared" si="41"/>
        <v>46013</v>
      </c>
      <c r="E360" s="11">
        <f t="shared" si="52"/>
        <v>1</v>
      </c>
      <c r="G360" s="11" t="str">
        <f t="shared" si="46"/>
        <v>BNP/SG</v>
      </c>
      <c r="H360" s="206">
        <v>46008</v>
      </c>
      <c r="I360" s="215">
        <v>10178.100606399999</v>
      </c>
      <c r="J360" s="228"/>
      <c r="K360" s="12"/>
      <c r="L360" s="12"/>
      <c r="M360" s="215"/>
      <c r="N360" s="12"/>
      <c r="O360" s="219"/>
      <c r="P360" s="219"/>
      <c r="Q360" s="219"/>
      <c r="R360" s="219"/>
      <c r="T360" s="215">
        <f t="shared" si="48"/>
        <v>9854.4109000000008</v>
      </c>
      <c r="U360" s="12">
        <f t="shared" si="47"/>
        <v>100000000</v>
      </c>
      <c r="V360" s="12">
        <f t="shared" si="55"/>
        <v>299185.55700476468</v>
      </c>
      <c r="W360" s="12">
        <f t="shared" si="56"/>
        <v>0</v>
      </c>
      <c r="X360" s="12">
        <f t="shared" si="57"/>
        <v>100299185.55700476</v>
      </c>
      <c r="Z360" s="245">
        <f t="shared" si="58"/>
        <v>0</v>
      </c>
      <c r="AA360" s="118">
        <f t="shared" si="53"/>
        <v>2.2419458246552892E-2</v>
      </c>
      <c r="AB360" s="118">
        <f t="shared" si="59"/>
        <v>2.1119004115549761E-2</v>
      </c>
      <c r="AC360" s="13">
        <f>W360-U359*'OverNight €'!I360*E360/360</f>
        <v>-4861.1111111111113</v>
      </c>
    </row>
    <row r="361" spans="2:29" x14ac:dyDescent="0.2">
      <c r="B361" s="9" t="str">
        <f t="shared" si="51"/>
        <v>12 2025</v>
      </c>
      <c r="C361" s="10">
        <f t="shared" si="40"/>
        <v>46013</v>
      </c>
      <c r="D361" s="10">
        <f t="shared" si="41"/>
        <v>46014</v>
      </c>
      <c r="E361" s="11">
        <f t="shared" si="52"/>
        <v>1</v>
      </c>
      <c r="G361" s="11" t="str">
        <f t="shared" si="46"/>
        <v>BNP/SG</v>
      </c>
      <c r="H361" s="206">
        <v>46009</v>
      </c>
      <c r="I361" s="215">
        <v>10180.633156933334</v>
      </c>
      <c r="J361" s="228"/>
      <c r="K361" s="12"/>
      <c r="L361" s="12"/>
      <c r="M361" s="215"/>
      <c r="N361" s="12"/>
      <c r="O361" s="219"/>
      <c r="P361" s="219"/>
      <c r="Q361" s="219"/>
      <c r="R361" s="219"/>
      <c r="T361" s="215">
        <f t="shared" si="48"/>
        <v>9854.4109000000008</v>
      </c>
      <c r="U361" s="12">
        <f t="shared" si="47"/>
        <v>100000000</v>
      </c>
      <c r="V361" s="12">
        <f t="shared" si="55"/>
        <v>324142.35058526695</v>
      </c>
      <c r="W361" s="12">
        <f t="shared" si="56"/>
        <v>24956.793580502272</v>
      </c>
      <c r="X361" s="12">
        <f t="shared" si="57"/>
        <v>100324142.35058527</v>
      </c>
      <c r="Z361" s="245">
        <f t="shared" si="58"/>
        <v>2.4882349185495478E-4</v>
      </c>
      <c r="AA361" s="118">
        <f t="shared" si="53"/>
        <v>2.2419458246552892E-2</v>
      </c>
      <c r="AB361" s="118">
        <f t="shared" si="59"/>
        <v>2.2440647443896084E-2</v>
      </c>
      <c r="AC361" s="13">
        <f>W361-U360*'OverNight €'!I361*E361/360</f>
        <v>20095.682469391162</v>
      </c>
    </row>
    <row r="362" spans="2:29" x14ac:dyDescent="0.2">
      <c r="B362" s="9" t="str">
        <f t="shared" si="51"/>
        <v>12 2025</v>
      </c>
      <c r="C362" s="10">
        <f t="shared" si="40"/>
        <v>46014</v>
      </c>
      <c r="D362" s="10">
        <f t="shared" si="41"/>
        <v>46015</v>
      </c>
      <c r="E362" s="11">
        <f t="shared" si="52"/>
        <v>1</v>
      </c>
      <c r="G362" s="11" t="str">
        <f t="shared" si="46"/>
        <v>BNP/SG</v>
      </c>
      <c r="H362" s="206">
        <v>46010</v>
      </c>
      <c r="I362" s="215">
        <v>10181.268794566666</v>
      </c>
      <c r="J362" s="228"/>
      <c r="K362" s="12"/>
      <c r="L362" s="12"/>
      <c r="M362" s="215"/>
      <c r="N362" s="12"/>
      <c r="O362" s="219"/>
      <c r="P362" s="219"/>
      <c r="Q362" s="219"/>
      <c r="R362" s="219"/>
      <c r="T362" s="215">
        <f t="shared" si="48"/>
        <v>9854.4109000000008</v>
      </c>
      <c r="U362" s="12">
        <f t="shared" si="47"/>
        <v>100000000</v>
      </c>
      <c r="V362" s="12">
        <f t="shared" si="55"/>
        <v>330406.18500761688</v>
      </c>
      <c r="W362" s="12">
        <f t="shared" si="56"/>
        <v>6263.8344223499298</v>
      </c>
      <c r="X362" s="12">
        <f t="shared" si="57"/>
        <v>100330406.18500762</v>
      </c>
      <c r="Z362" s="245">
        <f t="shared" si="58"/>
        <v>6.2435962826068447E-5</v>
      </c>
      <c r="AA362" s="118">
        <f t="shared" si="53"/>
        <v>2.2419458246552892E-2</v>
      </c>
      <c r="AB362" s="118">
        <f t="shared" si="59"/>
        <v>2.2442707001476818E-2</v>
      </c>
      <c r="AC362" s="13">
        <f>W362-U361*'OverNight €'!I362*E362/360</f>
        <v>1402.7233112388185</v>
      </c>
    </row>
    <row r="363" spans="2:29" x14ac:dyDescent="0.2">
      <c r="B363" s="9" t="str">
        <f t="shared" si="51"/>
        <v>12 2025</v>
      </c>
      <c r="C363" s="10">
        <f t="shared" si="40"/>
        <v>46015</v>
      </c>
      <c r="D363" s="10">
        <f t="shared" si="41"/>
        <v>46016</v>
      </c>
      <c r="E363" s="11">
        <f t="shared" si="52"/>
        <v>1</v>
      </c>
      <c r="G363" s="11" t="str">
        <f t="shared" si="46"/>
        <v>BNP/SG</v>
      </c>
      <c r="H363" s="206">
        <v>46013</v>
      </c>
      <c r="I363" s="215">
        <v>10181.904432200001</v>
      </c>
      <c r="J363" s="228"/>
      <c r="K363" s="12"/>
      <c r="L363" s="12"/>
      <c r="M363" s="215"/>
      <c r="N363" s="12"/>
      <c r="O363" s="219"/>
      <c r="P363" s="219"/>
      <c r="Q363" s="219"/>
      <c r="R363" s="219"/>
      <c r="T363" s="215">
        <f t="shared" si="48"/>
        <v>9854.4109000000008</v>
      </c>
      <c r="U363" s="12">
        <f t="shared" si="47"/>
        <v>100000000</v>
      </c>
      <c r="V363" s="12">
        <f t="shared" si="55"/>
        <v>336670.01943001151</v>
      </c>
      <c r="W363" s="12">
        <f t="shared" si="56"/>
        <v>6263.8344223946333</v>
      </c>
      <c r="X363" s="12">
        <f t="shared" si="57"/>
        <v>100336670.01943001</v>
      </c>
      <c r="Z363" s="245">
        <f t="shared" si="58"/>
        <v>6.2432064820372446E-5</v>
      </c>
      <c r="AA363" s="118">
        <f t="shared" si="53"/>
        <v>2.2419458246552892E-2</v>
      </c>
      <c r="AB363" s="118">
        <f t="shared" si="59"/>
        <v>2.2444690279150119E-2</v>
      </c>
      <c r="AC363" s="13">
        <f>W363-U362*'OverNight €'!I363*E363/360</f>
        <v>1402.723311283522</v>
      </c>
    </row>
    <row r="364" spans="2:29" x14ac:dyDescent="0.2">
      <c r="B364" s="9" t="str">
        <f t="shared" si="51"/>
        <v>12 2025</v>
      </c>
      <c r="C364" s="10">
        <f t="shared" si="40"/>
        <v>46016</v>
      </c>
      <c r="D364" s="10">
        <f t="shared" si="41"/>
        <v>46017</v>
      </c>
      <c r="E364" s="11">
        <f t="shared" si="52"/>
        <v>1</v>
      </c>
      <c r="G364" s="11" t="str">
        <f t="shared" si="46"/>
        <v>BNP/SG</v>
      </c>
      <c r="H364" s="206">
        <v>46013</v>
      </c>
      <c r="I364" s="215">
        <v>10181.904432200001</v>
      </c>
      <c r="J364" s="228"/>
      <c r="K364" s="12"/>
      <c r="L364" s="12"/>
      <c r="M364" s="215"/>
      <c r="N364" s="12"/>
      <c r="O364" s="219"/>
      <c r="P364" s="219"/>
      <c r="Q364" s="219"/>
      <c r="R364" s="219"/>
      <c r="T364" s="215">
        <f t="shared" si="48"/>
        <v>9854.4109000000008</v>
      </c>
      <c r="U364" s="12">
        <f t="shared" si="47"/>
        <v>100000000</v>
      </c>
      <c r="V364" s="12">
        <f t="shared" si="55"/>
        <v>336670.01943001151</v>
      </c>
      <c r="W364" s="12">
        <f t="shared" si="56"/>
        <v>0</v>
      </c>
      <c r="X364" s="12">
        <f t="shared" si="57"/>
        <v>100336670.01943001</v>
      </c>
      <c r="Z364" s="245">
        <f t="shared" si="58"/>
        <v>0</v>
      </c>
      <c r="AA364" s="118">
        <f>AA365</f>
        <v>2.2419458246552892E-2</v>
      </c>
      <c r="AB364" s="118">
        <f t="shared" si="59"/>
        <v>2.2036605001347388E-2</v>
      </c>
      <c r="AC364" s="13">
        <f>W364-U363*'OverNight €'!I364*E364/360</f>
        <v>-4861.1111111111113</v>
      </c>
    </row>
    <row r="365" spans="2:29" x14ac:dyDescent="0.2">
      <c r="B365" s="9" t="str">
        <f t="shared" si="51"/>
        <v>12 2025</v>
      </c>
      <c r="C365" s="10">
        <f t="shared" si="40"/>
        <v>46017</v>
      </c>
      <c r="D365" s="10">
        <f t="shared" si="41"/>
        <v>46018</v>
      </c>
      <c r="E365" s="11">
        <f t="shared" si="52"/>
        <v>1</v>
      </c>
      <c r="G365" s="11" t="str">
        <f t="shared" si="46"/>
        <v>BNP/SG</v>
      </c>
      <c r="H365" s="206">
        <v>46013</v>
      </c>
      <c r="I365" s="215">
        <v>10181.904432200001</v>
      </c>
      <c r="J365" s="228"/>
      <c r="K365" s="12"/>
      <c r="L365" s="12"/>
      <c r="M365" s="215"/>
      <c r="N365" s="12"/>
      <c r="O365" s="219"/>
      <c r="P365" s="219"/>
      <c r="Q365" s="219"/>
      <c r="R365" s="219"/>
      <c r="T365" s="215">
        <f t="shared" si="48"/>
        <v>9854.4109000000008</v>
      </c>
      <c r="U365" s="12">
        <f t="shared" si="47"/>
        <v>100000000</v>
      </c>
      <c r="V365" s="12">
        <f t="shared" si="55"/>
        <v>336670.01943001151</v>
      </c>
      <c r="W365" s="12">
        <f t="shared" si="56"/>
        <v>0</v>
      </c>
      <c r="X365" s="12">
        <f t="shared" si="57"/>
        <v>100336670.01943001</v>
      </c>
      <c r="Z365" s="245">
        <f t="shared" si="58"/>
        <v>0</v>
      </c>
      <c r="AA365" s="118">
        <f>AA366</f>
        <v>2.2419458246552892E-2</v>
      </c>
      <c r="AB365" s="118">
        <f t="shared" si="59"/>
        <v>2.16430941977519E-2</v>
      </c>
      <c r="AC365" s="13">
        <f>W365-U364*'OverNight €'!I365*E365/360</f>
        <v>-4861.1111111111113</v>
      </c>
    </row>
    <row r="366" spans="2:29" x14ac:dyDescent="0.2">
      <c r="B366" s="9" t="str">
        <f t="shared" si="51"/>
        <v>12 2025</v>
      </c>
      <c r="C366" s="10">
        <f t="shared" si="40"/>
        <v>46018</v>
      </c>
      <c r="D366" s="10">
        <f t="shared" si="41"/>
        <v>46019</v>
      </c>
      <c r="E366" s="11">
        <f t="shared" si="52"/>
        <v>1</v>
      </c>
      <c r="G366" s="11" t="str">
        <f t="shared" si="46"/>
        <v>BNP/SG</v>
      </c>
      <c r="H366" s="206">
        <v>46013</v>
      </c>
      <c r="I366" s="215">
        <v>10181.904432200001</v>
      </c>
      <c r="J366" s="228"/>
      <c r="K366" s="12"/>
      <c r="L366" s="12"/>
      <c r="M366" s="215"/>
      <c r="N366" s="12"/>
      <c r="O366" s="219"/>
      <c r="P366" s="219"/>
      <c r="Q366" s="219"/>
      <c r="R366" s="219"/>
      <c r="T366" s="215">
        <f t="shared" si="48"/>
        <v>9854.4109000000008</v>
      </c>
      <c r="U366" s="12">
        <f t="shared" si="47"/>
        <v>100000000</v>
      </c>
      <c r="V366" s="12">
        <f t="shared" si="55"/>
        <v>336670.01943001151</v>
      </c>
      <c r="W366" s="12">
        <f t="shared" si="56"/>
        <v>0</v>
      </c>
      <c r="X366" s="12">
        <f t="shared" si="57"/>
        <v>100336670.01943001</v>
      </c>
      <c r="Z366" s="245">
        <f t="shared" si="58"/>
        <v>0</v>
      </c>
      <c r="AA366" s="118">
        <f>AA367</f>
        <v>2.2419458246552892E-2</v>
      </c>
      <c r="AB366" s="118">
        <f t="shared" si="59"/>
        <v>2.1263390790773797E-2</v>
      </c>
      <c r="AC366" s="13">
        <f>W366-U365*'OverNight €'!I366*E366/360</f>
        <v>-4861.1111111111113</v>
      </c>
    </row>
    <row r="367" spans="2:29" x14ac:dyDescent="0.2">
      <c r="B367" s="9" t="str">
        <f t="shared" si="51"/>
        <v>12 2025</v>
      </c>
      <c r="C367" s="10">
        <f t="shared" si="40"/>
        <v>46019</v>
      </c>
      <c r="D367" s="10">
        <f t="shared" si="41"/>
        <v>46020</v>
      </c>
      <c r="E367" s="11">
        <f t="shared" si="52"/>
        <v>1</v>
      </c>
      <c r="G367" s="11" t="str">
        <f t="shared" si="46"/>
        <v>BNP/SG</v>
      </c>
      <c r="H367" s="206">
        <v>46013</v>
      </c>
      <c r="I367" s="215">
        <v>10181.904432200001</v>
      </c>
      <c r="J367" s="228"/>
      <c r="K367" s="12"/>
      <c r="L367" s="12"/>
      <c r="M367" s="215"/>
      <c r="N367" s="12"/>
      <c r="O367" s="219"/>
      <c r="P367" s="219"/>
      <c r="Q367" s="219"/>
      <c r="R367" s="219"/>
      <c r="T367" s="215">
        <f t="shared" si="48"/>
        <v>9854.4109000000008</v>
      </c>
      <c r="U367" s="12">
        <f t="shared" si="47"/>
        <v>100000000</v>
      </c>
      <c r="V367" s="12">
        <f t="shared" si="55"/>
        <v>336670.01943001151</v>
      </c>
      <c r="W367" s="12">
        <f t="shared" si="56"/>
        <v>0</v>
      </c>
      <c r="X367" s="12">
        <f t="shared" si="57"/>
        <v>100336670.01943001</v>
      </c>
      <c r="Z367" s="245">
        <f t="shared" si="58"/>
        <v>0</v>
      </c>
      <c r="AA367" s="118">
        <f>AA368</f>
        <v>2.2419458246552892E-2</v>
      </c>
      <c r="AB367" s="118">
        <f t="shared" si="59"/>
        <v>2.0896780604725971E-2</v>
      </c>
      <c r="AC367" s="13">
        <f>W367-U366*'OverNight €'!I367*E367/360</f>
        <v>-4861.1111111111113</v>
      </c>
    </row>
    <row r="368" spans="2:29" x14ac:dyDescent="0.2">
      <c r="B368" s="9" t="str">
        <f t="shared" si="51"/>
        <v>12 2025</v>
      </c>
      <c r="C368" s="10">
        <f t="shared" si="40"/>
        <v>46020</v>
      </c>
      <c r="D368" s="10">
        <f t="shared" si="41"/>
        <v>46021</v>
      </c>
      <c r="E368" s="11">
        <f t="shared" si="52"/>
        <v>1</v>
      </c>
      <c r="G368" s="11" t="str">
        <f t="shared" si="46"/>
        <v>BNP/SG</v>
      </c>
      <c r="H368" s="206">
        <v>46014</v>
      </c>
      <c r="I368" s="215">
        <v>10185.072620366667</v>
      </c>
      <c r="J368" s="228"/>
      <c r="K368" s="12"/>
      <c r="L368" s="12"/>
      <c r="M368" s="215"/>
      <c r="N368" s="12"/>
      <c r="O368" s="219"/>
      <c r="P368" s="219"/>
      <c r="Q368" s="219"/>
      <c r="R368" s="219"/>
      <c r="T368" s="215">
        <f t="shared" si="48"/>
        <v>9854.4109000000008</v>
      </c>
      <c r="U368" s="12">
        <f t="shared" si="47"/>
        <v>100000000</v>
      </c>
      <c r="V368" s="12">
        <f t="shared" si="55"/>
        <v>367890.64743284881</v>
      </c>
      <c r="W368" s="12">
        <f t="shared" si="56"/>
        <v>31220.6280028373</v>
      </c>
      <c r="X368" s="12">
        <f t="shared" si="57"/>
        <v>100367890.64743285</v>
      </c>
      <c r="Z368" s="245">
        <f t="shared" si="58"/>
        <v>3.1115870196618545E-4</v>
      </c>
      <c r="AA368" s="118">
        <f>AA369</f>
        <v>2.2419458246552892E-2</v>
      </c>
      <c r="AB368" s="118">
        <f t="shared" si="59"/>
        <v>2.2447585360327794E-2</v>
      </c>
      <c r="AC368" s="13">
        <f>W368-U367*'OverNight €'!I368*E368/360</f>
        <v>26359.516891726191</v>
      </c>
    </row>
    <row r="369" spans="2:31" x14ac:dyDescent="0.2">
      <c r="B369" s="9" t="str">
        <f t="shared" si="51"/>
        <v>12 2025</v>
      </c>
      <c r="C369" s="142">
        <f t="shared" si="40"/>
        <v>46021</v>
      </c>
      <c r="D369" s="142">
        <f t="shared" si="41"/>
        <v>46022</v>
      </c>
      <c r="E369" s="143">
        <f t="shared" si="52"/>
        <v>1</v>
      </c>
      <c r="F369" s="17"/>
      <c r="G369" s="143" t="str">
        <f t="shared" si="46"/>
        <v>BNP/SG</v>
      </c>
      <c r="H369" s="463">
        <f>H368</f>
        <v>46014</v>
      </c>
      <c r="I369" s="423">
        <v>10185.072620366667</v>
      </c>
      <c r="J369" s="228"/>
      <c r="K369" s="144"/>
      <c r="L369" s="144"/>
      <c r="M369" s="216"/>
      <c r="N369" s="144"/>
      <c r="O369" s="220"/>
      <c r="P369" s="220"/>
      <c r="Q369" s="220"/>
      <c r="R369" s="220"/>
      <c r="T369" s="216">
        <f t="shared" si="48"/>
        <v>9854.4109000000008</v>
      </c>
      <c r="U369" s="144">
        <f t="shared" si="47"/>
        <v>100000000</v>
      </c>
      <c r="V369" s="471">
        <f t="shared" si="55"/>
        <v>367890.64743284881</v>
      </c>
      <c r="W369" s="471">
        <f t="shared" si="56"/>
        <v>0</v>
      </c>
      <c r="X369" s="471">
        <f t="shared" si="57"/>
        <v>100367890.64743285</v>
      </c>
      <c r="Z369" s="472">
        <f t="shared" si="58"/>
        <v>0</v>
      </c>
      <c r="AA369" s="470">
        <f>AA373</f>
        <v>2.2419458246552892E-2</v>
      </c>
      <c r="AB369" s="470">
        <f t="shared" si="59"/>
        <v>2.2073458937655666E-2</v>
      </c>
      <c r="AC369" s="87">
        <f>W369-U368*'OverNight €'!I369*E369/360</f>
        <v>-4861.1111111111113</v>
      </c>
      <c r="AD369" s="17"/>
      <c r="AE369" s="17"/>
    </row>
    <row r="370" spans="2:31" collapsed="1" x14ac:dyDescent="0.2">
      <c r="C370" s="18" t="s">
        <v>73</v>
      </c>
      <c r="I370" s="9"/>
      <c r="J370" s="228"/>
      <c r="K370" s="9"/>
      <c r="AC370" s="15">
        <f>SUM(AC5:AC369)</f>
        <v>76223.980766182212</v>
      </c>
    </row>
    <row r="371" spans="2:31" x14ac:dyDescent="0.2">
      <c r="I371" s="9"/>
      <c r="J371" s="228"/>
      <c r="K371" s="9"/>
    </row>
    <row r="372" spans="2:31" x14ac:dyDescent="0.2">
      <c r="I372" s="9"/>
      <c r="J372" s="228"/>
      <c r="K372" s="9"/>
    </row>
    <row r="373" spans="2:31" x14ac:dyDescent="0.2">
      <c r="B373" s="9" t="str">
        <f>CONCATENATE(MONTH(D373)," ",YEAR(D373))</f>
        <v>1 2026</v>
      </c>
      <c r="C373" s="88">
        <f>D369</f>
        <v>46022</v>
      </c>
      <c r="D373" s="88">
        <f>D369+1</f>
        <v>46023</v>
      </c>
      <c r="E373" s="89">
        <f>D373-C373</f>
        <v>1</v>
      </c>
      <c r="H373" s="206">
        <v>46020</v>
      </c>
      <c r="I373" s="215">
        <v>10186.343895633334</v>
      </c>
      <c r="J373" s="228"/>
      <c r="K373" s="12"/>
      <c r="L373" s="12"/>
      <c r="M373" s="215"/>
      <c r="N373" s="12"/>
      <c r="O373" s="219"/>
      <c r="P373" s="219"/>
      <c r="Q373" s="219"/>
      <c r="R373" s="219"/>
      <c r="T373" s="215">
        <f>T369</f>
        <v>9854.4109000000008</v>
      </c>
      <c r="U373" s="12">
        <f>U369</f>
        <v>100000000</v>
      </c>
      <c r="V373" s="12">
        <f t="shared" ref="V373" si="60">X373-U373</f>
        <v>380418.31627759337</v>
      </c>
      <c r="W373" s="12">
        <f>V373+-V369</f>
        <v>12527.668844744563</v>
      </c>
      <c r="X373" s="12">
        <f t="shared" ref="X373" si="61">T373*I373</f>
        <v>100380418.31627759</v>
      </c>
      <c r="Z373" s="245">
        <f>I373/I369-1</f>
        <v>1.2481749655113283E-4</v>
      </c>
      <c r="AA373" s="118">
        <f>AA374</f>
        <v>2.2419458246552892E-2</v>
      </c>
      <c r="AB373" s="118">
        <f>(I373/$I$309-1)*360/(C373-$C$309)</f>
        <v>2.2450936790997539E-2</v>
      </c>
      <c r="AC373" s="13">
        <f>W373-U372*'OverNight €'!I373*E373/360</f>
        <v>12527.668844744563</v>
      </c>
    </row>
    <row r="374" spans="2:31" x14ac:dyDescent="0.2">
      <c r="B374" s="9" t="str">
        <f t="shared" ref="B374:B403" si="62">CONCATENATE(MONTH(D374)," ",YEAR(D374))</f>
        <v>1 2026</v>
      </c>
      <c r="C374" s="88">
        <f>D373</f>
        <v>46023</v>
      </c>
      <c r="D374" s="88">
        <f>C374+1</f>
        <v>46024</v>
      </c>
      <c r="E374" s="89">
        <f t="shared" ref="E374:E403" si="63">D374-C374</f>
        <v>1</v>
      </c>
      <c r="H374" s="206">
        <v>46020</v>
      </c>
      <c r="I374" s="215">
        <v>10186.343895633334</v>
      </c>
      <c r="J374" s="228"/>
      <c r="K374" s="12"/>
      <c r="L374" s="12"/>
      <c r="M374" s="215"/>
      <c r="N374" s="12"/>
      <c r="O374" s="219"/>
      <c r="P374" s="219"/>
      <c r="Q374" s="219"/>
      <c r="R374" s="219"/>
      <c r="T374" s="215">
        <f t="shared" ref="T374:U376" si="64">T373</f>
        <v>9854.4109000000008</v>
      </c>
      <c r="U374" s="12">
        <f t="shared" si="64"/>
        <v>100000000</v>
      </c>
      <c r="V374" s="12">
        <f t="shared" ref="V374:V375" si="65">X374-U374</f>
        <v>380418.31627759337</v>
      </c>
      <c r="W374" s="12">
        <f t="shared" ref="W374:W375" si="66">V374+-V373</f>
        <v>0</v>
      </c>
      <c r="X374" s="12">
        <f t="shared" ref="X374:X375" si="67">T374*I374</f>
        <v>100380418.31627759</v>
      </c>
      <c r="Z374" s="245">
        <f>I374/I373-1</f>
        <v>0</v>
      </c>
      <c r="AA374" s="118">
        <f>AA375</f>
        <v>2.2419458246552892E-2</v>
      </c>
      <c r="AB374" s="118">
        <f t="shared" ref="AB374:AB375" si="68">(I374/$I$309-1)*360/(C374-$C$309)</f>
        <v>2.2088824907271775E-2</v>
      </c>
      <c r="AC374" s="13">
        <f>W374-U373*'OverNight €'!I374*E374/360</f>
        <v>-4861.1111111111113</v>
      </c>
    </row>
    <row r="375" spans="2:31" x14ac:dyDescent="0.2">
      <c r="B375" s="452" t="str">
        <f t="shared" si="62"/>
        <v>1 2026</v>
      </c>
      <c r="C375" s="453">
        <f>D374</f>
        <v>46024</v>
      </c>
      <c r="D375" s="453">
        <f>D374+1</f>
        <v>46025</v>
      </c>
      <c r="E375" s="454">
        <f t="shared" si="63"/>
        <v>1</v>
      </c>
      <c r="H375" s="464">
        <v>46021</v>
      </c>
      <c r="I375" s="465">
        <v>10187.6051709</v>
      </c>
      <c r="J375" s="228"/>
      <c r="K375" s="466"/>
      <c r="L375" s="466"/>
      <c r="M375" s="465"/>
      <c r="N375" s="466"/>
      <c r="O375" s="467"/>
      <c r="P375" s="467"/>
      <c r="Q375" s="467"/>
      <c r="R375" s="467"/>
      <c r="T375" s="465">
        <f t="shared" ref="T375:U375" si="69">T374</f>
        <v>9854.4109000000008</v>
      </c>
      <c r="U375" s="466">
        <f t="shared" si="69"/>
        <v>100000000</v>
      </c>
      <c r="V375" s="466">
        <f t="shared" si="65"/>
        <v>392847.44101333618</v>
      </c>
      <c r="W375" s="466">
        <f t="shared" si="66"/>
        <v>12429.124735742807</v>
      </c>
      <c r="X375" s="466">
        <f t="shared" si="67"/>
        <v>100392847.44101334</v>
      </c>
      <c r="Z375" s="468">
        <f t="shared" ref="Z375" si="70">I375/I374-1</f>
        <v>1.2382021258949827E-4</v>
      </c>
      <c r="AA375" s="469">
        <f>(I375/I337-1)*360/(C375-C337)</f>
        <v>2.2419458246552892E-2</v>
      </c>
      <c r="AB375" s="469">
        <f t="shared" si="68"/>
        <v>2.2448444340457435E-2</v>
      </c>
      <c r="AC375" s="183">
        <f>W375-U374*'OverNight €'!I375*E375/360</f>
        <v>7568.0136246316961</v>
      </c>
    </row>
    <row r="376" spans="2:31" x14ac:dyDescent="0.2">
      <c r="B376" s="9" t="str">
        <f t="shared" si="62"/>
        <v>1 2026</v>
      </c>
      <c r="C376" s="88">
        <f t="shared" ref="C376:C403" si="71">D375</f>
        <v>46025</v>
      </c>
      <c r="D376" s="88">
        <f t="shared" ref="D376:D439" si="72">D375+1</f>
        <v>46026</v>
      </c>
      <c r="E376" s="89">
        <f t="shared" si="63"/>
        <v>1</v>
      </c>
      <c r="H376" s="206">
        <v>46021</v>
      </c>
      <c r="I376" s="215">
        <v>10187.6051709</v>
      </c>
      <c r="J376" s="228"/>
      <c r="K376" s="12"/>
      <c r="L376" s="12"/>
      <c r="M376" s="215"/>
      <c r="N376" s="12"/>
      <c r="O376" s="219"/>
      <c r="P376" s="219"/>
      <c r="Q376" s="219"/>
      <c r="R376" s="219"/>
      <c r="T376" s="215">
        <f t="shared" si="64"/>
        <v>9854.4109000000008</v>
      </c>
      <c r="U376" s="12">
        <f t="shared" si="64"/>
        <v>100000000</v>
      </c>
      <c r="V376" s="12">
        <f t="shared" ref="V376" si="73">X376-U376</f>
        <v>392847.44101333618</v>
      </c>
      <c r="W376" s="12">
        <f t="shared" ref="W376" si="74">V376+-V375</f>
        <v>0</v>
      </c>
      <c r="X376" s="12">
        <f t="shared" ref="X376" si="75">T376*I376</f>
        <v>100392847.44101334</v>
      </c>
      <c r="Z376" s="245">
        <f>I376/I375-1</f>
        <v>0</v>
      </c>
      <c r="AA376" s="118">
        <f t="shared" ref="AA376:AA405" si="76">AA377</f>
        <v>2.2439478578633043E-2</v>
      </c>
      <c r="AB376" s="118">
        <f t="shared" ref="AB376" si="77">(I376/$I$309-1)*360/(C376-$C$309)</f>
        <v>2.2097687397637789E-2</v>
      </c>
      <c r="AC376" s="13">
        <f>W376-U375*'OverNight €'!I376*E376/360</f>
        <v>-4861.1111111111113</v>
      </c>
    </row>
    <row r="377" spans="2:31" x14ac:dyDescent="0.2">
      <c r="B377" s="9" t="str">
        <f t="shared" si="62"/>
        <v>1 2026</v>
      </c>
      <c r="C377" s="88">
        <f t="shared" si="71"/>
        <v>46026</v>
      </c>
      <c r="D377" s="88">
        <f t="shared" si="72"/>
        <v>46027</v>
      </c>
      <c r="E377" s="89">
        <f t="shared" si="63"/>
        <v>1</v>
      </c>
      <c r="H377" s="206">
        <v>46021</v>
      </c>
      <c r="I377" s="215">
        <v>10187.6051709</v>
      </c>
      <c r="J377" s="228"/>
      <c r="K377" s="12"/>
      <c r="L377" s="12"/>
      <c r="M377" s="215"/>
      <c r="N377" s="12"/>
      <c r="O377" s="219"/>
      <c r="P377" s="219"/>
      <c r="Q377" s="219"/>
      <c r="R377" s="219"/>
      <c r="T377" s="215">
        <f t="shared" ref="T377:U377" si="78">T376</f>
        <v>9854.4109000000008</v>
      </c>
      <c r="U377" s="12">
        <f t="shared" si="78"/>
        <v>100000000</v>
      </c>
      <c r="V377" s="12">
        <f t="shared" ref="V377:V407" si="79">X377-U377</f>
        <v>392847.44101333618</v>
      </c>
      <c r="W377" s="12">
        <f t="shared" ref="W377:W407" si="80">V377+-V376</f>
        <v>0</v>
      </c>
      <c r="X377" s="12">
        <f t="shared" ref="X377:X407" si="81">T377*I377</f>
        <v>100392847.44101334</v>
      </c>
      <c r="Z377" s="245">
        <f t="shared" ref="Z377:Z407" si="82">I377/I376-1</f>
        <v>0</v>
      </c>
      <c r="AA377" s="118">
        <f t="shared" si="76"/>
        <v>2.2439478578633043E-2</v>
      </c>
      <c r="AB377" s="118">
        <f t="shared" ref="AB377:AB406" si="83">(I377/$I$309-1)*360/(C377-$C$309)</f>
        <v>2.1757722976135669E-2</v>
      </c>
      <c r="AC377" s="13">
        <f>W377-U376*'OverNight €'!I377*E377/360</f>
        <v>-4861.1111111111113</v>
      </c>
    </row>
    <row r="378" spans="2:31" x14ac:dyDescent="0.2">
      <c r="B378" s="9" t="str">
        <f t="shared" si="62"/>
        <v>1 2026</v>
      </c>
      <c r="C378" s="88">
        <f t="shared" si="71"/>
        <v>46027</v>
      </c>
      <c r="D378" s="88">
        <f t="shared" si="72"/>
        <v>46028</v>
      </c>
      <c r="E378" s="89">
        <f t="shared" si="63"/>
        <v>1</v>
      </c>
      <c r="H378" s="206">
        <v>46021</v>
      </c>
      <c r="I378" s="215">
        <v>10187.6051709</v>
      </c>
      <c r="J378" s="228"/>
      <c r="K378" s="12"/>
      <c r="L378" s="12"/>
      <c r="M378" s="215"/>
      <c r="N378" s="12"/>
      <c r="O378" s="219"/>
      <c r="P378" s="219"/>
      <c r="Q378" s="219"/>
      <c r="R378" s="219"/>
      <c r="T378" s="215">
        <f t="shared" ref="T378:U378" si="84">T377</f>
        <v>9854.4109000000008</v>
      </c>
      <c r="U378" s="12">
        <f t="shared" si="84"/>
        <v>100000000</v>
      </c>
      <c r="V378" s="12">
        <f t="shared" si="79"/>
        <v>392847.44101333618</v>
      </c>
      <c r="W378" s="12">
        <f t="shared" si="80"/>
        <v>0</v>
      </c>
      <c r="X378" s="12">
        <f t="shared" si="81"/>
        <v>100392847.44101334</v>
      </c>
      <c r="Z378" s="245">
        <f t="shared" si="82"/>
        <v>0</v>
      </c>
      <c r="AA378" s="118">
        <f t="shared" si="76"/>
        <v>2.2439478578633043E-2</v>
      </c>
      <c r="AB378" s="118">
        <f t="shared" si="83"/>
        <v>2.1428060506800281E-2</v>
      </c>
      <c r="AC378" s="13">
        <f>W378-U377*'OverNight €'!I378*E378/360</f>
        <v>-4861.1111111111113</v>
      </c>
    </row>
    <row r="379" spans="2:31" x14ac:dyDescent="0.2">
      <c r="B379" s="9" t="str">
        <f t="shared" si="62"/>
        <v>1 2026</v>
      </c>
      <c r="C379" s="88">
        <f t="shared" si="71"/>
        <v>46028</v>
      </c>
      <c r="D379" s="88">
        <f t="shared" si="72"/>
        <v>46029</v>
      </c>
      <c r="E379" s="89">
        <f t="shared" si="63"/>
        <v>1</v>
      </c>
      <c r="H379" s="206">
        <v>46024</v>
      </c>
      <c r="I379" s="215">
        <v>10190.147721433334</v>
      </c>
      <c r="J379" s="228"/>
      <c r="K379" s="12"/>
      <c r="L379" s="12"/>
      <c r="M379" s="215"/>
      <c r="N379" s="12"/>
      <c r="O379" s="219"/>
      <c r="P379" s="219"/>
      <c r="Q379" s="219"/>
      <c r="R379" s="219"/>
      <c r="T379" s="215">
        <f t="shared" ref="T379:U379" si="85">T378</f>
        <v>9854.4109000000008</v>
      </c>
      <c r="U379" s="12">
        <f t="shared" si="85"/>
        <v>100000000</v>
      </c>
      <c r="V379" s="12">
        <f t="shared" si="79"/>
        <v>417902.77870281041</v>
      </c>
      <c r="W379" s="12">
        <f t="shared" si="80"/>
        <v>25055.337689474225</v>
      </c>
      <c r="X379" s="12">
        <f t="shared" si="81"/>
        <v>100417902.77870281</v>
      </c>
      <c r="Z379" s="245">
        <f t="shared" si="82"/>
        <v>2.4957293600236241E-4</v>
      </c>
      <c r="AA379" s="118">
        <f t="shared" si="76"/>
        <v>2.2439478578633043E-2</v>
      </c>
      <c r="AB379" s="118">
        <f t="shared" si="83"/>
        <v>2.245449566316177E-2</v>
      </c>
      <c r="AC379" s="13">
        <f>W379-U378*'OverNight €'!I379*E379/360</f>
        <v>20194.226578363116</v>
      </c>
    </row>
    <row r="380" spans="2:31" x14ac:dyDescent="0.2">
      <c r="B380" s="9" t="str">
        <f t="shared" si="62"/>
        <v>1 2026</v>
      </c>
      <c r="C380" s="88">
        <f t="shared" si="71"/>
        <v>46029</v>
      </c>
      <c r="D380" s="88">
        <f t="shared" si="72"/>
        <v>46030</v>
      </c>
      <c r="E380" s="89">
        <f t="shared" si="63"/>
        <v>1</v>
      </c>
      <c r="H380" s="206">
        <v>46027</v>
      </c>
      <c r="I380" s="215">
        <v>10190.773359066667</v>
      </c>
      <c r="J380" s="228"/>
      <c r="K380" s="12"/>
      <c r="L380" s="12"/>
      <c r="M380" s="215"/>
      <c r="N380" s="12"/>
      <c r="O380" s="219"/>
      <c r="P380" s="219"/>
      <c r="Q380" s="219"/>
      <c r="R380" s="219"/>
      <c r="T380" s="215">
        <f t="shared" ref="T380:U380" si="86">T379</f>
        <v>9854.4109000000008</v>
      </c>
      <c r="U380" s="12">
        <f t="shared" si="86"/>
        <v>100000000</v>
      </c>
      <c r="V380" s="12">
        <f t="shared" si="79"/>
        <v>424068.06901618838</v>
      </c>
      <c r="W380" s="12">
        <f t="shared" si="80"/>
        <v>6165.2903133779764</v>
      </c>
      <c r="X380" s="12">
        <f t="shared" si="81"/>
        <v>100424068.06901619</v>
      </c>
      <c r="Z380" s="245">
        <f t="shared" si="82"/>
        <v>6.1396326180629401E-5</v>
      </c>
      <c r="AA380" s="118">
        <f t="shared" si="76"/>
        <v>2.2439478578633043E-2</v>
      </c>
      <c r="AB380" s="118">
        <f t="shared" si="83"/>
        <v>2.2450680215206648E-2</v>
      </c>
      <c r="AC380" s="13">
        <f>W380-U379*'OverNight €'!I380*E380/360</f>
        <v>1304.1792022668651</v>
      </c>
    </row>
    <row r="381" spans="2:31" x14ac:dyDescent="0.2">
      <c r="B381" s="9" t="str">
        <f t="shared" si="62"/>
        <v>1 2026</v>
      </c>
      <c r="C381" s="88">
        <f t="shared" si="71"/>
        <v>46030</v>
      </c>
      <c r="D381" s="88">
        <f t="shared" si="72"/>
        <v>46031</v>
      </c>
      <c r="E381" s="89">
        <f t="shared" si="63"/>
        <v>1</v>
      </c>
      <c r="H381" s="206">
        <v>46028</v>
      </c>
      <c r="I381" s="215">
        <v>10191.4089967</v>
      </c>
      <c r="J381" s="228"/>
      <c r="K381" s="12"/>
      <c r="L381" s="12"/>
      <c r="M381" s="215"/>
      <c r="N381" s="12"/>
      <c r="O381" s="219"/>
      <c r="P381" s="219"/>
      <c r="Q381" s="219"/>
      <c r="R381" s="219"/>
      <c r="T381" s="215">
        <f t="shared" ref="T381:U381" si="87">T380</f>
        <v>9854.4109000000008</v>
      </c>
      <c r="U381" s="12">
        <f t="shared" si="87"/>
        <v>100000000</v>
      </c>
      <c r="V381" s="12">
        <f t="shared" si="79"/>
        <v>430331.90343855321</v>
      </c>
      <c r="W381" s="12">
        <f t="shared" si="80"/>
        <v>6263.834422364831</v>
      </c>
      <c r="X381" s="12">
        <f t="shared" si="81"/>
        <v>100430331.90343855</v>
      </c>
      <c r="Z381" s="245">
        <f t="shared" si="82"/>
        <v>6.2373836698936813E-5</v>
      </c>
      <c r="AA381" s="118">
        <f t="shared" si="76"/>
        <v>2.2439478578633043E-2</v>
      </c>
      <c r="AB381" s="118">
        <f t="shared" si="83"/>
        <v>2.2452116791736334E-2</v>
      </c>
      <c r="AC381" s="13">
        <f>W381-U380*'OverNight €'!I381*E381/360</f>
        <v>1402.7233112537197</v>
      </c>
    </row>
    <row r="382" spans="2:31" x14ac:dyDescent="0.2">
      <c r="B382" s="9" t="str">
        <f t="shared" si="62"/>
        <v>1 2026</v>
      </c>
      <c r="C382" s="88">
        <f t="shared" si="71"/>
        <v>46031</v>
      </c>
      <c r="D382" s="88">
        <f t="shared" si="72"/>
        <v>46032</v>
      </c>
      <c r="E382" s="89">
        <f t="shared" si="63"/>
        <v>1</v>
      </c>
      <c r="H382" s="206">
        <v>46028</v>
      </c>
      <c r="I382" s="215">
        <v>10191.4089967</v>
      </c>
      <c r="J382" s="228"/>
      <c r="K382" s="12"/>
      <c r="L382" s="12"/>
      <c r="M382" s="215"/>
      <c r="N382" s="12"/>
      <c r="O382" s="219"/>
      <c r="P382" s="219"/>
      <c r="Q382" s="219"/>
      <c r="R382" s="219"/>
      <c r="T382" s="215">
        <f t="shared" ref="T382:U382" si="88">T381</f>
        <v>9854.4109000000008</v>
      </c>
      <c r="U382" s="12">
        <f t="shared" si="88"/>
        <v>100000000</v>
      </c>
      <c r="V382" s="12">
        <f t="shared" si="79"/>
        <v>430331.90343855321</v>
      </c>
      <c r="W382" s="12">
        <f t="shared" si="80"/>
        <v>0</v>
      </c>
      <c r="X382" s="12">
        <f t="shared" si="81"/>
        <v>100430331.90343855</v>
      </c>
      <c r="Z382" s="245">
        <f t="shared" si="82"/>
        <v>0</v>
      </c>
      <c r="AA382" s="118">
        <f t="shared" si="76"/>
        <v>2.2439478578633043E-2</v>
      </c>
      <c r="AB382" s="118">
        <f t="shared" si="83"/>
        <v>2.2131372266140099E-2</v>
      </c>
      <c r="AC382" s="13">
        <f>W382-U381*'OverNight €'!I382*E382/360</f>
        <v>-4861.1111111111113</v>
      </c>
    </row>
    <row r="383" spans="2:31" x14ac:dyDescent="0.2">
      <c r="B383" s="9" t="str">
        <f t="shared" si="62"/>
        <v>1 2026</v>
      </c>
      <c r="C383" s="88">
        <f t="shared" si="71"/>
        <v>46032</v>
      </c>
      <c r="D383" s="88">
        <f t="shared" si="72"/>
        <v>46033</v>
      </c>
      <c r="E383" s="89">
        <f t="shared" si="63"/>
        <v>1</v>
      </c>
      <c r="H383" s="206">
        <v>46028</v>
      </c>
      <c r="I383" s="215">
        <v>10191.4089967</v>
      </c>
      <c r="J383" s="228"/>
      <c r="K383" s="12"/>
      <c r="L383" s="12"/>
      <c r="M383" s="215"/>
      <c r="N383" s="12"/>
      <c r="O383" s="219"/>
      <c r="P383" s="219"/>
      <c r="Q383" s="219"/>
      <c r="R383" s="219"/>
      <c r="T383" s="215">
        <f t="shared" ref="T383:U383" si="89">T382</f>
        <v>9854.4109000000008</v>
      </c>
      <c r="U383" s="12">
        <f t="shared" si="89"/>
        <v>100000000</v>
      </c>
      <c r="V383" s="12">
        <f t="shared" si="79"/>
        <v>430331.90343855321</v>
      </c>
      <c r="W383" s="12">
        <f t="shared" si="80"/>
        <v>0</v>
      </c>
      <c r="X383" s="12">
        <f t="shared" si="81"/>
        <v>100430331.90343855</v>
      </c>
      <c r="Z383" s="245">
        <f t="shared" si="82"/>
        <v>0</v>
      </c>
      <c r="AA383" s="118">
        <f t="shared" si="76"/>
        <v>2.2439478578633043E-2</v>
      </c>
      <c r="AB383" s="118">
        <f t="shared" si="83"/>
        <v>2.1819662797602914E-2</v>
      </c>
      <c r="AC383" s="13">
        <f>W383-U382*'OverNight €'!I383*E383/360</f>
        <v>-4861.1111111111113</v>
      </c>
    </row>
    <row r="384" spans="2:31" x14ac:dyDescent="0.2">
      <c r="B384" s="9" t="str">
        <f t="shared" si="62"/>
        <v>1 2026</v>
      </c>
      <c r="C384" s="88">
        <f t="shared" si="71"/>
        <v>46033</v>
      </c>
      <c r="D384" s="88">
        <f t="shared" si="72"/>
        <v>46034</v>
      </c>
      <c r="E384" s="89">
        <f t="shared" si="63"/>
        <v>1</v>
      </c>
      <c r="H384" s="206">
        <v>46028</v>
      </c>
      <c r="I384" s="215">
        <v>10191.4089967</v>
      </c>
      <c r="J384" s="228"/>
      <c r="K384" s="12"/>
      <c r="L384" s="12"/>
      <c r="M384" s="215"/>
      <c r="N384" s="12"/>
      <c r="O384" s="219"/>
      <c r="P384" s="219"/>
      <c r="Q384" s="219"/>
      <c r="R384" s="219"/>
      <c r="T384" s="215">
        <f t="shared" ref="T384:U384" si="90">T383</f>
        <v>9854.4109000000008</v>
      </c>
      <c r="U384" s="12">
        <f t="shared" si="90"/>
        <v>100000000</v>
      </c>
      <c r="V384" s="12">
        <f t="shared" si="79"/>
        <v>430331.90343855321</v>
      </c>
      <c r="W384" s="12">
        <f t="shared" si="80"/>
        <v>0</v>
      </c>
      <c r="X384" s="12">
        <f t="shared" si="81"/>
        <v>100430331.90343855</v>
      </c>
      <c r="Z384" s="245">
        <f t="shared" si="82"/>
        <v>0</v>
      </c>
      <c r="AA384" s="118">
        <f t="shared" si="76"/>
        <v>2.2439478578633043E-2</v>
      </c>
      <c r="AB384" s="118">
        <f t="shared" si="83"/>
        <v>2.1516611925413986E-2</v>
      </c>
      <c r="AC384" s="13">
        <f>W384-U383*'OverNight €'!I384*E384/360</f>
        <v>-4861.1111111111113</v>
      </c>
    </row>
    <row r="385" spans="2:29" x14ac:dyDescent="0.2">
      <c r="B385" s="9" t="str">
        <f t="shared" si="62"/>
        <v>1 2026</v>
      </c>
      <c r="C385" s="88">
        <f t="shared" si="71"/>
        <v>46034</v>
      </c>
      <c r="D385" s="88">
        <f t="shared" si="72"/>
        <v>46035</v>
      </c>
      <c r="E385" s="89">
        <f t="shared" si="63"/>
        <v>1</v>
      </c>
      <c r="H385" s="206">
        <v>46030</v>
      </c>
      <c r="I385" s="215">
        <v>10193.951547233335</v>
      </c>
      <c r="J385" s="228"/>
      <c r="K385" s="12"/>
      <c r="L385" s="12"/>
      <c r="M385" s="215"/>
      <c r="N385" s="12"/>
      <c r="O385" s="219"/>
      <c r="P385" s="219"/>
      <c r="Q385" s="219"/>
      <c r="R385" s="219"/>
      <c r="T385" s="215">
        <f t="shared" ref="T385:U385" si="91">T384</f>
        <v>9854.4109000000008</v>
      </c>
      <c r="U385" s="12">
        <f t="shared" si="91"/>
        <v>100000000</v>
      </c>
      <c r="V385" s="12">
        <f t="shared" si="79"/>
        <v>455387.24112805724</v>
      </c>
      <c r="W385" s="12">
        <f t="shared" si="80"/>
        <v>25055.337689504027</v>
      </c>
      <c r="X385" s="12">
        <f t="shared" si="81"/>
        <v>100455387.24112806</v>
      </c>
      <c r="Z385" s="245">
        <f t="shared" si="82"/>
        <v>2.4947978578415686E-4</v>
      </c>
      <c r="AA385" s="118">
        <f t="shared" si="76"/>
        <v>2.2439478578633043E-2</v>
      </c>
      <c r="AB385" s="118">
        <f t="shared" si="83"/>
        <v>2.2457469515245302E-2</v>
      </c>
      <c r="AC385" s="13">
        <f>W385-U384*'OverNight €'!I385*E385/360</f>
        <v>20194.226578392918</v>
      </c>
    </row>
    <row r="386" spans="2:29" x14ac:dyDescent="0.2">
      <c r="B386" s="9" t="str">
        <f t="shared" si="62"/>
        <v>1 2026</v>
      </c>
      <c r="C386" s="88">
        <f t="shared" si="71"/>
        <v>46035</v>
      </c>
      <c r="D386" s="88">
        <f t="shared" si="72"/>
        <v>46036</v>
      </c>
      <c r="E386" s="89">
        <f t="shared" si="63"/>
        <v>1</v>
      </c>
      <c r="H386" s="206">
        <v>46031</v>
      </c>
      <c r="I386" s="215">
        <v>10194.587184866667</v>
      </c>
      <c r="J386" s="228"/>
      <c r="K386" s="12"/>
      <c r="L386" s="12"/>
      <c r="M386" s="215"/>
      <c r="N386" s="12"/>
      <c r="O386" s="219"/>
      <c r="P386" s="219"/>
      <c r="Q386" s="219"/>
      <c r="R386" s="219"/>
      <c r="T386" s="215">
        <f t="shared" ref="T386:U386" si="92">T385</f>
        <v>9854.4109000000008</v>
      </c>
      <c r="U386" s="12">
        <f t="shared" si="92"/>
        <v>100000000</v>
      </c>
      <c r="V386" s="12">
        <f t="shared" si="79"/>
        <v>461651.07555040717</v>
      </c>
      <c r="W386" s="12">
        <f t="shared" si="80"/>
        <v>6263.8344223499298</v>
      </c>
      <c r="X386" s="12">
        <f t="shared" si="81"/>
        <v>100461651.07555041</v>
      </c>
      <c r="Z386" s="245">
        <f t="shared" si="82"/>
        <v>6.2354390285790373E-5</v>
      </c>
      <c r="AA386" s="118">
        <f t="shared" si="76"/>
        <v>2.2439478578633043E-2</v>
      </c>
      <c r="AB386" s="118">
        <f t="shared" si="83"/>
        <v>2.2458717278495431E-2</v>
      </c>
      <c r="AC386" s="13">
        <f>W386-U385*'OverNight €'!I386*E386/360</f>
        <v>1402.7233112388185</v>
      </c>
    </row>
    <row r="387" spans="2:29" x14ac:dyDescent="0.2">
      <c r="B387" s="9" t="str">
        <f t="shared" si="62"/>
        <v>1 2026</v>
      </c>
      <c r="C387" s="88">
        <f t="shared" si="71"/>
        <v>46036</v>
      </c>
      <c r="D387" s="88">
        <f t="shared" si="72"/>
        <v>46037</v>
      </c>
      <c r="E387" s="89">
        <f t="shared" si="63"/>
        <v>1</v>
      </c>
      <c r="H387" s="206">
        <v>46034</v>
      </c>
      <c r="I387" s="215">
        <v>10195.2228225</v>
      </c>
      <c r="J387" s="228"/>
      <c r="K387" s="12"/>
      <c r="L387" s="12"/>
      <c r="M387" s="215"/>
      <c r="N387" s="12"/>
      <c r="O387" s="219"/>
      <c r="P387" s="219"/>
      <c r="Q387" s="219"/>
      <c r="R387" s="219"/>
      <c r="T387" s="215">
        <f t="shared" ref="T387:U387" si="93">T386</f>
        <v>9854.4109000000008</v>
      </c>
      <c r="U387" s="12">
        <f t="shared" si="93"/>
        <v>100000000</v>
      </c>
      <c r="V387" s="12">
        <f t="shared" si="79"/>
        <v>467914.909972772</v>
      </c>
      <c r="W387" s="12">
        <f t="shared" si="80"/>
        <v>6263.834422364831</v>
      </c>
      <c r="X387" s="12">
        <f t="shared" si="81"/>
        <v>100467914.90997277</v>
      </c>
      <c r="Z387" s="245">
        <f t="shared" si="82"/>
        <v>6.2350502458397017E-5</v>
      </c>
      <c r="AA387" s="118">
        <f t="shared" si="76"/>
        <v>2.2439478578633043E-2</v>
      </c>
      <c r="AB387" s="118">
        <f t="shared" si="83"/>
        <v>2.2459931768058893E-2</v>
      </c>
      <c r="AC387" s="13">
        <f>W387-U386*'OverNight €'!I387*E387/360</f>
        <v>1402.7233112537197</v>
      </c>
    </row>
    <row r="388" spans="2:29" x14ac:dyDescent="0.2">
      <c r="B388" s="9" t="str">
        <f t="shared" si="62"/>
        <v>1 2026</v>
      </c>
      <c r="C388" s="88">
        <f t="shared" si="71"/>
        <v>46037</v>
      </c>
      <c r="D388" s="88">
        <f t="shared" si="72"/>
        <v>46038</v>
      </c>
      <c r="E388" s="89">
        <f t="shared" si="63"/>
        <v>1</v>
      </c>
      <c r="H388" s="206">
        <v>46035</v>
      </c>
      <c r="I388" s="215">
        <v>10195.858460133333</v>
      </c>
      <c r="J388" s="228"/>
      <c r="K388" s="12"/>
      <c r="L388" s="12"/>
      <c r="M388" s="215"/>
      <c r="N388" s="12"/>
      <c r="O388" s="219"/>
      <c r="P388" s="219"/>
      <c r="Q388" s="219"/>
      <c r="R388" s="219"/>
      <c r="T388" s="215">
        <f t="shared" ref="T388:U388" si="94">T387</f>
        <v>9854.4109000000008</v>
      </c>
      <c r="U388" s="12">
        <f t="shared" si="94"/>
        <v>100000000</v>
      </c>
      <c r="V388" s="12">
        <f t="shared" si="79"/>
        <v>474178.74439513683</v>
      </c>
      <c r="W388" s="12">
        <f t="shared" si="80"/>
        <v>6263.834422364831</v>
      </c>
      <c r="X388" s="12">
        <f t="shared" si="81"/>
        <v>100474178.74439514</v>
      </c>
      <c r="Z388" s="245">
        <f t="shared" si="82"/>
        <v>6.2346615115727033E-5</v>
      </c>
      <c r="AA388" s="118">
        <f t="shared" si="76"/>
        <v>2.2439478578633043E-2</v>
      </c>
      <c r="AB388" s="118">
        <f t="shared" si="83"/>
        <v>2.2461114297370684E-2</v>
      </c>
      <c r="AC388" s="13">
        <f>W388-U387*'OverNight €'!I388*E388/360</f>
        <v>1402.7233112537197</v>
      </c>
    </row>
    <row r="389" spans="2:29" x14ac:dyDescent="0.2">
      <c r="B389" s="9" t="str">
        <f t="shared" si="62"/>
        <v>1 2026</v>
      </c>
      <c r="C389" s="88">
        <f t="shared" si="71"/>
        <v>46038</v>
      </c>
      <c r="D389" s="88">
        <f t="shared" si="72"/>
        <v>46039</v>
      </c>
      <c r="E389" s="89">
        <f t="shared" si="63"/>
        <v>1</v>
      </c>
      <c r="H389" s="206">
        <v>46036</v>
      </c>
      <c r="I389" s="215">
        <v>10196.494097766667</v>
      </c>
      <c r="J389" s="228"/>
      <c r="K389" s="12"/>
      <c r="L389" s="12"/>
      <c r="M389" s="215"/>
      <c r="N389" s="12"/>
      <c r="O389" s="219"/>
      <c r="P389" s="219"/>
      <c r="Q389" s="219"/>
      <c r="R389" s="219"/>
      <c r="T389" s="215">
        <f t="shared" ref="T389:U389" si="95">T388</f>
        <v>9854.4109000000008</v>
      </c>
      <c r="U389" s="12">
        <f t="shared" si="95"/>
        <v>100000000</v>
      </c>
      <c r="V389" s="12">
        <f t="shared" si="79"/>
        <v>480442.57881751657</v>
      </c>
      <c r="W389" s="12">
        <f t="shared" si="80"/>
        <v>6263.8344223797321</v>
      </c>
      <c r="X389" s="12">
        <f t="shared" si="81"/>
        <v>100480442.57881752</v>
      </c>
      <c r="Z389" s="245">
        <f t="shared" si="82"/>
        <v>6.2342728257558377E-5</v>
      </c>
      <c r="AA389" s="118">
        <f t="shared" si="76"/>
        <v>2.2439478578633043E-2</v>
      </c>
      <c r="AB389" s="118">
        <f t="shared" si="83"/>
        <v>2.2462266111635418E-2</v>
      </c>
      <c r="AC389" s="13">
        <f>W389-U388*'OverNight €'!I389*E389/360</f>
        <v>1402.7233112686208</v>
      </c>
    </row>
    <row r="390" spans="2:29" x14ac:dyDescent="0.2">
      <c r="B390" s="9" t="str">
        <f t="shared" si="62"/>
        <v>1 2026</v>
      </c>
      <c r="C390" s="88">
        <f t="shared" si="71"/>
        <v>46039</v>
      </c>
      <c r="D390" s="88">
        <f t="shared" si="72"/>
        <v>46040</v>
      </c>
      <c r="E390" s="89">
        <f t="shared" si="63"/>
        <v>1</v>
      </c>
      <c r="H390" s="206">
        <v>46036</v>
      </c>
      <c r="I390" s="215">
        <v>10196.494097766667</v>
      </c>
      <c r="J390" s="228"/>
      <c r="K390" s="12"/>
      <c r="L390" s="12"/>
      <c r="M390" s="215"/>
      <c r="N390" s="12"/>
      <c r="O390" s="219"/>
      <c r="P390" s="219"/>
      <c r="Q390" s="219"/>
      <c r="R390" s="219"/>
      <c r="T390" s="215">
        <f t="shared" ref="T390:U390" si="96">T389</f>
        <v>9854.4109000000008</v>
      </c>
      <c r="U390" s="12">
        <f t="shared" si="96"/>
        <v>100000000</v>
      </c>
      <c r="V390" s="12">
        <f t="shared" si="79"/>
        <v>480442.57881751657</v>
      </c>
      <c r="W390" s="12">
        <f t="shared" si="80"/>
        <v>0</v>
      </c>
      <c r="X390" s="12">
        <f t="shared" si="81"/>
        <v>100480442.57881752</v>
      </c>
      <c r="Z390" s="245">
        <f t="shared" si="82"/>
        <v>0</v>
      </c>
      <c r="AA390" s="118">
        <f t="shared" si="76"/>
        <v>2.2439478578633043E-2</v>
      </c>
      <c r="AB390" s="118">
        <f t="shared" si="83"/>
        <v>2.2174288340973423E-2</v>
      </c>
      <c r="AC390" s="13">
        <f>W390-U389*'OverNight €'!I390*E390/360</f>
        <v>-4861.1111111111113</v>
      </c>
    </row>
    <row r="391" spans="2:29" x14ac:dyDescent="0.2">
      <c r="B391" s="9" t="str">
        <f t="shared" si="62"/>
        <v>1 2026</v>
      </c>
      <c r="C391" s="88">
        <f t="shared" si="71"/>
        <v>46040</v>
      </c>
      <c r="D391" s="88">
        <f t="shared" si="72"/>
        <v>46041</v>
      </c>
      <c r="E391" s="89">
        <f t="shared" si="63"/>
        <v>1</v>
      </c>
      <c r="H391" s="206">
        <v>46036</v>
      </c>
      <c r="I391" s="215">
        <v>10196.494097766667</v>
      </c>
      <c r="J391" s="228"/>
      <c r="K391" s="12"/>
      <c r="L391" s="12"/>
      <c r="M391" s="215"/>
      <c r="N391" s="12"/>
      <c r="O391" s="219"/>
      <c r="P391" s="219"/>
      <c r="Q391" s="219"/>
      <c r="R391" s="219"/>
      <c r="T391" s="215">
        <f t="shared" ref="T391:U391" si="97">T390</f>
        <v>9854.4109000000008</v>
      </c>
      <c r="U391" s="12">
        <f t="shared" si="97"/>
        <v>100000000</v>
      </c>
      <c r="V391" s="12">
        <f t="shared" si="79"/>
        <v>480442.57881751657</v>
      </c>
      <c r="W391" s="12">
        <f t="shared" si="80"/>
        <v>0</v>
      </c>
      <c r="X391" s="12">
        <f t="shared" si="81"/>
        <v>100480442.57881752</v>
      </c>
      <c r="Z391" s="245">
        <f t="shared" si="82"/>
        <v>0</v>
      </c>
      <c r="AA391" s="118">
        <f t="shared" si="76"/>
        <v>2.2439478578633043E-2</v>
      </c>
      <c r="AB391" s="118">
        <f t="shared" si="83"/>
        <v>2.1893601146783886E-2</v>
      </c>
      <c r="AC391" s="13">
        <f>W391-U390*'OverNight €'!I391*E391/360</f>
        <v>-4861.1111111111113</v>
      </c>
    </row>
    <row r="392" spans="2:29" x14ac:dyDescent="0.2">
      <c r="B392" s="9" t="str">
        <f t="shared" si="62"/>
        <v>1 2026</v>
      </c>
      <c r="C392" s="88">
        <f t="shared" si="71"/>
        <v>46041</v>
      </c>
      <c r="D392" s="88">
        <f t="shared" si="72"/>
        <v>46042</v>
      </c>
      <c r="E392" s="89">
        <f t="shared" si="63"/>
        <v>1</v>
      </c>
      <c r="H392" s="206">
        <v>46037</v>
      </c>
      <c r="I392" s="215">
        <v>10198.391010666668</v>
      </c>
      <c r="J392" s="228"/>
      <c r="K392" s="12"/>
      <c r="L392" s="12"/>
      <c r="M392" s="215"/>
      <c r="N392" s="12"/>
      <c r="O392" s="219"/>
      <c r="P392" s="219"/>
      <c r="Q392" s="219"/>
      <c r="R392" s="219"/>
      <c r="T392" s="215">
        <f t="shared" ref="T392:U392" si="98">T391</f>
        <v>9854.4109000000008</v>
      </c>
      <c r="U392" s="12">
        <f t="shared" si="98"/>
        <v>100000000</v>
      </c>
      <c r="V392" s="12">
        <f t="shared" si="79"/>
        <v>499135.5379756391</v>
      </c>
      <c r="W392" s="12">
        <f t="shared" si="80"/>
        <v>18692.95915812254</v>
      </c>
      <c r="X392" s="12">
        <f t="shared" si="81"/>
        <v>100499135.53797564</v>
      </c>
      <c r="Z392" s="245">
        <f t="shared" si="82"/>
        <v>1.860357964034165E-4</v>
      </c>
      <c r="AA392" s="118">
        <f t="shared" si="76"/>
        <v>2.2439478578633043E-2</v>
      </c>
      <c r="AB392" s="118">
        <f t="shared" si="83"/>
        <v>2.2461114297371632E-2</v>
      </c>
      <c r="AC392" s="13">
        <f>W392-U391*'OverNight €'!I392*E392/360</f>
        <v>13831.848047011428</v>
      </c>
    </row>
    <row r="393" spans="2:29" x14ac:dyDescent="0.2">
      <c r="B393" s="9" t="str">
        <f t="shared" si="62"/>
        <v>1 2026</v>
      </c>
      <c r="C393" s="88">
        <f t="shared" si="71"/>
        <v>46042</v>
      </c>
      <c r="D393" s="88">
        <f t="shared" si="72"/>
        <v>46043</v>
      </c>
      <c r="E393" s="89">
        <f t="shared" si="63"/>
        <v>1</v>
      </c>
      <c r="H393" s="206">
        <v>46038</v>
      </c>
      <c r="I393" s="215">
        <v>10199.0266483</v>
      </c>
      <c r="J393" s="228"/>
      <c r="K393" s="12"/>
      <c r="L393" s="12"/>
      <c r="M393" s="215"/>
      <c r="N393" s="12"/>
      <c r="O393" s="219"/>
      <c r="P393" s="219"/>
      <c r="Q393" s="219"/>
      <c r="R393" s="219"/>
      <c r="T393" s="215">
        <f t="shared" ref="T393:U393" si="99">T392</f>
        <v>9854.4109000000008</v>
      </c>
      <c r="U393" s="12">
        <f t="shared" si="99"/>
        <v>100000000</v>
      </c>
      <c r="V393" s="12">
        <f t="shared" si="79"/>
        <v>505399.37239798903</v>
      </c>
      <c r="W393" s="12">
        <f t="shared" si="80"/>
        <v>6263.8344223499298</v>
      </c>
      <c r="X393" s="12">
        <f t="shared" si="81"/>
        <v>100505399.37239799</v>
      </c>
      <c r="Z393" s="245">
        <f t="shared" si="82"/>
        <v>6.2327246785010004E-5</v>
      </c>
      <c r="AA393" s="118">
        <f t="shared" si="76"/>
        <v>2.2439478578633043E-2</v>
      </c>
      <c r="AB393" s="118">
        <f t="shared" si="83"/>
        <v>2.2462209231918589E-2</v>
      </c>
      <c r="AC393" s="13">
        <f>W393-U392*'OverNight €'!I393*E393/360</f>
        <v>1402.7233112388185</v>
      </c>
    </row>
    <row r="394" spans="2:29" x14ac:dyDescent="0.2">
      <c r="B394" s="9" t="str">
        <f t="shared" si="62"/>
        <v>1 2026</v>
      </c>
      <c r="C394" s="88">
        <f t="shared" si="71"/>
        <v>46043</v>
      </c>
      <c r="D394" s="88">
        <f t="shared" si="72"/>
        <v>46044</v>
      </c>
      <c r="E394" s="89">
        <f t="shared" si="63"/>
        <v>1</v>
      </c>
      <c r="H394" s="206">
        <v>46038</v>
      </c>
      <c r="I394" s="215">
        <v>10199.0266483</v>
      </c>
      <c r="J394" s="228"/>
      <c r="K394" s="12"/>
      <c r="L394" s="12"/>
      <c r="M394" s="215"/>
      <c r="N394" s="12"/>
      <c r="O394" s="219"/>
      <c r="P394" s="219"/>
      <c r="Q394" s="219"/>
      <c r="R394" s="219"/>
      <c r="T394" s="215">
        <f t="shared" ref="T394:U394" si="100">T393</f>
        <v>9854.4109000000008</v>
      </c>
      <c r="U394" s="12">
        <f t="shared" si="100"/>
        <v>100000000</v>
      </c>
      <c r="V394" s="12">
        <f t="shared" si="79"/>
        <v>505399.37239798903</v>
      </c>
      <c r="W394" s="12">
        <f t="shared" si="80"/>
        <v>0</v>
      </c>
      <c r="X394" s="12">
        <f t="shared" si="81"/>
        <v>100505399.37239799</v>
      </c>
      <c r="Z394" s="245">
        <f t="shared" si="82"/>
        <v>0</v>
      </c>
      <c r="AA394" s="118">
        <f t="shared" si="76"/>
        <v>2.2439478578633043E-2</v>
      </c>
      <c r="AB394" s="118">
        <f t="shared" si="83"/>
        <v>2.2188279851041531E-2</v>
      </c>
      <c r="AC394" s="13">
        <f>W394-U393*'OverNight €'!I394*E394/360</f>
        <v>-4861.1111111111113</v>
      </c>
    </row>
    <row r="395" spans="2:29" x14ac:dyDescent="0.2">
      <c r="B395" s="9" t="str">
        <f t="shared" si="62"/>
        <v>1 2026</v>
      </c>
      <c r="C395" s="88">
        <f t="shared" si="71"/>
        <v>46044</v>
      </c>
      <c r="D395" s="88">
        <f t="shared" si="72"/>
        <v>46045</v>
      </c>
      <c r="E395" s="89">
        <f t="shared" si="63"/>
        <v>1</v>
      </c>
      <c r="H395" s="206">
        <v>46042</v>
      </c>
      <c r="I395" s="215">
        <v>10200.297923566666</v>
      </c>
      <c r="J395" s="228"/>
      <c r="K395" s="12"/>
      <c r="L395" s="12"/>
      <c r="M395" s="215"/>
      <c r="N395" s="12"/>
      <c r="O395" s="219"/>
      <c r="P395" s="219"/>
      <c r="Q395" s="219"/>
      <c r="R395" s="219"/>
      <c r="T395" s="215">
        <f t="shared" ref="T395:U395" si="101">T394</f>
        <v>9854.4109000000008</v>
      </c>
      <c r="U395" s="12">
        <f t="shared" si="101"/>
        <v>100000000</v>
      </c>
      <c r="V395" s="12">
        <f t="shared" si="79"/>
        <v>517927.0412427336</v>
      </c>
      <c r="W395" s="12">
        <f t="shared" si="80"/>
        <v>12527.668844744563</v>
      </c>
      <c r="X395" s="12">
        <f t="shared" si="81"/>
        <v>100517927.04124273</v>
      </c>
      <c r="Z395" s="245">
        <f t="shared" si="82"/>
        <v>1.2464672468315285E-4</v>
      </c>
      <c r="AA395" s="118">
        <f t="shared" si="76"/>
        <v>2.2439478578633043E-2</v>
      </c>
      <c r="AB395" s="118">
        <f t="shared" si="83"/>
        <v>2.2464319949119467E-2</v>
      </c>
      <c r="AC395" s="13">
        <f>W395-U394*'OverNight €'!I395*E395/360</f>
        <v>7666.5577336334518</v>
      </c>
    </row>
    <row r="396" spans="2:29" x14ac:dyDescent="0.2">
      <c r="B396" s="9" t="str">
        <f t="shared" si="62"/>
        <v>1 2026</v>
      </c>
      <c r="C396" s="88">
        <f t="shared" si="71"/>
        <v>46045</v>
      </c>
      <c r="D396" s="88">
        <f t="shared" si="72"/>
        <v>46046</v>
      </c>
      <c r="E396" s="89">
        <f t="shared" si="63"/>
        <v>1</v>
      </c>
      <c r="H396" s="206">
        <v>46043</v>
      </c>
      <c r="I396" s="215">
        <v>10200.9335612</v>
      </c>
      <c r="J396" s="228"/>
      <c r="K396" s="12"/>
      <c r="L396" s="12"/>
      <c r="M396" s="215"/>
      <c r="N396" s="12"/>
      <c r="O396" s="219"/>
      <c r="P396" s="219"/>
      <c r="Q396" s="219"/>
      <c r="R396" s="219"/>
      <c r="T396" s="215">
        <f t="shared" ref="T396:U396" si="102">T395</f>
        <v>9854.4109000000008</v>
      </c>
      <c r="U396" s="12">
        <f t="shared" si="102"/>
        <v>100000000</v>
      </c>
      <c r="V396" s="12">
        <f t="shared" si="79"/>
        <v>524190.87566509843</v>
      </c>
      <c r="W396" s="12">
        <f t="shared" si="80"/>
        <v>6263.834422364831</v>
      </c>
      <c r="X396" s="12">
        <f t="shared" si="81"/>
        <v>100524190.8756651</v>
      </c>
      <c r="Z396" s="245">
        <f t="shared" si="82"/>
        <v>6.2315594906658944E-5</v>
      </c>
      <c r="AA396" s="118">
        <f t="shared" si="76"/>
        <v>2.2439478578633043E-2</v>
      </c>
      <c r="AB396" s="118">
        <f t="shared" si="83"/>
        <v>2.2465337616341317E-2</v>
      </c>
      <c r="AC396" s="13">
        <f>W396-U395*'OverNight €'!I396*E396/360</f>
        <v>1402.7233112537197</v>
      </c>
    </row>
    <row r="397" spans="2:29" x14ac:dyDescent="0.2">
      <c r="B397" s="9" t="str">
        <f t="shared" si="62"/>
        <v>1 2026</v>
      </c>
      <c r="C397" s="88">
        <f t="shared" si="71"/>
        <v>46046</v>
      </c>
      <c r="D397" s="88">
        <f t="shared" si="72"/>
        <v>46047</v>
      </c>
      <c r="E397" s="89">
        <f t="shared" si="63"/>
        <v>1</v>
      </c>
      <c r="H397" s="206">
        <v>46043</v>
      </c>
      <c r="I397" s="215">
        <v>10200.9335612</v>
      </c>
      <c r="J397" s="228"/>
      <c r="K397" s="12"/>
      <c r="L397" s="12"/>
      <c r="M397" s="215"/>
      <c r="N397" s="12"/>
      <c r="O397" s="219"/>
      <c r="P397" s="219"/>
      <c r="Q397" s="219"/>
      <c r="R397" s="219"/>
      <c r="T397" s="215">
        <f t="shared" ref="T397:U397" si="103">T396</f>
        <v>9854.4109000000008</v>
      </c>
      <c r="U397" s="12">
        <f t="shared" si="103"/>
        <v>100000000</v>
      </c>
      <c r="V397" s="12">
        <f t="shared" si="79"/>
        <v>524190.87566509843</v>
      </c>
      <c r="W397" s="12">
        <f t="shared" si="80"/>
        <v>0</v>
      </c>
      <c r="X397" s="12">
        <f t="shared" si="81"/>
        <v>100524190.8756651</v>
      </c>
      <c r="Z397" s="245">
        <f t="shared" si="82"/>
        <v>0</v>
      </c>
      <c r="AA397" s="118">
        <f t="shared" si="76"/>
        <v>2.2439478578633043E-2</v>
      </c>
      <c r="AB397" s="118">
        <f t="shared" si="83"/>
        <v>2.2201039526737302E-2</v>
      </c>
      <c r="AC397" s="13">
        <f>W397-U396*'OverNight €'!I397*E397/360</f>
        <v>-4861.1111111111113</v>
      </c>
    </row>
    <row r="398" spans="2:29" x14ac:dyDescent="0.2">
      <c r="B398" s="9" t="str">
        <f t="shared" si="62"/>
        <v>1 2026</v>
      </c>
      <c r="C398" s="88">
        <f t="shared" si="71"/>
        <v>46047</v>
      </c>
      <c r="D398" s="88">
        <f t="shared" si="72"/>
        <v>46048</v>
      </c>
      <c r="E398" s="89">
        <f t="shared" si="63"/>
        <v>1</v>
      </c>
      <c r="H398" s="206">
        <v>46043</v>
      </c>
      <c r="I398" s="215">
        <v>10200.9335612</v>
      </c>
      <c r="J398" s="228"/>
      <c r="K398" s="12"/>
      <c r="L398" s="12"/>
      <c r="M398" s="215"/>
      <c r="N398" s="12"/>
      <c r="O398" s="219"/>
      <c r="P398" s="219"/>
      <c r="Q398" s="219"/>
      <c r="R398" s="219"/>
      <c r="T398" s="215">
        <f t="shared" ref="T398:U398" si="104">T397</f>
        <v>9854.4109000000008</v>
      </c>
      <c r="U398" s="12">
        <f t="shared" si="104"/>
        <v>100000000</v>
      </c>
      <c r="V398" s="12">
        <f t="shared" si="79"/>
        <v>524190.87566509843</v>
      </c>
      <c r="W398" s="12">
        <f t="shared" si="80"/>
        <v>0</v>
      </c>
      <c r="X398" s="12">
        <f t="shared" si="81"/>
        <v>100524190.8756651</v>
      </c>
      <c r="Z398" s="245">
        <f t="shared" si="82"/>
        <v>0</v>
      </c>
      <c r="AA398" s="118">
        <f t="shared" si="76"/>
        <v>2.2439478578633043E-2</v>
      </c>
      <c r="AB398" s="118">
        <f t="shared" si="83"/>
        <v>2.194288790433338E-2</v>
      </c>
      <c r="AC398" s="13">
        <f>W398-U397*'OverNight €'!I398*E398/360</f>
        <v>-4861.1111111111113</v>
      </c>
    </row>
    <row r="399" spans="2:29" x14ac:dyDescent="0.2">
      <c r="B399" s="9" t="str">
        <f t="shared" si="62"/>
        <v>1 2026</v>
      </c>
      <c r="C399" s="88">
        <f t="shared" si="71"/>
        <v>46048</v>
      </c>
      <c r="D399" s="88">
        <f t="shared" si="72"/>
        <v>46049</v>
      </c>
      <c r="E399" s="89">
        <f t="shared" si="63"/>
        <v>1</v>
      </c>
      <c r="H399" s="206">
        <v>46044</v>
      </c>
      <c r="I399" s="215">
        <v>10202.840474099999</v>
      </c>
      <c r="J399" s="228"/>
      <c r="K399" s="12"/>
      <c r="L399" s="12"/>
      <c r="M399" s="215"/>
      <c r="N399" s="12"/>
      <c r="O399" s="219"/>
      <c r="P399" s="219"/>
      <c r="Q399" s="219"/>
      <c r="R399" s="219"/>
      <c r="T399" s="215">
        <f t="shared" ref="T399:U399" si="105">T398</f>
        <v>9854.4109000000008</v>
      </c>
      <c r="U399" s="12">
        <f t="shared" si="105"/>
        <v>100000000</v>
      </c>
      <c r="V399" s="12">
        <f t="shared" si="79"/>
        <v>542982.37893220782</v>
      </c>
      <c r="W399" s="12">
        <f t="shared" si="80"/>
        <v>18791.503267109394</v>
      </c>
      <c r="X399" s="12">
        <f t="shared" si="81"/>
        <v>100542982.37893221</v>
      </c>
      <c r="Z399" s="245">
        <f t="shared" si="82"/>
        <v>1.8693513574619125E-4</v>
      </c>
      <c r="AA399" s="118">
        <f t="shared" si="76"/>
        <v>2.2439478578633043E-2</v>
      </c>
      <c r="AB399" s="118">
        <f t="shared" si="83"/>
        <v>2.2468250250115122E-2</v>
      </c>
      <c r="AC399" s="13">
        <f>W399-U398*'OverNight €'!I399*E399/360</f>
        <v>13930.392155998283</v>
      </c>
    </row>
    <row r="400" spans="2:29" x14ac:dyDescent="0.2">
      <c r="B400" s="9" t="str">
        <f t="shared" si="62"/>
        <v>1 2026</v>
      </c>
      <c r="C400" s="88">
        <f t="shared" si="71"/>
        <v>46049</v>
      </c>
      <c r="D400" s="88">
        <f t="shared" si="72"/>
        <v>46050</v>
      </c>
      <c r="E400" s="89">
        <f t="shared" si="63"/>
        <v>1</v>
      </c>
      <c r="H400" s="206">
        <v>46045</v>
      </c>
      <c r="I400" s="215">
        <v>10203.476111733333</v>
      </c>
      <c r="J400" s="228"/>
      <c r="K400" s="12"/>
      <c r="L400" s="12"/>
      <c r="M400" s="215"/>
      <c r="N400" s="12"/>
      <c r="O400" s="219"/>
      <c r="P400" s="219"/>
      <c r="Q400" s="219"/>
      <c r="R400" s="219"/>
      <c r="T400" s="215">
        <f t="shared" ref="T400:U400" si="106">T399</f>
        <v>9854.4109000000008</v>
      </c>
      <c r="U400" s="12">
        <f t="shared" si="106"/>
        <v>100000000</v>
      </c>
      <c r="V400" s="12">
        <f t="shared" si="79"/>
        <v>549246.21335458755</v>
      </c>
      <c r="W400" s="12">
        <f t="shared" si="80"/>
        <v>6263.8344223797321</v>
      </c>
      <c r="X400" s="12">
        <f t="shared" si="81"/>
        <v>100549246.21335459</v>
      </c>
      <c r="Z400" s="245">
        <f t="shared" si="82"/>
        <v>6.2300065844178576E-5</v>
      </c>
      <c r="AA400" s="118">
        <f t="shared" si="76"/>
        <v>2.2439478578633043E-2</v>
      </c>
      <c r="AB400" s="118">
        <f t="shared" si="83"/>
        <v>2.2469176997224668E-2</v>
      </c>
      <c r="AC400" s="13">
        <f>W400-U399*'OverNight €'!I400*E400/360</f>
        <v>1402.7233112686208</v>
      </c>
    </row>
    <row r="401" spans="2:29" x14ac:dyDescent="0.2">
      <c r="B401" s="9" t="str">
        <f t="shared" si="62"/>
        <v>1 2026</v>
      </c>
      <c r="C401" s="88">
        <f t="shared" si="71"/>
        <v>46050</v>
      </c>
      <c r="D401" s="88">
        <f t="shared" si="72"/>
        <v>46051</v>
      </c>
      <c r="E401" s="89">
        <f t="shared" si="63"/>
        <v>1</v>
      </c>
      <c r="H401" s="206">
        <v>46048</v>
      </c>
      <c r="I401" s="215">
        <v>10204.111749366668</v>
      </c>
      <c r="J401" s="228"/>
      <c r="K401" s="12"/>
      <c r="L401" s="12"/>
      <c r="M401" s="215"/>
      <c r="N401" s="12"/>
      <c r="O401" s="219"/>
      <c r="P401" s="219"/>
      <c r="Q401" s="219"/>
      <c r="R401" s="219"/>
      <c r="T401" s="215">
        <f t="shared" ref="T401:U401" si="107">T400</f>
        <v>9854.4109000000008</v>
      </c>
      <c r="U401" s="12">
        <f t="shared" si="107"/>
        <v>100000000</v>
      </c>
      <c r="V401" s="12">
        <f t="shared" si="79"/>
        <v>555510.04777696729</v>
      </c>
      <c r="W401" s="12">
        <f t="shared" si="80"/>
        <v>6263.8344223797321</v>
      </c>
      <c r="X401" s="12">
        <f t="shared" si="81"/>
        <v>100555510.04777697</v>
      </c>
      <c r="Z401" s="245">
        <f t="shared" si="82"/>
        <v>6.2296184787813402E-5</v>
      </c>
      <c r="AA401" s="118">
        <f t="shared" si="76"/>
        <v>2.2439478578633043E-2</v>
      </c>
      <c r="AB401" s="118">
        <f t="shared" si="83"/>
        <v>2.2470082918557364E-2</v>
      </c>
      <c r="AC401" s="13">
        <f>W401-U400*'OverNight €'!I401*E401/360</f>
        <v>1402.7233112686208</v>
      </c>
    </row>
    <row r="402" spans="2:29" x14ac:dyDescent="0.2">
      <c r="B402" s="9" t="str">
        <f t="shared" si="62"/>
        <v>1 2026</v>
      </c>
      <c r="C402" s="88">
        <f t="shared" si="71"/>
        <v>46051</v>
      </c>
      <c r="D402" s="88">
        <f t="shared" si="72"/>
        <v>46052</v>
      </c>
      <c r="E402" s="89">
        <f t="shared" si="63"/>
        <v>1</v>
      </c>
      <c r="H402" s="206">
        <v>46049</v>
      </c>
      <c r="I402" s="215">
        <v>10204.747386999999</v>
      </c>
      <c r="J402" s="228"/>
      <c r="K402" s="12"/>
      <c r="L402" s="12"/>
      <c r="M402" s="215"/>
      <c r="N402" s="12"/>
      <c r="O402" s="219"/>
      <c r="P402" s="219"/>
      <c r="Q402" s="219"/>
      <c r="R402" s="219"/>
      <c r="T402" s="215">
        <f t="shared" ref="T402:U402" si="108">T401</f>
        <v>9854.4109000000008</v>
      </c>
      <c r="U402" s="12">
        <f t="shared" si="108"/>
        <v>100000000</v>
      </c>
      <c r="V402" s="12">
        <f t="shared" si="79"/>
        <v>561773.88219931722</v>
      </c>
      <c r="W402" s="12">
        <f t="shared" si="80"/>
        <v>6263.8344223499298</v>
      </c>
      <c r="X402" s="12">
        <f t="shared" si="81"/>
        <v>100561773.88219932</v>
      </c>
      <c r="Z402" s="245">
        <f t="shared" si="82"/>
        <v>6.2292304214617289E-5</v>
      </c>
      <c r="AA402" s="118">
        <f t="shared" si="76"/>
        <v>2.2439478578633043E-2</v>
      </c>
      <c r="AB402" s="118">
        <f t="shared" si="83"/>
        <v>2.2470968708303118E-2</v>
      </c>
      <c r="AC402" s="13">
        <f>W402-U401*'OverNight €'!I402*E402/360</f>
        <v>1402.7233112388185</v>
      </c>
    </row>
    <row r="403" spans="2:29" x14ac:dyDescent="0.2">
      <c r="B403" s="9" t="str">
        <f t="shared" si="62"/>
        <v>1 2026</v>
      </c>
      <c r="C403" s="142">
        <f t="shared" si="71"/>
        <v>46052</v>
      </c>
      <c r="D403" s="142">
        <f t="shared" si="72"/>
        <v>46053</v>
      </c>
      <c r="E403" s="143">
        <f t="shared" si="63"/>
        <v>1</v>
      </c>
      <c r="H403" s="206">
        <v>46050</v>
      </c>
      <c r="I403" s="215">
        <v>10205.383024633335</v>
      </c>
      <c r="J403" s="228"/>
      <c r="K403" s="12"/>
      <c r="L403" s="12"/>
      <c r="M403" s="215"/>
      <c r="N403" s="12"/>
      <c r="O403" s="219"/>
      <c r="P403" s="219"/>
      <c r="Q403" s="219"/>
      <c r="R403" s="219"/>
      <c r="T403" s="215">
        <f t="shared" ref="T403:U403" si="109">T402</f>
        <v>9854.4109000000008</v>
      </c>
      <c r="U403" s="12">
        <f t="shared" si="109"/>
        <v>100000000</v>
      </c>
      <c r="V403" s="12">
        <f t="shared" si="79"/>
        <v>568037.71662171185</v>
      </c>
      <c r="W403" s="12">
        <f t="shared" si="80"/>
        <v>6263.8344223946333</v>
      </c>
      <c r="X403" s="12">
        <f t="shared" si="81"/>
        <v>100568037.71662171</v>
      </c>
      <c r="Z403" s="245">
        <f t="shared" si="82"/>
        <v>6.2288424125478414E-5</v>
      </c>
      <c r="AA403" s="118">
        <f t="shared" si="76"/>
        <v>2.2439478578633043E-2</v>
      </c>
      <c r="AB403" s="118">
        <f t="shared" si="83"/>
        <v>2.2471835030144129E-2</v>
      </c>
      <c r="AC403" s="13">
        <f>W403-U402*'OverNight €'!I403*E403/360</f>
        <v>1402.723311283522</v>
      </c>
    </row>
    <row r="404" spans="2:29" x14ac:dyDescent="0.2">
      <c r="B404" s="9" t="str">
        <f t="shared" ref="B404" si="110">CONCATENATE(MONTH(D404)," ",YEAR(D404))</f>
        <v>2 2026</v>
      </c>
      <c r="C404" s="88">
        <f t="shared" ref="C404" si="111">D403</f>
        <v>46053</v>
      </c>
      <c r="D404" s="88">
        <f t="shared" si="72"/>
        <v>46054</v>
      </c>
      <c r="E404" s="89">
        <f t="shared" ref="E404" si="112">D404-C404</f>
        <v>1</v>
      </c>
      <c r="H404" s="206">
        <v>46050</v>
      </c>
      <c r="I404" s="215">
        <v>10205.383024633335</v>
      </c>
      <c r="J404" s="228"/>
      <c r="K404" s="12"/>
      <c r="L404" s="12"/>
      <c r="M404" s="215"/>
      <c r="N404" s="12"/>
      <c r="O404" s="219"/>
      <c r="P404" s="219"/>
      <c r="Q404" s="219"/>
      <c r="R404" s="219"/>
      <c r="T404" s="215">
        <f t="shared" ref="T404:U404" si="113">T403</f>
        <v>9854.4109000000008</v>
      </c>
      <c r="U404" s="12">
        <f t="shared" si="113"/>
        <v>100000000</v>
      </c>
      <c r="V404" s="12">
        <f t="shared" si="79"/>
        <v>568037.71662171185</v>
      </c>
      <c r="W404" s="12">
        <f t="shared" si="80"/>
        <v>0</v>
      </c>
      <c r="X404" s="12">
        <f t="shared" si="81"/>
        <v>100568037.71662171</v>
      </c>
      <c r="Z404" s="245">
        <f t="shared" si="82"/>
        <v>0</v>
      </c>
      <c r="AA404" s="118">
        <f t="shared" si="76"/>
        <v>2.2439478578633043E-2</v>
      </c>
      <c r="AB404" s="118">
        <f t="shared" si="83"/>
        <v>2.2227575953729518E-2</v>
      </c>
      <c r="AC404" s="13">
        <f>W404-U403*'OverNight €'!I404*E404/360</f>
        <v>-4861.1111111111113</v>
      </c>
    </row>
    <row r="405" spans="2:29" x14ac:dyDescent="0.2">
      <c r="B405" s="9" t="str">
        <f t="shared" ref="B405:B468" si="114">CONCATENATE(MONTH(D405)," ",YEAR(D405))</f>
        <v>2 2026</v>
      </c>
      <c r="C405" s="88">
        <f t="shared" ref="C405:C468" si="115">D404</f>
        <v>46054</v>
      </c>
      <c r="D405" s="88">
        <f t="shared" si="72"/>
        <v>46055</v>
      </c>
      <c r="E405" s="89">
        <f t="shared" ref="E405:E468" si="116">D405-C405</f>
        <v>1</v>
      </c>
      <c r="H405" s="206">
        <v>46050</v>
      </c>
      <c r="I405" s="215">
        <v>10205.383024633335</v>
      </c>
      <c r="J405" s="228"/>
      <c r="K405" s="12"/>
      <c r="L405" s="12"/>
      <c r="M405" s="215"/>
      <c r="N405" s="12"/>
      <c r="O405" s="219"/>
      <c r="P405" s="219"/>
      <c r="Q405" s="219"/>
      <c r="R405" s="219"/>
      <c r="T405" s="215">
        <f t="shared" ref="T405:U405" si="117">T404</f>
        <v>9854.4109000000008</v>
      </c>
      <c r="U405" s="12">
        <f t="shared" si="117"/>
        <v>100000000</v>
      </c>
      <c r="V405" s="12">
        <f t="shared" si="79"/>
        <v>568037.71662171185</v>
      </c>
      <c r="W405" s="12">
        <f t="shared" si="80"/>
        <v>0</v>
      </c>
      <c r="X405" s="12">
        <f t="shared" si="81"/>
        <v>100568037.71662171</v>
      </c>
      <c r="Z405" s="245">
        <f t="shared" si="82"/>
        <v>0</v>
      </c>
      <c r="AA405" s="118">
        <f t="shared" si="76"/>
        <v>2.2439478578633043E-2</v>
      </c>
      <c r="AB405" s="118">
        <f t="shared" si="83"/>
        <v>2.1988569760678662E-2</v>
      </c>
      <c r="AC405" s="13">
        <f>W405-U404*'OverNight €'!I405*E405/360</f>
        <v>-4861.1111111111113</v>
      </c>
    </row>
    <row r="406" spans="2:29" x14ac:dyDescent="0.2">
      <c r="B406" s="9" t="str">
        <f t="shared" si="114"/>
        <v>2 2026</v>
      </c>
      <c r="C406" s="88">
        <f t="shared" si="115"/>
        <v>46055</v>
      </c>
      <c r="D406" s="88">
        <f t="shared" si="72"/>
        <v>46056</v>
      </c>
      <c r="E406" s="89">
        <f t="shared" si="116"/>
        <v>1</v>
      </c>
      <c r="H406" s="206">
        <v>46051</v>
      </c>
      <c r="I406" s="215">
        <v>10207.289937533333</v>
      </c>
      <c r="J406" s="228"/>
      <c r="K406" s="12"/>
      <c r="L406" s="12"/>
      <c r="M406" s="215"/>
      <c r="N406" s="12"/>
      <c r="O406" s="219"/>
      <c r="P406" s="219"/>
      <c r="Q406" s="219"/>
      <c r="R406" s="219"/>
      <c r="T406" s="215">
        <f t="shared" ref="T406:U406" si="118">T405</f>
        <v>9854.4109000000008</v>
      </c>
      <c r="U406" s="12">
        <f t="shared" si="118"/>
        <v>100000000</v>
      </c>
      <c r="V406" s="12">
        <f t="shared" si="79"/>
        <v>586829.21988880634</v>
      </c>
      <c r="W406" s="12">
        <f t="shared" si="80"/>
        <v>18791.503267094493</v>
      </c>
      <c r="X406" s="12">
        <f t="shared" si="81"/>
        <v>100586829.21988881</v>
      </c>
      <c r="Z406" s="245">
        <f t="shared" si="82"/>
        <v>1.8685363355741558E-4</v>
      </c>
      <c r="AA406" s="118">
        <f>AA407</f>
        <v>2.2439478578633043E-2</v>
      </c>
      <c r="AB406" s="118">
        <f t="shared" si="83"/>
        <v>2.2474323401387029E-2</v>
      </c>
      <c r="AC406" s="13">
        <f>W406-U405*'OverNight €'!I406*E406/360</f>
        <v>13930.392155983382</v>
      </c>
    </row>
    <row r="407" spans="2:29" x14ac:dyDescent="0.2">
      <c r="B407" s="452" t="str">
        <f t="shared" si="114"/>
        <v>2 2026</v>
      </c>
      <c r="C407" s="453">
        <f t="shared" si="115"/>
        <v>46056</v>
      </c>
      <c r="D407" s="453">
        <f t="shared" si="72"/>
        <v>46057</v>
      </c>
      <c r="E407" s="454">
        <f t="shared" si="116"/>
        <v>1</v>
      </c>
      <c r="H407" s="464">
        <v>46052</v>
      </c>
      <c r="I407" s="465">
        <v>10207.925575166666</v>
      </c>
      <c r="J407" s="228"/>
      <c r="K407" s="466"/>
      <c r="L407" s="466"/>
      <c r="M407" s="465"/>
      <c r="N407" s="466"/>
      <c r="O407" s="467"/>
      <c r="P407" s="467"/>
      <c r="Q407" s="467"/>
      <c r="R407" s="467"/>
      <c r="T407" s="465">
        <f t="shared" ref="T407:U407" si="119">T406</f>
        <v>9854.4109000000008</v>
      </c>
      <c r="U407" s="466">
        <f t="shared" si="119"/>
        <v>100000000</v>
      </c>
      <c r="V407" s="466">
        <f t="shared" si="79"/>
        <v>593093.05431117117</v>
      </c>
      <c r="W407" s="466">
        <f t="shared" si="80"/>
        <v>6263.834422364831</v>
      </c>
      <c r="X407" s="466">
        <f t="shared" si="81"/>
        <v>100593093.05431117</v>
      </c>
      <c r="Z407" s="468">
        <f t="shared" si="82"/>
        <v>6.2272908599947385E-5</v>
      </c>
      <c r="AA407" s="469">
        <f>(I407/I375-1)*360/(C407-C375)</f>
        <v>2.2439478578633043E-2</v>
      </c>
      <c r="AB407" s="469">
        <f>(I407/$I$309-1)*360/(C407-$C$309)</f>
        <v>2.2475117933959322E-2</v>
      </c>
      <c r="AC407" s="183">
        <f>W407-U406*'OverNight €'!I407*E407/360</f>
        <v>1402.7233112537197</v>
      </c>
    </row>
    <row r="408" spans="2:29" x14ac:dyDescent="0.2">
      <c r="B408" s="9" t="str">
        <f t="shared" si="114"/>
        <v>2 2026</v>
      </c>
      <c r="C408" s="88">
        <f t="shared" si="115"/>
        <v>46057</v>
      </c>
      <c r="D408" s="88">
        <f t="shared" si="72"/>
        <v>46058</v>
      </c>
      <c r="E408" s="89">
        <f t="shared" si="116"/>
        <v>1</v>
      </c>
      <c r="H408" s="206">
        <v>46055</v>
      </c>
      <c r="I408" s="215"/>
      <c r="J408" s="228"/>
      <c r="K408" s="12"/>
      <c r="L408" s="12"/>
      <c r="M408" s="215"/>
      <c r="N408" s="12"/>
      <c r="O408" s="219"/>
      <c r="P408" s="219"/>
      <c r="Q408" s="219"/>
      <c r="R408" s="219"/>
      <c r="T408" s="215"/>
      <c r="U408" s="12"/>
      <c r="V408" s="12"/>
      <c r="W408" s="12"/>
      <c r="X408" s="12"/>
      <c r="Z408" s="245"/>
      <c r="AA408" s="118"/>
      <c r="AB408" s="118"/>
      <c r="AC408" s="13"/>
    </row>
    <row r="409" spans="2:29" x14ac:dyDescent="0.2">
      <c r="B409" s="9" t="str">
        <f t="shared" si="114"/>
        <v>2 2026</v>
      </c>
      <c r="C409" s="88">
        <f t="shared" si="115"/>
        <v>46058</v>
      </c>
      <c r="D409" s="88">
        <f t="shared" si="72"/>
        <v>46059</v>
      </c>
      <c r="E409" s="89">
        <f t="shared" si="116"/>
        <v>1</v>
      </c>
      <c r="H409" s="206">
        <v>46056</v>
      </c>
      <c r="I409" s="215"/>
      <c r="J409" s="228"/>
      <c r="K409" s="12"/>
      <c r="L409" s="12"/>
      <c r="M409" s="215"/>
      <c r="N409" s="12"/>
      <c r="O409" s="219"/>
      <c r="P409" s="219"/>
      <c r="Q409" s="219"/>
      <c r="R409" s="219"/>
      <c r="T409" s="215"/>
      <c r="U409" s="12"/>
      <c r="V409" s="12"/>
      <c r="W409" s="12"/>
      <c r="X409" s="12"/>
      <c r="Z409" s="245"/>
      <c r="AA409" s="118"/>
      <c r="AB409" s="118"/>
      <c r="AC409" s="13"/>
    </row>
    <row r="410" spans="2:29" x14ac:dyDescent="0.2">
      <c r="B410" s="9" t="str">
        <f t="shared" si="114"/>
        <v>2 2026</v>
      </c>
      <c r="C410" s="88">
        <f t="shared" si="115"/>
        <v>46059</v>
      </c>
      <c r="D410" s="88">
        <f t="shared" si="72"/>
        <v>46060</v>
      </c>
      <c r="E410" s="89">
        <f t="shared" si="116"/>
        <v>1</v>
      </c>
      <c r="H410" s="206">
        <v>46057</v>
      </c>
      <c r="I410" s="215"/>
      <c r="J410" s="228"/>
      <c r="K410" s="12"/>
      <c r="L410" s="12"/>
      <c r="M410" s="215"/>
      <c r="N410" s="12"/>
      <c r="O410" s="219"/>
      <c r="P410" s="219"/>
      <c r="Q410" s="219"/>
      <c r="R410" s="219"/>
      <c r="T410" s="215"/>
      <c r="U410" s="12"/>
      <c r="V410" s="12"/>
      <c r="W410" s="12"/>
      <c r="X410" s="12"/>
      <c r="Z410" s="245"/>
      <c r="AA410" s="118"/>
      <c r="AB410" s="118"/>
      <c r="AC410" s="13"/>
    </row>
    <row r="411" spans="2:29" x14ac:dyDescent="0.2">
      <c r="B411" s="9" t="str">
        <f t="shared" si="114"/>
        <v>2 2026</v>
      </c>
      <c r="C411" s="88">
        <f t="shared" si="115"/>
        <v>46060</v>
      </c>
      <c r="D411" s="88">
        <f t="shared" si="72"/>
        <v>46061</v>
      </c>
      <c r="E411" s="89">
        <f t="shared" si="116"/>
        <v>1</v>
      </c>
      <c r="H411" s="206">
        <v>46057</v>
      </c>
      <c r="I411" s="215"/>
      <c r="J411" s="228"/>
      <c r="K411" s="12"/>
      <c r="L411" s="12"/>
      <c r="M411" s="215"/>
      <c r="N411" s="12"/>
      <c r="O411" s="219"/>
      <c r="P411" s="219"/>
      <c r="Q411" s="219"/>
      <c r="R411" s="219"/>
      <c r="T411" s="215"/>
      <c r="U411" s="12"/>
      <c r="V411" s="12"/>
      <c r="W411" s="12"/>
      <c r="X411" s="12"/>
      <c r="Z411" s="245"/>
      <c r="AA411" s="118"/>
      <c r="AB411" s="118"/>
      <c r="AC411" s="13"/>
    </row>
    <row r="412" spans="2:29" x14ac:dyDescent="0.2">
      <c r="B412" s="9" t="str">
        <f t="shared" si="114"/>
        <v>2 2026</v>
      </c>
      <c r="C412" s="88">
        <f t="shared" si="115"/>
        <v>46061</v>
      </c>
      <c r="D412" s="88">
        <f t="shared" si="72"/>
        <v>46062</v>
      </c>
      <c r="E412" s="89">
        <f t="shared" si="116"/>
        <v>1</v>
      </c>
      <c r="H412" s="206">
        <v>46057</v>
      </c>
      <c r="I412" s="215"/>
      <c r="J412" s="228"/>
      <c r="K412" s="12"/>
      <c r="L412" s="12"/>
      <c r="M412" s="215"/>
      <c r="N412" s="12"/>
      <c r="O412" s="219"/>
      <c r="P412" s="219"/>
      <c r="Q412" s="219"/>
      <c r="R412" s="219"/>
      <c r="T412" s="215"/>
      <c r="U412" s="12"/>
      <c r="V412" s="12"/>
      <c r="W412" s="12"/>
      <c r="X412" s="12"/>
      <c r="Z412" s="245"/>
      <c r="AA412" s="118"/>
      <c r="AB412" s="118"/>
      <c r="AC412" s="13"/>
    </row>
    <row r="413" spans="2:29" x14ac:dyDescent="0.2">
      <c r="B413" s="9" t="str">
        <f t="shared" si="114"/>
        <v>2 2026</v>
      </c>
      <c r="C413" s="88">
        <f t="shared" si="115"/>
        <v>46062</v>
      </c>
      <c r="D413" s="88">
        <f t="shared" si="72"/>
        <v>46063</v>
      </c>
      <c r="E413" s="89">
        <f t="shared" si="116"/>
        <v>1</v>
      </c>
      <c r="H413" s="206">
        <v>46058</v>
      </c>
      <c r="I413" s="215"/>
      <c r="J413" s="228"/>
      <c r="K413" s="12"/>
      <c r="L413" s="12"/>
      <c r="M413" s="215"/>
      <c r="N413" s="12"/>
      <c r="O413" s="219"/>
      <c r="P413" s="219"/>
      <c r="Q413" s="219"/>
      <c r="R413" s="219"/>
      <c r="T413" s="215"/>
      <c r="U413" s="12"/>
      <c r="V413" s="12"/>
      <c r="W413" s="12"/>
      <c r="X413" s="12"/>
      <c r="Z413" s="245"/>
      <c r="AA413" s="118"/>
      <c r="AB413" s="118"/>
      <c r="AC413" s="13"/>
    </row>
    <row r="414" spans="2:29" x14ac:dyDescent="0.2">
      <c r="B414" s="9" t="str">
        <f t="shared" si="114"/>
        <v>2 2026</v>
      </c>
      <c r="C414" s="88">
        <f t="shared" si="115"/>
        <v>46063</v>
      </c>
      <c r="D414" s="88">
        <f t="shared" si="72"/>
        <v>46064</v>
      </c>
      <c r="E414" s="89">
        <f t="shared" si="116"/>
        <v>1</v>
      </c>
      <c r="H414" s="206">
        <v>46059</v>
      </c>
      <c r="I414" s="215"/>
      <c r="J414" s="228"/>
      <c r="K414" s="12"/>
      <c r="L414" s="12"/>
      <c r="M414" s="215"/>
      <c r="N414" s="12"/>
      <c r="O414" s="219"/>
      <c r="P414" s="219"/>
      <c r="Q414" s="219"/>
      <c r="R414" s="219"/>
      <c r="T414" s="215"/>
      <c r="U414" s="12"/>
      <c r="V414" s="12"/>
      <c r="W414" s="12"/>
      <c r="X414" s="12"/>
      <c r="Z414" s="245"/>
      <c r="AA414" s="118"/>
      <c r="AB414" s="118"/>
      <c r="AC414" s="13"/>
    </row>
    <row r="415" spans="2:29" x14ac:dyDescent="0.2">
      <c r="B415" s="9" t="str">
        <f t="shared" si="114"/>
        <v>2 2026</v>
      </c>
      <c r="C415" s="88">
        <f t="shared" si="115"/>
        <v>46064</v>
      </c>
      <c r="D415" s="88">
        <f t="shared" si="72"/>
        <v>46065</v>
      </c>
      <c r="E415" s="89">
        <f t="shared" si="116"/>
        <v>1</v>
      </c>
      <c r="H415" s="206">
        <v>46062</v>
      </c>
      <c r="I415" s="215"/>
      <c r="J415" s="228"/>
      <c r="K415" s="12"/>
      <c r="L415" s="12"/>
      <c r="M415" s="215"/>
      <c r="N415" s="12"/>
      <c r="O415" s="219"/>
      <c r="P415" s="219"/>
      <c r="Q415" s="219"/>
      <c r="R415" s="219"/>
      <c r="T415" s="215"/>
      <c r="U415" s="12"/>
      <c r="V415" s="12"/>
      <c r="W415" s="12"/>
      <c r="X415" s="12"/>
      <c r="Z415" s="245"/>
      <c r="AA415" s="118"/>
      <c r="AB415" s="118"/>
      <c r="AC415" s="13"/>
    </row>
    <row r="416" spans="2:29" x14ac:dyDescent="0.2">
      <c r="B416" s="9" t="str">
        <f t="shared" si="114"/>
        <v>2 2026</v>
      </c>
      <c r="C416" s="88">
        <f t="shared" si="115"/>
        <v>46065</v>
      </c>
      <c r="D416" s="88">
        <f t="shared" si="72"/>
        <v>46066</v>
      </c>
      <c r="E416" s="89">
        <f t="shared" si="116"/>
        <v>1</v>
      </c>
      <c r="H416" s="206">
        <v>46063</v>
      </c>
      <c r="I416" s="215"/>
      <c r="J416" s="228"/>
      <c r="K416" s="12"/>
      <c r="L416" s="12"/>
      <c r="M416" s="215"/>
      <c r="N416" s="12"/>
      <c r="O416" s="219"/>
      <c r="P416" s="219"/>
      <c r="Q416" s="219"/>
      <c r="R416" s="219"/>
      <c r="T416" s="215"/>
      <c r="U416" s="12"/>
      <c r="V416" s="12"/>
      <c r="W416" s="12"/>
      <c r="X416" s="12"/>
      <c r="Z416" s="245"/>
      <c r="AA416" s="118"/>
      <c r="AB416" s="118"/>
      <c r="AC416" s="13"/>
    </row>
    <row r="417" spans="2:29" x14ac:dyDescent="0.2">
      <c r="B417" s="9" t="str">
        <f t="shared" si="114"/>
        <v>2 2026</v>
      </c>
      <c r="C417" s="88">
        <f t="shared" si="115"/>
        <v>46066</v>
      </c>
      <c r="D417" s="88">
        <f t="shared" si="72"/>
        <v>46067</v>
      </c>
      <c r="E417" s="89">
        <f t="shared" si="116"/>
        <v>1</v>
      </c>
      <c r="H417" s="206">
        <v>46064</v>
      </c>
      <c r="I417" s="215"/>
      <c r="J417" s="228"/>
      <c r="K417" s="12"/>
      <c r="L417" s="12"/>
      <c r="M417" s="215"/>
      <c r="N417" s="12"/>
      <c r="O417" s="219"/>
      <c r="P417" s="219"/>
      <c r="Q417" s="219"/>
      <c r="R417" s="219"/>
      <c r="T417" s="215"/>
      <c r="U417" s="12"/>
      <c r="V417" s="12"/>
      <c r="W417" s="12"/>
      <c r="X417" s="12"/>
      <c r="Z417" s="245"/>
      <c r="AA417" s="118"/>
      <c r="AB417" s="118"/>
      <c r="AC417" s="13"/>
    </row>
    <row r="418" spans="2:29" x14ac:dyDescent="0.2">
      <c r="B418" s="9" t="str">
        <f t="shared" si="114"/>
        <v>2 2026</v>
      </c>
      <c r="C418" s="88">
        <f t="shared" si="115"/>
        <v>46067</v>
      </c>
      <c r="D418" s="88">
        <f t="shared" si="72"/>
        <v>46068</v>
      </c>
      <c r="E418" s="89">
        <f t="shared" si="116"/>
        <v>1</v>
      </c>
      <c r="H418" s="206">
        <v>46064</v>
      </c>
      <c r="I418" s="215"/>
      <c r="J418" s="228"/>
      <c r="K418" s="12"/>
      <c r="L418" s="12"/>
      <c r="M418" s="215"/>
      <c r="N418" s="12"/>
      <c r="O418" s="219"/>
      <c r="P418" s="219"/>
      <c r="Q418" s="219"/>
      <c r="R418" s="219"/>
      <c r="T418" s="215"/>
      <c r="U418" s="12"/>
      <c r="V418" s="12"/>
      <c r="W418" s="12"/>
      <c r="X418" s="12"/>
      <c r="Z418" s="245"/>
      <c r="AA418" s="118"/>
      <c r="AB418" s="118"/>
      <c r="AC418" s="13"/>
    </row>
    <row r="419" spans="2:29" x14ac:dyDescent="0.2">
      <c r="B419" s="9" t="str">
        <f t="shared" si="114"/>
        <v>2 2026</v>
      </c>
      <c r="C419" s="88">
        <f t="shared" si="115"/>
        <v>46068</v>
      </c>
      <c r="D419" s="88">
        <f t="shared" si="72"/>
        <v>46069</v>
      </c>
      <c r="E419" s="89">
        <f t="shared" si="116"/>
        <v>1</v>
      </c>
      <c r="H419" s="206">
        <v>46064</v>
      </c>
      <c r="I419" s="215"/>
      <c r="J419" s="228"/>
      <c r="K419" s="12"/>
      <c r="L419" s="12"/>
      <c r="M419" s="215"/>
      <c r="N419" s="12"/>
      <c r="O419" s="219"/>
      <c r="P419" s="219"/>
      <c r="Q419" s="219"/>
      <c r="R419" s="219"/>
      <c r="T419" s="215"/>
      <c r="U419" s="12"/>
      <c r="V419" s="12"/>
      <c r="W419" s="12"/>
      <c r="X419" s="12"/>
      <c r="Z419" s="245"/>
      <c r="AA419" s="118"/>
      <c r="AB419" s="118"/>
      <c r="AC419" s="13"/>
    </row>
    <row r="420" spans="2:29" x14ac:dyDescent="0.2">
      <c r="B420" s="9" t="str">
        <f t="shared" si="114"/>
        <v>2 2026</v>
      </c>
      <c r="C420" s="88">
        <f t="shared" si="115"/>
        <v>46069</v>
      </c>
      <c r="D420" s="88">
        <f t="shared" si="72"/>
        <v>46070</v>
      </c>
      <c r="E420" s="89">
        <f t="shared" si="116"/>
        <v>1</v>
      </c>
      <c r="H420" s="206">
        <v>46065</v>
      </c>
      <c r="I420" s="215"/>
      <c r="J420" s="228"/>
      <c r="K420" s="12"/>
      <c r="L420" s="12"/>
      <c r="M420" s="215"/>
      <c r="N420" s="12"/>
      <c r="O420" s="219"/>
      <c r="P420" s="219"/>
      <c r="Q420" s="219"/>
      <c r="R420" s="219"/>
      <c r="T420" s="215"/>
      <c r="U420" s="12"/>
      <c r="V420" s="12"/>
      <c r="W420" s="12"/>
      <c r="X420" s="12"/>
      <c r="Z420" s="245"/>
      <c r="AA420" s="118"/>
      <c r="AB420" s="118"/>
      <c r="AC420" s="13"/>
    </row>
    <row r="421" spans="2:29" x14ac:dyDescent="0.2">
      <c r="B421" s="9" t="str">
        <f t="shared" si="114"/>
        <v>2 2026</v>
      </c>
      <c r="C421" s="88">
        <f t="shared" si="115"/>
        <v>46070</v>
      </c>
      <c r="D421" s="88">
        <f t="shared" si="72"/>
        <v>46071</v>
      </c>
      <c r="E421" s="89">
        <f t="shared" si="116"/>
        <v>1</v>
      </c>
      <c r="H421" s="206">
        <v>46066</v>
      </c>
      <c r="I421" s="215"/>
      <c r="J421" s="228"/>
      <c r="K421" s="12"/>
      <c r="L421" s="12"/>
      <c r="M421" s="215"/>
      <c r="N421" s="12"/>
      <c r="O421" s="219"/>
      <c r="P421" s="219"/>
      <c r="Q421" s="219"/>
      <c r="R421" s="219"/>
      <c r="T421" s="215"/>
      <c r="U421" s="12"/>
      <c r="V421" s="12"/>
      <c r="W421" s="12"/>
      <c r="X421" s="12"/>
      <c r="Z421" s="245"/>
      <c r="AA421" s="118"/>
      <c r="AB421" s="12"/>
      <c r="AC421" s="13"/>
    </row>
    <row r="422" spans="2:29" x14ac:dyDescent="0.2">
      <c r="B422" s="9" t="str">
        <f t="shared" si="114"/>
        <v>2 2026</v>
      </c>
      <c r="C422" s="88">
        <f t="shared" si="115"/>
        <v>46071</v>
      </c>
      <c r="D422" s="88">
        <f t="shared" si="72"/>
        <v>46072</v>
      </c>
      <c r="E422" s="89">
        <f t="shared" si="116"/>
        <v>1</v>
      </c>
      <c r="H422" s="206">
        <v>46066</v>
      </c>
      <c r="I422" s="215"/>
      <c r="J422" s="228"/>
      <c r="K422" s="12"/>
      <c r="L422" s="12"/>
      <c r="M422" s="215"/>
      <c r="N422" s="12"/>
      <c r="O422" s="219"/>
      <c r="P422" s="219"/>
      <c r="Q422" s="219"/>
      <c r="R422" s="219"/>
      <c r="T422" s="215"/>
      <c r="U422" s="12"/>
      <c r="V422" s="12"/>
      <c r="W422" s="12"/>
      <c r="X422" s="12"/>
      <c r="Z422" s="245"/>
      <c r="AA422" s="118"/>
      <c r="AB422" s="12"/>
      <c r="AC422" s="13"/>
    </row>
    <row r="423" spans="2:29" x14ac:dyDescent="0.2">
      <c r="B423" s="9" t="str">
        <f t="shared" si="114"/>
        <v>2 2026</v>
      </c>
      <c r="C423" s="88">
        <f t="shared" si="115"/>
        <v>46072</v>
      </c>
      <c r="D423" s="88">
        <f t="shared" si="72"/>
        <v>46073</v>
      </c>
      <c r="E423" s="89">
        <f t="shared" si="116"/>
        <v>1</v>
      </c>
      <c r="H423" s="206">
        <v>46070</v>
      </c>
      <c r="I423" s="215"/>
      <c r="J423" s="228"/>
      <c r="K423" s="12"/>
      <c r="L423" s="12"/>
      <c r="M423" s="215"/>
      <c r="N423" s="12"/>
      <c r="O423" s="219"/>
      <c r="P423" s="219"/>
      <c r="Q423" s="219"/>
      <c r="R423" s="219"/>
      <c r="T423" s="215"/>
      <c r="U423" s="12"/>
      <c r="V423" s="12"/>
      <c r="W423" s="12"/>
      <c r="X423" s="12"/>
      <c r="Z423" s="245"/>
      <c r="AA423" s="118"/>
      <c r="AB423" s="12"/>
      <c r="AC423" s="13"/>
    </row>
    <row r="424" spans="2:29" x14ac:dyDescent="0.2">
      <c r="B424" s="9" t="str">
        <f t="shared" si="114"/>
        <v>2 2026</v>
      </c>
      <c r="C424" s="88">
        <f t="shared" si="115"/>
        <v>46073</v>
      </c>
      <c r="D424" s="88">
        <f t="shared" si="72"/>
        <v>46074</v>
      </c>
      <c r="E424" s="89">
        <f t="shared" si="116"/>
        <v>1</v>
      </c>
      <c r="H424" s="206">
        <v>46071</v>
      </c>
      <c r="I424" s="215"/>
      <c r="J424" s="228"/>
      <c r="K424" s="12"/>
      <c r="L424" s="12"/>
      <c r="M424" s="215"/>
      <c r="N424" s="12"/>
      <c r="O424" s="219"/>
      <c r="P424" s="219"/>
      <c r="Q424" s="219"/>
      <c r="R424" s="219"/>
      <c r="T424" s="215"/>
      <c r="U424" s="12"/>
      <c r="V424" s="12"/>
      <c r="W424" s="12"/>
      <c r="X424" s="12"/>
      <c r="Z424" s="245"/>
      <c r="AA424" s="118"/>
      <c r="AB424" s="12"/>
      <c r="AC424" s="13"/>
    </row>
    <row r="425" spans="2:29" x14ac:dyDescent="0.2">
      <c r="B425" s="9" t="str">
        <f t="shared" si="114"/>
        <v>2 2026</v>
      </c>
      <c r="C425" s="88">
        <f t="shared" si="115"/>
        <v>46074</v>
      </c>
      <c r="D425" s="88">
        <f t="shared" si="72"/>
        <v>46075</v>
      </c>
      <c r="E425" s="89">
        <f t="shared" si="116"/>
        <v>1</v>
      </c>
      <c r="H425" s="206">
        <v>46071</v>
      </c>
      <c r="I425" s="215"/>
      <c r="J425" s="228"/>
      <c r="K425" s="12"/>
      <c r="L425" s="12"/>
      <c r="M425" s="215"/>
      <c r="N425" s="12"/>
      <c r="O425" s="219"/>
      <c r="P425" s="219"/>
      <c r="Q425" s="219"/>
      <c r="R425" s="219"/>
      <c r="T425" s="215"/>
      <c r="U425" s="12"/>
      <c r="V425" s="12"/>
      <c r="W425" s="12"/>
      <c r="X425" s="12"/>
      <c r="Z425" s="245"/>
      <c r="AA425" s="118"/>
      <c r="AB425" s="12"/>
      <c r="AC425" s="13"/>
    </row>
    <row r="426" spans="2:29" x14ac:dyDescent="0.2">
      <c r="B426" s="9" t="str">
        <f t="shared" si="114"/>
        <v>2 2026</v>
      </c>
      <c r="C426" s="88">
        <f t="shared" si="115"/>
        <v>46075</v>
      </c>
      <c r="D426" s="88">
        <f t="shared" si="72"/>
        <v>46076</v>
      </c>
      <c r="E426" s="89">
        <f t="shared" si="116"/>
        <v>1</v>
      </c>
      <c r="H426" s="206">
        <v>46071</v>
      </c>
      <c r="I426" s="215"/>
      <c r="J426" s="228"/>
      <c r="K426" s="12"/>
      <c r="L426" s="12"/>
      <c r="M426" s="215"/>
      <c r="N426" s="12"/>
      <c r="O426" s="219"/>
      <c r="P426" s="219"/>
      <c r="Q426" s="219"/>
      <c r="R426" s="219"/>
      <c r="T426" s="215"/>
      <c r="U426" s="12"/>
      <c r="V426" s="12"/>
      <c r="W426" s="12"/>
      <c r="X426" s="12"/>
      <c r="Z426" s="245"/>
      <c r="AA426" s="118"/>
      <c r="AB426" s="12"/>
      <c r="AC426" s="13"/>
    </row>
    <row r="427" spans="2:29" x14ac:dyDescent="0.2">
      <c r="B427" s="9" t="str">
        <f t="shared" si="114"/>
        <v>2 2026</v>
      </c>
      <c r="C427" s="88">
        <f t="shared" si="115"/>
        <v>46076</v>
      </c>
      <c r="D427" s="88">
        <f t="shared" si="72"/>
        <v>46077</v>
      </c>
      <c r="E427" s="89">
        <f t="shared" si="116"/>
        <v>1</v>
      </c>
      <c r="H427" s="206">
        <v>46072</v>
      </c>
      <c r="I427" s="215"/>
      <c r="J427" s="228"/>
      <c r="K427" s="12"/>
      <c r="L427" s="12"/>
      <c r="M427" s="215"/>
      <c r="N427" s="12"/>
      <c r="O427" s="219"/>
      <c r="P427" s="219"/>
      <c r="Q427" s="219"/>
      <c r="R427" s="219"/>
      <c r="T427" s="215"/>
      <c r="U427" s="12"/>
      <c r="V427" s="12"/>
      <c r="W427" s="12"/>
      <c r="X427" s="12"/>
      <c r="Z427" s="245"/>
      <c r="AA427" s="118"/>
      <c r="AB427" s="12"/>
      <c r="AC427" s="13"/>
    </row>
    <row r="428" spans="2:29" x14ac:dyDescent="0.2">
      <c r="B428" s="9" t="str">
        <f t="shared" si="114"/>
        <v>2 2026</v>
      </c>
      <c r="C428" s="88">
        <f t="shared" si="115"/>
        <v>46077</v>
      </c>
      <c r="D428" s="88">
        <f t="shared" si="72"/>
        <v>46078</v>
      </c>
      <c r="E428" s="89">
        <f t="shared" si="116"/>
        <v>1</v>
      </c>
      <c r="H428" s="206">
        <v>46073</v>
      </c>
      <c r="I428" s="215"/>
      <c r="J428" s="228"/>
      <c r="K428" s="12"/>
      <c r="L428" s="12"/>
      <c r="M428" s="215"/>
      <c r="N428" s="12"/>
      <c r="O428" s="219"/>
      <c r="P428" s="219"/>
      <c r="Q428" s="219"/>
      <c r="R428" s="219"/>
      <c r="T428" s="215"/>
      <c r="U428" s="12"/>
      <c r="V428" s="12"/>
      <c r="W428" s="12"/>
      <c r="X428" s="12"/>
      <c r="Z428" s="245"/>
      <c r="AA428" s="118"/>
      <c r="AB428" s="12"/>
      <c r="AC428" s="13"/>
    </row>
    <row r="429" spans="2:29" x14ac:dyDescent="0.2">
      <c r="B429" s="9" t="str">
        <f t="shared" si="114"/>
        <v>2 2026</v>
      </c>
      <c r="C429" s="88">
        <f t="shared" si="115"/>
        <v>46078</v>
      </c>
      <c r="D429" s="88">
        <f t="shared" si="72"/>
        <v>46079</v>
      </c>
      <c r="E429" s="89">
        <f t="shared" si="116"/>
        <v>1</v>
      </c>
      <c r="H429" s="206">
        <v>46076</v>
      </c>
      <c r="I429" s="215"/>
      <c r="J429" s="228"/>
      <c r="K429" s="12"/>
      <c r="L429" s="12"/>
      <c r="M429" s="215"/>
      <c r="N429" s="12"/>
      <c r="O429" s="219"/>
      <c r="P429" s="219"/>
      <c r="Q429" s="219"/>
      <c r="R429" s="219"/>
      <c r="T429" s="215"/>
      <c r="U429" s="12"/>
      <c r="V429" s="12"/>
      <c r="W429" s="12"/>
      <c r="X429" s="12"/>
      <c r="Z429" s="245"/>
      <c r="AA429" s="118"/>
      <c r="AB429" s="12"/>
      <c r="AC429" s="13"/>
    </row>
    <row r="430" spans="2:29" x14ac:dyDescent="0.2">
      <c r="B430" s="9" t="str">
        <f t="shared" si="114"/>
        <v>2 2026</v>
      </c>
      <c r="C430" s="88">
        <f t="shared" si="115"/>
        <v>46079</v>
      </c>
      <c r="D430" s="88">
        <f t="shared" si="72"/>
        <v>46080</v>
      </c>
      <c r="E430" s="89">
        <f t="shared" si="116"/>
        <v>1</v>
      </c>
      <c r="H430" s="206">
        <v>46077</v>
      </c>
      <c r="I430" s="215"/>
      <c r="J430" s="228"/>
      <c r="K430" s="12"/>
      <c r="L430" s="12"/>
      <c r="M430" s="215"/>
      <c r="N430" s="12"/>
      <c r="O430" s="219"/>
      <c r="P430" s="219"/>
      <c r="Q430" s="219"/>
      <c r="R430" s="219"/>
      <c r="T430" s="215"/>
      <c r="U430" s="12"/>
      <c r="V430" s="12"/>
      <c r="W430" s="12"/>
      <c r="X430" s="12"/>
      <c r="Z430" s="245"/>
      <c r="AA430" s="118"/>
      <c r="AB430" s="12"/>
      <c r="AC430" s="13"/>
    </row>
    <row r="431" spans="2:29" x14ac:dyDescent="0.2">
      <c r="B431" s="9" t="str">
        <f t="shared" si="114"/>
        <v>2 2026</v>
      </c>
      <c r="C431" s="88">
        <f t="shared" si="115"/>
        <v>46080</v>
      </c>
      <c r="D431" s="88">
        <f t="shared" si="72"/>
        <v>46081</v>
      </c>
      <c r="E431" s="89">
        <f t="shared" si="116"/>
        <v>1</v>
      </c>
      <c r="H431" s="206">
        <v>46078</v>
      </c>
      <c r="I431" s="215"/>
      <c r="J431" s="228"/>
      <c r="K431" s="12"/>
      <c r="L431" s="12"/>
      <c r="M431" s="215"/>
      <c r="N431" s="12"/>
      <c r="O431" s="219"/>
      <c r="P431" s="219"/>
      <c r="Q431" s="219"/>
      <c r="R431" s="219"/>
      <c r="T431" s="215"/>
      <c r="U431" s="12"/>
      <c r="V431" s="12"/>
      <c r="W431" s="12"/>
      <c r="X431" s="12"/>
      <c r="Z431" s="245"/>
      <c r="AA431" s="118"/>
      <c r="AB431" s="12"/>
      <c r="AC431" s="13"/>
    </row>
    <row r="432" spans="2:29" x14ac:dyDescent="0.2">
      <c r="B432" s="9" t="str">
        <f t="shared" si="114"/>
        <v>3 2026</v>
      </c>
      <c r="C432" s="88">
        <f t="shared" si="115"/>
        <v>46081</v>
      </c>
      <c r="D432" s="88">
        <f t="shared" si="72"/>
        <v>46082</v>
      </c>
      <c r="E432" s="89">
        <f t="shared" si="116"/>
        <v>1</v>
      </c>
      <c r="H432" s="206">
        <v>46078</v>
      </c>
      <c r="I432" s="215"/>
      <c r="J432" s="228"/>
      <c r="K432" s="12"/>
      <c r="L432" s="12"/>
      <c r="M432" s="215"/>
      <c r="N432" s="12"/>
      <c r="O432" s="219"/>
      <c r="P432" s="219"/>
      <c r="Q432" s="219"/>
      <c r="R432" s="219"/>
      <c r="T432" s="215"/>
      <c r="U432" s="12"/>
      <c r="V432" s="12"/>
      <c r="W432" s="12"/>
      <c r="X432" s="12"/>
      <c r="Z432" s="245"/>
      <c r="AA432" s="118"/>
      <c r="AB432" s="12"/>
      <c r="AC432" s="13"/>
    </row>
    <row r="433" spans="2:29" x14ac:dyDescent="0.2">
      <c r="B433" s="9" t="str">
        <f t="shared" si="114"/>
        <v>3 2026</v>
      </c>
      <c r="C433" s="88">
        <f t="shared" si="115"/>
        <v>46082</v>
      </c>
      <c r="D433" s="88">
        <f t="shared" si="72"/>
        <v>46083</v>
      </c>
      <c r="E433" s="89">
        <f t="shared" si="116"/>
        <v>1</v>
      </c>
      <c r="H433" s="206">
        <v>46078</v>
      </c>
      <c r="I433" s="215"/>
      <c r="J433" s="228"/>
      <c r="K433" s="12"/>
      <c r="L433" s="12"/>
      <c r="M433" s="215"/>
      <c r="N433" s="12"/>
      <c r="O433" s="219"/>
      <c r="P433" s="219"/>
      <c r="Q433" s="219"/>
      <c r="R433" s="219"/>
      <c r="T433" s="215"/>
      <c r="U433" s="12"/>
      <c r="V433" s="12"/>
      <c r="W433" s="12"/>
      <c r="X433" s="12"/>
      <c r="Z433" s="245"/>
      <c r="AA433" s="118"/>
      <c r="AB433" s="12"/>
      <c r="AC433" s="13"/>
    </row>
    <row r="434" spans="2:29" x14ac:dyDescent="0.2">
      <c r="B434" s="9" t="str">
        <f t="shared" si="114"/>
        <v>3 2026</v>
      </c>
      <c r="C434" s="88">
        <f t="shared" si="115"/>
        <v>46083</v>
      </c>
      <c r="D434" s="88">
        <f t="shared" si="72"/>
        <v>46084</v>
      </c>
      <c r="E434" s="89">
        <f t="shared" si="116"/>
        <v>1</v>
      </c>
      <c r="H434" s="206">
        <v>46079</v>
      </c>
      <c r="I434" s="215"/>
      <c r="J434" s="228"/>
      <c r="K434" s="12"/>
      <c r="L434" s="12"/>
      <c r="M434" s="215"/>
      <c r="N434" s="12"/>
      <c r="O434" s="219"/>
      <c r="P434" s="219"/>
      <c r="Q434" s="219"/>
      <c r="R434" s="219"/>
      <c r="T434" s="215"/>
      <c r="U434" s="12"/>
      <c r="V434" s="12"/>
      <c r="W434" s="12"/>
      <c r="X434" s="12"/>
      <c r="Z434" s="245"/>
      <c r="AA434" s="118"/>
      <c r="AB434" s="12"/>
      <c r="AC434" s="13"/>
    </row>
    <row r="435" spans="2:29" x14ac:dyDescent="0.2">
      <c r="B435" s="9" t="str">
        <f t="shared" si="114"/>
        <v>3 2026</v>
      </c>
      <c r="C435" s="88">
        <f t="shared" si="115"/>
        <v>46084</v>
      </c>
      <c r="D435" s="88">
        <f t="shared" si="72"/>
        <v>46085</v>
      </c>
      <c r="E435" s="89">
        <f t="shared" si="116"/>
        <v>1</v>
      </c>
      <c r="H435" s="206">
        <v>46080</v>
      </c>
      <c r="I435" s="215"/>
      <c r="J435" s="228"/>
      <c r="K435" s="12"/>
      <c r="L435" s="12"/>
      <c r="M435" s="215"/>
      <c r="N435" s="12"/>
      <c r="O435" s="219"/>
      <c r="P435" s="219"/>
      <c r="Q435" s="219"/>
      <c r="R435" s="219"/>
      <c r="T435" s="215"/>
      <c r="U435" s="12"/>
      <c r="V435" s="12"/>
      <c r="W435" s="12"/>
      <c r="X435" s="12"/>
      <c r="Z435" s="245"/>
      <c r="AA435" s="118"/>
      <c r="AB435" s="12"/>
      <c r="AC435" s="13"/>
    </row>
    <row r="436" spans="2:29" x14ac:dyDescent="0.2">
      <c r="B436" s="9" t="str">
        <f t="shared" si="114"/>
        <v>3 2026</v>
      </c>
      <c r="C436" s="88">
        <f t="shared" si="115"/>
        <v>46085</v>
      </c>
      <c r="D436" s="88">
        <f t="shared" si="72"/>
        <v>46086</v>
      </c>
      <c r="E436" s="89">
        <f t="shared" si="116"/>
        <v>1</v>
      </c>
      <c r="H436" s="206">
        <v>46083</v>
      </c>
      <c r="I436" s="215"/>
      <c r="J436" s="228"/>
      <c r="K436" s="12"/>
      <c r="L436" s="12"/>
      <c r="M436" s="215"/>
      <c r="N436" s="12"/>
      <c r="O436" s="219"/>
      <c r="P436" s="219"/>
      <c r="Q436" s="219"/>
      <c r="R436" s="219"/>
      <c r="T436" s="215"/>
      <c r="U436" s="12"/>
      <c r="V436" s="12"/>
      <c r="W436" s="12"/>
      <c r="X436" s="12"/>
      <c r="Z436" s="245"/>
      <c r="AA436" s="118"/>
      <c r="AB436" s="12"/>
      <c r="AC436" s="13"/>
    </row>
    <row r="437" spans="2:29" x14ac:dyDescent="0.2">
      <c r="B437" s="9" t="str">
        <f t="shared" si="114"/>
        <v>3 2026</v>
      </c>
      <c r="C437" s="88">
        <f t="shared" si="115"/>
        <v>46086</v>
      </c>
      <c r="D437" s="88">
        <f t="shared" si="72"/>
        <v>46087</v>
      </c>
      <c r="E437" s="89">
        <f t="shared" si="116"/>
        <v>1</v>
      </c>
      <c r="H437" s="206">
        <v>46084</v>
      </c>
      <c r="I437" s="215"/>
      <c r="J437" s="228"/>
      <c r="K437" s="12"/>
      <c r="L437" s="12"/>
      <c r="M437" s="215"/>
      <c r="N437" s="12"/>
      <c r="O437" s="219"/>
      <c r="P437" s="219"/>
      <c r="Q437" s="219"/>
      <c r="R437" s="219"/>
      <c r="T437" s="215"/>
      <c r="U437" s="12"/>
      <c r="V437" s="12"/>
      <c r="W437" s="12"/>
      <c r="X437" s="12"/>
      <c r="Z437" s="245"/>
      <c r="AA437" s="118"/>
      <c r="AB437" s="12"/>
      <c r="AC437" s="13"/>
    </row>
    <row r="438" spans="2:29" x14ac:dyDescent="0.2">
      <c r="B438" s="9" t="str">
        <f t="shared" si="114"/>
        <v>3 2026</v>
      </c>
      <c r="C438" s="88">
        <f t="shared" si="115"/>
        <v>46087</v>
      </c>
      <c r="D438" s="88">
        <f t="shared" si="72"/>
        <v>46088</v>
      </c>
      <c r="E438" s="89">
        <f t="shared" si="116"/>
        <v>1</v>
      </c>
      <c r="H438" s="206">
        <v>46085</v>
      </c>
      <c r="I438" s="215"/>
      <c r="J438" s="228"/>
      <c r="K438" s="12"/>
      <c r="L438" s="12"/>
      <c r="M438" s="215"/>
      <c r="N438" s="12"/>
      <c r="O438" s="219"/>
      <c r="P438" s="219"/>
      <c r="Q438" s="219"/>
      <c r="R438" s="219"/>
      <c r="T438" s="215"/>
      <c r="U438" s="12"/>
      <c r="V438" s="12"/>
      <c r="W438" s="12"/>
      <c r="X438" s="12"/>
      <c r="Z438" s="245"/>
      <c r="AA438" s="118"/>
      <c r="AB438" s="12"/>
      <c r="AC438" s="13"/>
    </row>
    <row r="439" spans="2:29" x14ac:dyDescent="0.2">
      <c r="B439" s="9" t="str">
        <f t="shared" si="114"/>
        <v>3 2026</v>
      </c>
      <c r="C439" s="88">
        <f t="shared" si="115"/>
        <v>46088</v>
      </c>
      <c r="D439" s="88">
        <f t="shared" si="72"/>
        <v>46089</v>
      </c>
      <c r="E439" s="89">
        <f t="shared" si="116"/>
        <v>1</v>
      </c>
      <c r="H439" s="206">
        <v>46085</v>
      </c>
      <c r="I439" s="215"/>
      <c r="J439" s="228"/>
      <c r="K439" s="12"/>
      <c r="L439" s="12"/>
      <c r="M439" s="215"/>
      <c r="N439" s="12"/>
      <c r="O439" s="219"/>
      <c r="P439" s="219"/>
      <c r="Q439" s="219"/>
      <c r="R439" s="219"/>
      <c r="T439" s="215"/>
      <c r="U439" s="12"/>
      <c r="V439" s="12"/>
      <c r="W439" s="12"/>
      <c r="X439" s="12"/>
      <c r="Z439" s="245"/>
      <c r="AA439" s="118"/>
      <c r="AB439" s="12"/>
      <c r="AC439" s="13"/>
    </row>
    <row r="440" spans="2:29" x14ac:dyDescent="0.2">
      <c r="B440" s="9" t="str">
        <f t="shared" si="114"/>
        <v>3 2026</v>
      </c>
      <c r="C440" s="88">
        <f t="shared" si="115"/>
        <v>46089</v>
      </c>
      <c r="D440" s="88">
        <f t="shared" ref="D440:D503" si="120">D439+1</f>
        <v>46090</v>
      </c>
      <c r="E440" s="89">
        <f t="shared" si="116"/>
        <v>1</v>
      </c>
      <c r="H440" s="206">
        <v>46085</v>
      </c>
      <c r="I440" s="215"/>
      <c r="J440" s="228"/>
      <c r="K440" s="12"/>
      <c r="L440" s="12"/>
      <c r="M440" s="215"/>
      <c r="N440" s="12"/>
      <c r="O440" s="219"/>
      <c r="P440" s="219"/>
      <c r="Q440" s="219"/>
      <c r="R440" s="219"/>
      <c r="T440" s="215"/>
      <c r="U440" s="12"/>
      <c r="V440" s="12"/>
      <c r="W440" s="12"/>
      <c r="X440" s="12"/>
      <c r="Z440" s="245"/>
      <c r="AA440" s="118"/>
      <c r="AB440" s="12"/>
      <c r="AC440" s="13"/>
    </row>
    <row r="441" spans="2:29" x14ac:dyDescent="0.2">
      <c r="B441" s="9" t="str">
        <f t="shared" si="114"/>
        <v>3 2026</v>
      </c>
      <c r="C441" s="88">
        <f t="shared" si="115"/>
        <v>46090</v>
      </c>
      <c r="D441" s="88">
        <f t="shared" si="120"/>
        <v>46091</v>
      </c>
      <c r="E441" s="89">
        <f t="shared" si="116"/>
        <v>1</v>
      </c>
      <c r="H441" s="206">
        <v>46086</v>
      </c>
      <c r="I441" s="215"/>
      <c r="J441" s="228"/>
      <c r="K441" s="12"/>
      <c r="L441" s="12"/>
      <c r="M441" s="215"/>
      <c r="N441" s="12"/>
      <c r="O441" s="219"/>
      <c r="P441" s="219"/>
      <c r="Q441" s="219"/>
      <c r="R441" s="219"/>
      <c r="T441" s="215"/>
      <c r="U441" s="12"/>
      <c r="V441" s="12"/>
      <c r="W441" s="12"/>
      <c r="X441" s="12"/>
      <c r="Z441" s="245"/>
      <c r="AA441" s="118"/>
      <c r="AB441" s="12"/>
      <c r="AC441" s="13"/>
    </row>
    <row r="442" spans="2:29" x14ac:dyDescent="0.2">
      <c r="B442" s="9" t="str">
        <f t="shared" si="114"/>
        <v>3 2026</v>
      </c>
      <c r="C442" s="88">
        <f t="shared" si="115"/>
        <v>46091</v>
      </c>
      <c r="D442" s="88">
        <f t="shared" si="120"/>
        <v>46092</v>
      </c>
      <c r="E442" s="89">
        <f t="shared" si="116"/>
        <v>1</v>
      </c>
      <c r="H442" s="206">
        <v>46087</v>
      </c>
      <c r="I442" s="215"/>
      <c r="J442" s="228"/>
      <c r="K442" s="12"/>
      <c r="L442" s="12"/>
      <c r="M442" s="215"/>
      <c r="N442" s="12"/>
      <c r="O442" s="219"/>
      <c r="P442" s="219"/>
      <c r="Q442" s="219"/>
      <c r="R442" s="219"/>
      <c r="T442" s="215"/>
      <c r="U442" s="12"/>
      <c r="V442" s="12"/>
      <c r="W442" s="12"/>
      <c r="X442" s="12"/>
      <c r="Z442" s="245"/>
      <c r="AA442" s="118"/>
      <c r="AB442" s="12"/>
      <c r="AC442" s="13"/>
    </row>
    <row r="443" spans="2:29" x14ac:dyDescent="0.2">
      <c r="B443" s="9" t="str">
        <f t="shared" si="114"/>
        <v>3 2026</v>
      </c>
      <c r="C443" s="88">
        <f t="shared" si="115"/>
        <v>46092</v>
      </c>
      <c r="D443" s="88">
        <f t="shared" si="120"/>
        <v>46093</v>
      </c>
      <c r="E443" s="89">
        <f t="shared" si="116"/>
        <v>1</v>
      </c>
      <c r="H443" s="206">
        <v>46090</v>
      </c>
      <c r="I443" s="215"/>
      <c r="J443" s="228"/>
      <c r="K443" s="12"/>
      <c r="L443" s="12"/>
      <c r="M443" s="215"/>
      <c r="N443" s="12"/>
      <c r="O443" s="219"/>
      <c r="P443" s="219"/>
      <c r="Q443" s="219"/>
      <c r="R443" s="219"/>
      <c r="T443" s="215"/>
      <c r="U443" s="12"/>
      <c r="V443" s="12"/>
      <c r="W443" s="12"/>
      <c r="X443" s="12"/>
      <c r="Z443" s="245"/>
      <c r="AA443" s="118"/>
      <c r="AB443" s="12"/>
      <c r="AC443" s="13"/>
    </row>
    <row r="444" spans="2:29" x14ac:dyDescent="0.2">
      <c r="B444" s="9" t="str">
        <f t="shared" si="114"/>
        <v>3 2026</v>
      </c>
      <c r="C444" s="88">
        <f t="shared" si="115"/>
        <v>46093</v>
      </c>
      <c r="D444" s="88">
        <f t="shared" si="120"/>
        <v>46094</v>
      </c>
      <c r="E444" s="89">
        <f t="shared" si="116"/>
        <v>1</v>
      </c>
      <c r="H444" s="206">
        <v>46091</v>
      </c>
      <c r="I444" s="215"/>
      <c r="J444" s="228"/>
      <c r="K444" s="12"/>
      <c r="L444" s="12"/>
      <c r="M444" s="215"/>
      <c r="N444" s="12"/>
      <c r="O444" s="219"/>
      <c r="P444" s="219"/>
      <c r="Q444" s="219"/>
      <c r="R444" s="219"/>
      <c r="T444" s="215"/>
      <c r="U444" s="12"/>
      <c r="V444" s="12"/>
      <c r="W444" s="12"/>
      <c r="X444" s="12"/>
      <c r="Z444" s="245"/>
      <c r="AA444" s="118"/>
      <c r="AB444" s="12"/>
      <c r="AC444" s="13"/>
    </row>
    <row r="445" spans="2:29" x14ac:dyDescent="0.2">
      <c r="B445" s="9" t="str">
        <f t="shared" si="114"/>
        <v>3 2026</v>
      </c>
      <c r="C445" s="88">
        <f t="shared" si="115"/>
        <v>46094</v>
      </c>
      <c r="D445" s="88">
        <f t="shared" si="120"/>
        <v>46095</v>
      </c>
      <c r="E445" s="89">
        <f t="shared" si="116"/>
        <v>1</v>
      </c>
      <c r="H445" s="206">
        <v>46092</v>
      </c>
      <c r="I445" s="215"/>
      <c r="J445" s="228"/>
      <c r="K445" s="12"/>
      <c r="L445" s="12"/>
      <c r="M445" s="215"/>
      <c r="N445" s="12"/>
      <c r="O445" s="219"/>
      <c r="P445" s="219"/>
      <c r="Q445" s="219"/>
      <c r="R445" s="219"/>
      <c r="T445" s="215"/>
      <c r="U445" s="12"/>
      <c r="V445" s="12"/>
      <c r="W445" s="12"/>
      <c r="X445" s="12"/>
      <c r="Z445" s="245"/>
      <c r="AA445" s="118"/>
      <c r="AB445" s="12"/>
      <c r="AC445" s="13"/>
    </row>
    <row r="446" spans="2:29" x14ac:dyDescent="0.2">
      <c r="B446" s="9" t="str">
        <f t="shared" si="114"/>
        <v>3 2026</v>
      </c>
      <c r="C446" s="88">
        <f t="shared" si="115"/>
        <v>46095</v>
      </c>
      <c r="D446" s="88">
        <f t="shared" si="120"/>
        <v>46096</v>
      </c>
      <c r="E446" s="89">
        <f t="shared" si="116"/>
        <v>1</v>
      </c>
      <c r="H446" s="206">
        <v>46092</v>
      </c>
      <c r="I446" s="215"/>
      <c r="J446" s="228"/>
      <c r="K446" s="12"/>
      <c r="L446" s="12"/>
      <c r="M446" s="215"/>
      <c r="N446" s="12"/>
      <c r="O446" s="219"/>
      <c r="P446" s="219"/>
      <c r="Q446" s="219"/>
      <c r="R446" s="219"/>
      <c r="T446" s="215"/>
      <c r="U446" s="12"/>
      <c r="V446" s="12"/>
      <c r="W446" s="12"/>
      <c r="X446" s="12"/>
      <c r="Z446" s="245"/>
      <c r="AA446" s="118"/>
      <c r="AB446" s="12"/>
      <c r="AC446" s="13"/>
    </row>
    <row r="447" spans="2:29" x14ac:dyDescent="0.2">
      <c r="B447" s="9" t="str">
        <f t="shared" si="114"/>
        <v>3 2026</v>
      </c>
      <c r="C447" s="88">
        <f t="shared" si="115"/>
        <v>46096</v>
      </c>
      <c r="D447" s="88">
        <f t="shared" si="120"/>
        <v>46097</v>
      </c>
      <c r="E447" s="89">
        <f t="shared" si="116"/>
        <v>1</v>
      </c>
      <c r="H447" s="206">
        <v>46092</v>
      </c>
      <c r="I447" s="215"/>
      <c r="J447" s="228"/>
      <c r="K447" s="12"/>
      <c r="L447" s="12"/>
      <c r="M447" s="215"/>
      <c r="N447" s="12"/>
      <c r="O447" s="219"/>
      <c r="P447" s="219"/>
      <c r="Q447" s="219"/>
      <c r="R447" s="219"/>
      <c r="T447" s="215"/>
      <c r="U447" s="12"/>
      <c r="V447" s="12"/>
      <c r="W447" s="12"/>
      <c r="X447" s="12"/>
      <c r="Z447" s="245"/>
      <c r="AA447" s="118"/>
      <c r="AB447" s="12"/>
      <c r="AC447" s="13"/>
    </row>
    <row r="448" spans="2:29" x14ac:dyDescent="0.2">
      <c r="B448" s="9" t="str">
        <f t="shared" si="114"/>
        <v>3 2026</v>
      </c>
      <c r="C448" s="88">
        <f t="shared" si="115"/>
        <v>46097</v>
      </c>
      <c r="D448" s="88">
        <f t="shared" si="120"/>
        <v>46098</v>
      </c>
      <c r="E448" s="89">
        <f t="shared" si="116"/>
        <v>1</v>
      </c>
      <c r="H448" s="206">
        <v>46093</v>
      </c>
      <c r="I448" s="215"/>
      <c r="J448" s="228"/>
      <c r="K448" s="12"/>
      <c r="L448" s="12"/>
      <c r="M448" s="215"/>
      <c r="N448" s="12"/>
      <c r="O448" s="219"/>
      <c r="P448" s="219"/>
      <c r="Q448" s="219"/>
      <c r="R448" s="219"/>
      <c r="T448" s="215"/>
      <c r="U448" s="12"/>
      <c r="V448" s="12"/>
      <c r="W448" s="12"/>
      <c r="X448" s="12"/>
      <c r="Z448" s="245"/>
      <c r="AA448" s="118"/>
      <c r="AB448" s="12"/>
      <c r="AC448" s="13"/>
    </row>
    <row r="449" spans="2:29" x14ac:dyDescent="0.2">
      <c r="B449" s="9" t="str">
        <f t="shared" si="114"/>
        <v>3 2026</v>
      </c>
      <c r="C449" s="88">
        <f t="shared" si="115"/>
        <v>46098</v>
      </c>
      <c r="D449" s="88">
        <f t="shared" si="120"/>
        <v>46099</v>
      </c>
      <c r="E449" s="89">
        <f t="shared" si="116"/>
        <v>1</v>
      </c>
      <c r="H449" s="206">
        <v>46094</v>
      </c>
      <c r="I449" s="215"/>
      <c r="J449" s="228"/>
      <c r="K449" s="12"/>
      <c r="L449" s="12"/>
      <c r="M449" s="215"/>
      <c r="N449" s="12"/>
      <c r="O449" s="219"/>
      <c r="P449" s="219"/>
      <c r="Q449" s="219"/>
      <c r="R449" s="219"/>
      <c r="T449" s="215"/>
      <c r="U449" s="12"/>
      <c r="V449" s="12"/>
      <c r="W449" s="12"/>
      <c r="X449" s="12"/>
      <c r="Z449" s="245"/>
      <c r="AA449" s="118"/>
      <c r="AB449" s="12"/>
      <c r="AC449" s="13"/>
    </row>
    <row r="450" spans="2:29" x14ac:dyDescent="0.2">
      <c r="B450" s="9" t="str">
        <f t="shared" si="114"/>
        <v>3 2026</v>
      </c>
      <c r="C450" s="88">
        <f t="shared" si="115"/>
        <v>46099</v>
      </c>
      <c r="D450" s="88">
        <f t="shared" si="120"/>
        <v>46100</v>
      </c>
      <c r="E450" s="89">
        <f t="shared" si="116"/>
        <v>1</v>
      </c>
      <c r="H450" s="206">
        <v>46097</v>
      </c>
      <c r="I450" s="215"/>
      <c r="J450" s="228"/>
      <c r="K450" s="12"/>
      <c r="L450" s="12"/>
      <c r="M450" s="215"/>
      <c r="N450" s="12"/>
      <c r="O450" s="219"/>
      <c r="P450" s="219"/>
      <c r="Q450" s="219"/>
      <c r="R450" s="219"/>
      <c r="T450" s="215"/>
      <c r="U450" s="12"/>
      <c r="V450" s="12"/>
      <c r="W450" s="12"/>
      <c r="X450" s="12"/>
      <c r="Z450" s="245"/>
      <c r="AA450" s="118"/>
      <c r="AB450" s="12"/>
      <c r="AC450" s="13"/>
    </row>
    <row r="451" spans="2:29" x14ac:dyDescent="0.2">
      <c r="B451" s="9" t="str">
        <f t="shared" si="114"/>
        <v>3 2026</v>
      </c>
      <c r="C451" s="88">
        <f t="shared" si="115"/>
        <v>46100</v>
      </c>
      <c r="D451" s="88">
        <f t="shared" si="120"/>
        <v>46101</v>
      </c>
      <c r="E451" s="89">
        <f t="shared" si="116"/>
        <v>1</v>
      </c>
      <c r="H451" s="206">
        <v>46098</v>
      </c>
      <c r="I451" s="215"/>
      <c r="J451" s="228"/>
      <c r="K451" s="12"/>
      <c r="L451" s="12"/>
      <c r="M451" s="215"/>
      <c r="N451" s="12"/>
      <c r="O451" s="219"/>
      <c r="P451" s="219"/>
      <c r="Q451" s="219"/>
      <c r="R451" s="219"/>
      <c r="T451" s="215"/>
      <c r="U451" s="12"/>
      <c r="V451" s="12"/>
      <c r="W451" s="12"/>
      <c r="X451" s="12"/>
      <c r="Z451" s="245"/>
      <c r="AA451" s="118"/>
      <c r="AB451" s="12"/>
      <c r="AC451" s="13"/>
    </row>
    <row r="452" spans="2:29" x14ac:dyDescent="0.2">
      <c r="B452" s="9" t="str">
        <f t="shared" si="114"/>
        <v>3 2026</v>
      </c>
      <c r="C452" s="88">
        <f t="shared" si="115"/>
        <v>46101</v>
      </c>
      <c r="D452" s="88">
        <f t="shared" si="120"/>
        <v>46102</v>
      </c>
      <c r="E452" s="89">
        <f t="shared" si="116"/>
        <v>1</v>
      </c>
      <c r="H452" s="206">
        <v>46099</v>
      </c>
      <c r="I452" s="215"/>
      <c r="J452" s="228"/>
      <c r="K452" s="12"/>
      <c r="L452" s="12"/>
      <c r="M452" s="215"/>
      <c r="N452" s="12"/>
      <c r="O452" s="219"/>
      <c r="P452" s="219"/>
      <c r="Q452" s="219"/>
      <c r="R452" s="219"/>
      <c r="T452" s="215"/>
      <c r="U452" s="12"/>
      <c r="V452" s="12"/>
      <c r="W452" s="12"/>
      <c r="X452" s="12"/>
      <c r="Z452" s="245"/>
      <c r="AA452" s="118"/>
      <c r="AB452" s="12"/>
      <c r="AC452" s="13"/>
    </row>
    <row r="453" spans="2:29" x14ac:dyDescent="0.2">
      <c r="B453" s="9" t="str">
        <f t="shared" si="114"/>
        <v>3 2026</v>
      </c>
      <c r="C453" s="88">
        <f t="shared" si="115"/>
        <v>46102</v>
      </c>
      <c r="D453" s="88">
        <f t="shared" si="120"/>
        <v>46103</v>
      </c>
      <c r="E453" s="89">
        <f t="shared" si="116"/>
        <v>1</v>
      </c>
      <c r="H453" s="206">
        <v>46099</v>
      </c>
      <c r="I453" s="215"/>
      <c r="J453" s="228"/>
      <c r="K453" s="12"/>
      <c r="L453" s="12"/>
      <c r="M453" s="215"/>
      <c r="N453" s="12"/>
      <c r="O453" s="219"/>
      <c r="P453" s="219"/>
      <c r="Q453" s="219"/>
      <c r="R453" s="219"/>
      <c r="T453" s="215"/>
      <c r="U453" s="12"/>
      <c r="V453" s="12"/>
      <c r="W453" s="12"/>
      <c r="X453" s="12"/>
      <c r="Z453" s="245"/>
      <c r="AA453" s="118"/>
      <c r="AB453" s="12"/>
      <c r="AC453" s="13"/>
    </row>
    <row r="454" spans="2:29" x14ac:dyDescent="0.2">
      <c r="B454" s="9" t="str">
        <f t="shared" si="114"/>
        <v>3 2026</v>
      </c>
      <c r="C454" s="88">
        <f t="shared" si="115"/>
        <v>46103</v>
      </c>
      <c r="D454" s="88">
        <f t="shared" si="120"/>
        <v>46104</v>
      </c>
      <c r="E454" s="89">
        <f t="shared" si="116"/>
        <v>1</v>
      </c>
      <c r="H454" s="206">
        <v>46099</v>
      </c>
      <c r="I454" s="215"/>
      <c r="J454" s="228"/>
      <c r="K454" s="12"/>
      <c r="L454" s="12"/>
      <c r="M454" s="215"/>
      <c r="N454" s="12"/>
      <c r="O454" s="219"/>
      <c r="P454" s="219"/>
      <c r="Q454" s="219"/>
      <c r="R454" s="219"/>
      <c r="T454" s="215"/>
      <c r="U454" s="12"/>
      <c r="V454" s="12"/>
      <c r="W454" s="12"/>
      <c r="X454" s="12"/>
      <c r="Z454" s="245"/>
      <c r="AA454" s="118"/>
      <c r="AB454" s="12"/>
      <c r="AC454" s="13"/>
    </row>
    <row r="455" spans="2:29" x14ac:dyDescent="0.2">
      <c r="B455" s="9" t="str">
        <f t="shared" si="114"/>
        <v>3 2026</v>
      </c>
      <c r="C455" s="88">
        <f t="shared" si="115"/>
        <v>46104</v>
      </c>
      <c r="D455" s="88">
        <f t="shared" si="120"/>
        <v>46105</v>
      </c>
      <c r="E455" s="89">
        <f t="shared" si="116"/>
        <v>1</v>
      </c>
      <c r="H455" s="206">
        <v>46100</v>
      </c>
      <c r="I455" s="215"/>
      <c r="J455" s="228"/>
      <c r="K455" s="12"/>
      <c r="L455" s="12"/>
      <c r="M455" s="215"/>
      <c r="N455" s="12"/>
      <c r="O455" s="219"/>
      <c r="P455" s="219"/>
      <c r="Q455" s="219"/>
      <c r="R455" s="219"/>
      <c r="T455" s="215"/>
      <c r="U455" s="12"/>
      <c r="V455" s="12"/>
      <c r="W455" s="12"/>
      <c r="X455" s="12"/>
      <c r="Z455" s="245"/>
      <c r="AA455" s="118"/>
      <c r="AB455" s="12"/>
      <c r="AC455" s="13"/>
    </row>
    <row r="456" spans="2:29" x14ac:dyDescent="0.2">
      <c r="B456" s="9" t="str">
        <f t="shared" si="114"/>
        <v>3 2026</v>
      </c>
      <c r="C456" s="88">
        <f t="shared" si="115"/>
        <v>46105</v>
      </c>
      <c r="D456" s="88">
        <f t="shared" si="120"/>
        <v>46106</v>
      </c>
      <c r="E456" s="89">
        <f t="shared" si="116"/>
        <v>1</v>
      </c>
      <c r="H456" s="206">
        <v>46101</v>
      </c>
      <c r="I456" s="215"/>
      <c r="J456" s="228"/>
      <c r="K456" s="12"/>
      <c r="L456" s="12"/>
      <c r="M456" s="215"/>
      <c r="N456" s="12"/>
      <c r="O456" s="219"/>
      <c r="P456" s="219"/>
      <c r="Q456" s="219"/>
      <c r="R456" s="219"/>
      <c r="T456" s="215"/>
      <c r="U456" s="12"/>
      <c r="V456" s="12"/>
      <c r="W456" s="12"/>
      <c r="X456" s="12"/>
      <c r="Z456" s="245"/>
      <c r="AA456" s="118"/>
      <c r="AB456" s="12"/>
      <c r="AC456" s="13"/>
    </row>
    <row r="457" spans="2:29" x14ac:dyDescent="0.2">
      <c r="B457" s="9" t="str">
        <f t="shared" si="114"/>
        <v>3 2026</v>
      </c>
      <c r="C457" s="88">
        <f t="shared" si="115"/>
        <v>46106</v>
      </c>
      <c r="D457" s="88">
        <f t="shared" si="120"/>
        <v>46107</v>
      </c>
      <c r="E457" s="89">
        <f t="shared" si="116"/>
        <v>1</v>
      </c>
      <c r="H457" s="206">
        <v>46104</v>
      </c>
      <c r="I457" s="215"/>
      <c r="J457" s="228"/>
      <c r="K457" s="12"/>
      <c r="L457" s="12"/>
      <c r="M457" s="215"/>
      <c r="N457" s="12"/>
      <c r="O457" s="219"/>
      <c r="P457" s="219"/>
      <c r="Q457" s="219"/>
      <c r="R457" s="219"/>
      <c r="T457" s="215"/>
      <c r="U457" s="12"/>
      <c r="V457" s="12"/>
      <c r="W457" s="12"/>
      <c r="X457" s="12"/>
      <c r="Z457" s="245"/>
      <c r="AA457" s="118"/>
      <c r="AB457" s="12"/>
      <c r="AC457" s="13"/>
    </row>
    <row r="458" spans="2:29" x14ac:dyDescent="0.2">
      <c r="B458" s="9" t="str">
        <f t="shared" si="114"/>
        <v>3 2026</v>
      </c>
      <c r="C458" s="88">
        <f t="shared" si="115"/>
        <v>46107</v>
      </c>
      <c r="D458" s="88">
        <f t="shared" si="120"/>
        <v>46108</v>
      </c>
      <c r="E458" s="89">
        <f t="shared" si="116"/>
        <v>1</v>
      </c>
      <c r="H458" s="206">
        <v>46105</v>
      </c>
      <c r="I458" s="215"/>
      <c r="J458" s="228"/>
      <c r="K458" s="12"/>
      <c r="L458" s="12"/>
      <c r="M458" s="215"/>
      <c r="N458" s="12"/>
      <c r="O458" s="219"/>
      <c r="P458" s="219"/>
      <c r="Q458" s="219"/>
      <c r="R458" s="219"/>
      <c r="T458" s="215"/>
      <c r="U458" s="12"/>
      <c r="V458" s="12"/>
      <c r="W458" s="12"/>
      <c r="X458" s="12"/>
      <c r="Z458" s="245"/>
      <c r="AA458" s="118"/>
      <c r="AB458" s="12"/>
      <c r="AC458" s="13"/>
    </row>
    <row r="459" spans="2:29" x14ac:dyDescent="0.2">
      <c r="B459" s="9" t="str">
        <f t="shared" si="114"/>
        <v>3 2026</v>
      </c>
      <c r="C459" s="88">
        <f t="shared" si="115"/>
        <v>46108</v>
      </c>
      <c r="D459" s="88">
        <f t="shared" si="120"/>
        <v>46109</v>
      </c>
      <c r="E459" s="89">
        <f t="shared" si="116"/>
        <v>1</v>
      </c>
      <c r="H459" s="206">
        <v>46106</v>
      </c>
      <c r="I459" s="215"/>
      <c r="J459" s="228"/>
      <c r="K459" s="12"/>
      <c r="L459" s="12"/>
      <c r="M459" s="215"/>
      <c r="N459" s="12"/>
      <c r="O459" s="219"/>
      <c r="P459" s="219"/>
      <c r="Q459" s="219"/>
      <c r="R459" s="219"/>
      <c r="T459" s="215"/>
      <c r="U459" s="12"/>
      <c r="V459" s="12"/>
      <c r="W459" s="12"/>
      <c r="X459" s="12"/>
      <c r="Z459" s="245"/>
      <c r="AA459" s="118"/>
      <c r="AB459" s="12"/>
      <c r="AC459" s="13"/>
    </row>
    <row r="460" spans="2:29" x14ac:dyDescent="0.2">
      <c r="B460" s="9" t="str">
        <f t="shared" si="114"/>
        <v>3 2026</v>
      </c>
      <c r="C460" s="88">
        <f t="shared" si="115"/>
        <v>46109</v>
      </c>
      <c r="D460" s="88">
        <f t="shared" si="120"/>
        <v>46110</v>
      </c>
      <c r="E460" s="89">
        <f t="shared" si="116"/>
        <v>1</v>
      </c>
      <c r="H460" s="206">
        <v>46106</v>
      </c>
      <c r="I460" s="215"/>
      <c r="J460" s="228"/>
      <c r="K460" s="12"/>
      <c r="L460" s="12"/>
      <c r="M460" s="215"/>
      <c r="N460" s="12"/>
      <c r="O460" s="219"/>
      <c r="P460" s="219"/>
      <c r="Q460" s="219"/>
      <c r="R460" s="219"/>
      <c r="T460" s="215"/>
      <c r="U460" s="12"/>
      <c r="V460" s="12"/>
      <c r="W460" s="12"/>
      <c r="X460" s="12"/>
      <c r="Z460" s="245"/>
      <c r="AA460" s="118"/>
      <c r="AB460" s="12"/>
      <c r="AC460" s="13"/>
    </row>
    <row r="461" spans="2:29" x14ac:dyDescent="0.2">
      <c r="B461" s="9" t="str">
        <f t="shared" si="114"/>
        <v>3 2026</v>
      </c>
      <c r="C461" s="88">
        <f t="shared" si="115"/>
        <v>46110</v>
      </c>
      <c r="D461" s="88">
        <f t="shared" si="120"/>
        <v>46111</v>
      </c>
      <c r="E461" s="89">
        <f t="shared" si="116"/>
        <v>1</v>
      </c>
      <c r="H461" s="206">
        <v>46106</v>
      </c>
      <c r="I461" s="215"/>
      <c r="J461" s="228"/>
      <c r="K461" s="12"/>
      <c r="L461" s="12"/>
      <c r="M461" s="215"/>
      <c r="N461" s="12"/>
      <c r="O461" s="219"/>
      <c r="P461" s="219"/>
      <c r="Q461" s="219"/>
      <c r="R461" s="219"/>
      <c r="T461" s="215"/>
      <c r="U461" s="12"/>
      <c r="V461" s="12"/>
      <c r="W461" s="12"/>
      <c r="X461" s="12"/>
      <c r="Z461" s="245"/>
      <c r="AA461" s="118"/>
      <c r="AB461" s="12"/>
      <c r="AC461" s="13"/>
    </row>
    <row r="462" spans="2:29" x14ac:dyDescent="0.2">
      <c r="B462" s="9" t="str">
        <f t="shared" si="114"/>
        <v>3 2026</v>
      </c>
      <c r="C462" s="88">
        <f t="shared" si="115"/>
        <v>46111</v>
      </c>
      <c r="D462" s="88">
        <f t="shared" si="120"/>
        <v>46112</v>
      </c>
      <c r="E462" s="89">
        <f t="shared" si="116"/>
        <v>1</v>
      </c>
      <c r="H462" s="206">
        <v>46107</v>
      </c>
      <c r="I462" s="215"/>
      <c r="J462" s="228"/>
      <c r="K462" s="12"/>
      <c r="L462" s="12"/>
      <c r="M462" s="215"/>
      <c r="N462" s="12"/>
      <c r="O462" s="219"/>
      <c r="P462" s="219"/>
      <c r="Q462" s="219"/>
      <c r="R462" s="219"/>
      <c r="T462" s="215"/>
      <c r="U462" s="12"/>
      <c r="V462" s="12"/>
      <c r="W462" s="12"/>
      <c r="X462" s="12"/>
      <c r="Z462" s="245"/>
      <c r="AA462" s="118"/>
      <c r="AB462" s="12"/>
      <c r="AC462" s="13"/>
    </row>
    <row r="463" spans="2:29" x14ac:dyDescent="0.2">
      <c r="B463" s="9" t="str">
        <f t="shared" si="114"/>
        <v>4 2026</v>
      </c>
      <c r="C463" s="88">
        <f t="shared" si="115"/>
        <v>46112</v>
      </c>
      <c r="D463" s="88">
        <f t="shared" si="120"/>
        <v>46113</v>
      </c>
      <c r="E463" s="89">
        <f t="shared" si="116"/>
        <v>1</v>
      </c>
      <c r="H463" s="206">
        <v>46108</v>
      </c>
      <c r="I463" s="215"/>
      <c r="J463" s="228"/>
      <c r="K463" s="12"/>
      <c r="L463" s="12"/>
      <c r="M463" s="215"/>
      <c r="N463" s="12"/>
      <c r="O463" s="219"/>
      <c r="P463" s="219"/>
      <c r="Q463" s="219"/>
      <c r="R463" s="219"/>
      <c r="T463" s="215"/>
      <c r="U463" s="12"/>
      <c r="V463" s="12"/>
      <c r="W463" s="12"/>
      <c r="X463" s="12"/>
      <c r="Z463" s="245"/>
      <c r="AA463" s="118"/>
      <c r="AB463" s="12"/>
      <c r="AC463" s="13"/>
    </row>
    <row r="464" spans="2:29" x14ac:dyDescent="0.2">
      <c r="B464" s="9" t="str">
        <f t="shared" si="114"/>
        <v>4 2026</v>
      </c>
      <c r="C464" s="88">
        <f t="shared" si="115"/>
        <v>46113</v>
      </c>
      <c r="D464" s="88">
        <f t="shared" si="120"/>
        <v>46114</v>
      </c>
      <c r="E464" s="89">
        <f t="shared" si="116"/>
        <v>1</v>
      </c>
      <c r="H464" s="206">
        <v>46111</v>
      </c>
      <c r="I464" s="215"/>
      <c r="J464" s="228"/>
      <c r="K464" s="12"/>
      <c r="L464" s="12"/>
      <c r="M464" s="215"/>
      <c r="N464" s="12"/>
      <c r="O464" s="219"/>
      <c r="P464" s="219"/>
      <c r="Q464" s="219"/>
      <c r="R464" s="219"/>
      <c r="T464" s="215"/>
      <c r="U464" s="12"/>
      <c r="V464" s="12"/>
      <c r="W464" s="12"/>
      <c r="X464" s="12"/>
      <c r="Z464" s="245"/>
      <c r="AA464" s="118"/>
      <c r="AB464" s="12"/>
      <c r="AC464" s="13"/>
    </row>
    <row r="465" spans="2:29" x14ac:dyDescent="0.2">
      <c r="B465" s="9" t="str">
        <f t="shared" si="114"/>
        <v>4 2026</v>
      </c>
      <c r="C465" s="88">
        <f t="shared" si="115"/>
        <v>46114</v>
      </c>
      <c r="D465" s="88">
        <f t="shared" si="120"/>
        <v>46115</v>
      </c>
      <c r="E465" s="89">
        <f t="shared" si="116"/>
        <v>1</v>
      </c>
      <c r="H465" s="206">
        <v>46112</v>
      </c>
      <c r="I465" s="215"/>
      <c r="J465" s="228"/>
      <c r="K465" s="12"/>
      <c r="L465" s="12"/>
      <c r="M465" s="215"/>
      <c r="N465" s="12"/>
      <c r="O465" s="219"/>
      <c r="P465" s="219"/>
      <c r="Q465" s="219"/>
      <c r="R465" s="219"/>
      <c r="T465" s="215"/>
      <c r="U465" s="12"/>
      <c r="V465" s="12"/>
      <c r="W465" s="12"/>
      <c r="X465" s="12"/>
      <c r="Z465" s="245"/>
      <c r="AA465" s="118"/>
      <c r="AB465" s="12"/>
      <c r="AC465" s="13"/>
    </row>
    <row r="466" spans="2:29" x14ac:dyDescent="0.2">
      <c r="B466" s="9" t="str">
        <f t="shared" si="114"/>
        <v>4 2026</v>
      </c>
      <c r="C466" s="88">
        <f t="shared" si="115"/>
        <v>46115</v>
      </c>
      <c r="D466" s="88">
        <f t="shared" si="120"/>
        <v>46116</v>
      </c>
      <c r="E466" s="89">
        <f t="shared" si="116"/>
        <v>1</v>
      </c>
      <c r="H466" s="206">
        <v>46112</v>
      </c>
      <c r="I466" s="215"/>
      <c r="J466" s="228"/>
      <c r="K466" s="12"/>
      <c r="L466" s="12"/>
      <c r="M466" s="215"/>
      <c r="N466" s="12"/>
      <c r="O466" s="219"/>
      <c r="P466" s="219"/>
      <c r="Q466" s="219"/>
      <c r="R466" s="219"/>
      <c r="T466" s="215"/>
      <c r="U466" s="12"/>
      <c r="V466" s="12"/>
      <c r="W466" s="12"/>
      <c r="X466" s="12"/>
      <c r="Z466" s="245"/>
      <c r="AA466" s="118"/>
      <c r="AB466" s="12"/>
      <c r="AC466" s="13"/>
    </row>
    <row r="467" spans="2:29" x14ac:dyDescent="0.2">
      <c r="B467" s="9" t="str">
        <f t="shared" si="114"/>
        <v>4 2026</v>
      </c>
      <c r="C467" s="88">
        <f t="shared" si="115"/>
        <v>46116</v>
      </c>
      <c r="D467" s="88">
        <f t="shared" si="120"/>
        <v>46117</v>
      </c>
      <c r="E467" s="89">
        <f t="shared" si="116"/>
        <v>1</v>
      </c>
      <c r="H467" s="206">
        <v>46112</v>
      </c>
      <c r="I467" s="215"/>
      <c r="J467" s="228"/>
      <c r="K467" s="12"/>
      <c r="L467" s="12"/>
      <c r="M467" s="215"/>
      <c r="N467" s="12"/>
      <c r="O467" s="219"/>
      <c r="P467" s="219"/>
      <c r="Q467" s="219"/>
      <c r="R467" s="219"/>
      <c r="T467" s="215"/>
      <c r="U467" s="12"/>
      <c r="V467" s="12"/>
      <c r="W467" s="12"/>
      <c r="X467" s="12"/>
      <c r="Z467" s="245"/>
      <c r="AA467" s="118"/>
      <c r="AB467" s="12"/>
      <c r="AC467" s="13"/>
    </row>
    <row r="468" spans="2:29" x14ac:dyDescent="0.2">
      <c r="B468" s="9" t="str">
        <f t="shared" si="114"/>
        <v>4 2026</v>
      </c>
      <c r="C468" s="88">
        <f t="shared" si="115"/>
        <v>46117</v>
      </c>
      <c r="D468" s="88">
        <f t="shared" si="120"/>
        <v>46118</v>
      </c>
      <c r="E468" s="89">
        <f t="shared" si="116"/>
        <v>1</v>
      </c>
      <c r="H468" s="206">
        <v>46112</v>
      </c>
      <c r="I468" s="215"/>
      <c r="J468" s="228"/>
      <c r="K468" s="12"/>
      <c r="L468" s="12"/>
      <c r="M468" s="215"/>
      <c r="N468" s="12"/>
      <c r="O468" s="219"/>
      <c r="P468" s="219"/>
      <c r="Q468" s="219"/>
      <c r="R468" s="219"/>
      <c r="T468" s="215"/>
      <c r="U468" s="12"/>
      <c r="V468" s="12"/>
      <c r="W468" s="12"/>
      <c r="X468" s="12"/>
      <c r="Z468" s="245"/>
      <c r="AA468" s="118"/>
      <c r="AB468" s="12"/>
      <c r="AC468" s="13"/>
    </row>
    <row r="469" spans="2:29" x14ac:dyDescent="0.2">
      <c r="B469" s="9" t="str">
        <f t="shared" ref="B469:B532" si="121">CONCATENATE(MONTH(D469)," ",YEAR(D469))</f>
        <v>4 2026</v>
      </c>
      <c r="C469" s="88">
        <f t="shared" ref="C469:C532" si="122">D468</f>
        <v>46118</v>
      </c>
      <c r="D469" s="88">
        <f t="shared" si="120"/>
        <v>46119</v>
      </c>
      <c r="E469" s="89">
        <f t="shared" ref="E469:E532" si="123">D469-C469</f>
        <v>1</v>
      </c>
      <c r="H469" s="206">
        <v>46112</v>
      </c>
      <c r="I469" s="215"/>
      <c r="J469" s="228"/>
      <c r="K469" s="12"/>
      <c r="L469" s="12"/>
      <c r="M469" s="215"/>
      <c r="N469" s="12"/>
      <c r="O469" s="219"/>
      <c r="P469" s="219"/>
      <c r="Q469" s="219"/>
      <c r="R469" s="219"/>
      <c r="T469" s="215"/>
      <c r="U469" s="12"/>
      <c r="V469" s="12"/>
      <c r="W469" s="12"/>
      <c r="X469" s="12"/>
      <c r="Z469" s="245"/>
      <c r="AA469" s="118"/>
      <c r="AB469" s="12"/>
      <c r="AC469" s="13"/>
    </row>
    <row r="470" spans="2:29" x14ac:dyDescent="0.2">
      <c r="B470" s="9" t="str">
        <f t="shared" si="121"/>
        <v>4 2026</v>
      </c>
      <c r="C470" s="88">
        <f t="shared" si="122"/>
        <v>46119</v>
      </c>
      <c r="D470" s="88">
        <f t="shared" si="120"/>
        <v>46120</v>
      </c>
      <c r="E470" s="89">
        <f t="shared" si="123"/>
        <v>1</v>
      </c>
      <c r="H470" s="206">
        <v>46113</v>
      </c>
      <c r="I470" s="215"/>
      <c r="J470" s="228"/>
      <c r="K470" s="12"/>
      <c r="L470" s="12"/>
      <c r="M470" s="215"/>
      <c r="N470" s="12"/>
      <c r="O470" s="219"/>
      <c r="P470" s="219"/>
      <c r="Q470" s="219"/>
      <c r="R470" s="219"/>
      <c r="T470" s="215"/>
      <c r="U470" s="12"/>
      <c r="V470" s="12"/>
      <c r="W470" s="12"/>
      <c r="X470" s="12"/>
      <c r="Z470" s="245"/>
      <c r="AA470" s="118"/>
      <c r="AB470" s="12"/>
      <c r="AC470" s="13"/>
    </row>
    <row r="471" spans="2:29" x14ac:dyDescent="0.2">
      <c r="B471" s="9" t="str">
        <f t="shared" si="121"/>
        <v>4 2026</v>
      </c>
      <c r="C471" s="88">
        <f t="shared" si="122"/>
        <v>46120</v>
      </c>
      <c r="D471" s="88">
        <f t="shared" si="120"/>
        <v>46121</v>
      </c>
      <c r="E471" s="89">
        <f t="shared" si="123"/>
        <v>1</v>
      </c>
      <c r="H471" s="206">
        <v>46113</v>
      </c>
      <c r="I471" s="215"/>
      <c r="J471" s="228"/>
      <c r="K471" s="12"/>
      <c r="L471" s="12"/>
      <c r="M471" s="215"/>
      <c r="N471" s="12"/>
      <c r="O471" s="219"/>
      <c r="P471" s="219"/>
      <c r="Q471" s="219"/>
      <c r="R471" s="219"/>
      <c r="T471" s="215"/>
      <c r="U471" s="12"/>
      <c r="V471" s="12"/>
      <c r="W471" s="12"/>
      <c r="X471" s="12"/>
      <c r="Z471" s="245"/>
      <c r="AA471" s="118"/>
      <c r="AB471" s="12"/>
      <c r="AC471" s="13"/>
    </row>
    <row r="472" spans="2:29" x14ac:dyDescent="0.2">
      <c r="B472" s="9" t="str">
        <f t="shared" si="121"/>
        <v>4 2026</v>
      </c>
      <c r="C472" s="88">
        <f t="shared" si="122"/>
        <v>46121</v>
      </c>
      <c r="D472" s="88">
        <f t="shared" si="120"/>
        <v>46122</v>
      </c>
      <c r="E472" s="89">
        <f t="shared" si="123"/>
        <v>1</v>
      </c>
      <c r="H472" s="206">
        <v>46119</v>
      </c>
      <c r="I472" s="215"/>
      <c r="J472" s="228"/>
      <c r="K472" s="12"/>
      <c r="L472" s="12"/>
      <c r="M472" s="215"/>
      <c r="N472" s="12"/>
      <c r="O472" s="219"/>
      <c r="P472" s="219"/>
      <c r="Q472" s="219"/>
      <c r="R472" s="219"/>
      <c r="T472" s="215"/>
      <c r="U472" s="12"/>
      <c r="V472" s="12"/>
      <c r="W472" s="12"/>
      <c r="X472" s="12"/>
      <c r="Z472" s="245"/>
      <c r="AA472" s="118"/>
      <c r="AB472" s="12"/>
      <c r="AC472" s="13"/>
    </row>
    <row r="473" spans="2:29" x14ac:dyDescent="0.2">
      <c r="B473" s="9" t="str">
        <f t="shared" si="121"/>
        <v>4 2026</v>
      </c>
      <c r="C473" s="88">
        <f t="shared" si="122"/>
        <v>46122</v>
      </c>
      <c r="D473" s="88">
        <f t="shared" si="120"/>
        <v>46123</v>
      </c>
      <c r="E473" s="89">
        <f t="shared" si="123"/>
        <v>1</v>
      </c>
      <c r="H473" s="206">
        <v>46120</v>
      </c>
      <c r="I473" s="215"/>
      <c r="J473" s="228"/>
      <c r="K473" s="12"/>
      <c r="L473" s="12"/>
      <c r="M473" s="215"/>
      <c r="N473" s="12"/>
      <c r="O473" s="219"/>
      <c r="P473" s="219"/>
      <c r="Q473" s="219"/>
      <c r="R473" s="219"/>
      <c r="T473" s="215"/>
      <c r="U473" s="12"/>
      <c r="V473" s="12"/>
      <c r="W473" s="12"/>
      <c r="X473" s="12"/>
      <c r="Z473" s="245"/>
      <c r="AA473" s="118"/>
      <c r="AB473" s="12"/>
      <c r="AC473" s="13"/>
    </row>
    <row r="474" spans="2:29" x14ac:dyDescent="0.2">
      <c r="B474" s="9" t="str">
        <f t="shared" si="121"/>
        <v>4 2026</v>
      </c>
      <c r="C474" s="88">
        <f t="shared" si="122"/>
        <v>46123</v>
      </c>
      <c r="D474" s="88">
        <f t="shared" si="120"/>
        <v>46124</v>
      </c>
      <c r="E474" s="89">
        <f t="shared" si="123"/>
        <v>1</v>
      </c>
      <c r="H474" s="206">
        <v>46120</v>
      </c>
      <c r="I474" s="215"/>
      <c r="J474" s="228"/>
      <c r="K474" s="12"/>
      <c r="L474" s="12"/>
      <c r="M474" s="215"/>
      <c r="N474" s="12"/>
      <c r="O474" s="219"/>
      <c r="P474" s="219"/>
      <c r="Q474" s="219"/>
      <c r="R474" s="219"/>
      <c r="T474" s="215"/>
      <c r="U474" s="12"/>
      <c r="V474" s="12"/>
      <c r="W474" s="12"/>
      <c r="X474" s="12"/>
      <c r="Z474" s="245"/>
      <c r="AA474" s="118"/>
      <c r="AB474" s="12"/>
      <c r="AC474" s="13"/>
    </row>
    <row r="475" spans="2:29" x14ac:dyDescent="0.2">
      <c r="B475" s="9" t="str">
        <f t="shared" si="121"/>
        <v>4 2026</v>
      </c>
      <c r="C475" s="88">
        <f t="shared" si="122"/>
        <v>46124</v>
      </c>
      <c r="D475" s="88">
        <f t="shared" si="120"/>
        <v>46125</v>
      </c>
      <c r="E475" s="89">
        <f t="shared" si="123"/>
        <v>1</v>
      </c>
      <c r="H475" s="206">
        <v>46120</v>
      </c>
      <c r="I475" s="215"/>
      <c r="J475" s="228"/>
      <c r="K475" s="12"/>
      <c r="L475" s="12"/>
      <c r="M475" s="215"/>
      <c r="N475" s="12"/>
      <c r="O475" s="219"/>
      <c r="P475" s="219"/>
      <c r="Q475" s="219"/>
      <c r="R475" s="219"/>
      <c r="T475" s="215"/>
      <c r="U475" s="12"/>
      <c r="V475" s="12"/>
      <c r="W475" s="12"/>
      <c r="X475" s="12"/>
      <c r="Z475" s="245"/>
      <c r="AA475" s="118"/>
      <c r="AB475" s="12"/>
      <c r="AC475" s="13"/>
    </row>
    <row r="476" spans="2:29" x14ac:dyDescent="0.2">
      <c r="B476" s="9" t="str">
        <f t="shared" si="121"/>
        <v>4 2026</v>
      </c>
      <c r="C476" s="88">
        <f t="shared" si="122"/>
        <v>46125</v>
      </c>
      <c r="D476" s="88">
        <f t="shared" si="120"/>
        <v>46126</v>
      </c>
      <c r="E476" s="89">
        <f t="shared" si="123"/>
        <v>1</v>
      </c>
      <c r="H476" s="206">
        <v>46121</v>
      </c>
      <c r="I476" s="215"/>
      <c r="J476" s="228"/>
      <c r="K476" s="12"/>
      <c r="L476" s="12"/>
      <c r="M476" s="215"/>
      <c r="N476" s="12"/>
      <c r="O476" s="219"/>
      <c r="P476" s="219"/>
      <c r="Q476" s="219"/>
      <c r="R476" s="219"/>
      <c r="T476" s="215"/>
      <c r="U476" s="12"/>
      <c r="V476" s="12"/>
      <c r="W476" s="12"/>
      <c r="X476" s="12"/>
      <c r="Z476" s="245"/>
      <c r="AA476" s="118"/>
      <c r="AB476" s="12"/>
      <c r="AC476" s="13"/>
    </row>
    <row r="477" spans="2:29" x14ac:dyDescent="0.2">
      <c r="B477" s="9" t="str">
        <f t="shared" si="121"/>
        <v>4 2026</v>
      </c>
      <c r="C477" s="88">
        <f t="shared" si="122"/>
        <v>46126</v>
      </c>
      <c r="D477" s="88">
        <f t="shared" si="120"/>
        <v>46127</v>
      </c>
      <c r="E477" s="89">
        <f t="shared" si="123"/>
        <v>1</v>
      </c>
      <c r="H477" s="206">
        <v>46122</v>
      </c>
      <c r="I477" s="215"/>
      <c r="J477" s="228"/>
      <c r="K477" s="12"/>
      <c r="L477" s="12"/>
      <c r="M477" s="215"/>
      <c r="N477" s="12"/>
      <c r="O477" s="219"/>
      <c r="P477" s="219"/>
      <c r="Q477" s="219"/>
      <c r="R477" s="219"/>
      <c r="T477" s="215"/>
      <c r="U477" s="12"/>
      <c r="V477" s="12"/>
      <c r="W477" s="12"/>
      <c r="X477" s="12"/>
      <c r="Z477" s="245"/>
      <c r="AA477" s="118"/>
      <c r="AB477" s="12"/>
      <c r="AC477" s="13"/>
    </row>
    <row r="478" spans="2:29" x14ac:dyDescent="0.2">
      <c r="B478" s="9" t="str">
        <f t="shared" si="121"/>
        <v>4 2026</v>
      </c>
      <c r="C478" s="88">
        <f t="shared" si="122"/>
        <v>46127</v>
      </c>
      <c r="D478" s="88">
        <f t="shared" si="120"/>
        <v>46128</v>
      </c>
      <c r="E478" s="89">
        <f t="shared" si="123"/>
        <v>1</v>
      </c>
      <c r="H478" s="206">
        <v>46125</v>
      </c>
      <c r="I478" s="215"/>
      <c r="J478" s="228"/>
      <c r="K478" s="12"/>
      <c r="L478" s="12"/>
      <c r="M478" s="215"/>
      <c r="N478" s="12"/>
      <c r="O478" s="219"/>
      <c r="P478" s="219"/>
      <c r="Q478" s="219"/>
      <c r="R478" s="219"/>
      <c r="T478" s="215"/>
      <c r="U478" s="12"/>
      <c r="V478" s="12"/>
      <c r="W478" s="12"/>
      <c r="X478" s="12"/>
      <c r="Z478" s="245"/>
      <c r="AA478" s="118"/>
      <c r="AB478" s="12"/>
      <c r="AC478" s="13"/>
    </row>
    <row r="479" spans="2:29" x14ac:dyDescent="0.2">
      <c r="B479" s="9" t="str">
        <f t="shared" si="121"/>
        <v>4 2026</v>
      </c>
      <c r="C479" s="88">
        <f t="shared" si="122"/>
        <v>46128</v>
      </c>
      <c r="D479" s="88">
        <f t="shared" si="120"/>
        <v>46129</v>
      </c>
      <c r="E479" s="89">
        <f t="shared" si="123"/>
        <v>1</v>
      </c>
      <c r="H479" s="206">
        <v>46126</v>
      </c>
      <c r="I479" s="215"/>
      <c r="J479" s="228"/>
      <c r="K479" s="12"/>
      <c r="L479" s="12"/>
      <c r="M479" s="215"/>
      <c r="N479" s="12"/>
      <c r="O479" s="219"/>
      <c r="P479" s="219"/>
      <c r="Q479" s="219"/>
      <c r="R479" s="219"/>
      <c r="T479" s="215"/>
      <c r="U479" s="12"/>
      <c r="V479" s="12"/>
      <c r="W479" s="12"/>
      <c r="X479" s="12"/>
      <c r="Z479" s="245"/>
      <c r="AA479" s="118"/>
      <c r="AB479" s="12"/>
      <c r="AC479" s="13"/>
    </row>
    <row r="480" spans="2:29" x14ac:dyDescent="0.2">
      <c r="B480" s="9" t="str">
        <f t="shared" si="121"/>
        <v>4 2026</v>
      </c>
      <c r="C480" s="88">
        <f t="shared" si="122"/>
        <v>46129</v>
      </c>
      <c r="D480" s="88">
        <f t="shared" si="120"/>
        <v>46130</v>
      </c>
      <c r="E480" s="89">
        <f t="shared" si="123"/>
        <v>1</v>
      </c>
      <c r="H480" s="206">
        <v>46127</v>
      </c>
      <c r="I480" s="215"/>
      <c r="J480" s="228"/>
      <c r="K480" s="12"/>
      <c r="L480" s="12"/>
      <c r="M480" s="215"/>
      <c r="N480" s="12"/>
      <c r="O480" s="219"/>
      <c r="P480" s="219"/>
      <c r="Q480" s="219"/>
      <c r="R480" s="219"/>
      <c r="T480" s="215"/>
      <c r="U480" s="12"/>
      <c r="V480" s="12"/>
      <c r="W480" s="12"/>
      <c r="X480" s="12"/>
      <c r="Z480" s="245"/>
      <c r="AA480" s="118"/>
      <c r="AB480" s="12"/>
      <c r="AC480" s="13"/>
    </row>
    <row r="481" spans="2:29" x14ac:dyDescent="0.2">
      <c r="B481" s="9" t="str">
        <f t="shared" si="121"/>
        <v>4 2026</v>
      </c>
      <c r="C481" s="88">
        <f t="shared" si="122"/>
        <v>46130</v>
      </c>
      <c r="D481" s="88">
        <f t="shared" si="120"/>
        <v>46131</v>
      </c>
      <c r="E481" s="89">
        <f t="shared" si="123"/>
        <v>1</v>
      </c>
      <c r="H481" s="206">
        <v>46127</v>
      </c>
      <c r="I481" s="215"/>
      <c r="J481" s="228"/>
      <c r="K481" s="12"/>
      <c r="L481" s="12"/>
      <c r="M481" s="215"/>
      <c r="N481" s="12"/>
      <c r="O481" s="219"/>
      <c r="P481" s="219"/>
      <c r="Q481" s="219"/>
      <c r="R481" s="219"/>
      <c r="T481" s="215"/>
      <c r="U481" s="12"/>
      <c r="V481" s="12"/>
      <c r="W481" s="12"/>
      <c r="X481" s="12"/>
      <c r="Z481" s="245"/>
      <c r="AA481" s="118"/>
      <c r="AB481" s="12"/>
      <c r="AC481" s="13"/>
    </row>
    <row r="482" spans="2:29" x14ac:dyDescent="0.2">
      <c r="B482" s="9" t="str">
        <f t="shared" si="121"/>
        <v>4 2026</v>
      </c>
      <c r="C482" s="88">
        <f t="shared" si="122"/>
        <v>46131</v>
      </c>
      <c r="D482" s="88">
        <f t="shared" si="120"/>
        <v>46132</v>
      </c>
      <c r="E482" s="89">
        <f t="shared" si="123"/>
        <v>1</v>
      </c>
      <c r="H482" s="206">
        <v>46127</v>
      </c>
      <c r="I482" s="215"/>
      <c r="J482" s="228"/>
      <c r="K482" s="12"/>
      <c r="L482" s="12"/>
      <c r="M482" s="215"/>
      <c r="N482" s="12"/>
      <c r="O482" s="219"/>
      <c r="P482" s="219"/>
      <c r="Q482" s="219"/>
      <c r="R482" s="219"/>
      <c r="T482" s="215"/>
      <c r="U482" s="12"/>
      <c r="V482" s="12"/>
      <c r="W482" s="12"/>
      <c r="X482" s="12"/>
      <c r="Z482" s="245"/>
      <c r="AA482" s="118"/>
      <c r="AB482" s="12"/>
      <c r="AC482" s="13"/>
    </row>
    <row r="483" spans="2:29" x14ac:dyDescent="0.2">
      <c r="B483" s="9" t="str">
        <f t="shared" si="121"/>
        <v>4 2026</v>
      </c>
      <c r="C483" s="88">
        <f t="shared" si="122"/>
        <v>46132</v>
      </c>
      <c r="D483" s="88">
        <f t="shared" si="120"/>
        <v>46133</v>
      </c>
      <c r="E483" s="89">
        <f t="shared" si="123"/>
        <v>1</v>
      </c>
      <c r="H483" s="206">
        <v>46128</v>
      </c>
      <c r="I483" s="215"/>
      <c r="J483" s="228"/>
      <c r="K483" s="12"/>
      <c r="L483" s="12"/>
      <c r="M483" s="215"/>
      <c r="N483" s="12"/>
      <c r="O483" s="219"/>
      <c r="P483" s="219"/>
      <c r="Q483" s="219"/>
      <c r="R483" s="219"/>
      <c r="T483" s="215"/>
      <c r="U483" s="12"/>
      <c r="V483" s="12"/>
      <c r="W483" s="12"/>
      <c r="X483" s="12"/>
      <c r="Z483" s="245"/>
      <c r="AA483" s="118"/>
      <c r="AB483" s="12"/>
      <c r="AC483" s="13"/>
    </row>
    <row r="484" spans="2:29" x14ac:dyDescent="0.2">
      <c r="B484" s="9" t="str">
        <f t="shared" si="121"/>
        <v>4 2026</v>
      </c>
      <c r="C484" s="88">
        <f t="shared" si="122"/>
        <v>46133</v>
      </c>
      <c r="D484" s="88">
        <f t="shared" si="120"/>
        <v>46134</v>
      </c>
      <c r="E484" s="89">
        <f t="shared" si="123"/>
        <v>1</v>
      </c>
      <c r="H484" s="206">
        <v>46129</v>
      </c>
      <c r="I484" s="215"/>
      <c r="J484" s="228"/>
      <c r="K484" s="12"/>
      <c r="L484" s="12"/>
      <c r="M484" s="215"/>
      <c r="N484" s="12"/>
      <c r="O484" s="219"/>
      <c r="P484" s="219"/>
      <c r="Q484" s="219"/>
      <c r="R484" s="219"/>
      <c r="T484" s="215"/>
      <c r="U484" s="12"/>
      <c r="V484" s="12"/>
      <c r="W484" s="12"/>
      <c r="X484" s="12"/>
      <c r="Z484" s="245"/>
      <c r="AA484" s="118"/>
      <c r="AB484" s="12"/>
      <c r="AC484" s="13"/>
    </row>
    <row r="485" spans="2:29" x14ac:dyDescent="0.2">
      <c r="B485" s="9" t="str">
        <f t="shared" si="121"/>
        <v>4 2026</v>
      </c>
      <c r="C485" s="88">
        <f t="shared" si="122"/>
        <v>46134</v>
      </c>
      <c r="D485" s="88">
        <f t="shared" si="120"/>
        <v>46135</v>
      </c>
      <c r="E485" s="89">
        <f t="shared" si="123"/>
        <v>1</v>
      </c>
      <c r="H485" s="206">
        <v>46132</v>
      </c>
      <c r="I485" s="215"/>
      <c r="J485" s="228"/>
      <c r="K485" s="12"/>
      <c r="L485" s="12"/>
      <c r="M485" s="215"/>
      <c r="N485" s="12"/>
      <c r="O485" s="219"/>
      <c r="P485" s="219"/>
      <c r="Q485" s="219"/>
      <c r="R485" s="219"/>
      <c r="T485" s="215"/>
      <c r="U485" s="12"/>
      <c r="V485" s="12"/>
      <c r="W485" s="12"/>
      <c r="X485" s="12"/>
      <c r="Z485" s="245"/>
      <c r="AA485" s="118"/>
      <c r="AB485" s="12"/>
      <c r="AC485" s="13"/>
    </row>
    <row r="486" spans="2:29" x14ac:dyDescent="0.2">
      <c r="B486" s="9" t="str">
        <f t="shared" si="121"/>
        <v>4 2026</v>
      </c>
      <c r="C486" s="88">
        <f t="shared" si="122"/>
        <v>46135</v>
      </c>
      <c r="D486" s="88">
        <f t="shared" si="120"/>
        <v>46136</v>
      </c>
      <c r="E486" s="89">
        <f t="shared" si="123"/>
        <v>1</v>
      </c>
      <c r="H486" s="206">
        <v>46133</v>
      </c>
      <c r="I486" s="215"/>
      <c r="J486" s="228"/>
      <c r="K486" s="12"/>
      <c r="L486" s="12"/>
      <c r="M486" s="215"/>
      <c r="N486" s="12"/>
      <c r="O486" s="219"/>
      <c r="P486" s="219"/>
      <c r="Q486" s="219"/>
      <c r="R486" s="219"/>
      <c r="T486" s="215"/>
      <c r="U486" s="12"/>
      <c r="V486" s="12"/>
      <c r="W486" s="12"/>
      <c r="X486" s="12"/>
      <c r="Z486" s="245"/>
      <c r="AA486" s="118"/>
      <c r="AB486" s="12"/>
      <c r="AC486" s="13"/>
    </row>
    <row r="487" spans="2:29" x14ac:dyDescent="0.2">
      <c r="B487" s="9" t="str">
        <f t="shared" si="121"/>
        <v>4 2026</v>
      </c>
      <c r="C487" s="88">
        <f t="shared" si="122"/>
        <v>46136</v>
      </c>
      <c r="D487" s="88">
        <f t="shared" si="120"/>
        <v>46137</v>
      </c>
      <c r="E487" s="89">
        <f t="shared" si="123"/>
        <v>1</v>
      </c>
      <c r="H487" s="206">
        <v>46134</v>
      </c>
      <c r="I487" s="215"/>
      <c r="J487" s="228"/>
      <c r="K487" s="12"/>
      <c r="L487" s="12"/>
      <c r="M487" s="215"/>
      <c r="N487" s="12"/>
      <c r="O487" s="219"/>
      <c r="P487" s="219"/>
      <c r="Q487" s="219"/>
      <c r="R487" s="219"/>
      <c r="T487" s="215"/>
      <c r="U487" s="12"/>
      <c r="V487" s="12"/>
      <c r="W487" s="12"/>
      <c r="X487" s="12"/>
      <c r="Z487" s="245"/>
      <c r="AA487" s="118"/>
      <c r="AB487" s="12"/>
      <c r="AC487" s="13"/>
    </row>
    <row r="488" spans="2:29" x14ac:dyDescent="0.2">
      <c r="B488" s="9" t="str">
        <f t="shared" si="121"/>
        <v>4 2026</v>
      </c>
      <c r="C488" s="88">
        <f t="shared" si="122"/>
        <v>46137</v>
      </c>
      <c r="D488" s="88">
        <f t="shared" si="120"/>
        <v>46138</v>
      </c>
      <c r="E488" s="89">
        <f t="shared" si="123"/>
        <v>1</v>
      </c>
      <c r="H488" s="206">
        <v>46134</v>
      </c>
      <c r="I488" s="215"/>
      <c r="J488" s="228"/>
      <c r="K488" s="12"/>
      <c r="L488" s="12"/>
      <c r="M488" s="215"/>
      <c r="N488" s="12"/>
      <c r="O488" s="219"/>
      <c r="P488" s="219"/>
      <c r="Q488" s="219"/>
      <c r="R488" s="219"/>
      <c r="T488" s="215"/>
      <c r="U488" s="12"/>
      <c r="V488" s="12"/>
      <c r="W488" s="12"/>
      <c r="X488" s="12"/>
      <c r="Z488" s="245"/>
      <c r="AA488" s="118"/>
      <c r="AB488" s="12"/>
      <c r="AC488" s="13"/>
    </row>
    <row r="489" spans="2:29" x14ac:dyDescent="0.2">
      <c r="B489" s="9" t="str">
        <f t="shared" si="121"/>
        <v>4 2026</v>
      </c>
      <c r="C489" s="88">
        <f t="shared" si="122"/>
        <v>46138</v>
      </c>
      <c r="D489" s="88">
        <f t="shared" si="120"/>
        <v>46139</v>
      </c>
      <c r="E489" s="89">
        <f t="shared" si="123"/>
        <v>1</v>
      </c>
      <c r="H489" s="206">
        <v>46134</v>
      </c>
      <c r="I489" s="215"/>
      <c r="J489" s="228"/>
      <c r="K489" s="12"/>
      <c r="L489" s="12"/>
      <c r="M489" s="215"/>
      <c r="N489" s="12"/>
      <c r="O489" s="219"/>
      <c r="P489" s="219"/>
      <c r="Q489" s="219"/>
      <c r="R489" s="219"/>
      <c r="T489" s="215"/>
      <c r="U489" s="12"/>
      <c r="V489" s="12"/>
      <c r="W489" s="12"/>
      <c r="X489" s="12"/>
      <c r="Z489" s="245"/>
      <c r="AA489" s="118"/>
      <c r="AB489" s="12"/>
      <c r="AC489" s="13"/>
    </row>
    <row r="490" spans="2:29" x14ac:dyDescent="0.2">
      <c r="B490" s="9" t="str">
        <f t="shared" si="121"/>
        <v>4 2026</v>
      </c>
      <c r="C490" s="88">
        <f t="shared" si="122"/>
        <v>46139</v>
      </c>
      <c r="D490" s="88">
        <f t="shared" si="120"/>
        <v>46140</v>
      </c>
      <c r="E490" s="89">
        <f t="shared" si="123"/>
        <v>1</v>
      </c>
      <c r="H490" s="206">
        <v>46135</v>
      </c>
      <c r="I490" s="215"/>
      <c r="J490" s="228"/>
      <c r="K490" s="12"/>
      <c r="L490" s="12"/>
      <c r="M490" s="215"/>
      <c r="N490" s="12"/>
      <c r="O490" s="219"/>
      <c r="P490" s="219"/>
      <c r="Q490" s="219"/>
      <c r="R490" s="219"/>
      <c r="T490" s="215"/>
      <c r="U490" s="12"/>
      <c r="V490" s="12"/>
      <c r="W490" s="12"/>
      <c r="X490" s="12"/>
      <c r="Z490" s="245"/>
      <c r="AA490" s="118"/>
      <c r="AB490" s="12"/>
      <c r="AC490" s="13"/>
    </row>
    <row r="491" spans="2:29" x14ac:dyDescent="0.2">
      <c r="B491" s="9" t="str">
        <f t="shared" si="121"/>
        <v>4 2026</v>
      </c>
      <c r="C491" s="88">
        <f t="shared" si="122"/>
        <v>46140</v>
      </c>
      <c r="D491" s="88">
        <f t="shared" si="120"/>
        <v>46141</v>
      </c>
      <c r="E491" s="89">
        <f t="shared" si="123"/>
        <v>1</v>
      </c>
      <c r="H491" s="206">
        <v>46136</v>
      </c>
      <c r="I491" s="215"/>
      <c r="J491" s="228"/>
      <c r="K491" s="12"/>
      <c r="L491" s="12"/>
      <c r="M491" s="215"/>
      <c r="N491" s="12"/>
      <c r="O491" s="219"/>
      <c r="P491" s="219"/>
      <c r="Q491" s="219"/>
      <c r="R491" s="219"/>
      <c r="T491" s="215"/>
      <c r="U491" s="12"/>
      <c r="V491" s="12"/>
      <c r="W491" s="12"/>
      <c r="X491" s="12"/>
      <c r="Z491" s="245"/>
      <c r="AA491" s="118"/>
      <c r="AB491" s="12"/>
      <c r="AC491" s="13"/>
    </row>
    <row r="492" spans="2:29" x14ac:dyDescent="0.2">
      <c r="B492" s="9" t="str">
        <f t="shared" si="121"/>
        <v>4 2026</v>
      </c>
      <c r="C492" s="88">
        <f t="shared" si="122"/>
        <v>46141</v>
      </c>
      <c r="D492" s="88">
        <f t="shared" si="120"/>
        <v>46142</v>
      </c>
      <c r="E492" s="89">
        <f t="shared" si="123"/>
        <v>1</v>
      </c>
      <c r="H492" s="206">
        <v>46139</v>
      </c>
      <c r="I492" s="215"/>
      <c r="J492" s="228"/>
      <c r="K492" s="12"/>
      <c r="L492" s="12"/>
      <c r="M492" s="215"/>
      <c r="N492" s="12"/>
      <c r="O492" s="219"/>
      <c r="P492" s="219"/>
      <c r="Q492" s="219"/>
      <c r="R492" s="219"/>
      <c r="T492" s="215"/>
      <c r="U492" s="12"/>
      <c r="V492" s="12"/>
      <c r="W492" s="12"/>
      <c r="X492" s="12"/>
      <c r="Z492" s="245"/>
      <c r="AA492" s="118"/>
      <c r="AB492" s="12"/>
      <c r="AC492" s="13"/>
    </row>
    <row r="493" spans="2:29" x14ac:dyDescent="0.2">
      <c r="B493" s="9" t="str">
        <f t="shared" si="121"/>
        <v>5 2026</v>
      </c>
      <c r="C493" s="88">
        <f t="shared" si="122"/>
        <v>46142</v>
      </c>
      <c r="D493" s="88">
        <f t="shared" si="120"/>
        <v>46143</v>
      </c>
      <c r="E493" s="89">
        <f t="shared" si="123"/>
        <v>1</v>
      </c>
      <c r="H493" s="206">
        <v>46140</v>
      </c>
      <c r="I493" s="215"/>
      <c r="J493" s="228"/>
      <c r="K493" s="12"/>
      <c r="L493" s="12"/>
      <c r="M493" s="215"/>
      <c r="N493" s="12"/>
      <c r="O493" s="219"/>
      <c r="P493" s="219"/>
      <c r="Q493" s="219"/>
      <c r="R493" s="219"/>
      <c r="T493" s="215"/>
      <c r="U493" s="12"/>
      <c r="V493" s="12"/>
      <c r="W493" s="12"/>
      <c r="X493" s="12"/>
      <c r="Z493" s="245"/>
      <c r="AA493" s="118"/>
      <c r="AB493" s="12"/>
      <c r="AC493" s="13"/>
    </row>
    <row r="494" spans="2:29" x14ac:dyDescent="0.2">
      <c r="B494" s="9" t="str">
        <f t="shared" si="121"/>
        <v>5 2026</v>
      </c>
      <c r="C494" s="88">
        <f t="shared" si="122"/>
        <v>46143</v>
      </c>
      <c r="D494" s="88">
        <f t="shared" si="120"/>
        <v>46144</v>
      </c>
      <c r="E494" s="89">
        <f t="shared" si="123"/>
        <v>1</v>
      </c>
      <c r="H494" s="206">
        <v>46140</v>
      </c>
      <c r="I494" s="215"/>
      <c r="J494" s="228"/>
      <c r="K494" s="12"/>
      <c r="L494" s="12"/>
      <c r="M494" s="215"/>
      <c r="N494" s="12"/>
      <c r="O494" s="219"/>
      <c r="P494" s="219"/>
      <c r="Q494" s="219"/>
      <c r="R494" s="219"/>
      <c r="T494" s="215"/>
      <c r="U494" s="12"/>
      <c r="V494" s="12"/>
      <c r="W494" s="12"/>
      <c r="X494" s="12"/>
      <c r="Z494" s="245"/>
      <c r="AA494" s="118"/>
      <c r="AB494" s="12"/>
      <c r="AC494" s="13"/>
    </row>
    <row r="495" spans="2:29" x14ac:dyDescent="0.2">
      <c r="B495" s="9" t="str">
        <f t="shared" si="121"/>
        <v>5 2026</v>
      </c>
      <c r="C495" s="88">
        <f t="shared" si="122"/>
        <v>46144</v>
      </c>
      <c r="D495" s="88">
        <f t="shared" si="120"/>
        <v>46145</v>
      </c>
      <c r="E495" s="89">
        <f t="shared" si="123"/>
        <v>1</v>
      </c>
      <c r="H495" s="206">
        <v>46140</v>
      </c>
      <c r="I495" s="215"/>
      <c r="J495" s="228"/>
      <c r="K495" s="12"/>
      <c r="L495" s="12"/>
      <c r="M495" s="215"/>
      <c r="N495" s="12"/>
      <c r="O495" s="219"/>
      <c r="P495" s="219"/>
      <c r="Q495" s="219"/>
      <c r="R495" s="219"/>
      <c r="T495" s="215"/>
      <c r="U495" s="12"/>
      <c r="V495" s="12"/>
      <c r="W495" s="12"/>
      <c r="X495" s="12"/>
      <c r="Z495" s="245"/>
      <c r="AA495" s="118"/>
      <c r="AB495" s="12"/>
      <c r="AC495" s="13"/>
    </row>
    <row r="496" spans="2:29" x14ac:dyDescent="0.2">
      <c r="B496" s="9" t="str">
        <f t="shared" si="121"/>
        <v>5 2026</v>
      </c>
      <c r="C496" s="88">
        <f t="shared" si="122"/>
        <v>46145</v>
      </c>
      <c r="D496" s="88">
        <f t="shared" si="120"/>
        <v>46146</v>
      </c>
      <c r="E496" s="89">
        <f t="shared" si="123"/>
        <v>1</v>
      </c>
      <c r="H496" s="206">
        <v>46140</v>
      </c>
      <c r="I496" s="215"/>
      <c r="J496" s="228"/>
      <c r="K496" s="12"/>
      <c r="L496" s="12"/>
      <c r="M496" s="215"/>
      <c r="N496" s="12"/>
      <c r="O496" s="219"/>
      <c r="P496" s="219"/>
      <c r="Q496" s="219"/>
      <c r="R496" s="219"/>
      <c r="T496" s="215"/>
      <c r="U496" s="12"/>
      <c r="V496" s="12"/>
      <c r="W496" s="12"/>
      <c r="X496" s="12"/>
      <c r="Z496" s="245"/>
      <c r="AA496" s="118"/>
      <c r="AB496" s="12"/>
      <c r="AC496" s="13"/>
    </row>
    <row r="497" spans="2:29" x14ac:dyDescent="0.2">
      <c r="B497" s="9" t="str">
        <f t="shared" si="121"/>
        <v>5 2026</v>
      </c>
      <c r="C497" s="88">
        <f t="shared" si="122"/>
        <v>46146</v>
      </c>
      <c r="D497" s="88">
        <f t="shared" si="120"/>
        <v>46147</v>
      </c>
      <c r="E497" s="89">
        <f t="shared" si="123"/>
        <v>1</v>
      </c>
      <c r="H497" s="206">
        <v>46141</v>
      </c>
      <c r="I497" s="215"/>
      <c r="J497" s="228"/>
      <c r="K497" s="12"/>
      <c r="L497" s="12"/>
      <c r="M497" s="215"/>
      <c r="N497" s="12"/>
      <c r="O497" s="219"/>
      <c r="P497" s="219"/>
      <c r="Q497" s="219"/>
      <c r="R497" s="219"/>
      <c r="T497" s="215"/>
      <c r="U497" s="12"/>
      <c r="V497" s="12"/>
      <c r="W497" s="12"/>
      <c r="X497" s="12"/>
      <c r="Z497" s="245"/>
      <c r="AA497" s="118"/>
      <c r="AB497" s="12"/>
      <c r="AC497" s="13"/>
    </row>
    <row r="498" spans="2:29" x14ac:dyDescent="0.2">
      <c r="B498" s="9" t="str">
        <f t="shared" si="121"/>
        <v>5 2026</v>
      </c>
      <c r="C498" s="88">
        <f t="shared" si="122"/>
        <v>46147</v>
      </c>
      <c r="D498" s="88">
        <f t="shared" si="120"/>
        <v>46148</v>
      </c>
      <c r="E498" s="89">
        <f t="shared" si="123"/>
        <v>1</v>
      </c>
      <c r="H498" s="206">
        <v>46142</v>
      </c>
      <c r="I498" s="215"/>
      <c r="J498" s="228"/>
      <c r="K498" s="12"/>
      <c r="L498" s="12"/>
      <c r="M498" s="215"/>
      <c r="N498" s="12"/>
      <c r="O498" s="219"/>
      <c r="P498" s="219"/>
      <c r="Q498" s="219"/>
      <c r="R498" s="219"/>
      <c r="T498" s="215"/>
      <c r="U498" s="12"/>
      <c r="V498" s="12"/>
      <c r="W498" s="12"/>
      <c r="X498" s="12"/>
      <c r="Z498" s="245"/>
      <c r="AA498" s="118"/>
      <c r="AB498" s="12"/>
      <c r="AC498" s="13"/>
    </row>
    <row r="499" spans="2:29" x14ac:dyDescent="0.2">
      <c r="B499" s="9" t="str">
        <f t="shared" si="121"/>
        <v>5 2026</v>
      </c>
      <c r="C499" s="88">
        <f t="shared" si="122"/>
        <v>46148</v>
      </c>
      <c r="D499" s="88">
        <f t="shared" si="120"/>
        <v>46149</v>
      </c>
      <c r="E499" s="89">
        <f t="shared" si="123"/>
        <v>1</v>
      </c>
      <c r="H499" s="206">
        <v>46142</v>
      </c>
      <c r="I499" s="215"/>
      <c r="J499" s="228"/>
      <c r="K499" s="12"/>
      <c r="L499" s="12"/>
      <c r="M499" s="215"/>
      <c r="N499" s="12"/>
      <c r="O499" s="219"/>
      <c r="P499" s="219"/>
      <c r="Q499" s="219"/>
      <c r="R499" s="219"/>
      <c r="T499" s="215"/>
      <c r="U499" s="12"/>
      <c r="V499" s="12"/>
      <c r="W499" s="12"/>
      <c r="X499" s="12"/>
      <c r="Z499" s="245"/>
      <c r="AA499" s="118"/>
      <c r="AB499" s="12"/>
      <c r="AC499" s="13"/>
    </row>
    <row r="500" spans="2:29" x14ac:dyDescent="0.2">
      <c r="B500" s="9" t="str">
        <f t="shared" si="121"/>
        <v>5 2026</v>
      </c>
      <c r="C500" s="88">
        <f t="shared" si="122"/>
        <v>46149</v>
      </c>
      <c r="D500" s="88">
        <f t="shared" si="120"/>
        <v>46150</v>
      </c>
      <c r="E500" s="89">
        <f t="shared" si="123"/>
        <v>1</v>
      </c>
      <c r="H500" s="206">
        <v>46147</v>
      </c>
      <c r="I500" s="215"/>
      <c r="J500" s="228"/>
      <c r="K500" s="12"/>
      <c r="L500" s="12"/>
      <c r="M500" s="215"/>
      <c r="N500" s="12"/>
      <c r="O500" s="219"/>
      <c r="P500" s="219"/>
      <c r="Q500" s="219"/>
      <c r="R500" s="219"/>
      <c r="T500" s="215"/>
      <c r="U500" s="12"/>
      <c r="V500" s="12"/>
      <c r="W500" s="12"/>
      <c r="X500" s="12"/>
      <c r="Z500" s="245"/>
      <c r="AA500" s="118"/>
      <c r="AB500" s="12"/>
      <c r="AC500" s="13"/>
    </row>
    <row r="501" spans="2:29" x14ac:dyDescent="0.2">
      <c r="B501" s="9" t="str">
        <f t="shared" si="121"/>
        <v>5 2026</v>
      </c>
      <c r="C501" s="88">
        <f t="shared" si="122"/>
        <v>46150</v>
      </c>
      <c r="D501" s="88">
        <f t="shared" si="120"/>
        <v>46151</v>
      </c>
      <c r="E501" s="89">
        <f t="shared" si="123"/>
        <v>1</v>
      </c>
      <c r="H501" s="206">
        <v>46147</v>
      </c>
      <c r="I501" s="215"/>
      <c r="J501" s="228"/>
      <c r="K501" s="12"/>
      <c r="L501" s="12"/>
      <c r="M501" s="215"/>
      <c r="N501" s="12"/>
      <c r="O501" s="219"/>
      <c r="P501" s="219"/>
      <c r="Q501" s="219"/>
      <c r="R501" s="219"/>
      <c r="T501" s="215"/>
      <c r="U501" s="12"/>
      <c r="V501" s="12"/>
      <c r="W501" s="12"/>
      <c r="X501" s="12"/>
      <c r="Z501" s="245"/>
      <c r="AA501" s="118"/>
      <c r="AB501" s="12"/>
      <c r="AC501" s="13"/>
    </row>
    <row r="502" spans="2:29" x14ac:dyDescent="0.2">
      <c r="B502" s="9" t="str">
        <f t="shared" si="121"/>
        <v>5 2026</v>
      </c>
      <c r="C502" s="88">
        <f t="shared" si="122"/>
        <v>46151</v>
      </c>
      <c r="D502" s="88">
        <f t="shared" si="120"/>
        <v>46152</v>
      </c>
      <c r="E502" s="89">
        <f t="shared" si="123"/>
        <v>1</v>
      </c>
      <c r="H502" s="206">
        <v>46147</v>
      </c>
      <c r="I502" s="215"/>
      <c r="J502" s="228"/>
      <c r="K502" s="12"/>
      <c r="L502" s="12"/>
      <c r="M502" s="215"/>
      <c r="N502" s="12"/>
      <c r="O502" s="219"/>
      <c r="P502" s="219"/>
      <c r="Q502" s="219"/>
      <c r="R502" s="219"/>
      <c r="T502" s="215"/>
      <c r="U502" s="12"/>
      <c r="V502" s="12"/>
      <c r="W502" s="12"/>
      <c r="X502" s="12"/>
      <c r="Z502" s="245"/>
      <c r="AA502" s="118"/>
      <c r="AB502" s="12"/>
      <c r="AC502" s="13"/>
    </row>
    <row r="503" spans="2:29" x14ac:dyDescent="0.2">
      <c r="B503" s="9" t="str">
        <f t="shared" si="121"/>
        <v>5 2026</v>
      </c>
      <c r="C503" s="88">
        <f t="shared" si="122"/>
        <v>46152</v>
      </c>
      <c r="D503" s="88">
        <f t="shared" si="120"/>
        <v>46153</v>
      </c>
      <c r="E503" s="89">
        <f t="shared" si="123"/>
        <v>1</v>
      </c>
      <c r="H503" s="206">
        <v>46147</v>
      </c>
      <c r="I503" s="215"/>
      <c r="J503" s="228"/>
      <c r="K503" s="12"/>
      <c r="L503" s="12"/>
      <c r="M503" s="215"/>
      <c r="N503" s="12"/>
      <c r="O503" s="219"/>
      <c r="P503" s="219"/>
      <c r="Q503" s="219"/>
      <c r="R503" s="219"/>
      <c r="T503" s="215"/>
      <c r="U503" s="12"/>
      <c r="V503" s="12"/>
      <c r="W503" s="12"/>
      <c r="X503" s="12"/>
      <c r="Z503" s="245"/>
      <c r="AA503" s="118"/>
      <c r="AB503" s="12"/>
      <c r="AC503" s="13"/>
    </row>
    <row r="504" spans="2:29" x14ac:dyDescent="0.2">
      <c r="B504" s="9" t="str">
        <f t="shared" si="121"/>
        <v>5 2026</v>
      </c>
      <c r="C504" s="88">
        <f t="shared" si="122"/>
        <v>46153</v>
      </c>
      <c r="D504" s="88">
        <f t="shared" ref="D504:D567" si="124">D503+1</f>
        <v>46154</v>
      </c>
      <c r="E504" s="89">
        <f t="shared" si="123"/>
        <v>1</v>
      </c>
      <c r="H504" s="206">
        <v>46148</v>
      </c>
      <c r="I504" s="215"/>
      <c r="J504" s="228"/>
      <c r="K504" s="12"/>
      <c r="L504" s="12"/>
      <c r="M504" s="215"/>
      <c r="N504" s="12"/>
      <c r="O504" s="219"/>
      <c r="P504" s="219"/>
      <c r="Q504" s="219"/>
      <c r="R504" s="219"/>
      <c r="T504" s="215"/>
      <c r="U504" s="12"/>
      <c r="V504" s="12"/>
      <c r="W504" s="12"/>
      <c r="X504" s="12"/>
      <c r="Z504" s="245"/>
      <c r="AA504" s="118"/>
      <c r="AB504" s="12"/>
      <c r="AC504" s="13"/>
    </row>
    <row r="505" spans="2:29" x14ac:dyDescent="0.2">
      <c r="B505" s="9" t="str">
        <f t="shared" si="121"/>
        <v>5 2026</v>
      </c>
      <c r="C505" s="88">
        <f t="shared" si="122"/>
        <v>46154</v>
      </c>
      <c r="D505" s="88">
        <f t="shared" si="124"/>
        <v>46155</v>
      </c>
      <c r="E505" s="89">
        <f t="shared" si="123"/>
        <v>1</v>
      </c>
      <c r="H505" s="206">
        <v>46149</v>
      </c>
      <c r="I505" s="215"/>
      <c r="J505" s="228"/>
      <c r="K505" s="12"/>
      <c r="L505" s="12"/>
      <c r="M505" s="215"/>
      <c r="N505" s="12"/>
      <c r="O505" s="219"/>
      <c r="P505" s="219"/>
      <c r="Q505" s="219"/>
      <c r="R505" s="219"/>
      <c r="T505" s="215"/>
      <c r="U505" s="12"/>
      <c r="V505" s="12"/>
      <c r="W505" s="12"/>
      <c r="X505" s="12"/>
      <c r="Z505" s="245"/>
      <c r="AA505" s="118"/>
      <c r="AB505" s="12"/>
      <c r="AC505" s="13"/>
    </row>
    <row r="506" spans="2:29" x14ac:dyDescent="0.2">
      <c r="B506" s="9" t="str">
        <f t="shared" si="121"/>
        <v>5 2026</v>
      </c>
      <c r="C506" s="88">
        <f t="shared" si="122"/>
        <v>46155</v>
      </c>
      <c r="D506" s="88">
        <f t="shared" si="124"/>
        <v>46156</v>
      </c>
      <c r="E506" s="89">
        <f t="shared" si="123"/>
        <v>1</v>
      </c>
      <c r="H506" s="206">
        <v>46153</v>
      </c>
      <c r="I506" s="215"/>
      <c r="J506" s="228"/>
      <c r="K506" s="12"/>
      <c r="L506" s="12"/>
      <c r="M506" s="215"/>
      <c r="N506" s="12"/>
      <c r="O506" s="219"/>
      <c r="P506" s="219"/>
      <c r="Q506" s="219"/>
      <c r="R506" s="219"/>
      <c r="T506" s="215"/>
      <c r="U506" s="12"/>
      <c r="V506" s="12"/>
      <c r="W506" s="12"/>
      <c r="X506" s="12"/>
      <c r="Z506" s="245"/>
      <c r="AA506" s="118"/>
      <c r="AB506" s="12"/>
      <c r="AC506" s="13"/>
    </row>
    <row r="507" spans="2:29" x14ac:dyDescent="0.2">
      <c r="B507" s="9" t="str">
        <f t="shared" si="121"/>
        <v>5 2026</v>
      </c>
      <c r="C507" s="88">
        <f t="shared" si="122"/>
        <v>46156</v>
      </c>
      <c r="D507" s="88">
        <f t="shared" si="124"/>
        <v>46157</v>
      </c>
      <c r="E507" s="89">
        <f t="shared" si="123"/>
        <v>1</v>
      </c>
      <c r="H507" s="206">
        <v>46153</v>
      </c>
      <c r="I507" s="215"/>
      <c r="J507" s="228"/>
      <c r="K507" s="12"/>
      <c r="L507" s="12"/>
      <c r="M507" s="215"/>
      <c r="N507" s="12"/>
      <c r="O507" s="219"/>
      <c r="P507" s="219"/>
      <c r="Q507" s="219"/>
      <c r="R507" s="219"/>
      <c r="T507" s="215"/>
      <c r="U507" s="12"/>
      <c r="V507" s="12"/>
      <c r="W507" s="12"/>
      <c r="X507" s="12"/>
      <c r="Z507" s="245"/>
      <c r="AA507" s="118"/>
      <c r="AB507" s="12"/>
      <c r="AC507" s="13"/>
    </row>
    <row r="508" spans="2:29" x14ac:dyDescent="0.2">
      <c r="B508" s="9" t="str">
        <f t="shared" si="121"/>
        <v>5 2026</v>
      </c>
      <c r="C508" s="88">
        <f t="shared" si="122"/>
        <v>46157</v>
      </c>
      <c r="D508" s="88">
        <f t="shared" si="124"/>
        <v>46158</v>
      </c>
      <c r="E508" s="89">
        <f t="shared" si="123"/>
        <v>1</v>
      </c>
      <c r="H508" s="206">
        <v>46154</v>
      </c>
      <c r="I508" s="215"/>
      <c r="J508" s="228"/>
      <c r="K508" s="12"/>
      <c r="L508" s="12"/>
      <c r="M508" s="215"/>
      <c r="N508" s="12"/>
      <c r="O508" s="219"/>
      <c r="P508" s="219"/>
      <c r="Q508" s="219"/>
      <c r="R508" s="219"/>
      <c r="T508" s="215"/>
      <c r="U508" s="12"/>
      <c r="V508" s="12"/>
      <c r="W508" s="12"/>
      <c r="X508" s="12"/>
      <c r="Z508" s="245"/>
      <c r="AA508" s="118"/>
      <c r="AB508" s="12"/>
      <c r="AC508" s="13"/>
    </row>
    <row r="509" spans="2:29" x14ac:dyDescent="0.2">
      <c r="B509" s="9" t="str">
        <f t="shared" si="121"/>
        <v>5 2026</v>
      </c>
      <c r="C509" s="88">
        <f t="shared" si="122"/>
        <v>46158</v>
      </c>
      <c r="D509" s="88">
        <f t="shared" si="124"/>
        <v>46159</v>
      </c>
      <c r="E509" s="89">
        <f t="shared" si="123"/>
        <v>1</v>
      </c>
      <c r="H509" s="206">
        <v>46154</v>
      </c>
      <c r="I509" s="215"/>
      <c r="J509" s="228"/>
      <c r="K509" s="12"/>
      <c r="L509" s="12"/>
      <c r="M509" s="215"/>
      <c r="N509" s="12"/>
      <c r="O509" s="219"/>
      <c r="P509" s="219"/>
      <c r="Q509" s="219"/>
      <c r="R509" s="219"/>
      <c r="T509" s="215"/>
      <c r="U509" s="12"/>
      <c r="V509" s="12"/>
      <c r="W509" s="12"/>
      <c r="X509" s="12"/>
      <c r="Z509" s="245"/>
      <c r="AA509" s="118"/>
      <c r="AB509" s="12"/>
      <c r="AC509" s="13"/>
    </row>
    <row r="510" spans="2:29" x14ac:dyDescent="0.2">
      <c r="B510" s="9" t="str">
        <f t="shared" si="121"/>
        <v>5 2026</v>
      </c>
      <c r="C510" s="88">
        <f t="shared" si="122"/>
        <v>46159</v>
      </c>
      <c r="D510" s="88">
        <f t="shared" si="124"/>
        <v>46160</v>
      </c>
      <c r="E510" s="89">
        <f t="shared" si="123"/>
        <v>1</v>
      </c>
      <c r="H510" s="206">
        <v>46154</v>
      </c>
      <c r="I510" s="215"/>
      <c r="J510" s="228"/>
      <c r="K510" s="12"/>
      <c r="L510" s="12"/>
      <c r="M510" s="215"/>
      <c r="N510" s="12"/>
      <c r="O510" s="219"/>
      <c r="P510" s="219"/>
      <c r="Q510" s="219"/>
      <c r="R510" s="219"/>
      <c r="T510" s="215"/>
      <c r="U510" s="12"/>
      <c r="V510" s="12"/>
      <c r="W510" s="12"/>
      <c r="X510" s="12"/>
      <c r="Z510" s="245"/>
      <c r="AA510" s="118"/>
      <c r="AB510" s="12"/>
      <c r="AC510" s="13"/>
    </row>
    <row r="511" spans="2:29" x14ac:dyDescent="0.2">
      <c r="B511" s="9" t="str">
        <f t="shared" si="121"/>
        <v>5 2026</v>
      </c>
      <c r="C511" s="88">
        <f t="shared" si="122"/>
        <v>46160</v>
      </c>
      <c r="D511" s="88">
        <f t="shared" si="124"/>
        <v>46161</v>
      </c>
      <c r="E511" s="89">
        <f t="shared" si="123"/>
        <v>1</v>
      </c>
      <c r="H511" s="206">
        <v>46155</v>
      </c>
      <c r="I511" s="215"/>
      <c r="J511" s="228"/>
      <c r="K511" s="12"/>
      <c r="L511" s="12"/>
      <c r="M511" s="215"/>
      <c r="N511" s="12"/>
      <c r="O511" s="219"/>
      <c r="P511" s="219"/>
      <c r="Q511" s="219"/>
      <c r="R511" s="219"/>
      <c r="T511" s="215"/>
      <c r="U511" s="12"/>
      <c r="V511" s="12"/>
      <c r="W511" s="12"/>
      <c r="X511" s="12"/>
      <c r="Z511" s="245"/>
      <c r="AA511" s="118"/>
      <c r="AB511" s="12"/>
      <c r="AC511" s="13"/>
    </row>
    <row r="512" spans="2:29" x14ac:dyDescent="0.2">
      <c r="B512" s="9" t="str">
        <f t="shared" si="121"/>
        <v>5 2026</v>
      </c>
      <c r="C512" s="88">
        <f t="shared" si="122"/>
        <v>46161</v>
      </c>
      <c r="D512" s="88">
        <f t="shared" si="124"/>
        <v>46162</v>
      </c>
      <c r="E512" s="89">
        <f t="shared" si="123"/>
        <v>1</v>
      </c>
      <c r="H512" s="206">
        <v>46157</v>
      </c>
      <c r="I512" s="215"/>
      <c r="J512" s="228"/>
      <c r="K512" s="12"/>
      <c r="L512" s="12"/>
      <c r="M512" s="215"/>
      <c r="N512" s="12"/>
      <c r="O512" s="219"/>
      <c r="P512" s="219"/>
      <c r="Q512" s="219"/>
      <c r="R512" s="219"/>
      <c r="T512" s="215"/>
      <c r="U512" s="12"/>
      <c r="V512" s="12"/>
      <c r="W512" s="12"/>
      <c r="X512" s="12"/>
      <c r="Z512" s="245"/>
      <c r="AA512" s="118"/>
      <c r="AB512" s="12"/>
      <c r="AC512" s="13"/>
    </row>
    <row r="513" spans="2:29" x14ac:dyDescent="0.2">
      <c r="B513" s="9" t="str">
        <f t="shared" si="121"/>
        <v>5 2026</v>
      </c>
      <c r="C513" s="88">
        <f t="shared" si="122"/>
        <v>46162</v>
      </c>
      <c r="D513" s="88">
        <f t="shared" si="124"/>
        <v>46163</v>
      </c>
      <c r="E513" s="89">
        <f t="shared" si="123"/>
        <v>1</v>
      </c>
      <c r="H513" s="206">
        <v>46160</v>
      </c>
      <c r="I513" s="215"/>
      <c r="J513" s="228"/>
      <c r="K513" s="12"/>
      <c r="L513" s="12"/>
      <c r="M513" s="215"/>
      <c r="N513" s="12"/>
      <c r="O513" s="219"/>
      <c r="P513" s="219"/>
      <c r="Q513" s="219"/>
      <c r="R513" s="219"/>
      <c r="T513" s="215"/>
      <c r="U513" s="12"/>
      <c r="V513" s="12"/>
      <c r="W513" s="12"/>
      <c r="X513" s="12"/>
      <c r="Z513" s="245"/>
      <c r="AA513" s="118"/>
      <c r="AB513" s="12"/>
      <c r="AC513" s="13"/>
    </row>
    <row r="514" spans="2:29" x14ac:dyDescent="0.2">
      <c r="B514" s="9" t="str">
        <f t="shared" si="121"/>
        <v>5 2026</v>
      </c>
      <c r="C514" s="88">
        <f t="shared" si="122"/>
        <v>46163</v>
      </c>
      <c r="D514" s="88">
        <f t="shared" si="124"/>
        <v>46164</v>
      </c>
      <c r="E514" s="89">
        <f t="shared" si="123"/>
        <v>1</v>
      </c>
      <c r="H514" s="206">
        <v>46161</v>
      </c>
      <c r="I514" s="215"/>
      <c r="J514" s="228"/>
      <c r="K514" s="12"/>
      <c r="L514" s="12"/>
      <c r="M514" s="215"/>
      <c r="N514" s="12"/>
      <c r="O514" s="219"/>
      <c r="P514" s="219"/>
      <c r="Q514" s="219"/>
      <c r="R514" s="219"/>
      <c r="T514" s="215"/>
      <c r="U514" s="12"/>
      <c r="V514" s="12"/>
      <c r="W514" s="12"/>
      <c r="X514" s="12"/>
      <c r="Z514" s="245"/>
      <c r="AA514" s="118"/>
      <c r="AB514" s="12"/>
      <c r="AC514" s="13"/>
    </row>
    <row r="515" spans="2:29" x14ac:dyDescent="0.2">
      <c r="B515" s="9" t="str">
        <f t="shared" si="121"/>
        <v>5 2026</v>
      </c>
      <c r="C515" s="88">
        <f t="shared" si="122"/>
        <v>46164</v>
      </c>
      <c r="D515" s="88">
        <f t="shared" si="124"/>
        <v>46165</v>
      </c>
      <c r="E515" s="89">
        <f t="shared" si="123"/>
        <v>1</v>
      </c>
      <c r="H515" s="206">
        <v>46162</v>
      </c>
      <c r="I515" s="215"/>
      <c r="J515" s="228"/>
      <c r="K515" s="12"/>
      <c r="L515" s="12"/>
      <c r="M515" s="215"/>
      <c r="N515" s="12"/>
      <c r="O515" s="219"/>
      <c r="P515" s="219"/>
      <c r="Q515" s="219"/>
      <c r="R515" s="219"/>
      <c r="T515" s="215"/>
      <c r="U515" s="12"/>
      <c r="V515" s="12"/>
      <c r="W515" s="12"/>
      <c r="X515" s="12"/>
      <c r="Z515" s="245"/>
      <c r="AA515" s="118"/>
      <c r="AB515" s="12"/>
      <c r="AC515" s="13"/>
    </row>
    <row r="516" spans="2:29" x14ac:dyDescent="0.2">
      <c r="B516" s="9" t="str">
        <f t="shared" si="121"/>
        <v>5 2026</v>
      </c>
      <c r="C516" s="88">
        <f t="shared" si="122"/>
        <v>46165</v>
      </c>
      <c r="D516" s="88">
        <f t="shared" si="124"/>
        <v>46166</v>
      </c>
      <c r="E516" s="89">
        <f t="shared" si="123"/>
        <v>1</v>
      </c>
      <c r="H516" s="206">
        <v>46162</v>
      </c>
      <c r="I516" s="215"/>
      <c r="J516" s="228"/>
      <c r="K516" s="12"/>
      <c r="L516" s="12"/>
      <c r="M516" s="215"/>
      <c r="N516" s="12"/>
      <c r="O516" s="219"/>
      <c r="P516" s="219"/>
      <c r="Q516" s="219"/>
      <c r="R516" s="219"/>
      <c r="T516" s="215"/>
      <c r="U516" s="12"/>
      <c r="V516" s="12"/>
      <c r="W516" s="12"/>
      <c r="X516" s="12"/>
      <c r="Z516" s="245"/>
      <c r="AA516" s="118"/>
      <c r="AB516" s="12"/>
      <c r="AC516" s="13"/>
    </row>
    <row r="517" spans="2:29" x14ac:dyDescent="0.2">
      <c r="B517" s="9" t="str">
        <f t="shared" si="121"/>
        <v>5 2026</v>
      </c>
      <c r="C517" s="88">
        <f t="shared" si="122"/>
        <v>46166</v>
      </c>
      <c r="D517" s="88">
        <f t="shared" si="124"/>
        <v>46167</v>
      </c>
      <c r="E517" s="89">
        <f t="shared" si="123"/>
        <v>1</v>
      </c>
      <c r="H517" s="206">
        <v>46162</v>
      </c>
      <c r="I517" s="215"/>
      <c r="J517" s="228"/>
      <c r="K517" s="12"/>
      <c r="L517" s="12"/>
      <c r="M517" s="215"/>
      <c r="N517" s="12"/>
      <c r="O517" s="219"/>
      <c r="P517" s="219"/>
      <c r="Q517" s="219"/>
      <c r="R517" s="219"/>
      <c r="T517" s="215"/>
      <c r="U517" s="12"/>
      <c r="V517" s="12"/>
      <c r="W517" s="12"/>
      <c r="X517" s="12"/>
      <c r="Z517" s="245"/>
      <c r="AA517" s="118"/>
      <c r="AB517" s="12"/>
      <c r="AC517" s="13"/>
    </row>
    <row r="518" spans="2:29" x14ac:dyDescent="0.2">
      <c r="B518" s="9" t="str">
        <f t="shared" si="121"/>
        <v>5 2026</v>
      </c>
      <c r="C518" s="88">
        <f t="shared" si="122"/>
        <v>46167</v>
      </c>
      <c r="D518" s="88">
        <f t="shared" si="124"/>
        <v>46168</v>
      </c>
      <c r="E518" s="89">
        <f t="shared" si="123"/>
        <v>1</v>
      </c>
      <c r="H518" s="206">
        <v>46162</v>
      </c>
      <c r="I518" s="215"/>
      <c r="J518" s="228"/>
      <c r="K518" s="12"/>
      <c r="L518" s="12"/>
      <c r="M518" s="215"/>
      <c r="N518" s="12"/>
      <c r="O518" s="219"/>
      <c r="P518" s="219"/>
      <c r="Q518" s="219"/>
      <c r="R518" s="219"/>
      <c r="T518" s="215"/>
      <c r="U518" s="12"/>
      <c r="V518" s="12"/>
      <c r="W518" s="12"/>
      <c r="X518" s="12"/>
      <c r="Z518" s="245"/>
      <c r="AA518" s="118"/>
      <c r="AB518" s="12"/>
      <c r="AC518" s="13"/>
    </row>
    <row r="519" spans="2:29" x14ac:dyDescent="0.2">
      <c r="B519" s="9" t="str">
        <f t="shared" si="121"/>
        <v>5 2026</v>
      </c>
      <c r="C519" s="88">
        <f t="shared" si="122"/>
        <v>46168</v>
      </c>
      <c r="D519" s="88">
        <f t="shared" si="124"/>
        <v>46169</v>
      </c>
      <c r="E519" s="89">
        <f t="shared" si="123"/>
        <v>1</v>
      </c>
      <c r="H519" s="206">
        <v>46163</v>
      </c>
      <c r="I519" s="215"/>
      <c r="J519" s="228"/>
      <c r="K519" s="12"/>
      <c r="L519" s="12"/>
      <c r="M519" s="215"/>
      <c r="N519" s="12"/>
      <c r="O519" s="219"/>
      <c r="P519" s="219"/>
      <c r="Q519" s="219"/>
      <c r="R519" s="219"/>
      <c r="T519" s="215"/>
      <c r="U519" s="12"/>
      <c r="V519" s="12"/>
      <c r="W519" s="12"/>
      <c r="X519" s="12"/>
      <c r="Z519" s="245"/>
      <c r="AA519" s="118"/>
      <c r="AB519" s="12"/>
      <c r="AC519" s="13"/>
    </row>
    <row r="520" spans="2:29" x14ac:dyDescent="0.2">
      <c r="B520" s="9" t="str">
        <f t="shared" si="121"/>
        <v>5 2026</v>
      </c>
      <c r="C520" s="88">
        <f t="shared" si="122"/>
        <v>46169</v>
      </c>
      <c r="D520" s="88">
        <f t="shared" si="124"/>
        <v>46170</v>
      </c>
      <c r="E520" s="89">
        <f t="shared" si="123"/>
        <v>1</v>
      </c>
      <c r="H520" s="206">
        <v>46164</v>
      </c>
      <c r="I520" s="215"/>
      <c r="J520" s="228"/>
      <c r="K520" s="12"/>
      <c r="L520" s="12"/>
      <c r="M520" s="215"/>
      <c r="N520" s="12"/>
      <c r="O520" s="219"/>
      <c r="P520" s="219"/>
      <c r="Q520" s="219"/>
      <c r="R520" s="219"/>
      <c r="T520" s="215"/>
      <c r="U520" s="12"/>
      <c r="V520" s="12"/>
      <c r="W520" s="12"/>
      <c r="X520" s="12"/>
      <c r="Z520" s="245"/>
      <c r="AA520" s="118"/>
      <c r="AB520" s="12"/>
      <c r="AC520" s="13"/>
    </row>
    <row r="521" spans="2:29" x14ac:dyDescent="0.2">
      <c r="B521" s="9" t="str">
        <f t="shared" si="121"/>
        <v>5 2026</v>
      </c>
      <c r="C521" s="88">
        <f t="shared" si="122"/>
        <v>46170</v>
      </c>
      <c r="D521" s="88">
        <f t="shared" si="124"/>
        <v>46171</v>
      </c>
      <c r="E521" s="89">
        <f t="shared" si="123"/>
        <v>1</v>
      </c>
      <c r="H521" s="206">
        <v>46168</v>
      </c>
      <c r="I521" s="215"/>
      <c r="J521" s="228"/>
      <c r="K521" s="12"/>
      <c r="L521" s="12"/>
      <c r="M521" s="215"/>
      <c r="N521" s="12"/>
      <c r="O521" s="219"/>
      <c r="P521" s="219"/>
      <c r="Q521" s="219"/>
      <c r="R521" s="219"/>
      <c r="T521" s="215"/>
      <c r="U521" s="12"/>
      <c r="V521" s="12"/>
      <c r="W521" s="12"/>
      <c r="X521" s="12"/>
      <c r="Z521" s="245"/>
      <c r="AA521" s="118"/>
      <c r="AB521" s="12"/>
      <c r="AC521" s="13"/>
    </row>
    <row r="522" spans="2:29" x14ac:dyDescent="0.2">
      <c r="B522" s="9" t="str">
        <f t="shared" si="121"/>
        <v>5 2026</v>
      </c>
      <c r="C522" s="88">
        <f t="shared" si="122"/>
        <v>46171</v>
      </c>
      <c r="D522" s="88">
        <f t="shared" si="124"/>
        <v>46172</v>
      </c>
      <c r="E522" s="89">
        <f t="shared" si="123"/>
        <v>1</v>
      </c>
      <c r="H522" s="206">
        <v>46169</v>
      </c>
      <c r="I522" s="215"/>
      <c r="J522" s="228"/>
      <c r="K522" s="12"/>
      <c r="L522" s="12"/>
      <c r="M522" s="215"/>
      <c r="N522" s="12"/>
      <c r="O522" s="219"/>
      <c r="P522" s="219"/>
      <c r="Q522" s="219"/>
      <c r="R522" s="219"/>
      <c r="T522" s="215"/>
      <c r="U522" s="12"/>
      <c r="V522" s="12"/>
      <c r="W522" s="12"/>
      <c r="X522" s="12"/>
      <c r="Z522" s="245"/>
      <c r="AA522" s="118"/>
      <c r="AB522" s="12"/>
      <c r="AC522" s="13"/>
    </row>
    <row r="523" spans="2:29" x14ac:dyDescent="0.2">
      <c r="B523" s="9" t="str">
        <f t="shared" si="121"/>
        <v>5 2026</v>
      </c>
      <c r="C523" s="88">
        <f t="shared" si="122"/>
        <v>46172</v>
      </c>
      <c r="D523" s="88">
        <f t="shared" si="124"/>
        <v>46173</v>
      </c>
      <c r="E523" s="89">
        <f t="shared" si="123"/>
        <v>1</v>
      </c>
      <c r="H523" s="206">
        <v>46169</v>
      </c>
      <c r="I523" s="215"/>
      <c r="J523" s="228"/>
      <c r="K523" s="12"/>
      <c r="L523" s="12"/>
      <c r="M523" s="215"/>
      <c r="N523" s="12"/>
      <c r="O523" s="219"/>
      <c r="P523" s="219"/>
      <c r="Q523" s="219"/>
      <c r="R523" s="219"/>
      <c r="T523" s="215"/>
      <c r="U523" s="12"/>
      <c r="V523" s="12"/>
      <c r="W523" s="12"/>
      <c r="X523" s="12"/>
      <c r="Z523" s="245"/>
      <c r="AA523" s="118"/>
      <c r="AB523" s="12"/>
      <c r="AC523" s="13"/>
    </row>
    <row r="524" spans="2:29" x14ac:dyDescent="0.2">
      <c r="B524" s="9" t="str">
        <f t="shared" si="121"/>
        <v>6 2026</v>
      </c>
      <c r="C524" s="88">
        <f t="shared" si="122"/>
        <v>46173</v>
      </c>
      <c r="D524" s="88">
        <f t="shared" si="124"/>
        <v>46174</v>
      </c>
      <c r="E524" s="89">
        <f t="shared" si="123"/>
        <v>1</v>
      </c>
      <c r="H524" s="206">
        <v>46169</v>
      </c>
      <c r="I524" s="215"/>
      <c r="J524" s="228"/>
      <c r="K524" s="12"/>
      <c r="L524" s="12"/>
      <c r="M524" s="215"/>
      <c r="N524" s="12"/>
      <c r="O524" s="219"/>
      <c r="P524" s="219"/>
      <c r="Q524" s="219"/>
      <c r="R524" s="219"/>
      <c r="T524" s="215"/>
      <c r="U524" s="12"/>
      <c r="V524" s="12"/>
      <c r="W524" s="12"/>
      <c r="X524" s="12"/>
      <c r="Z524" s="245"/>
      <c r="AA524" s="118"/>
      <c r="AB524" s="12"/>
      <c r="AC524" s="13"/>
    </row>
    <row r="525" spans="2:29" x14ac:dyDescent="0.2">
      <c r="B525" s="9" t="str">
        <f t="shared" si="121"/>
        <v>6 2026</v>
      </c>
      <c r="C525" s="88">
        <f t="shared" si="122"/>
        <v>46174</v>
      </c>
      <c r="D525" s="88">
        <f t="shared" si="124"/>
        <v>46175</v>
      </c>
      <c r="E525" s="89">
        <f t="shared" si="123"/>
        <v>1</v>
      </c>
      <c r="H525" s="206">
        <v>46170</v>
      </c>
      <c r="I525" s="215"/>
      <c r="J525" s="228"/>
      <c r="K525" s="12"/>
      <c r="L525" s="12"/>
      <c r="M525" s="215"/>
      <c r="N525" s="12"/>
      <c r="O525" s="219"/>
      <c r="P525" s="219"/>
      <c r="Q525" s="219"/>
      <c r="R525" s="219"/>
      <c r="T525" s="215"/>
      <c r="U525" s="12"/>
      <c r="V525" s="12"/>
      <c r="W525" s="12"/>
      <c r="X525" s="12"/>
      <c r="Z525" s="245"/>
      <c r="AA525" s="118"/>
      <c r="AB525" s="12"/>
      <c r="AC525" s="13"/>
    </row>
    <row r="526" spans="2:29" x14ac:dyDescent="0.2">
      <c r="B526" s="9" t="str">
        <f t="shared" si="121"/>
        <v>6 2026</v>
      </c>
      <c r="C526" s="88">
        <f t="shared" si="122"/>
        <v>46175</v>
      </c>
      <c r="D526" s="88">
        <f t="shared" si="124"/>
        <v>46176</v>
      </c>
      <c r="E526" s="89">
        <f t="shared" si="123"/>
        <v>1</v>
      </c>
      <c r="H526" s="206">
        <v>46171</v>
      </c>
      <c r="I526" s="215"/>
      <c r="J526" s="228"/>
      <c r="K526" s="12"/>
      <c r="L526" s="12"/>
      <c r="M526" s="215"/>
      <c r="N526" s="12"/>
      <c r="O526" s="219"/>
      <c r="P526" s="219"/>
      <c r="Q526" s="219"/>
      <c r="R526" s="219"/>
      <c r="T526" s="215"/>
      <c r="U526" s="12"/>
      <c r="V526" s="12"/>
      <c r="W526" s="12"/>
      <c r="X526" s="12"/>
      <c r="Z526" s="245"/>
      <c r="AA526" s="118"/>
      <c r="AB526" s="12"/>
      <c r="AC526" s="13"/>
    </row>
    <row r="527" spans="2:29" x14ac:dyDescent="0.2">
      <c r="B527" s="9" t="str">
        <f t="shared" si="121"/>
        <v>6 2026</v>
      </c>
      <c r="C527" s="88">
        <f t="shared" si="122"/>
        <v>46176</v>
      </c>
      <c r="D527" s="88">
        <f t="shared" si="124"/>
        <v>46177</v>
      </c>
      <c r="E527" s="89">
        <f t="shared" si="123"/>
        <v>1</v>
      </c>
      <c r="H527" s="206">
        <v>46174</v>
      </c>
      <c r="I527" s="215"/>
      <c r="J527" s="228"/>
      <c r="K527" s="12"/>
      <c r="L527" s="12"/>
      <c r="M527" s="215"/>
      <c r="N527" s="12"/>
      <c r="O527" s="219"/>
      <c r="P527" s="219"/>
      <c r="Q527" s="219"/>
      <c r="R527" s="219"/>
      <c r="T527" s="215"/>
      <c r="U527" s="12"/>
      <c r="V527" s="12"/>
      <c r="W527" s="12"/>
      <c r="X527" s="12"/>
      <c r="Z527" s="245"/>
      <c r="AA527" s="118"/>
      <c r="AB527" s="12"/>
      <c r="AC527" s="13"/>
    </row>
    <row r="528" spans="2:29" x14ac:dyDescent="0.2">
      <c r="B528" s="9" t="str">
        <f t="shared" si="121"/>
        <v>6 2026</v>
      </c>
      <c r="C528" s="88">
        <f t="shared" si="122"/>
        <v>46177</v>
      </c>
      <c r="D528" s="88">
        <f t="shared" si="124"/>
        <v>46178</v>
      </c>
      <c r="E528" s="89">
        <f t="shared" si="123"/>
        <v>1</v>
      </c>
      <c r="H528" s="206">
        <v>46175</v>
      </c>
      <c r="I528" s="215"/>
      <c r="J528" s="228"/>
      <c r="K528" s="12"/>
      <c r="L528" s="12"/>
      <c r="M528" s="215"/>
      <c r="N528" s="12"/>
      <c r="O528" s="219"/>
      <c r="P528" s="219"/>
      <c r="Q528" s="219"/>
      <c r="R528" s="219"/>
      <c r="T528" s="215"/>
      <c r="U528" s="12"/>
      <c r="V528" s="12"/>
      <c r="W528" s="12"/>
      <c r="X528" s="12"/>
      <c r="Z528" s="245"/>
      <c r="AA528" s="118"/>
      <c r="AB528" s="12"/>
      <c r="AC528" s="13"/>
    </row>
    <row r="529" spans="2:29" x14ac:dyDescent="0.2">
      <c r="B529" s="9" t="str">
        <f t="shared" si="121"/>
        <v>6 2026</v>
      </c>
      <c r="C529" s="88">
        <f t="shared" si="122"/>
        <v>46178</v>
      </c>
      <c r="D529" s="88">
        <f t="shared" si="124"/>
        <v>46179</v>
      </c>
      <c r="E529" s="89">
        <f t="shared" si="123"/>
        <v>1</v>
      </c>
      <c r="H529" s="206">
        <v>46176</v>
      </c>
      <c r="I529" s="215"/>
      <c r="J529" s="228"/>
      <c r="K529" s="12"/>
      <c r="L529" s="12"/>
      <c r="M529" s="215"/>
      <c r="N529" s="12"/>
      <c r="O529" s="219"/>
      <c r="P529" s="219"/>
      <c r="Q529" s="219"/>
      <c r="R529" s="219"/>
      <c r="T529" s="215"/>
      <c r="U529" s="12"/>
      <c r="V529" s="12"/>
      <c r="W529" s="12"/>
      <c r="X529" s="12"/>
      <c r="Z529" s="245"/>
      <c r="AA529" s="118"/>
      <c r="AB529" s="12"/>
      <c r="AC529" s="13"/>
    </row>
    <row r="530" spans="2:29" x14ac:dyDescent="0.2">
      <c r="B530" s="9" t="str">
        <f t="shared" si="121"/>
        <v>6 2026</v>
      </c>
      <c r="C530" s="88">
        <f t="shared" si="122"/>
        <v>46179</v>
      </c>
      <c r="D530" s="88">
        <f t="shared" si="124"/>
        <v>46180</v>
      </c>
      <c r="E530" s="89">
        <f t="shared" si="123"/>
        <v>1</v>
      </c>
      <c r="H530" s="206">
        <v>46176</v>
      </c>
      <c r="I530" s="215"/>
      <c r="J530" s="228"/>
      <c r="K530" s="12"/>
      <c r="L530" s="12"/>
      <c r="M530" s="215"/>
      <c r="N530" s="12"/>
      <c r="O530" s="219"/>
      <c r="P530" s="219"/>
      <c r="Q530" s="219"/>
      <c r="R530" s="219"/>
      <c r="T530" s="215"/>
      <c r="U530" s="12"/>
      <c r="V530" s="12"/>
      <c r="W530" s="12"/>
      <c r="X530" s="12"/>
      <c r="Z530" s="245"/>
      <c r="AA530" s="118"/>
      <c r="AB530" s="12"/>
      <c r="AC530" s="13"/>
    </row>
    <row r="531" spans="2:29" x14ac:dyDescent="0.2">
      <c r="B531" s="9" t="str">
        <f t="shared" si="121"/>
        <v>6 2026</v>
      </c>
      <c r="C531" s="88">
        <f t="shared" si="122"/>
        <v>46180</v>
      </c>
      <c r="D531" s="88">
        <f t="shared" si="124"/>
        <v>46181</v>
      </c>
      <c r="E531" s="89">
        <f t="shared" si="123"/>
        <v>1</v>
      </c>
      <c r="H531" s="206">
        <v>46176</v>
      </c>
      <c r="I531" s="215"/>
      <c r="J531" s="228"/>
      <c r="K531" s="12"/>
      <c r="L531" s="12"/>
      <c r="M531" s="215"/>
      <c r="N531" s="12"/>
      <c r="O531" s="219"/>
      <c r="P531" s="219"/>
      <c r="Q531" s="219"/>
      <c r="R531" s="219"/>
      <c r="T531" s="215"/>
      <c r="U531" s="12"/>
      <c r="V531" s="12"/>
      <c r="W531" s="12"/>
      <c r="X531" s="12"/>
      <c r="Z531" s="245"/>
      <c r="AA531" s="118"/>
      <c r="AB531" s="12"/>
      <c r="AC531" s="13"/>
    </row>
    <row r="532" spans="2:29" x14ac:dyDescent="0.2">
      <c r="B532" s="9" t="str">
        <f t="shared" si="121"/>
        <v>6 2026</v>
      </c>
      <c r="C532" s="88">
        <f t="shared" si="122"/>
        <v>46181</v>
      </c>
      <c r="D532" s="88">
        <f t="shared" si="124"/>
        <v>46182</v>
      </c>
      <c r="E532" s="89">
        <f t="shared" si="123"/>
        <v>1</v>
      </c>
      <c r="H532" s="206">
        <v>46177</v>
      </c>
      <c r="I532" s="215"/>
      <c r="J532" s="228"/>
      <c r="K532" s="12"/>
      <c r="L532" s="12"/>
      <c r="M532" s="215"/>
      <c r="N532" s="12"/>
      <c r="O532" s="219"/>
      <c r="P532" s="219"/>
      <c r="Q532" s="219"/>
      <c r="R532" s="219"/>
      <c r="T532" s="215"/>
      <c r="U532" s="12"/>
      <c r="V532" s="12"/>
      <c r="W532" s="12"/>
      <c r="X532" s="12"/>
      <c r="Z532" s="245"/>
      <c r="AA532" s="118"/>
      <c r="AB532" s="12"/>
      <c r="AC532" s="13"/>
    </row>
    <row r="533" spans="2:29" x14ac:dyDescent="0.2">
      <c r="B533" s="9" t="str">
        <f t="shared" ref="B533:B596" si="125">CONCATENATE(MONTH(D533)," ",YEAR(D533))</f>
        <v>6 2026</v>
      </c>
      <c r="C533" s="88">
        <f t="shared" ref="C533:C596" si="126">D532</f>
        <v>46182</v>
      </c>
      <c r="D533" s="88">
        <f t="shared" si="124"/>
        <v>46183</v>
      </c>
      <c r="E533" s="89">
        <f t="shared" ref="E533:E596" si="127">D533-C533</f>
        <v>1</v>
      </c>
      <c r="H533" s="206">
        <v>46178</v>
      </c>
      <c r="I533" s="215"/>
      <c r="J533" s="228"/>
      <c r="K533" s="12"/>
      <c r="L533" s="12"/>
      <c r="M533" s="215"/>
      <c r="N533" s="12"/>
      <c r="O533" s="219"/>
      <c r="P533" s="219"/>
      <c r="Q533" s="219"/>
      <c r="R533" s="219"/>
      <c r="T533" s="215"/>
      <c r="U533" s="12"/>
      <c r="V533" s="12"/>
      <c r="W533" s="12"/>
      <c r="X533" s="12"/>
      <c r="Z533" s="245"/>
      <c r="AA533" s="118"/>
      <c r="AB533" s="12"/>
      <c r="AC533" s="13"/>
    </row>
    <row r="534" spans="2:29" x14ac:dyDescent="0.2">
      <c r="B534" s="9" t="str">
        <f t="shared" si="125"/>
        <v>6 2026</v>
      </c>
      <c r="C534" s="88">
        <f t="shared" si="126"/>
        <v>46183</v>
      </c>
      <c r="D534" s="88">
        <f t="shared" si="124"/>
        <v>46184</v>
      </c>
      <c r="E534" s="89">
        <f t="shared" si="127"/>
        <v>1</v>
      </c>
      <c r="H534" s="206">
        <v>46181</v>
      </c>
      <c r="I534" s="215"/>
      <c r="J534" s="228"/>
      <c r="K534" s="12"/>
      <c r="L534" s="12"/>
      <c r="M534" s="215"/>
      <c r="N534" s="12"/>
      <c r="O534" s="219"/>
      <c r="P534" s="219"/>
      <c r="Q534" s="219"/>
      <c r="R534" s="219"/>
      <c r="T534" s="215"/>
      <c r="U534" s="12"/>
      <c r="V534" s="12"/>
      <c r="W534" s="12"/>
      <c r="X534" s="12"/>
      <c r="Z534" s="245"/>
      <c r="AA534" s="118"/>
      <c r="AB534" s="12"/>
      <c r="AC534" s="13"/>
    </row>
    <row r="535" spans="2:29" x14ac:dyDescent="0.2">
      <c r="B535" s="9" t="str">
        <f t="shared" si="125"/>
        <v>6 2026</v>
      </c>
      <c r="C535" s="88">
        <f t="shared" si="126"/>
        <v>46184</v>
      </c>
      <c r="D535" s="88">
        <f t="shared" si="124"/>
        <v>46185</v>
      </c>
      <c r="E535" s="89">
        <f t="shared" si="127"/>
        <v>1</v>
      </c>
      <c r="H535" s="206">
        <v>46182</v>
      </c>
      <c r="I535" s="215"/>
      <c r="J535" s="228"/>
      <c r="K535" s="12"/>
      <c r="L535" s="12"/>
      <c r="M535" s="215"/>
      <c r="N535" s="12"/>
      <c r="O535" s="219"/>
      <c r="P535" s="219"/>
      <c r="Q535" s="219"/>
      <c r="R535" s="219"/>
      <c r="T535" s="215"/>
      <c r="U535" s="12"/>
      <c r="V535" s="12"/>
      <c r="W535" s="12"/>
      <c r="X535" s="12"/>
      <c r="Z535" s="245"/>
      <c r="AA535" s="118"/>
      <c r="AB535" s="12"/>
      <c r="AC535" s="13"/>
    </row>
    <row r="536" spans="2:29" x14ac:dyDescent="0.2">
      <c r="B536" s="9" t="str">
        <f t="shared" si="125"/>
        <v>6 2026</v>
      </c>
      <c r="C536" s="88">
        <f t="shared" si="126"/>
        <v>46185</v>
      </c>
      <c r="D536" s="88">
        <f t="shared" si="124"/>
        <v>46186</v>
      </c>
      <c r="E536" s="89">
        <f t="shared" si="127"/>
        <v>1</v>
      </c>
      <c r="H536" s="206">
        <v>46183</v>
      </c>
      <c r="I536" s="215"/>
      <c r="J536" s="228"/>
      <c r="K536" s="12"/>
      <c r="L536" s="12"/>
      <c r="M536" s="215"/>
      <c r="N536" s="12"/>
      <c r="O536" s="219"/>
      <c r="P536" s="219"/>
      <c r="Q536" s="219"/>
      <c r="R536" s="219"/>
      <c r="T536" s="215"/>
      <c r="U536" s="12"/>
      <c r="V536" s="12"/>
      <c r="W536" s="12"/>
      <c r="X536" s="12"/>
      <c r="Z536" s="245"/>
      <c r="AA536" s="118"/>
      <c r="AB536" s="12"/>
      <c r="AC536" s="13"/>
    </row>
    <row r="537" spans="2:29" x14ac:dyDescent="0.2">
      <c r="B537" s="9" t="str">
        <f t="shared" si="125"/>
        <v>6 2026</v>
      </c>
      <c r="C537" s="88">
        <f t="shared" si="126"/>
        <v>46186</v>
      </c>
      <c r="D537" s="88">
        <f t="shared" si="124"/>
        <v>46187</v>
      </c>
      <c r="E537" s="89">
        <f t="shared" si="127"/>
        <v>1</v>
      </c>
      <c r="H537" s="206">
        <v>46183</v>
      </c>
      <c r="I537" s="215"/>
      <c r="J537" s="228"/>
      <c r="K537" s="12"/>
      <c r="L537" s="12"/>
      <c r="M537" s="215"/>
      <c r="N537" s="12"/>
      <c r="O537" s="219"/>
      <c r="P537" s="219"/>
      <c r="Q537" s="219"/>
      <c r="R537" s="219"/>
      <c r="T537" s="215"/>
      <c r="U537" s="12"/>
      <c r="V537" s="12"/>
      <c r="W537" s="12"/>
      <c r="X537" s="12"/>
      <c r="Z537" s="245"/>
      <c r="AA537" s="118"/>
      <c r="AB537" s="12"/>
      <c r="AC537" s="13"/>
    </row>
    <row r="538" spans="2:29" x14ac:dyDescent="0.2">
      <c r="B538" s="9" t="str">
        <f t="shared" si="125"/>
        <v>6 2026</v>
      </c>
      <c r="C538" s="88">
        <f t="shared" si="126"/>
        <v>46187</v>
      </c>
      <c r="D538" s="88">
        <f t="shared" si="124"/>
        <v>46188</v>
      </c>
      <c r="E538" s="89">
        <f t="shared" si="127"/>
        <v>1</v>
      </c>
      <c r="H538" s="206">
        <v>46183</v>
      </c>
      <c r="I538" s="215"/>
      <c r="J538" s="228"/>
      <c r="K538" s="12"/>
      <c r="L538" s="12"/>
      <c r="M538" s="215"/>
      <c r="N538" s="12"/>
      <c r="O538" s="219"/>
      <c r="P538" s="219"/>
      <c r="Q538" s="219"/>
      <c r="R538" s="219"/>
      <c r="T538" s="215"/>
      <c r="U538" s="12"/>
      <c r="V538" s="12"/>
      <c r="W538" s="12"/>
      <c r="X538" s="12"/>
      <c r="Z538" s="245"/>
      <c r="AA538" s="118"/>
      <c r="AB538" s="12"/>
      <c r="AC538" s="13"/>
    </row>
    <row r="539" spans="2:29" x14ac:dyDescent="0.2">
      <c r="B539" s="9" t="str">
        <f t="shared" si="125"/>
        <v>6 2026</v>
      </c>
      <c r="C539" s="88">
        <f t="shared" si="126"/>
        <v>46188</v>
      </c>
      <c r="D539" s="88">
        <f t="shared" si="124"/>
        <v>46189</v>
      </c>
      <c r="E539" s="89">
        <f t="shared" si="127"/>
        <v>1</v>
      </c>
      <c r="H539" s="206">
        <v>46184</v>
      </c>
      <c r="I539" s="215"/>
      <c r="J539" s="228"/>
      <c r="K539" s="12"/>
      <c r="L539" s="12"/>
      <c r="M539" s="215"/>
      <c r="N539" s="12"/>
      <c r="O539" s="219"/>
      <c r="P539" s="219"/>
      <c r="Q539" s="219"/>
      <c r="R539" s="219"/>
      <c r="T539" s="215"/>
      <c r="U539" s="12"/>
      <c r="V539" s="12"/>
      <c r="W539" s="12"/>
      <c r="X539" s="12"/>
      <c r="Z539" s="245"/>
      <c r="AA539" s="118"/>
      <c r="AB539" s="12"/>
      <c r="AC539" s="13"/>
    </row>
    <row r="540" spans="2:29" x14ac:dyDescent="0.2">
      <c r="B540" s="9" t="str">
        <f t="shared" si="125"/>
        <v>6 2026</v>
      </c>
      <c r="C540" s="88">
        <f t="shared" si="126"/>
        <v>46189</v>
      </c>
      <c r="D540" s="88">
        <f t="shared" si="124"/>
        <v>46190</v>
      </c>
      <c r="E540" s="89">
        <f t="shared" si="127"/>
        <v>1</v>
      </c>
      <c r="H540" s="206">
        <v>46185</v>
      </c>
      <c r="I540" s="215"/>
      <c r="J540" s="228"/>
      <c r="K540" s="12"/>
      <c r="L540" s="12"/>
      <c r="M540" s="215"/>
      <c r="N540" s="12"/>
      <c r="O540" s="219"/>
      <c r="P540" s="219"/>
      <c r="Q540" s="219"/>
      <c r="R540" s="219"/>
      <c r="T540" s="215"/>
      <c r="U540" s="12"/>
      <c r="V540" s="12"/>
      <c r="W540" s="12"/>
      <c r="X540" s="12"/>
      <c r="Z540" s="245"/>
      <c r="AA540" s="118"/>
      <c r="AB540" s="12"/>
      <c r="AC540" s="13"/>
    </row>
    <row r="541" spans="2:29" x14ac:dyDescent="0.2">
      <c r="B541" s="9" t="str">
        <f t="shared" si="125"/>
        <v>6 2026</v>
      </c>
      <c r="C541" s="88">
        <f t="shared" si="126"/>
        <v>46190</v>
      </c>
      <c r="D541" s="88">
        <f t="shared" si="124"/>
        <v>46191</v>
      </c>
      <c r="E541" s="89">
        <f t="shared" si="127"/>
        <v>1</v>
      </c>
      <c r="H541" s="206">
        <v>46188</v>
      </c>
      <c r="I541" s="215"/>
      <c r="J541" s="228"/>
      <c r="K541" s="12"/>
      <c r="L541" s="12"/>
      <c r="M541" s="215"/>
      <c r="N541" s="12"/>
      <c r="O541" s="219"/>
      <c r="P541" s="219"/>
      <c r="Q541" s="219"/>
      <c r="R541" s="219"/>
      <c r="T541" s="215"/>
      <c r="U541" s="12"/>
      <c r="V541" s="12"/>
      <c r="W541" s="12"/>
      <c r="X541" s="12"/>
      <c r="Z541" s="245"/>
      <c r="AA541" s="118"/>
      <c r="AB541" s="12"/>
      <c r="AC541" s="13"/>
    </row>
    <row r="542" spans="2:29" x14ac:dyDescent="0.2">
      <c r="B542" s="9" t="str">
        <f t="shared" si="125"/>
        <v>6 2026</v>
      </c>
      <c r="C542" s="88">
        <f t="shared" si="126"/>
        <v>46191</v>
      </c>
      <c r="D542" s="88">
        <f t="shared" si="124"/>
        <v>46192</v>
      </c>
      <c r="E542" s="89">
        <f t="shared" si="127"/>
        <v>1</v>
      </c>
      <c r="H542" s="206">
        <v>46189</v>
      </c>
      <c r="I542" s="215"/>
      <c r="J542" s="228"/>
      <c r="K542" s="12"/>
      <c r="L542" s="12"/>
      <c r="M542" s="215"/>
      <c r="N542" s="12"/>
      <c r="O542" s="219"/>
      <c r="P542" s="219"/>
      <c r="Q542" s="219"/>
      <c r="R542" s="219"/>
      <c r="T542" s="215"/>
      <c r="U542" s="12"/>
      <c r="V542" s="12"/>
      <c r="W542" s="12"/>
      <c r="X542" s="12"/>
      <c r="Z542" s="245"/>
      <c r="AA542" s="118"/>
      <c r="AB542" s="12"/>
      <c r="AC542" s="13"/>
    </row>
    <row r="543" spans="2:29" x14ac:dyDescent="0.2">
      <c r="B543" s="9" t="str">
        <f t="shared" si="125"/>
        <v>6 2026</v>
      </c>
      <c r="C543" s="88">
        <f t="shared" si="126"/>
        <v>46192</v>
      </c>
      <c r="D543" s="88">
        <f t="shared" si="124"/>
        <v>46193</v>
      </c>
      <c r="E543" s="89">
        <f t="shared" si="127"/>
        <v>1</v>
      </c>
      <c r="H543" s="206">
        <v>46190</v>
      </c>
      <c r="I543" s="215"/>
      <c r="J543" s="228"/>
      <c r="K543" s="12"/>
      <c r="L543" s="12"/>
      <c r="M543" s="215"/>
      <c r="N543" s="12"/>
      <c r="O543" s="219"/>
      <c r="P543" s="219"/>
      <c r="Q543" s="219"/>
      <c r="R543" s="219"/>
      <c r="T543" s="215"/>
      <c r="U543" s="12"/>
      <c r="V543" s="12"/>
      <c r="W543" s="12"/>
      <c r="X543" s="12"/>
      <c r="Z543" s="245"/>
      <c r="AA543" s="118"/>
      <c r="AB543" s="12"/>
      <c r="AC543" s="13"/>
    </row>
    <row r="544" spans="2:29" x14ac:dyDescent="0.2">
      <c r="B544" s="9" t="str">
        <f t="shared" si="125"/>
        <v>6 2026</v>
      </c>
      <c r="C544" s="88">
        <f t="shared" si="126"/>
        <v>46193</v>
      </c>
      <c r="D544" s="88">
        <f t="shared" si="124"/>
        <v>46194</v>
      </c>
      <c r="E544" s="89">
        <f t="shared" si="127"/>
        <v>1</v>
      </c>
      <c r="H544" s="206">
        <v>46190</v>
      </c>
      <c r="I544" s="215"/>
      <c r="J544" s="228"/>
      <c r="K544" s="12"/>
      <c r="L544" s="12"/>
      <c r="M544" s="215"/>
      <c r="N544" s="12"/>
      <c r="O544" s="219"/>
      <c r="P544" s="219"/>
      <c r="Q544" s="219"/>
      <c r="R544" s="219"/>
      <c r="T544" s="215"/>
      <c r="U544" s="12"/>
      <c r="V544" s="12"/>
      <c r="W544" s="12"/>
      <c r="X544" s="12"/>
      <c r="Z544" s="245"/>
      <c r="AA544" s="118"/>
      <c r="AB544" s="12"/>
      <c r="AC544" s="13"/>
    </row>
    <row r="545" spans="2:29" x14ac:dyDescent="0.2">
      <c r="B545" s="9" t="str">
        <f t="shared" si="125"/>
        <v>6 2026</v>
      </c>
      <c r="C545" s="88">
        <f t="shared" si="126"/>
        <v>46194</v>
      </c>
      <c r="D545" s="88">
        <f t="shared" si="124"/>
        <v>46195</v>
      </c>
      <c r="E545" s="89">
        <f t="shared" si="127"/>
        <v>1</v>
      </c>
      <c r="H545" s="206">
        <v>46190</v>
      </c>
      <c r="I545" s="215"/>
      <c r="J545" s="228"/>
      <c r="K545" s="12"/>
      <c r="L545" s="12"/>
      <c r="M545" s="215"/>
      <c r="N545" s="12"/>
      <c r="O545" s="219"/>
      <c r="P545" s="219"/>
      <c r="Q545" s="219"/>
      <c r="R545" s="219"/>
      <c r="T545" s="215"/>
      <c r="U545" s="12"/>
      <c r="V545" s="12"/>
      <c r="W545" s="12"/>
      <c r="X545" s="12"/>
      <c r="Z545" s="245"/>
      <c r="AA545" s="118"/>
      <c r="AB545" s="12"/>
      <c r="AC545" s="13"/>
    </row>
    <row r="546" spans="2:29" x14ac:dyDescent="0.2">
      <c r="B546" s="9" t="str">
        <f t="shared" si="125"/>
        <v>6 2026</v>
      </c>
      <c r="C546" s="88">
        <f t="shared" si="126"/>
        <v>46195</v>
      </c>
      <c r="D546" s="88">
        <f t="shared" si="124"/>
        <v>46196</v>
      </c>
      <c r="E546" s="89">
        <f t="shared" si="127"/>
        <v>1</v>
      </c>
      <c r="H546" s="206">
        <v>46191</v>
      </c>
      <c r="I546" s="215"/>
      <c r="J546" s="228"/>
      <c r="K546" s="12"/>
      <c r="L546" s="12"/>
      <c r="M546" s="215"/>
      <c r="N546" s="12"/>
      <c r="O546" s="219"/>
      <c r="P546" s="219"/>
      <c r="Q546" s="219"/>
      <c r="R546" s="219"/>
      <c r="T546" s="215"/>
      <c r="U546" s="12"/>
      <c r="V546" s="12"/>
      <c r="W546" s="12"/>
      <c r="X546" s="12"/>
      <c r="Z546" s="245"/>
      <c r="AA546" s="118"/>
      <c r="AB546" s="12"/>
      <c r="AC546" s="13"/>
    </row>
    <row r="547" spans="2:29" x14ac:dyDescent="0.2">
      <c r="B547" s="9" t="str">
        <f t="shared" si="125"/>
        <v>6 2026</v>
      </c>
      <c r="C547" s="88">
        <f t="shared" si="126"/>
        <v>46196</v>
      </c>
      <c r="D547" s="88">
        <f t="shared" si="124"/>
        <v>46197</v>
      </c>
      <c r="E547" s="89">
        <f t="shared" si="127"/>
        <v>1</v>
      </c>
      <c r="H547" s="206">
        <v>46191</v>
      </c>
      <c r="I547" s="215"/>
      <c r="J547" s="228"/>
      <c r="K547" s="12"/>
      <c r="L547" s="12"/>
      <c r="M547" s="215"/>
      <c r="N547" s="12"/>
      <c r="O547" s="219"/>
      <c r="P547" s="219"/>
      <c r="Q547" s="219"/>
      <c r="R547" s="219"/>
      <c r="T547" s="215"/>
      <c r="U547" s="12"/>
      <c r="V547" s="12"/>
      <c r="W547" s="12"/>
      <c r="X547" s="12"/>
      <c r="Z547" s="245"/>
      <c r="AA547" s="118"/>
      <c r="AB547" s="12"/>
      <c r="AC547" s="13"/>
    </row>
    <row r="548" spans="2:29" x14ac:dyDescent="0.2">
      <c r="B548" s="9" t="str">
        <f t="shared" si="125"/>
        <v>6 2026</v>
      </c>
      <c r="C548" s="88">
        <f t="shared" si="126"/>
        <v>46197</v>
      </c>
      <c r="D548" s="88">
        <f t="shared" si="124"/>
        <v>46198</v>
      </c>
      <c r="E548" s="89">
        <f t="shared" si="127"/>
        <v>1</v>
      </c>
      <c r="H548" s="206">
        <v>46195</v>
      </c>
      <c r="I548" s="215"/>
      <c r="J548" s="228"/>
      <c r="K548" s="12"/>
      <c r="L548" s="12"/>
      <c r="M548" s="215"/>
      <c r="N548" s="12"/>
      <c r="O548" s="219"/>
      <c r="P548" s="219"/>
      <c r="Q548" s="219"/>
      <c r="R548" s="219"/>
      <c r="T548" s="215"/>
      <c r="U548" s="12"/>
      <c r="V548" s="12"/>
      <c r="W548" s="12"/>
      <c r="X548" s="12"/>
      <c r="Z548" s="245"/>
      <c r="AA548" s="118"/>
      <c r="AB548" s="12"/>
      <c r="AC548" s="13"/>
    </row>
    <row r="549" spans="2:29" x14ac:dyDescent="0.2">
      <c r="B549" s="9" t="str">
        <f t="shared" si="125"/>
        <v>6 2026</v>
      </c>
      <c r="C549" s="88">
        <f t="shared" si="126"/>
        <v>46198</v>
      </c>
      <c r="D549" s="88">
        <f t="shared" si="124"/>
        <v>46199</v>
      </c>
      <c r="E549" s="89">
        <f t="shared" si="127"/>
        <v>1</v>
      </c>
      <c r="H549" s="206">
        <v>46196</v>
      </c>
      <c r="I549" s="215"/>
      <c r="J549" s="228"/>
      <c r="K549" s="12"/>
      <c r="L549" s="12"/>
      <c r="M549" s="215"/>
      <c r="N549" s="12"/>
      <c r="O549" s="219"/>
      <c r="P549" s="219"/>
      <c r="Q549" s="219"/>
      <c r="R549" s="219"/>
      <c r="T549" s="215"/>
      <c r="U549" s="12"/>
      <c r="V549" s="12"/>
      <c r="W549" s="12"/>
      <c r="X549" s="12"/>
      <c r="Z549" s="245"/>
      <c r="AA549" s="118"/>
      <c r="AB549" s="12"/>
      <c r="AC549" s="13"/>
    </row>
    <row r="550" spans="2:29" x14ac:dyDescent="0.2">
      <c r="B550" s="9" t="str">
        <f t="shared" si="125"/>
        <v>6 2026</v>
      </c>
      <c r="C550" s="88">
        <f t="shared" si="126"/>
        <v>46199</v>
      </c>
      <c r="D550" s="88">
        <f t="shared" si="124"/>
        <v>46200</v>
      </c>
      <c r="E550" s="89">
        <f t="shared" si="127"/>
        <v>1</v>
      </c>
      <c r="H550" s="206">
        <v>46197</v>
      </c>
      <c r="I550" s="215"/>
      <c r="J550" s="228"/>
      <c r="K550" s="12"/>
      <c r="L550" s="12"/>
      <c r="M550" s="215"/>
      <c r="N550" s="12"/>
      <c r="O550" s="219"/>
      <c r="P550" s="219"/>
      <c r="Q550" s="219"/>
      <c r="R550" s="219"/>
      <c r="T550" s="215"/>
      <c r="U550" s="12"/>
      <c r="V550" s="12"/>
      <c r="W550" s="12"/>
      <c r="X550" s="12"/>
      <c r="Z550" s="245"/>
      <c r="AA550" s="118"/>
      <c r="AB550" s="12"/>
      <c r="AC550" s="13"/>
    </row>
    <row r="551" spans="2:29" x14ac:dyDescent="0.2">
      <c r="B551" s="9" t="str">
        <f t="shared" si="125"/>
        <v>6 2026</v>
      </c>
      <c r="C551" s="88">
        <f t="shared" si="126"/>
        <v>46200</v>
      </c>
      <c r="D551" s="88">
        <f t="shared" si="124"/>
        <v>46201</v>
      </c>
      <c r="E551" s="89">
        <f t="shared" si="127"/>
        <v>1</v>
      </c>
      <c r="H551" s="206">
        <v>46197</v>
      </c>
      <c r="I551" s="215"/>
      <c r="J551" s="228"/>
      <c r="K551" s="12"/>
      <c r="L551" s="12"/>
      <c r="M551" s="215"/>
      <c r="N551" s="12"/>
      <c r="O551" s="219"/>
      <c r="P551" s="219"/>
      <c r="Q551" s="219"/>
      <c r="R551" s="219"/>
      <c r="T551" s="215"/>
      <c r="U551" s="12"/>
      <c r="V551" s="12"/>
      <c r="W551" s="12"/>
      <c r="X551" s="12"/>
      <c r="Z551" s="245"/>
      <c r="AA551" s="118"/>
      <c r="AB551" s="12"/>
      <c r="AC551" s="13"/>
    </row>
    <row r="552" spans="2:29" x14ac:dyDescent="0.2">
      <c r="B552" s="9" t="str">
        <f t="shared" si="125"/>
        <v>6 2026</v>
      </c>
      <c r="C552" s="88">
        <f t="shared" si="126"/>
        <v>46201</v>
      </c>
      <c r="D552" s="88">
        <f t="shared" si="124"/>
        <v>46202</v>
      </c>
      <c r="E552" s="89">
        <f t="shared" si="127"/>
        <v>1</v>
      </c>
      <c r="H552" s="206">
        <v>46197</v>
      </c>
      <c r="I552" s="215"/>
      <c r="J552" s="228"/>
      <c r="K552" s="12"/>
      <c r="L552" s="12"/>
      <c r="M552" s="215"/>
      <c r="N552" s="12"/>
      <c r="O552" s="219"/>
      <c r="P552" s="219"/>
      <c r="Q552" s="219"/>
      <c r="R552" s="219"/>
      <c r="T552" s="215"/>
      <c r="U552" s="12"/>
      <c r="V552" s="12"/>
      <c r="W552" s="12"/>
      <c r="X552" s="12"/>
      <c r="Z552" s="245"/>
      <c r="AA552" s="118"/>
      <c r="AB552" s="12"/>
      <c r="AC552" s="13"/>
    </row>
    <row r="553" spans="2:29" x14ac:dyDescent="0.2">
      <c r="B553" s="9" t="str">
        <f t="shared" si="125"/>
        <v>6 2026</v>
      </c>
      <c r="C553" s="88">
        <f t="shared" si="126"/>
        <v>46202</v>
      </c>
      <c r="D553" s="88">
        <f t="shared" si="124"/>
        <v>46203</v>
      </c>
      <c r="E553" s="89">
        <f t="shared" si="127"/>
        <v>1</v>
      </c>
      <c r="H553" s="206">
        <v>46198</v>
      </c>
      <c r="I553" s="215"/>
      <c r="J553" s="228"/>
      <c r="K553" s="12"/>
      <c r="L553" s="12"/>
      <c r="M553" s="215"/>
      <c r="N553" s="12"/>
      <c r="O553" s="219"/>
      <c r="P553" s="219"/>
      <c r="Q553" s="219"/>
      <c r="R553" s="219"/>
      <c r="T553" s="215"/>
      <c r="U553" s="12"/>
      <c r="V553" s="12"/>
      <c r="W553" s="12"/>
      <c r="X553" s="12"/>
      <c r="Z553" s="245"/>
      <c r="AA553" s="118"/>
      <c r="AB553" s="12"/>
      <c r="AC553" s="13"/>
    </row>
    <row r="554" spans="2:29" x14ac:dyDescent="0.2">
      <c r="B554" s="9" t="str">
        <f t="shared" si="125"/>
        <v>7 2026</v>
      </c>
      <c r="C554" s="88">
        <f t="shared" si="126"/>
        <v>46203</v>
      </c>
      <c r="D554" s="88">
        <f t="shared" si="124"/>
        <v>46204</v>
      </c>
      <c r="E554" s="89">
        <f t="shared" si="127"/>
        <v>1</v>
      </c>
      <c r="H554" s="206">
        <v>46199</v>
      </c>
      <c r="I554" s="215"/>
      <c r="J554" s="228"/>
      <c r="K554" s="12"/>
      <c r="L554" s="12"/>
      <c r="M554" s="215"/>
      <c r="N554" s="12"/>
      <c r="O554" s="219"/>
      <c r="P554" s="219"/>
      <c r="Q554" s="219"/>
      <c r="R554" s="219"/>
      <c r="T554" s="215"/>
      <c r="U554" s="12"/>
      <c r="V554" s="12"/>
      <c r="W554" s="12"/>
      <c r="X554" s="12"/>
      <c r="Z554" s="245"/>
      <c r="AA554" s="118"/>
      <c r="AB554" s="12"/>
      <c r="AC554" s="13"/>
    </row>
    <row r="555" spans="2:29" x14ac:dyDescent="0.2">
      <c r="B555" s="9" t="str">
        <f t="shared" si="125"/>
        <v>7 2026</v>
      </c>
      <c r="C555" s="88">
        <f t="shared" si="126"/>
        <v>46204</v>
      </c>
      <c r="D555" s="88">
        <f t="shared" si="124"/>
        <v>46205</v>
      </c>
      <c r="E555" s="89">
        <f t="shared" si="127"/>
        <v>1</v>
      </c>
      <c r="H555" s="206">
        <v>46202</v>
      </c>
      <c r="I555" s="215"/>
      <c r="J555" s="228"/>
      <c r="K555" s="12"/>
      <c r="L555" s="12"/>
      <c r="M555" s="215"/>
      <c r="N555" s="12"/>
      <c r="O555" s="219"/>
      <c r="P555" s="219"/>
      <c r="Q555" s="219"/>
      <c r="R555" s="219"/>
      <c r="T555" s="215"/>
      <c r="U555" s="12"/>
      <c r="V555" s="12"/>
      <c r="W555" s="12"/>
      <c r="X555" s="12"/>
      <c r="Z555" s="245"/>
      <c r="AA555" s="118"/>
      <c r="AB555" s="12"/>
      <c r="AC555" s="13"/>
    </row>
    <row r="556" spans="2:29" x14ac:dyDescent="0.2">
      <c r="B556" s="9" t="str">
        <f t="shared" si="125"/>
        <v>7 2026</v>
      </c>
      <c r="C556" s="88">
        <f t="shared" si="126"/>
        <v>46205</v>
      </c>
      <c r="D556" s="88">
        <f t="shared" si="124"/>
        <v>46206</v>
      </c>
      <c r="E556" s="89">
        <f t="shared" si="127"/>
        <v>1</v>
      </c>
      <c r="H556" s="206">
        <v>46203</v>
      </c>
      <c r="I556" s="215"/>
      <c r="J556" s="228"/>
      <c r="K556" s="12"/>
      <c r="L556" s="12"/>
      <c r="M556" s="215"/>
      <c r="N556" s="12"/>
      <c r="O556" s="219"/>
      <c r="P556" s="219"/>
      <c r="Q556" s="219"/>
      <c r="R556" s="219"/>
      <c r="T556" s="215"/>
      <c r="U556" s="12"/>
      <c r="V556" s="12"/>
      <c r="W556" s="12"/>
      <c r="X556" s="12"/>
      <c r="Z556" s="245"/>
      <c r="AA556" s="118"/>
      <c r="AB556" s="12"/>
      <c r="AC556" s="13"/>
    </row>
    <row r="557" spans="2:29" x14ac:dyDescent="0.2">
      <c r="B557" s="9" t="str">
        <f t="shared" si="125"/>
        <v>7 2026</v>
      </c>
      <c r="C557" s="88">
        <f t="shared" si="126"/>
        <v>46206</v>
      </c>
      <c r="D557" s="88">
        <f t="shared" si="124"/>
        <v>46207</v>
      </c>
      <c r="E557" s="89">
        <f t="shared" si="127"/>
        <v>1</v>
      </c>
      <c r="H557" s="206">
        <v>46204</v>
      </c>
      <c r="I557" s="215"/>
      <c r="J557" s="228"/>
      <c r="K557" s="12"/>
      <c r="L557" s="12"/>
      <c r="M557" s="215"/>
      <c r="N557" s="12"/>
      <c r="O557" s="219"/>
      <c r="P557" s="219"/>
      <c r="Q557" s="219"/>
      <c r="R557" s="219"/>
      <c r="T557" s="215"/>
      <c r="U557" s="12"/>
      <c r="V557" s="12"/>
      <c r="W557" s="12"/>
      <c r="X557" s="12"/>
      <c r="Z557" s="245"/>
      <c r="AA557" s="118"/>
      <c r="AB557" s="12"/>
      <c r="AC557" s="13"/>
    </row>
    <row r="558" spans="2:29" x14ac:dyDescent="0.2">
      <c r="B558" s="9" t="str">
        <f t="shared" si="125"/>
        <v>7 2026</v>
      </c>
      <c r="C558" s="88">
        <f t="shared" si="126"/>
        <v>46207</v>
      </c>
      <c r="D558" s="88">
        <f t="shared" si="124"/>
        <v>46208</v>
      </c>
      <c r="E558" s="89">
        <f t="shared" si="127"/>
        <v>1</v>
      </c>
      <c r="H558" s="206">
        <v>46204</v>
      </c>
      <c r="I558" s="215"/>
      <c r="J558" s="228"/>
      <c r="K558" s="12"/>
      <c r="L558" s="12"/>
      <c r="M558" s="215"/>
      <c r="N558" s="12"/>
      <c r="O558" s="219"/>
      <c r="P558" s="219"/>
      <c r="Q558" s="219"/>
      <c r="R558" s="219"/>
      <c r="T558" s="215"/>
      <c r="U558" s="12"/>
      <c r="V558" s="12"/>
      <c r="W558" s="12"/>
      <c r="X558" s="12"/>
      <c r="Z558" s="245"/>
      <c r="AA558" s="118"/>
      <c r="AB558" s="12"/>
      <c r="AC558" s="13"/>
    </row>
    <row r="559" spans="2:29" x14ac:dyDescent="0.2">
      <c r="B559" s="9" t="str">
        <f t="shared" si="125"/>
        <v>7 2026</v>
      </c>
      <c r="C559" s="88">
        <f t="shared" si="126"/>
        <v>46208</v>
      </c>
      <c r="D559" s="88">
        <f t="shared" si="124"/>
        <v>46209</v>
      </c>
      <c r="E559" s="89">
        <f t="shared" si="127"/>
        <v>1</v>
      </c>
      <c r="H559" s="206">
        <v>46204</v>
      </c>
      <c r="I559" s="215"/>
      <c r="J559" s="228"/>
      <c r="K559" s="12"/>
      <c r="L559" s="12"/>
      <c r="M559" s="215"/>
      <c r="N559" s="12"/>
      <c r="O559" s="219"/>
      <c r="P559" s="219"/>
      <c r="Q559" s="219"/>
      <c r="R559" s="219"/>
      <c r="T559" s="215"/>
      <c r="U559" s="12"/>
      <c r="V559" s="12"/>
      <c r="W559" s="12"/>
      <c r="X559" s="12"/>
      <c r="Z559" s="245"/>
      <c r="AA559" s="118"/>
      <c r="AB559" s="12"/>
      <c r="AC559" s="13"/>
    </row>
    <row r="560" spans="2:29" x14ac:dyDescent="0.2">
      <c r="B560" s="9" t="str">
        <f t="shared" si="125"/>
        <v>7 2026</v>
      </c>
      <c r="C560" s="88">
        <f t="shared" si="126"/>
        <v>46209</v>
      </c>
      <c r="D560" s="88">
        <f t="shared" si="124"/>
        <v>46210</v>
      </c>
      <c r="E560" s="89">
        <f t="shared" si="127"/>
        <v>1</v>
      </c>
      <c r="H560" s="206">
        <v>46205</v>
      </c>
      <c r="I560" s="215"/>
      <c r="J560" s="228"/>
      <c r="K560" s="12"/>
      <c r="L560" s="12"/>
      <c r="M560" s="215"/>
      <c r="N560" s="12"/>
      <c r="O560" s="219"/>
      <c r="P560" s="219"/>
      <c r="Q560" s="219"/>
      <c r="R560" s="219"/>
      <c r="T560" s="215"/>
      <c r="U560" s="12"/>
      <c r="V560" s="12"/>
      <c r="W560" s="12"/>
      <c r="X560" s="12"/>
      <c r="Z560" s="245"/>
      <c r="AA560" s="118"/>
      <c r="AB560" s="12"/>
      <c r="AC560" s="13"/>
    </row>
    <row r="561" spans="2:29" x14ac:dyDescent="0.2">
      <c r="B561" s="9" t="str">
        <f t="shared" si="125"/>
        <v>7 2026</v>
      </c>
      <c r="C561" s="88">
        <f t="shared" si="126"/>
        <v>46210</v>
      </c>
      <c r="D561" s="88">
        <f t="shared" si="124"/>
        <v>46211</v>
      </c>
      <c r="E561" s="89">
        <f t="shared" si="127"/>
        <v>1</v>
      </c>
      <c r="H561" s="206">
        <v>46205</v>
      </c>
      <c r="I561" s="215"/>
      <c r="J561" s="228"/>
      <c r="K561" s="12"/>
      <c r="L561" s="12"/>
      <c r="M561" s="215"/>
      <c r="N561" s="12"/>
      <c r="O561" s="219"/>
      <c r="P561" s="219"/>
      <c r="Q561" s="219"/>
      <c r="R561" s="219"/>
      <c r="T561" s="215"/>
      <c r="U561" s="12"/>
      <c r="V561" s="12"/>
      <c r="W561" s="12"/>
      <c r="X561" s="12"/>
      <c r="Z561" s="245"/>
      <c r="AA561" s="118"/>
      <c r="AB561" s="12"/>
      <c r="AC561" s="13"/>
    </row>
    <row r="562" spans="2:29" x14ac:dyDescent="0.2">
      <c r="B562" s="9" t="str">
        <f t="shared" si="125"/>
        <v>7 2026</v>
      </c>
      <c r="C562" s="88">
        <f t="shared" si="126"/>
        <v>46211</v>
      </c>
      <c r="D562" s="88">
        <f t="shared" si="124"/>
        <v>46212</v>
      </c>
      <c r="E562" s="89">
        <f t="shared" si="127"/>
        <v>1</v>
      </c>
      <c r="H562" s="206">
        <v>46209</v>
      </c>
      <c r="I562" s="215"/>
      <c r="J562" s="228"/>
      <c r="K562" s="12"/>
      <c r="L562" s="12"/>
      <c r="M562" s="215"/>
      <c r="N562" s="12"/>
      <c r="O562" s="219"/>
      <c r="P562" s="219"/>
      <c r="Q562" s="219"/>
      <c r="R562" s="219"/>
      <c r="T562" s="215"/>
      <c r="U562" s="12"/>
      <c r="V562" s="12"/>
      <c r="W562" s="12"/>
      <c r="X562" s="12"/>
      <c r="Z562" s="245"/>
      <c r="AA562" s="118"/>
      <c r="AB562" s="12"/>
      <c r="AC562" s="13"/>
    </row>
    <row r="563" spans="2:29" x14ac:dyDescent="0.2">
      <c r="B563" s="9" t="str">
        <f t="shared" si="125"/>
        <v>7 2026</v>
      </c>
      <c r="C563" s="88">
        <f t="shared" si="126"/>
        <v>46212</v>
      </c>
      <c r="D563" s="88">
        <f t="shared" si="124"/>
        <v>46213</v>
      </c>
      <c r="E563" s="89">
        <f t="shared" si="127"/>
        <v>1</v>
      </c>
      <c r="H563" s="206">
        <v>46210</v>
      </c>
      <c r="I563" s="215"/>
      <c r="J563" s="228"/>
      <c r="K563" s="12"/>
      <c r="L563" s="12"/>
      <c r="M563" s="215"/>
      <c r="N563" s="12"/>
      <c r="O563" s="219"/>
      <c r="P563" s="219"/>
      <c r="Q563" s="219"/>
      <c r="R563" s="219"/>
      <c r="T563" s="215"/>
      <c r="U563" s="12"/>
      <c r="V563" s="12"/>
      <c r="W563" s="12"/>
      <c r="X563" s="12"/>
      <c r="Z563" s="245"/>
      <c r="AA563" s="118"/>
      <c r="AB563" s="12"/>
      <c r="AC563" s="13"/>
    </row>
    <row r="564" spans="2:29" x14ac:dyDescent="0.2">
      <c r="B564" s="9" t="str">
        <f t="shared" si="125"/>
        <v>7 2026</v>
      </c>
      <c r="C564" s="88">
        <f t="shared" si="126"/>
        <v>46213</v>
      </c>
      <c r="D564" s="88">
        <f t="shared" si="124"/>
        <v>46214</v>
      </c>
      <c r="E564" s="89">
        <f t="shared" si="127"/>
        <v>1</v>
      </c>
      <c r="H564" s="206">
        <v>46211</v>
      </c>
      <c r="I564" s="215"/>
      <c r="J564" s="228"/>
      <c r="K564" s="12"/>
      <c r="L564" s="12"/>
      <c r="M564" s="215"/>
      <c r="N564" s="12"/>
      <c r="O564" s="219"/>
      <c r="P564" s="219"/>
      <c r="Q564" s="219"/>
      <c r="R564" s="219"/>
      <c r="T564" s="215"/>
      <c r="U564" s="12"/>
      <c r="V564" s="12"/>
      <c r="W564" s="12"/>
      <c r="X564" s="12"/>
      <c r="Z564" s="245"/>
      <c r="AA564" s="118"/>
      <c r="AB564" s="12"/>
      <c r="AC564" s="13"/>
    </row>
    <row r="565" spans="2:29" x14ac:dyDescent="0.2">
      <c r="B565" s="9" t="str">
        <f t="shared" si="125"/>
        <v>7 2026</v>
      </c>
      <c r="C565" s="88">
        <f t="shared" si="126"/>
        <v>46214</v>
      </c>
      <c r="D565" s="88">
        <f t="shared" si="124"/>
        <v>46215</v>
      </c>
      <c r="E565" s="89">
        <f t="shared" si="127"/>
        <v>1</v>
      </c>
      <c r="H565" s="206">
        <v>46211</v>
      </c>
      <c r="I565" s="215"/>
      <c r="J565" s="228"/>
      <c r="K565" s="12"/>
      <c r="L565" s="12"/>
      <c r="M565" s="215"/>
      <c r="N565" s="12"/>
      <c r="O565" s="219"/>
      <c r="P565" s="219"/>
      <c r="Q565" s="219"/>
      <c r="R565" s="219"/>
      <c r="T565" s="215"/>
      <c r="U565" s="12"/>
      <c r="V565" s="12"/>
      <c r="W565" s="12"/>
      <c r="X565" s="12"/>
      <c r="Z565" s="245"/>
      <c r="AA565" s="118"/>
      <c r="AB565" s="12"/>
      <c r="AC565" s="13"/>
    </row>
    <row r="566" spans="2:29" x14ac:dyDescent="0.2">
      <c r="B566" s="9" t="str">
        <f t="shared" si="125"/>
        <v>7 2026</v>
      </c>
      <c r="C566" s="88">
        <f t="shared" si="126"/>
        <v>46215</v>
      </c>
      <c r="D566" s="88">
        <f t="shared" si="124"/>
        <v>46216</v>
      </c>
      <c r="E566" s="89">
        <f t="shared" si="127"/>
        <v>1</v>
      </c>
      <c r="H566" s="206">
        <v>46211</v>
      </c>
      <c r="I566" s="215"/>
      <c r="J566" s="228"/>
      <c r="K566" s="12"/>
      <c r="L566" s="12"/>
      <c r="M566" s="215"/>
      <c r="N566" s="12"/>
      <c r="O566" s="219"/>
      <c r="P566" s="219"/>
      <c r="Q566" s="219"/>
      <c r="R566" s="219"/>
      <c r="T566" s="215"/>
      <c r="U566" s="12"/>
      <c r="V566" s="12"/>
      <c r="W566" s="12"/>
      <c r="X566" s="12"/>
      <c r="Z566" s="245"/>
      <c r="AA566" s="118"/>
      <c r="AB566" s="12"/>
      <c r="AC566" s="13"/>
    </row>
    <row r="567" spans="2:29" x14ac:dyDescent="0.2">
      <c r="B567" s="9" t="str">
        <f t="shared" si="125"/>
        <v>7 2026</v>
      </c>
      <c r="C567" s="88">
        <f t="shared" si="126"/>
        <v>46216</v>
      </c>
      <c r="D567" s="88">
        <f t="shared" si="124"/>
        <v>46217</v>
      </c>
      <c r="E567" s="89">
        <f t="shared" si="127"/>
        <v>1</v>
      </c>
      <c r="H567" s="206">
        <v>46212</v>
      </c>
      <c r="I567" s="215"/>
      <c r="J567" s="228"/>
      <c r="K567" s="12"/>
      <c r="L567" s="12"/>
      <c r="M567" s="215"/>
      <c r="N567" s="12"/>
      <c r="O567" s="219"/>
      <c r="P567" s="219"/>
      <c r="Q567" s="219"/>
      <c r="R567" s="219"/>
      <c r="T567" s="215"/>
      <c r="U567" s="12"/>
      <c r="V567" s="12"/>
      <c r="W567" s="12"/>
      <c r="X567" s="12"/>
      <c r="Z567" s="245"/>
      <c r="AA567" s="118"/>
      <c r="AB567" s="12"/>
      <c r="AC567" s="13"/>
    </row>
    <row r="568" spans="2:29" x14ac:dyDescent="0.2">
      <c r="B568" s="9" t="str">
        <f t="shared" si="125"/>
        <v>7 2026</v>
      </c>
      <c r="C568" s="88">
        <f t="shared" si="126"/>
        <v>46217</v>
      </c>
      <c r="D568" s="88">
        <f t="shared" ref="D568:D631" si="128">D567+1</f>
        <v>46218</v>
      </c>
      <c r="E568" s="89">
        <f t="shared" si="127"/>
        <v>1</v>
      </c>
      <c r="H568" s="206">
        <v>46212</v>
      </c>
      <c r="I568" s="215"/>
      <c r="J568" s="228"/>
      <c r="K568" s="12"/>
      <c r="L568" s="12"/>
      <c r="M568" s="215"/>
      <c r="N568" s="12"/>
      <c r="O568" s="219"/>
      <c r="P568" s="219"/>
      <c r="Q568" s="219"/>
      <c r="R568" s="219"/>
      <c r="T568" s="215"/>
      <c r="U568" s="12"/>
      <c r="V568" s="12"/>
      <c r="W568" s="12"/>
      <c r="X568" s="12"/>
      <c r="Z568" s="245"/>
      <c r="AA568" s="118"/>
      <c r="AB568" s="12"/>
      <c r="AC568" s="13"/>
    </row>
    <row r="569" spans="2:29" x14ac:dyDescent="0.2">
      <c r="B569" s="9" t="str">
        <f t="shared" si="125"/>
        <v>7 2026</v>
      </c>
      <c r="C569" s="88">
        <f t="shared" si="126"/>
        <v>46218</v>
      </c>
      <c r="D569" s="88">
        <f t="shared" si="128"/>
        <v>46219</v>
      </c>
      <c r="E569" s="89">
        <f t="shared" si="127"/>
        <v>1</v>
      </c>
      <c r="H569" s="206">
        <v>46213</v>
      </c>
      <c r="I569" s="215"/>
      <c r="J569" s="228"/>
      <c r="K569" s="12"/>
      <c r="L569" s="12"/>
      <c r="M569" s="215"/>
      <c r="N569" s="12"/>
      <c r="O569" s="219"/>
      <c r="P569" s="219"/>
      <c r="Q569" s="219"/>
      <c r="R569" s="219"/>
      <c r="T569" s="215"/>
      <c r="U569" s="12"/>
      <c r="V569" s="12"/>
      <c r="W569" s="12"/>
      <c r="X569" s="12"/>
      <c r="Z569" s="245"/>
      <c r="AA569" s="118"/>
      <c r="AB569" s="12"/>
      <c r="AC569" s="13"/>
    </row>
    <row r="570" spans="2:29" x14ac:dyDescent="0.2">
      <c r="B570" s="9" t="str">
        <f t="shared" si="125"/>
        <v>7 2026</v>
      </c>
      <c r="C570" s="88">
        <f t="shared" si="126"/>
        <v>46219</v>
      </c>
      <c r="D570" s="88">
        <f t="shared" si="128"/>
        <v>46220</v>
      </c>
      <c r="E570" s="89">
        <f t="shared" si="127"/>
        <v>1</v>
      </c>
      <c r="H570" s="206">
        <v>46216</v>
      </c>
      <c r="I570" s="215"/>
      <c r="J570" s="228"/>
      <c r="K570" s="12"/>
      <c r="L570" s="12"/>
      <c r="M570" s="215"/>
      <c r="N570" s="12"/>
      <c r="O570" s="219"/>
      <c r="P570" s="219"/>
      <c r="Q570" s="219"/>
      <c r="R570" s="219"/>
      <c r="T570" s="215"/>
      <c r="U570" s="12"/>
      <c r="V570" s="12"/>
      <c r="W570" s="12"/>
      <c r="X570" s="12"/>
      <c r="Z570" s="245"/>
      <c r="AA570" s="118"/>
      <c r="AB570" s="12"/>
      <c r="AC570" s="13"/>
    </row>
    <row r="571" spans="2:29" x14ac:dyDescent="0.2">
      <c r="B571" s="9" t="str">
        <f t="shared" si="125"/>
        <v>7 2026</v>
      </c>
      <c r="C571" s="88">
        <f t="shared" si="126"/>
        <v>46220</v>
      </c>
      <c r="D571" s="88">
        <f t="shared" si="128"/>
        <v>46221</v>
      </c>
      <c r="E571" s="89">
        <f t="shared" si="127"/>
        <v>1</v>
      </c>
      <c r="H571" s="206">
        <v>46218</v>
      </c>
      <c r="I571" s="215"/>
      <c r="J571" s="228"/>
      <c r="K571" s="12"/>
      <c r="L571" s="12"/>
      <c r="M571" s="215"/>
      <c r="N571" s="12"/>
      <c r="O571" s="219"/>
      <c r="P571" s="219"/>
      <c r="Q571" s="219"/>
      <c r="R571" s="219"/>
      <c r="T571" s="215"/>
      <c r="U571" s="12"/>
      <c r="V571" s="12"/>
      <c r="W571" s="12"/>
      <c r="X571" s="12"/>
      <c r="Z571" s="245"/>
      <c r="AA571" s="118"/>
      <c r="AB571" s="12"/>
      <c r="AC571" s="13"/>
    </row>
    <row r="572" spans="2:29" x14ac:dyDescent="0.2">
      <c r="B572" s="9" t="str">
        <f t="shared" si="125"/>
        <v>7 2026</v>
      </c>
      <c r="C572" s="88">
        <f t="shared" si="126"/>
        <v>46221</v>
      </c>
      <c r="D572" s="88">
        <f t="shared" si="128"/>
        <v>46222</v>
      </c>
      <c r="E572" s="89">
        <f t="shared" si="127"/>
        <v>1</v>
      </c>
      <c r="H572" s="206">
        <v>46218</v>
      </c>
      <c r="I572" s="215"/>
      <c r="J572" s="228"/>
      <c r="K572" s="12"/>
      <c r="L572" s="12"/>
      <c r="M572" s="215"/>
      <c r="N572" s="12"/>
      <c r="O572" s="219"/>
      <c r="P572" s="219"/>
      <c r="Q572" s="219"/>
      <c r="R572" s="219"/>
      <c r="T572" s="215"/>
      <c r="U572" s="12"/>
      <c r="V572" s="12"/>
      <c r="W572" s="12"/>
      <c r="X572" s="12"/>
      <c r="Z572" s="245"/>
      <c r="AA572" s="118"/>
      <c r="AB572" s="12"/>
      <c r="AC572" s="13"/>
    </row>
    <row r="573" spans="2:29" x14ac:dyDescent="0.2">
      <c r="B573" s="9" t="str">
        <f t="shared" si="125"/>
        <v>7 2026</v>
      </c>
      <c r="C573" s="88">
        <f t="shared" si="126"/>
        <v>46222</v>
      </c>
      <c r="D573" s="88">
        <f t="shared" si="128"/>
        <v>46223</v>
      </c>
      <c r="E573" s="89">
        <f t="shared" si="127"/>
        <v>1</v>
      </c>
      <c r="H573" s="206">
        <v>46218</v>
      </c>
      <c r="I573" s="215"/>
      <c r="J573" s="228"/>
      <c r="K573" s="12"/>
      <c r="L573" s="12"/>
      <c r="M573" s="215"/>
      <c r="N573" s="12"/>
      <c r="O573" s="219"/>
      <c r="P573" s="219"/>
      <c r="Q573" s="219"/>
      <c r="R573" s="219"/>
      <c r="T573" s="215"/>
      <c r="U573" s="12"/>
      <c r="V573" s="12"/>
      <c r="W573" s="12"/>
      <c r="X573" s="12"/>
      <c r="Z573" s="245"/>
      <c r="AA573" s="118"/>
      <c r="AB573" s="12"/>
      <c r="AC573" s="13"/>
    </row>
    <row r="574" spans="2:29" x14ac:dyDescent="0.2">
      <c r="B574" s="9" t="str">
        <f t="shared" si="125"/>
        <v>7 2026</v>
      </c>
      <c r="C574" s="88">
        <f t="shared" si="126"/>
        <v>46223</v>
      </c>
      <c r="D574" s="88">
        <f t="shared" si="128"/>
        <v>46224</v>
      </c>
      <c r="E574" s="89">
        <f t="shared" si="127"/>
        <v>1</v>
      </c>
      <c r="H574" s="206">
        <v>46219</v>
      </c>
      <c r="I574" s="215"/>
      <c r="J574" s="228"/>
      <c r="K574" s="12"/>
      <c r="L574" s="12"/>
      <c r="M574" s="215"/>
      <c r="N574" s="12"/>
      <c r="O574" s="219"/>
      <c r="P574" s="219"/>
      <c r="Q574" s="219"/>
      <c r="R574" s="219"/>
      <c r="T574" s="215"/>
      <c r="U574" s="12"/>
      <c r="V574" s="12"/>
      <c r="W574" s="12"/>
      <c r="X574" s="12"/>
      <c r="Z574" s="245"/>
      <c r="AA574" s="118"/>
      <c r="AB574" s="12"/>
      <c r="AC574" s="13"/>
    </row>
    <row r="575" spans="2:29" x14ac:dyDescent="0.2">
      <c r="B575" s="9" t="str">
        <f t="shared" si="125"/>
        <v>7 2026</v>
      </c>
      <c r="C575" s="88">
        <f t="shared" si="126"/>
        <v>46224</v>
      </c>
      <c r="D575" s="88">
        <f t="shared" si="128"/>
        <v>46225</v>
      </c>
      <c r="E575" s="89">
        <f t="shared" si="127"/>
        <v>1</v>
      </c>
      <c r="H575" s="206">
        <v>46220</v>
      </c>
      <c r="I575" s="215"/>
      <c r="J575" s="228"/>
      <c r="K575" s="12"/>
      <c r="L575" s="12"/>
      <c r="M575" s="215"/>
      <c r="N575" s="12"/>
      <c r="O575" s="219"/>
      <c r="P575" s="219"/>
      <c r="Q575" s="219"/>
      <c r="R575" s="219"/>
      <c r="T575" s="215"/>
      <c r="U575" s="12"/>
      <c r="V575" s="12"/>
      <c r="W575" s="12"/>
      <c r="X575" s="12"/>
      <c r="Z575" s="245"/>
      <c r="AA575" s="118"/>
      <c r="AB575" s="12"/>
      <c r="AC575" s="13"/>
    </row>
    <row r="576" spans="2:29" x14ac:dyDescent="0.2">
      <c r="B576" s="9" t="str">
        <f t="shared" si="125"/>
        <v>7 2026</v>
      </c>
      <c r="C576" s="88">
        <f t="shared" si="126"/>
        <v>46225</v>
      </c>
      <c r="D576" s="88">
        <f t="shared" si="128"/>
        <v>46226</v>
      </c>
      <c r="E576" s="89">
        <f t="shared" si="127"/>
        <v>1</v>
      </c>
      <c r="H576" s="206">
        <v>46223</v>
      </c>
      <c r="I576" s="215"/>
      <c r="J576" s="228"/>
      <c r="K576" s="12"/>
      <c r="L576" s="12"/>
      <c r="M576" s="215"/>
      <c r="N576" s="12"/>
      <c r="O576" s="219"/>
      <c r="P576" s="219"/>
      <c r="Q576" s="219"/>
      <c r="R576" s="219"/>
      <c r="T576" s="215"/>
      <c r="U576" s="12"/>
      <c r="V576" s="12"/>
      <c r="W576" s="12"/>
      <c r="X576" s="12"/>
      <c r="Z576" s="245"/>
      <c r="AA576" s="118"/>
      <c r="AB576" s="12"/>
      <c r="AC576" s="13"/>
    </row>
    <row r="577" spans="2:29" x14ac:dyDescent="0.2">
      <c r="B577" s="9" t="str">
        <f t="shared" si="125"/>
        <v>7 2026</v>
      </c>
      <c r="C577" s="88">
        <f t="shared" si="126"/>
        <v>46226</v>
      </c>
      <c r="D577" s="88">
        <f t="shared" si="128"/>
        <v>46227</v>
      </c>
      <c r="E577" s="89">
        <f t="shared" si="127"/>
        <v>1</v>
      </c>
      <c r="H577" s="206">
        <v>46224</v>
      </c>
      <c r="I577" s="215"/>
      <c r="J577" s="228"/>
      <c r="K577" s="12"/>
      <c r="L577" s="12"/>
      <c r="M577" s="215"/>
      <c r="N577" s="12"/>
      <c r="O577" s="219"/>
      <c r="P577" s="219"/>
      <c r="Q577" s="219"/>
      <c r="R577" s="219"/>
      <c r="T577" s="215"/>
      <c r="U577" s="12"/>
      <c r="V577" s="12"/>
      <c r="W577" s="12"/>
      <c r="X577" s="12"/>
      <c r="Z577" s="245"/>
      <c r="AA577" s="118"/>
      <c r="AB577" s="12"/>
      <c r="AC577" s="13"/>
    </row>
    <row r="578" spans="2:29" x14ac:dyDescent="0.2">
      <c r="B578" s="9" t="str">
        <f t="shared" si="125"/>
        <v>7 2026</v>
      </c>
      <c r="C578" s="88">
        <f t="shared" si="126"/>
        <v>46227</v>
      </c>
      <c r="D578" s="88">
        <f t="shared" si="128"/>
        <v>46228</v>
      </c>
      <c r="E578" s="89">
        <f t="shared" si="127"/>
        <v>1</v>
      </c>
      <c r="H578" s="206">
        <v>46225</v>
      </c>
      <c r="I578" s="215"/>
      <c r="J578" s="228"/>
      <c r="K578" s="12"/>
      <c r="L578" s="12"/>
      <c r="M578" s="215"/>
      <c r="N578" s="12"/>
      <c r="O578" s="219"/>
      <c r="P578" s="219"/>
      <c r="Q578" s="219"/>
      <c r="R578" s="219"/>
      <c r="T578" s="215"/>
      <c r="U578" s="12"/>
      <c r="V578" s="12"/>
      <c r="W578" s="12"/>
      <c r="X578" s="12"/>
      <c r="Z578" s="245"/>
      <c r="AA578" s="118"/>
      <c r="AB578" s="12"/>
      <c r="AC578" s="13"/>
    </row>
    <row r="579" spans="2:29" x14ac:dyDescent="0.2">
      <c r="B579" s="9" t="str">
        <f t="shared" si="125"/>
        <v>7 2026</v>
      </c>
      <c r="C579" s="88">
        <f t="shared" si="126"/>
        <v>46228</v>
      </c>
      <c r="D579" s="88">
        <f t="shared" si="128"/>
        <v>46229</v>
      </c>
      <c r="E579" s="89">
        <f t="shared" si="127"/>
        <v>1</v>
      </c>
      <c r="H579" s="206">
        <v>46225</v>
      </c>
      <c r="I579" s="215"/>
      <c r="J579" s="228"/>
      <c r="K579" s="12"/>
      <c r="L579" s="12"/>
      <c r="M579" s="215"/>
      <c r="N579" s="12"/>
      <c r="O579" s="219"/>
      <c r="P579" s="219"/>
      <c r="Q579" s="219"/>
      <c r="R579" s="219"/>
      <c r="T579" s="215"/>
      <c r="U579" s="12"/>
      <c r="V579" s="12"/>
      <c r="W579" s="12"/>
      <c r="X579" s="12"/>
      <c r="Z579" s="245"/>
      <c r="AA579" s="118"/>
      <c r="AB579" s="12"/>
      <c r="AC579" s="13"/>
    </row>
    <row r="580" spans="2:29" x14ac:dyDescent="0.2">
      <c r="B580" s="9" t="str">
        <f t="shared" si="125"/>
        <v>7 2026</v>
      </c>
      <c r="C580" s="88">
        <f t="shared" si="126"/>
        <v>46229</v>
      </c>
      <c r="D580" s="88">
        <f t="shared" si="128"/>
        <v>46230</v>
      </c>
      <c r="E580" s="89">
        <f t="shared" si="127"/>
        <v>1</v>
      </c>
      <c r="H580" s="206">
        <v>46225</v>
      </c>
      <c r="I580" s="215"/>
      <c r="J580" s="228"/>
      <c r="K580" s="12"/>
      <c r="L580" s="12"/>
      <c r="M580" s="215"/>
      <c r="N580" s="12"/>
      <c r="O580" s="219"/>
      <c r="P580" s="219"/>
      <c r="Q580" s="219"/>
      <c r="R580" s="219"/>
      <c r="T580" s="215"/>
      <c r="U580" s="12"/>
      <c r="V580" s="12"/>
      <c r="W580" s="12"/>
      <c r="X580" s="12"/>
      <c r="Z580" s="245"/>
      <c r="AA580" s="118"/>
      <c r="AB580" s="12"/>
      <c r="AC580" s="13"/>
    </row>
    <row r="581" spans="2:29" x14ac:dyDescent="0.2">
      <c r="B581" s="9" t="str">
        <f t="shared" si="125"/>
        <v>7 2026</v>
      </c>
      <c r="C581" s="88">
        <f t="shared" si="126"/>
        <v>46230</v>
      </c>
      <c r="D581" s="88">
        <f t="shared" si="128"/>
        <v>46231</v>
      </c>
      <c r="E581" s="89">
        <f t="shared" si="127"/>
        <v>1</v>
      </c>
      <c r="H581" s="206">
        <v>46226</v>
      </c>
      <c r="I581" s="215"/>
      <c r="J581" s="228"/>
      <c r="K581" s="12"/>
      <c r="L581" s="12"/>
      <c r="M581" s="215"/>
      <c r="N581" s="12"/>
      <c r="O581" s="219"/>
      <c r="P581" s="219"/>
      <c r="Q581" s="219"/>
      <c r="R581" s="219"/>
      <c r="T581" s="215"/>
      <c r="U581" s="12"/>
      <c r="V581" s="12"/>
      <c r="W581" s="12"/>
      <c r="X581" s="12"/>
      <c r="Z581" s="245"/>
      <c r="AA581" s="118"/>
      <c r="AB581" s="12"/>
      <c r="AC581" s="13"/>
    </row>
    <row r="582" spans="2:29" x14ac:dyDescent="0.2">
      <c r="B582" s="9" t="str">
        <f t="shared" si="125"/>
        <v>7 2026</v>
      </c>
      <c r="C582" s="88">
        <f t="shared" si="126"/>
        <v>46231</v>
      </c>
      <c r="D582" s="88">
        <f t="shared" si="128"/>
        <v>46232</v>
      </c>
      <c r="E582" s="89">
        <f t="shared" si="127"/>
        <v>1</v>
      </c>
      <c r="H582" s="206">
        <v>46227</v>
      </c>
      <c r="I582" s="215"/>
      <c r="J582" s="228"/>
      <c r="K582" s="12"/>
      <c r="L582" s="12"/>
      <c r="M582" s="215"/>
      <c r="N582" s="12"/>
      <c r="O582" s="219"/>
      <c r="P582" s="219"/>
      <c r="Q582" s="219"/>
      <c r="R582" s="219"/>
      <c r="T582" s="215"/>
      <c r="U582" s="12"/>
      <c r="V582" s="12"/>
      <c r="W582" s="12"/>
      <c r="X582" s="12"/>
      <c r="Z582" s="245"/>
      <c r="AA582" s="118"/>
      <c r="AB582" s="12"/>
      <c r="AC582" s="13"/>
    </row>
    <row r="583" spans="2:29" x14ac:dyDescent="0.2">
      <c r="B583" s="9" t="str">
        <f t="shared" si="125"/>
        <v>7 2026</v>
      </c>
      <c r="C583" s="88">
        <f t="shared" si="126"/>
        <v>46232</v>
      </c>
      <c r="D583" s="88">
        <f t="shared" si="128"/>
        <v>46233</v>
      </c>
      <c r="E583" s="89">
        <f t="shared" si="127"/>
        <v>1</v>
      </c>
      <c r="H583" s="206">
        <v>46230</v>
      </c>
      <c r="I583" s="215"/>
      <c r="J583" s="228"/>
      <c r="K583" s="12"/>
      <c r="L583" s="12"/>
      <c r="M583" s="215"/>
      <c r="N583" s="12"/>
      <c r="O583" s="219"/>
      <c r="P583" s="219"/>
      <c r="Q583" s="219"/>
      <c r="R583" s="219"/>
      <c r="T583" s="215"/>
      <c r="U583" s="12"/>
      <c r="V583" s="12"/>
      <c r="W583" s="12"/>
      <c r="X583" s="12"/>
      <c r="Z583" s="245"/>
      <c r="AA583" s="118"/>
      <c r="AB583" s="12"/>
      <c r="AC583" s="13"/>
    </row>
    <row r="584" spans="2:29" x14ac:dyDescent="0.2">
      <c r="B584" s="9" t="str">
        <f t="shared" si="125"/>
        <v>7 2026</v>
      </c>
      <c r="C584" s="88">
        <f t="shared" si="126"/>
        <v>46233</v>
      </c>
      <c r="D584" s="88">
        <f t="shared" si="128"/>
        <v>46234</v>
      </c>
      <c r="E584" s="89">
        <f t="shared" si="127"/>
        <v>1</v>
      </c>
      <c r="H584" s="206">
        <v>46231</v>
      </c>
      <c r="I584" s="215"/>
      <c r="J584" s="228"/>
      <c r="K584" s="12"/>
      <c r="L584" s="12"/>
      <c r="M584" s="215"/>
      <c r="N584" s="12"/>
      <c r="O584" s="219"/>
      <c r="P584" s="219"/>
      <c r="Q584" s="219"/>
      <c r="R584" s="219"/>
      <c r="T584" s="215"/>
      <c r="U584" s="12"/>
      <c r="V584" s="12"/>
      <c r="W584" s="12"/>
      <c r="X584" s="12"/>
      <c r="Z584" s="245"/>
      <c r="AA584" s="118"/>
      <c r="AB584" s="12"/>
      <c r="AC584" s="13"/>
    </row>
    <row r="585" spans="2:29" x14ac:dyDescent="0.2">
      <c r="B585" s="9" t="str">
        <f t="shared" si="125"/>
        <v>8 2026</v>
      </c>
      <c r="C585" s="88">
        <f t="shared" si="126"/>
        <v>46234</v>
      </c>
      <c r="D585" s="88">
        <f t="shared" si="128"/>
        <v>46235</v>
      </c>
      <c r="E585" s="89">
        <f t="shared" si="127"/>
        <v>1</v>
      </c>
      <c r="H585" s="206">
        <v>46232</v>
      </c>
      <c r="I585" s="215"/>
      <c r="J585" s="228"/>
      <c r="K585" s="12"/>
      <c r="L585" s="12"/>
      <c r="M585" s="215"/>
      <c r="N585" s="12"/>
      <c r="O585" s="219"/>
      <c r="P585" s="219"/>
      <c r="Q585" s="219"/>
      <c r="R585" s="219"/>
      <c r="T585" s="215"/>
      <c r="U585" s="12"/>
      <c r="V585" s="12"/>
      <c r="W585" s="12"/>
      <c r="X585" s="12"/>
      <c r="Z585" s="245"/>
      <c r="AA585" s="118"/>
      <c r="AB585" s="12"/>
      <c r="AC585" s="13"/>
    </row>
    <row r="586" spans="2:29" x14ac:dyDescent="0.2">
      <c r="B586" s="9" t="str">
        <f t="shared" si="125"/>
        <v>8 2026</v>
      </c>
      <c r="C586" s="88">
        <f t="shared" si="126"/>
        <v>46235</v>
      </c>
      <c r="D586" s="88">
        <f t="shared" si="128"/>
        <v>46236</v>
      </c>
      <c r="E586" s="89">
        <f t="shared" si="127"/>
        <v>1</v>
      </c>
      <c r="H586" s="206">
        <v>46232</v>
      </c>
      <c r="I586" s="215"/>
      <c r="J586" s="228"/>
      <c r="K586" s="12"/>
      <c r="L586" s="12"/>
      <c r="M586" s="215"/>
      <c r="N586" s="12"/>
      <c r="O586" s="219"/>
      <c r="P586" s="219"/>
      <c r="Q586" s="219"/>
      <c r="R586" s="219"/>
      <c r="T586" s="215"/>
      <c r="U586" s="12"/>
      <c r="V586" s="12"/>
      <c r="W586" s="12"/>
      <c r="X586" s="12"/>
      <c r="Z586" s="245"/>
      <c r="AA586" s="118"/>
      <c r="AB586" s="12"/>
      <c r="AC586" s="13"/>
    </row>
    <row r="587" spans="2:29" x14ac:dyDescent="0.2">
      <c r="B587" s="9" t="str">
        <f t="shared" si="125"/>
        <v>8 2026</v>
      </c>
      <c r="C587" s="88">
        <f t="shared" si="126"/>
        <v>46236</v>
      </c>
      <c r="D587" s="88">
        <f t="shared" si="128"/>
        <v>46237</v>
      </c>
      <c r="E587" s="89">
        <f t="shared" si="127"/>
        <v>1</v>
      </c>
      <c r="H587" s="206">
        <v>46232</v>
      </c>
      <c r="I587" s="215"/>
      <c r="J587" s="228"/>
      <c r="K587" s="12"/>
      <c r="L587" s="12"/>
      <c r="M587" s="215"/>
      <c r="N587" s="12"/>
      <c r="O587" s="219"/>
      <c r="P587" s="219"/>
      <c r="Q587" s="219"/>
      <c r="R587" s="219"/>
      <c r="T587" s="215"/>
      <c r="U587" s="12"/>
      <c r="V587" s="12"/>
      <c r="W587" s="12"/>
      <c r="X587" s="12"/>
      <c r="Z587" s="245"/>
      <c r="AA587" s="118"/>
      <c r="AB587" s="12"/>
      <c r="AC587" s="13"/>
    </row>
    <row r="588" spans="2:29" x14ac:dyDescent="0.2">
      <c r="B588" s="9" t="str">
        <f t="shared" si="125"/>
        <v>8 2026</v>
      </c>
      <c r="C588" s="88">
        <f t="shared" si="126"/>
        <v>46237</v>
      </c>
      <c r="D588" s="88">
        <f t="shared" si="128"/>
        <v>46238</v>
      </c>
      <c r="E588" s="89">
        <f t="shared" si="127"/>
        <v>1</v>
      </c>
      <c r="H588" s="206">
        <v>46233</v>
      </c>
      <c r="I588" s="215"/>
      <c r="J588" s="228"/>
      <c r="K588" s="12"/>
      <c r="L588" s="12"/>
      <c r="M588" s="215"/>
      <c r="N588" s="12"/>
      <c r="O588" s="219"/>
      <c r="P588" s="219"/>
      <c r="Q588" s="219"/>
      <c r="R588" s="219"/>
      <c r="T588" s="215"/>
      <c r="U588" s="12"/>
      <c r="V588" s="12"/>
      <c r="W588" s="12"/>
      <c r="X588" s="12"/>
      <c r="Z588" s="245"/>
      <c r="AA588" s="118"/>
      <c r="AB588" s="12"/>
      <c r="AC588" s="13"/>
    </row>
    <row r="589" spans="2:29" x14ac:dyDescent="0.2">
      <c r="B589" s="9" t="str">
        <f t="shared" si="125"/>
        <v>8 2026</v>
      </c>
      <c r="C589" s="88">
        <f t="shared" si="126"/>
        <v>46238</v>
      </c>
      <c r="D589" s="88">
        <f t="shared" si="128"/>
        <v>46239</v>
      </c>
      <c r="E589" s="89">
        <f t="shared" si="127"/>
        <v>1</v>
      </c>
      <c r="H589" s="206">
        <v>46234</v>
      </c>
      <c r="I589" s="215"/>
      <c r="J589" s="228"/>
      <c r="K589" s="12"/>
      <c r="L589" s="12"/>
      <c r="M589" s="215"/>
      <c r="N589" s="12"/>
      <c r="O589" s="219"/>
      <c r="P589" s="219"/>
      <c r="Q589" s="219"/>
      <c r="R589" s="219"/>
      <c r="T589" s="215"/>
      <c r="U589" s="12"/>
      <c r="V589" s="12"/>
      <c r="W589" s="12"/>
      <c r="X589" s="12"/>
      <c r="Z589" s="245"/>
      <c r="AA589" s="118"/>
      <c r="AB589" s="12"/>
      <c r="AC589" s="13"/>
    </row>
    <row r="590" spans="2:29" x14ac:dyDescent="0.2">
      <c r="B590" s="9" t="str">
        <f t="shared" si="125"/>
        <v>8 2026</v>
      </c>
      <c r="C590" s="88">
        <f t="shared" si="126"/>
        <v>46239</v>
      </c>
      <c r="D590" s="88">
        <f t="shared" si="128"/>
        <v>46240</v>
      </c>
      <c r="E590" s="89">
        <f t="shared" si="127"/>
        <v>1</v>
      </c>
      <c r="H590" s="206">
        <v>46237</v>
      </c>
      <c r="I590" s="215"/>
      <c r="J590" s="228"/>
      <c r="K590" s="12"/>
      <c r="L590" s="12"/>
      <c r="M590" s="215"/>
      <c r="N590" s="12"/>
      <c r="O590" s="219"/>
      <c r="P590" s="219"/>
      <c r="Q590" s="219"/>
      <c r="R590" s="219"/>
      <c r="T590" s="215"/>
      <c r="U590" s="12"/>
      <c r="V590" s="12"/>
      <c r="W590" s="12"/>
      <c r="X590" s="12"/>
      <c r="Z590" s="245"/>
      <c r="AA590" s="118"/>
      <c r="AB590" s="12"/>
      <c r="AC590" s="13"/>
    </row>
    <row r="591" spans="2:29" x14ac:dyDescent="0.2">
      <c r="B591" s="9" t="str">
        <f t="shared" si="125"/>
        <v>8 2026</v>
      </c>
      <c r="C591" s="88">
        <f t="shared" si="126"/>
        <v>46240</v>
      </c>
      <c r="D591" s="88">
        <f t="shared" si="128"/>
        <v>46241</v>
      </c>
      <c r="E591" s="89">
        <f t="shared" si="127"/>
        <v>1</v>
      </c>
      <c r="H591" s="206">
        <v>46238</v>
      </c>
      <c r="I591" s="215"/>
      <c r="J591" s="228"/>
      <c r="K591" s="12"/>
      <c r="L591" s="12"/>
      <c r="M591" s="215"/>
      <c r="N591" s="12"/>
      <c r="O591" s="219"/>
      <c r="P591" s="219"/>
      <c r="Q591" s="219"/>
      <c r="R591" s="219"/>
      <c r="T591" s="215"/>
      <c r="U591" s="12"/>
      <c r="V591" s="12"/>
      <c r="W591" s="12"/>
      <c r="X591" s="12"/>
      <c r="Z591" s="245"/>
      <c r="AA591" s="118"/>
      <c r="AB591" s="12"/>
      <c r="AC591" s="13"/>
    </row>
    <row r="592" spans="2:29" x14ac:dyDescent="0.2">
      <c r="B592" s="9" t="str">
        <f t="shared" si="125"/>
        <v>8 2026</v>
      </c>
      <c r="C592" s="88">
        <f t="shared" si="126"/>
        <v>46241</v>
      </c>
      <c r="D592" s="88">
        <f t="shared" si="128"/>
        <v>46242</v>
      </c>
      <c r="E592" s="89">
        <f t="shared" si="127"/>
        <v>1</v>
      </c>
      <c r="H592" s="206">
        <v>46239</v>
      </c>
      <c r="I592" s="215"/>
      <c r="K592" s="12"/>
      <c r="L592" s="12"/>
      <c r="M592" s="215"/>
      <c r="N592" s="12"/>
      <c r="O592" s="219"/>
      <c r="P592" s="219"/>
      <c r="Q592" s="219"/>
      <c r="R592" s="219"/>
      <c r="T592" s="215"/>
      <c r="U592" s="12"/>
      <c r="V592" s="12"/>
      <c r="W592" s="12"/>
      <c r="X592" s="12"/>
      <c r="Z592" s="245"/>
      <c r="AA592" s="118"/>
      <c r="AB592" s="12"/>
      <c r="AC592" s="13"/>
    </row>
    <row r="593" spans="2:29" x14ac:dyDescent="0.2">
      <c r="B593" s="9" t="str">
        <f t="shared" si="125"/>
        <v>8 2026</v>
      </c>
      <c r="C593" s="88">
        <f t="shared" si="126"/>
        <v>46242</v>
      </c>
      <c r="D593" s="88">
        <f t="shared" si="128"/>
        <v>46243</v>
      </c>
      <c r="E593" s="89">
        <f t="shared" si="127"/>
        <v>1</v>
      </c>
      <c r="H593" s="206">
        <v>46239</v>
      </c>
      <c r="I593" s="215"/>
      <c r="K593" s="12"/>
      <c r="L593" s="12"/>
      <c r="M593" s="215"/>
      <c r="N593" s="12"/>
      <c r="O593" s="219"/>
      <c r="P593" s="219"/>
      <c r="Q593" s="219"/>
      <c r="R593" s="219"/>
      <c r="T593" s="215"/>
      <c r="U593" s="12"/>
      <c r="V593" s="12"/>
      <c r="W593" s="12"/>
      <c r="X593" s="12"/>
      <c r="Z593" s="245"/>
      <c r="AA593" s="118"/>
      <c r="AB593" s="12"/>
      <c r="AC593" s="13"/>
    </row>
    <row r="594" spans="2:29" x14ac:dyDescent="0.2">
      <c r="B594" s="9" t="str">
        <f t="shared" si="125"/>
        <v>8 2026</v>
      </c>
      <c r="C594" s="88">
        <f t="shared" si="126"/>
        <v>46243</v>
      </c>
      <c r="D594" s="88">
        <f t="shared" si="128"/>
        <v>46244</v>
      </c>
      <c r="E594" s="89">
        <f t="shared" si="127"/>
        <v>1</v>
      </c>
      <c r="H594" s="206">
        <v>46239</v>
      </c>
      <c r="I594" s="215"/>
      <c r="K594" s="12"/>
      <c r="L594" s="12"/>
      <c r="M594" s="215"/>
      <c r="N594" s="12"/>
      <c r="O594" s="219"/>
      <c r="P594" s="219"/>
      <c r="Q594" s="219"/>
      <c r="R594" s="219"/>
      <c r="T594" s="215"/>
      <c r="U594" s="12"/>
      <c r="V594" s="12"/>
      <c r="W594" s="12"/>
      <c r="X594" s="12"/>
      <c r="Z594" s="245"/>
      <c r="AA594" s="118"/>
      <c r="AB594" s="12"/>
      <c r="AC594" s="13"/>
    </row>
    <row r="595" spans="2:29" x14ac:dyDescent="0.2">
      <c r="B595" s="9" t="str">
        <f t="shared" si="125"/>
        <v>8 2026</v>
      </c>
      <c r="C595" s="88">
        <f t="shared" si="126"/>
        <v>46244</v>
      </c>
      <c r="D595" s="88">
        <f t="shared" si="128"/>
        <v>46245</v>
      </c>
      <c r="E595" s="89">
        <f t="shared" si="127"/>
        <v>1</v>
      </c>
      <c r="H595" s="206">
        <v>46240</v>
      </c>
      <c r="I595" s="215"/>
      <c r="K595" s="12"/>
      <c r="L595" s="12"/>
      <c r="M595" s="215"/>
      <c r="N595" s="12"/>
      <c r="O595" s="219"/>
      <c r="P595" s="219"/>
      <c r="Q595" s="219"/>
      <c r="R595" s="219"/>
      <c r="T595" s="215"/>
      <c r="U595" s="12"/>
      <c r="V595" s="12"/>
      <c r="W595" s="12"/>
      <c r="X595" s="12"/>
      <c r="Z595" s="245"/>
      <c r="AA595" s="118"/>
      <c r="AB595" s="12"/>
      <c r="AC595" s="13"/>
    </row>
    <row r="596" spans="2:29" x14ac:dyDescent="0.2">
      <c r="B596" s="9" t="str">
        <f t="shared" si="125"/>
        <v>8 2026</v>
      </c>
      <c r="C596" s="88">
        <f t="shared" si="126"/>
        <v>46245</v>
      </c>
      <c r="D596" s="88">
        <f t="shared" si="128"/>
        <v>46246</v>
      </c>
      <c r="E596" s="89">
        <f t="shared" si="127"/>
        <v>1</v>
      </c>
      <c r="H596" s="206">
        <v>46241</v>
      </c>
      <c r="I596" s="215"/>
      <c r="K596" s="12"/>
      <c r="L596" s="12"/>
      <c r="M596" s="215"/>
      <c r="N596" s="12"/>
      <c r="O596" s="219"/>
      <c r="P596" s="219"/>
      <c r="Q596" s="219"/>
      <c r="R596" s="219"/>
      <c r="T596" s="215"/>
      <c r="U596" s="12"/>
      <c r="V596" s="12"/>
      <c r="W596" s="12"/>
      <c r="X596" s="12"/>
      <c r="Z596" s="245"/>
      <c r="AA596" s="118"/>
      <c r="AB596" s="12"/>
      <c r="AC596" s="13"/>
    </row>
    <row r="597" spans="2:29" x14ac:dyDescent="0.2">
      <c r="B597" s="9" t="str">
        <f t="shared" ref="B597:B660" si="129">CONCATENATE(MONTH(D597)," ",YEAR(D597))</f>
        <v>8 2026</v>
      </c>
      <c r="C597" s="88">
        <f t="shared" ref="C597:C660" si="130">D596</f>
        <v>46246</v>
      </c>
      <c r="D597" s="88">
        <f t="shared" si="128"/>
        <v>46247</v>
      </c>
      <c r="E597" s="89">
        <f t="shared" ref="E597:E660" si="131">D597-C597</f>
        <v>1</v>
      </c>
      <c r="H597" s="206">
        <v>46244</v>
      </c>
      <c r="I597" s="215"/>
      <c r="K597" s="12"/>
      <c r="L597" s="12"/>
      <c r="M597" s="215"/>
      <c r="N597" s="12"/>
      <c r="O597" s="219"/>
      <c r="P597" s="219"/>
      <c r="Q597" s="219"/>
      <c r="R597" s="219"/>
      <c r="T597" s="215"/>
      <c r="U597" s="12"/>
      <c r="V597" s="12"/>
      <c r="W597" s="12"/>
      <c r="X597" s="12"/>
      <c r="Z597" s="245"/>
      <c r="AA597" s="118"/>
      <c r="AB597" s="12"/>
      <c r="AC597" s="13"/>
    </row>
    <row r="598" spans="2:29" x14ac:dyDescent="0.2">
      <c r="B598" s="9" t="str">
        <f t="shared" si="129"/>
        <v>8 2026</v>
      </c>
      <c r="C598" s="88">
        <f t="shared" si="130"/>
        <v>46247</v>
      </c>
      <c r="D598" s="88">
        <f t="shared" si="128"/>
        <v>46248</v>
      </c>
      <c r="E598" s="89">
        <f t="shared" si="131"/>
        <v>1</v>
      </c>
      <c r="H598" s="206">
        <v>46245</v>
      </c>
      <c r="I598" s="215"/>
      <c r="K598" s="12"/>
      <c r="L598" s="12"/>
      <c r="M598" s="215"/>
      <c r="N598" s="12"/>
      <c r="O598" s="219"/>
      <c r="P598" s="219"/>
      <c r="Q598" s="219"/>
      <c r="R598" s="219"/>
      <c r="T598" s="215"/>
      <c r="U598" s="12"/>
      <c r="V598" s="12"/>
      <c r="W598" s="12"/>
      <c r="X598" s="12"/>
      <c r="Z598" s="245"/>
      <c r="AA598" s="118"/>
      <c r="AB598" s="12"/>
      <c r="AC598" s="13"/>
    </row>
    <row r="599" spans="2:29" x14ac:dyDescent="0.2">
      <c r="B599" s="9" t="str">
        <f t="shared" si="129"/>
        <v>8 2026</v>
      </c>
      <c r="C599" s="88">
        <f t="shared" si="130"/>
        <v>46248</v>
      </c>
      <c r="D599" s="88">
        <f t="shared" si="128"/>
        <v>46249</v>
      </c>
      <c r="E599" s="89">
        <f t="shared" si="131"/>
        <v>1</v>
      </c>
      <c r="H599" s="206">
        <v>46246</v>
      </c>
      <c r="I599" s="215"/>
      <c r="K599" s="12"/>
      <c r="L599" s="12"/>
      <c r="M599" s="215"/>
      <c r="N599" s="12"/>
      <c r="O599" s="219"/>
      <c r="P599" s="219"/>
      <c r="Q599" s="219"/>
      <c r="R599" s="219"/>
      <c r="T599" s="215"/>
      <c r="U599" s="12"/>
      <c r="V599" s="12"/>
      <c r="W599" s="12"/>
      <c r="X599" s="12"/>
      <c r="Z599" s="245"/>
      <c r="AA599" s="118"/>
      <c r="AB599" s="12"/>
      <c r="AC599" s="13"/>
    </row>
    <row r="600" spans="2:29" x14ac:dyDescent="0.2">
      <c r="B600" s="9" t="str">
        <f t="shared" si="129"/>
        <v>8 2026</v>
      </c>
      <c r="C600" s="88">
        <f t="shared" si="130"/>
        <v>46249</v>
      </c>
      <c r="D600" s="88">
        <f t="shared" si="128"/>
        <v>46250</v>
      </c>
      <c r="E600" s="89">
        <f t="shared" si="131"/>
        <v>1</v>
      </c>
      <c r="H600" s="206">
        <v>46246</v>
      </c>
      <c r="I600" s="215"/>
      <c r="K600" s="12"/>
      <c r="L600" s="12"/>
      <c r="M600" s="215"/>
      <c r="N600" s="12"/>
      <c r="O600" s="219"/>
      <c r="P600" s="219"/>
      <c r="Q600" s="219"/>
      <c r="R600" s="219"/>
      <c r="T600" s="215"/>
      <c r="U600" s="12"/>
      <c r="V600" s="12"/>
      <c r="W600" s="12"/>
      <c r="X600" s="12"/>
      <c r="Z600" s="245"/>
      <c r="AA600" s="118"/>
      <c r="AB600" s="12"/>
      <c r="AC600" s="13"/>
    </row>
    <row r="601" spans="2:29" x14ac:dyDescent="0.2">
      <c r="B601" s="9" t="str">
        <f t="shared" si="129"/>
        <v>8 2026</v>
      </c>
      <c r="C601" s="88">
        <f t="shared" si="130"/>
        <v>46250</v>
      </c>
      <c r="D601" s="88">
        <f t="shared" si="128"/>
        <v>46251</v>
      </c>
      <c r="E601" s="89">
        <f t="shared" si="131"/>
        <v>1</v>
      </c>
      <c r="H601" s="206">
        <v>46246</v>
      </c>
      <c r="I601" s="215"/>
      <c r="K601" s="12"/>
      <c r="L601" s="12"/>
      <c r="M601" s="215"/>
      <c r="N601" s="12"/>
      <c r="O601" s="219"/>
      <c r="P601" s="219"/>
      <c r="Q601" s="219"/>
      <c r="R601" s="219"/>
      <c r="T601" s="215"/>
      <c r="U601" s="12"/>
      <c r="V601" s="12"/>
      <c r="W601" s="12"/>
      <c r="X601" s="12"/>
      <c r="Z601" s="245"/>
      <c r="AA601" s="118"/>
      <c r="AB601" s="12"/>
      <c r="AC601" s="13"/>
    </row>
    <row r="602" spans="2:29" x14ac:dyDescent="0.2">
      <c r="B602" s="9" t="str">
        <f t="shared" si="129"/>
        <v>8 2026</v>
      </c>
      <c r="C602" s="88">
        <f t="shared" si="130"/>
        <v>46251</v>
      </c>
      <c r="D602" s="88">
        <f t="shared" si="128"/>
        <v>46252</v>
      </c>
      <c r="E602" s="89">
        <f t="shared" si="131"/>
        <v>1</v>
      </c>
      <c r="H602" s="206">
        <v>46247</v>
      </c>
      <c r="I602" s="215"/>
      <c r="K602" s="12"/>
      <c r="L602" s="12"/>
      <c r="M602" s="215"/>
      <c r="N602" s="12"/>
      <c r="O602" s="219"/>
      <c r="P602" s="219"/>
      <c r="Q602" s="219"/>
      <c r="R602" s="219"/>
      <c r="T602" s="215"/>
      <c r="U602" s="12"/>
      <c r="V602" s="12"/>
      <c r="W602" s="12"/>
      <c r="X602" s="12"/>
      <c r="Z602" s="245"/>
      <c r="AA602" s="118"/>
      <c r="AB602" s="12"/>
      <c r="AC602" s="13"/>
    </row>
    <row r="603" spans="2:29" x14ac:dyDescent="0.2">
      <c r="B603" s="9" t="str">
        <f t="shared" si="129"/>
        <v>8 2026</v>
      </c>
      <c r="C603" s="88">
        <f t="shared" si="130"/>
        <v>46252</v>
      </c>
      <c r="D603" s="88">
        <f t="shared" si="128"/>
        <v>46253</v>
      </c>
      <c r="E603" s="89">
        <f t="shared" si="131"/>
        <v>1</v>
      </c>
      <c r="H603" s="206">
        <v>46248</v>
      </c>
      <c r="I603" s="215"/>
      <c r="K603" s="12"/>
      <c r="L603" s="12"/>
      <c r="M603" s="215"/>
      <c r="N603" s="12"/>
      <c r="O603" s="219"/>
      <c r="P603" s="219"/>
      <c r="Q603" s="219"/>
      <c r="R603" s="219"/>
      <c r="T603" s="215"/>
      <c r="U603" s="12"/>
      <c r="V603" s="12"/>
      <c r="W603" s="12"/>
      <c r="X603" s="12"/>
      <c r="Z603" s="245"/>
      <c r="AA603" s="118"/>
      <c r="AB603" s="12"/>
      <c r="AC603" s="13"/>
    </row>
    <row r="604" spans="2:29" x14ac:dyDescent="0.2">
      <c r="B604" s="9" t="str">
        <f t="shared" si="129"/>
        <v>8 2026</v>
      </c>
      <c r="C604" s="88">
        <f t="shared" si="130"/>
        <v>46253</v>
      </c>
      <c r="D604" s="88">
        <f t="shared" si="128"/>
        <v>46254</v>
      </c>
      <c r="E604" s="89">
        <f t="shared" si="131"/>
        <v>1</v>
      </c>
      <c r="H604" s="206">
        <v>46251</v>
      </c>
      <c r="I604" s="215"/>
      <c r="K604" s="12"/>
      <c r="L604" s="12"/>
      <c r="M604" s="215"/>
      <c r="N604" s="12"/>
      <c r="O604" s="219"/>
      <c r="P604" s="219"/>
      <c r="Q604" s="219"/>
      <c r="R604" s="219"/>
      <c r="T604" s="215"/>
      <c r="U604" s="12"/>
      <c r="V604" s="12"/>
      <c r="W604" s="12"/>
      <c r="X604" s="12"/>
      <c r="Z604" s="245"/>
      <c r="AA604" s="118"/>
      <c r="AB604" s="12"/>
      <c r="AC604" s="13"/>
    </row>
    <row r="605" spans="2:29" x14ac:dyDescent="0.2">
      <c r="B605" s="9" t="str">
        <f t="shared" si="129"/>
        <v>8 2026</v>
      </c>
      <c r="C605" s="88">
        <f t="shared" si="130"/>
        <v>46254</v>
      </c>
      <c r="D605" s="88">
        <f t="shared" si="128"/>
        <v>46255</v>
      </c>
      <c r="E605" s="89">
        <f t="shared" si="131"/>
        <v>1</v>
      </c>
      <c r="H605" s="206">
        <v>46252</v>
      </c>
      <c r="I605" s="215"/>
      <c r="K605" s="12"/>
      <c r="L605" s="12"/>
      <c r="M605" s="215"/>
      <c r="N605" s="12"/>
      <c r="O605" s="219"/>
      <c r="P605" s="219"/>
      <c r="Q605" s="219"/>
      <c r="R605" s="219"/>
      <c r="T605" s="215"/>
      <c r="U605" s="12"/>
      <c r="V605" s="12"/>
      <c r="W605" s="12"/>
      <c r="X605" s="12"/>
      <c r="Z605" s="245"/>
      <c r="AA605" s="118"/>
      <c r="AB605" s="12"/>
      <c r="AC605" s="13"/>
    </row>
    <row r="606" spans="2:29" x14ac:dyDescent="0.2">
      <c r="B606" s="9" t="str">
        <f t="shared" si="129"/>
        <v>8 2026</v>
      </c>
      <c r="C606" s="88">
        <f t="shared" si="130"/>
        <v>46255</v>
      </c>
      <c r="D606" s="88">
        <f t="shared" si="128"/>
        <v>46256</v>
      </c>
      <c r="E606" s="89">
        <f t="shared" si="131"/>
        <v>1</v>
      </c>
      <c r="H606" s="206">
        <v>46253</v>
      </c>
      <c r="I606" s="215"/>
      <c r="K606" s="12"/>
      <c r="L606" s="12"/>
      <c r="M606" s="215"/>
      <c r="N606" s="12"/>
      <c r="O606" s="219"/>
      <c r="P606" s="219"/>
      <c r="Q606" s="219"/>
      <c r="R606" s="219"/>
      <c r="T606" s="215"/>
      <c r="U606" s="12"/>
      <c r="V606" s="12"/>
      <c r="W606" s="12"/>
      <c r="X606" s="12"/>
      <c r="Z606" s="245"/>
      <c r="AA606" s="118"/>
      <c r="AB606" s="12"/>
      <c r="AC606" s="13"/>
    </row>
    <row r="607" spans="2:29" x14ac:dyDescent="0.2">
      <c r="B607" s="9" t="str">
        <f t="shared" si="129"/>
        <v>8 2026</v>
      </c>
      <c r="C607" s="88">
        <f t="shared" si="130"/>
        <v>46256</v>
      </c>
      <c r="D607" s="88">
        <f t="shared" si="128"/>
        <v>46257</v>
      </c>
      <c r="E607" s="89">
        <f t="shared" si="131"/>
        <v>1</v>
      </c>
      <c r="H607" s="206">
        <v>46253</v>
      </c>
      <c r="I607" s="215"/>
      <c r="K607" s="12"/>
      <c r="L607" s="12"/>
      <c r="M607" s="215"/>
      <c r="N607" s="12"/>
      <c r="O607" s="219"/>
      <c r="P607" s="219"/>
      <c r="Q607" s="219"/>
      <c r="R607" s="219"/>
      <c r="T607" s="215"/>
      <c r="U607" s="12"/>
      <c r="V607" s="12"/>
      <c r="W607" s="12"/>
      <c r="X607" s="12"/>
      <c r="Z607" s="245"/>
      <c r="AA607" s="118"/>
      <c r="AB607" s="12"/>
      <c r="AC607" s="13"/>
    </row>
    <row r="608" spans="2:29" x14ac:dyDescent="0.2">
      <c r="B608" s="9" t="str">
        <f t="shared" si="129"/>
        <v>8 2026</v>
      </c>
      <c r="C608" s="88">
        <f t="shared" si="130"/>
        <v>46257</v>
      </c>
      <c r="D608" s="88">
        <f t="shared" si="128"/>
        <v>46258</v>
      </c>
      <c r="E608" s="89">
        <f t="shared" si="131"/>
        <v>1</v>
      </c>
      <c r="H608" s="206">
        <v>46253</v>
      </c>
      <c r="I608" s="215"/>
      <c r="K608" s="12"/>
      <c r="L608" s="12"/>
      <c r="M608" s="215"/>
      <c r="N608" s="12"/>
      <c r="O608" s="219"/>
      <c r="P608" s="219"/>
      <c r="Q608" s="219"/>
      <c r="R608" s="219"/>
      <c r="T608" s="215"/>
      <c r="U608" s="12"/>
      <c r="V608" s="12"/>
      <c r="W608" s="12"/>
      <c r="X608" s="12"/>
      <c r="Z608" s="245"/>
      <c r="AA608" s="118"/>
      <c r="AB608" s="12"/>
      <c r="AC608" s="13"/>
    </row>
    <row r="609" spans="2:29" x14ac:dyDescent="0.2">
      <c r="B609" s="9" t="str">
        <f t="shared" si="129"/>
        <v>8 2026</v>
      </c>
      <c r="C609" s="88">
        <f t="shared" si="130"/>
        <v>46258</v>
      </c>
      <c r="D609" s="88">
        <f t="shared" si="128"/>
        <v>46259</v>
      </c>
      <c r="E609" s="89">
        <f t="shared" si="131"/>
        <v>1</v>
      </c>
      <c r="H609" s="206">
        <v>46254</v>
      </c>
      <c r="I609" s="215"/>
      <c r="K609" s="12"/>
      <c r="L609" s="12"/>
      <c r="M609" s="215"/>
      <c r="N609" s="12"/>
      <c r="O609" s="219"/>
      <c r="P609" s="219"/>
      <c r="Q609" s="219"/>
      <c r="R609" s="219"/>
      <c r="T609" s="215"/>
      <c r="U609" s="12"/>
      <c r="V609" s="12"/>
      <c r="W609" s="12"/>
      <c r="X609" s="12"/>
      <c r="Z609" s="245"/>
      <c r="AA609" s="118"/>
      <c r="AB609" s="12"/>
      <c r="AC609" s="13"/>
    </row>
    <row r="610" spans="2:29" x14ac:dyDescent="0.2">
      <c r="B610" s="9" t="str">
        <f t="shared" si="129"/>
        <v>8 2026</v>
      </c>
      <c r="C610" s="88">
        <f t="shared" si="130"/>
        <v>46259</v>
      </c>
      <c r="D610" s="88">
        <f t="shared" si="128"/>
        <v>46260</v>
      </c>
      <c r="E610" s="89">
        <f t="shared" si="131"/>
        <v>1</v>
      </c>
      <c r="H610" s="206">
        <v>46255</v>
      </c>
      <c r="I610" s="215"/>
      <c r="K610" s="12"/>
      <c r="L610" s="12"/>
      <c r="M610" s="215"/>
      <c r="N610" s="12"/>
      <c r="O610" s="219"/>
      <c r="P610" s="219"/>
      <c r="Q610" s="219"/>
      <c r="R610" s="219"/>
      <c r="T610" s="215"/>
      <c r="U610" s="12"/>
      <c r="V610" s="12"/>
      <c r="W610" s="12"/>
      <c r="X610" s="12"/>
      <c r="Z610" s="245"/>
      <c r="AA610" s="118"/>
      <c r="AB610" s="12"/>
      <c r="AC610" s="13"/>
    </row>
    <row r="611" spans="2:29" x14ac:dyDescent="0.2">
      <c r="B611" s="9" t="str">
        <f t="shared" si="129"/>
        <v>8 2026</v>
      </c>
      <c r="C611" s="88">
        <f t="shared" si="130"/>
        <v>46260</v>
      </c>
      <c r="D611" s="88">
        <f t="shared" si="128"/>
        <v>46261</v>
      </c>
      <c r="E611" s="89">
        <f t="shared" si="131"/>
        <v>1</v>
      </c>
      <c r="H611" s="206">
        <v>46258</v>
      </c>
      <c r="I611" s="215"/>
      <c r="K611" s="12"/>
      <c r="L611" s="12"/>
      <c r="M611" s="215"/>
      <c r="N611" s="12"/>
      <c r="O611" s="219"/>
      <c r="P611" s="219"/>
      <c r="Q611" s="219"/>
      <c r="R611" s="219"/>
      <c r="T611" s="215"/>
      <c r="U611" s="12"/>
      <c r="V611" s="12"/>
      <c r="W611" s="12"/>
      <c r="X611" s="12"/>
      <c r="Z611" s="245"/>
      <c r="AA611" s="118"/>
      <c r="AB611" s="12"/>
      <c r="AC611" s="13"/>
    </row>
    <row r="612" spans="2:29" x14ac:dyDescent="0.2">
      <c r="B612" s="9" t="str">
        <f t="shared" si="129"/>
        <v>8 2026</v>
      </c>
      <c r="C612" s="88">
        <f t="shared" si="130"/>
        <v>46261</v>
      </c>
      <c r="D612" s="88">
        <f t="shared" si="128"/>
        <v>46262</v>
      </c>
      <c r="E612" s="89">
        <f t="shared" si="131"/>
        <v>1</v>
      </c>
      <c r="H612" s="206">
        <v>46259</v>
      </c>
      <c r="I612" s="215"/>
      <c r="K612" s="12"/>
      <c r="L612" s="12"/>
      <c r="M612" s="215"/>
      <c r="N612" s="12"/>
      <c r="O612" s="219"/>
      <c r="P612" s="219"/>
      <c r="Q612" s="219"/>
      <c r="R612" s="219"/>
      <c r="T612" s="215"/>
      <c r="U612" s="12"/>
      <c r="V612" s="12"/>
      <c r="W612" s="12"/>
      <c r="X612" s="12"/>
      <c r="Z612" s="245"/>
      <c r="AA612" s="118"/>
      <c r="AB612" s="12"/>
      <c r="AC612" s="13"/>
    </row>
    <row r="613" spans="2:29" x14ac:dyDescent="0.2">
      <c r="B613" s="9" t="str">
        <f t="shared" si="129"/>
        <v>8 2026</v>
      </c>
      <c r="C613" s="88">
        <f t="shared" si="130"/>
        <v>46262</v>
      </c>
      <c r="D613" s="88">
        <f t="shared" si="128"/>
        <v>46263</v>
      </c>
      <c r="E613" s="89">
        <f t="shared" si="131"/>
        <v>1</v>
      </c>
      <c r="H613" s="206">
        <v>46260</v>
      </c>
      <c r="I613" s="215"/>
      <c r="K613" s="12"/>
      <c r="L613" s="12"/>
      <c r="M613" s="215"/>
      <c r="N613" s="12"/>
      <c r="O613" s="219"/>
      <c r="P613" s="219"/>
      <c r="Q613" s="219"/>
      <c r="R613" s="219"/>
      <c r="T613" s="215"/>
      <c r="U613" s="12"/>
      <c r="V613" s="12"/>
      <c r="W613" s="12"/>
      <c r="X613" s="12"/>
      <c r="Z613" s="245"/>
      <c r="AA613" s="118"/>
      <c r="AB613" s="12"/>
      <c r="AC613" s="13"/>
    </row>
    <row r="614" spans="2:29" x14ac:dyDescent="0.2">
      <c r="B614" s="9" t="str">
        <f t="shared" si="129"/>
        <v>8 2026</v>
      </c>
      <c r="C614" s="88">
        <f t="shared" si="130"/>
        <v>46263</v>
      </c>
      <c r="D614" s="88">
        <f t="shared" si="128"/>
        <v>46264</v>
      </c>
      <c r="E614" s="89">
        <f t="shared" si="131"/>
        <v>1</v>
      </c>
      <c r="H614" s="206">
        <v>46260</v>
      </c>
      <c r="I614" s="215"/>
      <c r="K614" s="12"/>
      <c r="L614" s="12"/>
      <c r="M614" s="215"/>
      <c r="N614" s="12"/>
      <c r="O614" s="219"/>
      <c r="P614" s="219"/>
      <c r="Q614" s="219"/>
      <c r="R614" s="219"/>
      <c r="T614" s="215"/>
      <c r="U614" s="12"/>
      <c r="V614" s="12"/>
      <c r="W614" s="12"/>
      <c r="X614" s="12"/>
      <c r="Z614" s="245"/>
      <c r="AA614" s="118"/>
      <c r="AB614" s="12"/>
      <c r="AC614" s="13"/>
    </row>
    <row r="615" spans="2:29" x14ac:dyDescent="0.2">
      <c r="B615" s="9" t="str">
        <f t="shared" si="129"/>
        <v>8 2026</v>
      </c>
      <c r="C615" s="88">
        <f t="shared" si="130"/>
        <v>46264</v>
      </c>
      <c r="D615" s="88">
        <f t="shared" si="128"/>
        <v>46265</v>
      </c>
      <c r="E615" s="89">
        <f t="shared" si="131"/>
        <v>1</v>
      </c>
      <c r="H615" s="206">
        <v>46260</v>
      </c>
      <c r="I615" s="215"/>
      <c r="K615" s="12"/>
      <c r="L615" s="12"/>
      <c r="M615" s="215"/>
      <c r="N615" s="12"/>
      <c r="O615" s="219"/>
      <c r="P615" s="219"/>
      <c r="Q615" s="219"/>
      <c r="R615" s="219"/>
      <c r="T615" s="215"/>
      <c r="U615" s="12"/>
      <c r="V615" s="12"/>
      <c r="W615" s="12"/>
      <c r="X615" s="12"/>
      <c r="Z615" s="245"/>
      <c r="AA615" s="118"/>
      <c r="AB615" s="12"/>
      <c r="AC615" s="13"/>
    </row>
    <row r="616" spans="2:29" x14ac:dyDescent="0.2">
      <c r="B616" s="9" t="str">
        <f t="shared" si="129"/>
        <v>9 2026</v>
      </c>
      <c r="C616" s="88">
        <f t="shared" si="130"/>
        <v>46265</v>
      </c>
      <c r="D616" s="88">
        <f t="shared" si="128"/>
        <v>46266</v>
      </c>
      <c r="E616" s="89">
        <f t="shared" si="131"/>
        <v>1</v>
      </c>
      <c r="H616" s="206">
        <v>46261</v>
      </c>
      <c r="I616" s="215"/>
      <c r="K616" s="12"/>
      <c r="L616" s="12"/>
      <c r="M616" s="215"/>
      <c r="N616" s="12"/>
      <c r="O616" s="219"/>
      <c r="P616" s="219"/>
      <c r="Q616" s="219"/>
      <c r="R616" s="219"/>
      <c r="T616" s="215"/>
      <c r="U616" s="12"/>
      <c r="V616" s="12"/>
      <c r="W616" s="12"/>
      <c r="X616" s="12"/>
      <c r="Z616" s="245"/>
      <c r="AA616" s="118"/>
      <c r="AB616" s="12"/>
      <c r="AC616" s="13"/>
    </row>
    <row r="617" spans="2:29" x14ac:dyDescent="0.2">
      <c r="B617" s="9" t="str">
        <f t="shared" si="129"/>
        <v>9 2026</v>
      </c>
      <c r="C617" s="88">
        <f t="shared" si="130"/>
        <v>46266</v>
      </c>
      <c r="D617" s="88">
        <f t="shared" si="128"/>
        <v>46267</v>
      </c>
      <c r="E617" s="89">
        <f t="shared" si="131"/>
        <v>1</v>
      </c>
      <c r="H617" s="206">
        <v>46262</v>
      </c>
      <c r="I617" s="215"/>
      <c r="K617" s="12"/>
      <c r="L617" s="12"/>
      <c r="M617" s="215"/>
      <c r="N617" s="12"/>
      <c r="O617" s="219"/>
      <c r="P617" s="219"/>
      <c r="Q617" s="219"/>
      <c r="R617" s="219"/>
      <c r="T617" s="215"/>
      <c r="U617" s="12"/>
      <c r="V617" s="12"/>
      <c r="W617" s="12"/>
      <c r="X617" s="12"/>
      <c r="Z617" s="245"/>
      <c r="AA617" s="118"/>
      <c r="AB617" s="12"/>
      <c r="AC617" s="13"/>
    </row>
    <row r="618" spans="2:29" x14ac:dyDescent="0.2">
      <c r="B618" s="9" t="str">
        <f t="shared" si="129"/>
        <v>9 2026</v>
      </c>
      <c r="C618" s="88">
        <f t="shared" si="130"/>
        <v>46267</v>
      </c>
      <c r="D618" s="88">
        <f t="shared" si="128"/>
        <v>46268</v>
      </c>
      <c r="E618" s="89">
        <f t="shared" si="131"/>
        <v>1</v>
      </c>
      <c r="H618" s="206">
        <v>46262</v>
      </c>
      <c r="I618" s="215"/>
      <c r="K618" s="12"/>
      <c r="L618" s="12"/>
      <c r="M618" s="215"/>
      <c r="N618" s="12"/>
      <c r="O618" s="219"/>
      <c r="P618" s="219"/>
      <c r="Q618" s="219"/>
      <c r="R618" s="219"/>
      <c r="T618" s="215"/>
      <c r="U618" s="12"/>
      <c r="V618" s="12"/>
      <c r="W618" s="12"/>
      <c r="X618" s="12"/>
      <c r="Z618" s="245"/>
      <c r="AA618" s="118"/>
      <c r="AB618" s="12"/>
      <c r="AC618" s="13"/>
    </row>
    <row r="619" spans="2:29" x14ac:dyDescent="0.2">
      <c r="B619" s="9" t="str">
        <f t="shared" si="129"/>
        <v>9 2026</v>
      </c>
      <c r="C619" s="88">
        <f t="shared" si="130"/>
        <v>46268</v>
      </c>
      <c r="D619" s="88">
        <f t="shared" si="128"/>
        <v>46269</v>
      </c>
      <c r="E619" s="89">
        <f t="shared" si="131"/>
        <v>1</v>
      </c>
      <c r="H619" s="206">
        <v>46266</v>
      </c>
      <c r="I619" s="215"/>
      <c r="K619" s="12"/>
      <c r="L619" s="12"/>
      <c r="M619" s="215"/>
      <c r="N619" s="12"/>
      <c r="O619" s="219"/>
      <c r="P619" s="219"/>
      <c r="Q619" s="219"/>
      <c r="R619" s="219"/>
      <c r="T619" s="215"/>
      <c r="U619" s="12"/>
      <c r="V619" s="12"/>
      <c r="W619" s="12"/>
      <c r="X619" s="12"/>
      <c r="Z619" s="245"/>
      <c r="AA619" s="118"/>
      <c r="AB619" s="12"/>
      <c r="AC619" s="13"/>
    </row>
    <row r="620" spans="2:29" x14ac:dyDescent="0.2">
      <c r="B620" s="9" t="str">
        <f t="shared" si="129"/>
        <v>9 2026</v>
      </c>
      <c r="C620" s="88">
        <f t="shared" si="130"/>
        <v>46269</v>
      </c>
      <c r="D620" s="88">
        <f t="shared" si="128"/>
        <v>46270</v>
      </c>
      <c r="E620" s="89">
        <f t="shared" si="131"/>
        <v>1</v>
      </c>
      <c r="H620" s="206">
        <v>46267</v>
      </c>
      <c r="I620" s="215"/>
      <c r="K620" s="12"/>
      <c r="L620" s="12"/>
      <c r="M620" s="215"/>
      <c r="N620" s="12"/>
      <c r="O620" s="219"/>
      <c r="P620" s="219"/>
      <c r="Q620" s="219"/>
      <c r="R620" s="219"/>
      <c r="T620" s="215"/>
      <c r="U620" s="12"/>
      <c r="V620" s="12"/>
      <c r="W620" s="12"/>
      <c r="X620" s="12"/>
      <c r="Z620" s="245"/>
      <c r="AA620" s="118"/>
      <c r="AB620" s="12"/>
      <c r="AC620" s="13"/>
    </row>
    <row r="621" spans="2:29" x14ac:dyDescent="0.2">
      <c r="B621" s="9" t="str">
        <f t="shared" si="129"/>
        <v>9 2026</v>
      </c>
      <c r="C621" s="88">
        <f t="shared" si="130"/>
        <v>46270</v>
      </c>
      <c r="D621" s="88">
        <f t="shared" si="128"/>
        <v>46271</v>
      </c>
      <c r="E621" s="89">
        <f t="shared" si="131"/>
        <v>1</v>
      </c>
      <c r="H621" s="206">
        <v>46267</v>
      </c>
      <c r="I621" s="215"/>
      <c r="K621" s="12"/>
      <c r="L621" s="12"/>
      <c r="M621" s="215"/>
      <c r="N621" s="12"/>
      <c r="O621" s="219"/>
      <c r="P621" s="219"/>
      <c r="Q621" s="219"/>
      <c r="R621" s="219"/>
      <c r="T621" s="215"/>
      <c r="U621" s="12"/>
      <c r="V621" s="12"/>
      <c r="W621" s="12"/>
      <c r="X621" s="12"/>
      <c r="Z621" s="245"/>
      <c r="AA621" s="118"/>
      <c r="AB621" s="12"/>
      <c r="AC621" s="13"/>
    </row>
    <row r="622" spans="2:29" x14ac:dyDescent="0.2">
      <c r="B622" s="9" t="str">
        <f t="shared" si="129"/>
        <v>9 2026</v>
      </c>
      <c r="C622" s="88">
        <f t="shared" si="130"/>
        <v>46271</v>
      </c>
      <c r="D622" s="88">
        <f t="shared" si="128"/>
        <v>46272</v>
      </c>
      <c r="E622" s="89">
        <f t="shared" si="131"/>
        <v>1</v>
      </c>
      <c r="H622" s="206">
        <v>46267</v>
      </c>
      <c r="I622" s="215"/>
      <c r="K622" s="12"/>
      <c r="L622" s="12"/>
      <c r="M622" s="215"/>
      <c r="N622" s="12"/>
      <c r="O622" s="219"/>
      <c r="P622" s="219"/>
      <c r="Q622" s="219"/>
      <c r="R622" s="219"/>
      <c r="T622" s="215"/>
      <c r="U622" s="12"/>
      <c r="V622" s="12"/>
      <c r="W622" s="12"/>
      <c r="X622" s="12"/>
      <c r="Z622" s="245"/>
      <c r="AA622" s="118"/>
      <c r="AB622" s="12"/>
      <c r="AC622" s="13"/>
    </row>
    <row r="623" spans="2:29" x14ac:dyDescent="0.2">
      <c r="B623" s="9" t="str">
        <f t="shared" si="129"/>
        <v>9 2026</v>
      </c>
      <c r="C623" s="88">
        <f t="shared" si="130"/>
        <v>46272</v>
      </c>
      <c r="D623" s="88">
        <f t="shared" si="128"/>
        <v>46273</v>
      </c>
      <c r="E623" s="89">
        <f t="shared" si="131"/>
        <v>1</v>
      </c>
      <c r="H623" s="206">
        <v>46268</v>
      </c>
      <c r="I623" s="215"/>
      <c r="K623" s="12"/>
      <c r="L623" s="12"/>
      <c r="M623" s="215"/>
      <c r="N623" s="12"/>
      <c r="O623" s="219"/>
      <c r="P623" s="219"/>
      <c r="Q623" s="219"/>
      <c r="R623" s="219"/>
      <c r="T623" s="215"/>
      <c r="U623" s="12"/>
      <c r="V623" s="12"/>
      <c r="W623" s="12"/>
      <c r="X623" s="12"/>
      <c r="Z623" s="245"/>
      <c r="AA623" s="118"/>
      <c r="AB623" s="12"/>
      <c r="AC623" s="13"/>
    </row>
    <row r="624" spans="2:29" x14ac:dyDescent="0.2">
      <c r="B624" s="9" t="str">
        <f t="shared" si="129"/>
        <v>9 2026</v>
      </c>
      <c r="C624" s="88">
        <f t="shared" si="130"/>
        <v>46273</v>
      </c>
      <c r="D624" s="88">
        <f t="shared" si="128"/>
        <v>46274</v>
      </c>
      <c r="E624" s="89">
        <f t="shared" si="131"/>
        <v>1</v>
      </c>
      <c r="H624" s="206">
        <v>46269</v>
      </c>
      <c r="I624" s="215"/>
      <c r="K624" s="12"/>
      <c r="L624" s="12"/>
      <c r="M624" s="215"/>
      <c r="N624" s="12"/>
      <c r="O624" s="219"/>
      <c r="P624" s="219"/>
      <c r="Q624" s="219"/>
      <c r="R624" s="219"/>
      <c r="T624" s="215"/>
      <c r="U624" s="12"/>
      <c r="V624" s="12"/>
      <c r="W624" s="12"/>
      <c r="X624" s="12"/>
      <c r="Z624" s="245"/>
      <c r="AA624" s="118"/>
      <c r="AB624" s="12"/>
      <c r="AC624" s="13"/>
    </row>
    <row r="625" spans="2:29" x14ac:dyDescent="0.2">
      <c r="B625" s="9" t="str">
        <f t="shared" si="129"/>
        <v>9 2026</v>
      </c>
      <c r="C625" s="88">
        <f t="shared" si="130"/>
        <v>46274</v>
      </c>
      <c r="D625" s="88">
        <f t="shared" si="128"/>
        <v>46275</v>
      </c>
      <c r="E625" s="89">
        <f t="shared" si="131"/>
        <v>1</v>
      </c>
      <c r="H625" s="206">
        <v>46269</v>
      </c>
      <c r="I625" s="215"/>
      <c r="K625" s="12"/>
      <c r="L625" s="12"/>
      <c r="M625" s="215"/>
      <c r="N625" s="12"/>
      <c r="O625" s="219"/>
      <c r="P625" s="219"/>
      <c r="Q625" s="219"/>
      <c r="R625" s="219"/>
      <c r="T625" s="215"/>
      <c r="U625" s="12"/>
      <c r="V625" s="12"/>
      <c r="W625" s="12"/>
      <c r="X625" s="12"/>
      <c r="Z625" s="245"/>
      <c r="AA625" s="118"/>
      <c r="AB625" s="12"/>
      <c r="AC625" s="13"/>
    </row>
    <row r="626" spans="2:29" x14ac:dyDescent="0.2">
      <c r="B626" s="9" t="str">
        <f t="shared" si="129"/>
        <v>9 2026</v>
      </c>
      <c r="C626" s="88">
        <f t="shared" si="130"/>
        <v>46275</v>
      </c>
      <c r="D626" s="88">
        <f t="shared" si="128"/>
        <v>46276</v>
      </c>
      <c r="E626" s="89">
        <f t="shared" si="131"/>
        <v>1</v>
      </c>
      <c r="H626" s="206">
        <v>46273</v>
      </c>
      <c r="I626" s="215"/>
      <c r="K626" s="12"/>
      <c r="L626" s="12"/>
      <c r="M626" s="215"/>
      <c r="N626" s="12"/>
      <c r="O626" s="219"/>
      <c r="P626" s="219"/>
      <c r="Q626" s="219"/>
      <c r="R626" s="219"/>
      <c r="T626" s="215"/>
      <c r="U626" s="12"/>
      <c r="V626" s="12"/>
      <c r="W626" s="12"/>
      <c r="X626" s="12"/>
      <c r="Z626" s="245"/>
      <c r="AA626" s="118"/>
      <c r="AB626" s="12"/>
      <c r="AC626" s="13"/>
    </row>
    <row r="627" spans="2:29" x14ac:dyDescent="0.2">
      <c r="B627" s="9" t="str">
        <f t="shared" si="129"/>
        <v>9 2026</v>
      </c>
      <c r="C627" s="88">
        <f t="shared" si="130"/>
        <v>46276</v>
      </c>
      <c r="D627" s="88">
        <f t="shared" si="128"/>
        <v>46277</v>
      </c>
      <c r="E627" s="89">
        <f t="shared" si="131"/>
        <v>1</v>
      </c>
      <c r="H627" s="206">
        <v>46274</v>
      </c>
      <c r="I627" s="215"/>
      <c r="K627" s="12"/>
      <c r="L627" s="12"/>
      <c r="M627" s="215"/>
      <c r="N627" s="12"/>
      <c r="O627" s="219"/>
      <c r="P627" s="219"/>
      <c r="Q627" s="219"/>
      <c r="R627" s="219"/>
      <c r="T627" s="215"/>
      <c r="U627" s="12"/>
      <c r="V627" s="12"/>
      <c r="W627" s="12"/>
      <c r="X627" s="12"/>
      <c r="Z627" s="245"/>
      <c r="AA627" s="118"/>
      <c r="AB627" s="12"/>
      <c r="AC627" s="13"/>
    </row>
    <row r="628" spans="2:29" x14ac:dyDescent="0.2">
      <c r="B628" s="9" t="str">
        <f t="shared" si="129"/>
        <v>9 2026</v>
      </c>
      <c r="C628" s="88">
        <f t="shared" si="130"/>
        <v>46277</v>
      </c>
      <c r="D628" s="88">
        <f t="shared" si="128"/>
        <v>46278</v>
      </c>
      <c r="E628" s="89">
        <f t="shared" si="131"/>
        <v>1</v>
      </c>
      <c r="H628" s="206">
        <v>46274</v>
      </c>
      <c r="I628" s="215"/>
      <c r="K628" s="12"/>
      <c r="L628" s="12"/>
      <c r="M628" s="215"/>
      <c r="N628" s="12"/>
      <c r="O628" s="219"/>
      <c r="P628" s="219"/>
      <c r="Q628" s="219"/>
      <c r="R628" s="219"/>
      <c r="T628" s="215"/>
      <c r="U628" s="12"/>
      <c r="V628" s="12"/>
      <c r="W628" s="12"/>
      <c r="X628" s="12"/>
      <c r="Z628" s="245"/>
      <c r="AA628" s="118"/>
      <c r="AB628" s="12"/>
      <c r="AC628" s="13"/>
    </row>
    <row r="629" spans="2:29" x14ac:dyDescent="0.2">
      <c r="B629" s="9" t="str">
        <f t="shared" si="129"/>
        <v>9 2026</v>
      </c>
      <c r="C629" s="88">
        <f t="shared" si="130"/>
        <v>46278</v>
      </c>
      <c r="D629" s="88">
        <f t="shared" si="128"/>
        <v>46279</v>
      </c>
      <c r="E629" s="89">
        <f t="shared" si="131"/>
        <v>1</v>
      </c>
      <c r="H629" s="206">
        <v>46274</v>
      </c>
      <c r="I629" s="215"/>
      <c r="K629" s="12"/>
      <c r="L629" s="12"/>
      <c r="M629" s="215"/>
      <c r="N629" s="12"/>
      <c r="O629" s="219"/>
      <c r="P629" s="219"/>
      <c r="Q629" s="219"/>
      <c r="R629" s="219"/>
      <c r="T629" s="215"/>
      <c r="U629" s="12"/>
      <c r="V629" s="12"/>
      <c r="W629" s="12"/>
      <c r="X629" s="12"/>
      <c r="Z629" s="245"/>
      <c r="AA629" s="118"/>
      <c r="AB629" s="12"/>
      <c r="AC629" s="13"/>
    </row>
    <row r="630" spans="2:29" x14ac:dyDescent="0.2">
      <c r="B630" s="9" t="str">
        <f t="shared" si="129"/>
        <v>9 2026</v>
      </c>
      <c r="C630" s="88">
        <f t="shared" si="130"/>
        <v>46279</v>
      </c>
      <c r="D630" s="88">
        <f t="shared" si="128"/>
        <v>46280</v>
      </c>
      <c r="E630" s="89">
        <f t="shared" si="131"/>
        <v>1</v>
      </c>
      <c r="H630" s="206">
        <v>46275</v>
      </c>
      <c r="I630" s="215"/>
      <c r="K630" s="12"/>
      <c r="L630" s="12"/>
      <c r="M630" s="215"/>
      <c r="N630" s="12"/>
      <c r="O630" s="219"/>
      <c r="P630" s="219"/>
      <c r="Q630" s="219"/>
      <c r="R630" s="219"/>
      <c r="T630" s="215"/>
      <c r="U630" s="12"/>
      <c r="V630" s="12"/>
      <c r="W630" s="12"/>
      <c r="X630" s="12"/>
      <c r="Z630" s="245"/>
      <c r="AA630" s="118"/>
      <c r="AB630" s="12"/>
      <c r="AC630" s="13"/>
    </row>
    <row r="631" spans="2:29" x14ac:dyDescent="0.2">
      <c r="B631" s="9" t="str">
        <f t="shared" si="129"/>
        <v>9 2026</v>
      </c>
      <c r="C631" s="88">
        <f t="shared" si="130"/>
        <v>46280</v>
      </c>
      <c r="D631" s="88">
        <f t="shared" si="128"/>
        <v>46281</v>
      </c>
      <c r="E631" s="89">
        <f t="shared" si="131"/>
        <v>1</v>
      </c>
      <c r="H631" s="206">
        <v>46276</v>
      </c>
      <c r="I631" s="215"/>
      <c r="K631" s="12"/>
      <c r="L631" s="12"/>
      <c r="M631" s="215"/>
      <c r="N631" s="12"/>
      <c r="O631" s="219"/>
      <c r="P631" s="219"/>
      <c r="Q631" s="219"/>
      <c r="R631" s="219"/>
      <c r="T631" s="215"/>
      <c r="U631" s="12"/>
      <c r="V631" s="12"/>
      <c r="W631" s="12"/>
      <c r="X631" s="12"/>
      <c r="Z631" s="245"/>
      <c r="AA631" s="118"/>
      <c r="AB631" s="12"/>
      <c r="AC631" s="13"/>
    </row>
    <row r="632" spans="2:29" x14ac:dyDescent="0.2">
      <c r="B632" s="9" t="str">
        <f t="shared" si="129"/>
        <v>9 2026</v>
      </c>
      <c r="C632" s="88">
        <f t="shared" si="130"/>
        <v>46281</v>
      </c>
      <c r="D632" s="88">
        <f t="shared" ref="D632:D695" si="132">D631+1</f>
        <v>46282</v>
      </c>
      <c r="E632" s="89">
        <f t="shared" si="131"/>
        <v>1</v>
      </c>
      <c r="H632" s="206">
        <v>46279</v>
      </c>
      <c r="I632" s="215"/>
      <c r="K632" s="12"/>
      <c r="L632" s="12"/>
      <c r="M632" s="215"/>
      <c r="N632" s="12"/>
      <c r="O632" s="219"/>
      <c r="P632" s="219"/>
      <c r="Q632" s="219"/>
      <c r="R632" s="219"/>
      <c r="T632" s="215"/>
      <c r="U632" s="12"/>
      <c r="V632" s="12"/>
      <c r="W632" s="12"/>
      <c r="X632" s="12"/>
      <c r="Z632" s="245"/>
      <c r="AA632" s="118"/>
      <c r="AB632" s="12"/>
      <c r="AC632" s="13"/>
    </row>
    <row r="633" spans="2:29" x14ac:dyDescent="0.2">
      <c r="B633" s="9" t="str">
        <f t="shared" si="129"/>
        <v>9 2026</v>
      </c>
      <c r="C633" s="88">
        <f t="shared" si="130"/>
        <v>46282</v>
      </c>
      <c r="D633" s="88">
        <f t="shared" si="132"/>
        <v>46283</v>
      </c>
      <c r="E633" s="89">
        <f t="shared" si="131"/>
        <v>1</v>
      </c>
      <c r="H633" s="206">
        <v>46280</v>
      </c>
      <c r="I633" s="215"/>
      <c r="K633" s="12"/>
      <c r="L633" s="12"/>
      <c r="M633" s="215"/>
      <c r="N633" s="12"/>
      <c r="O633" s="219"/>
      <c r="P633" s="219"/>
      <c r="Q633" s="219"/>
      <c r="R633" s="219"/>
      <c r="T633" s="215"/>
      <c r="U633" s="12"/>
      <c r="V633" s="12"/>
      <c r="W633" s="12"/>
      <c r="X633" s="12"/>
      <c r="Z633" s="245"/>
      <c r="AA633" s="118"/>
      <c r="AB633" s="12"/>
      <c r="AC633" s="13"/>
    </row>
    <row r="634" spans="2:29" x14ac:dyDescent="0.2">
      <c r="B634" s="9" t="str">
        <f t="shared" si="129"/>
        <v>9 2026</v>
      </c>
      <c r="C634" s="88">
        <f t="shared" si="130"/>
        <v>46283</v>
      </c>
      <c r="D634" s="88">
        <f t="shared" si="132"/>
        <v>46284</v>
      </c>
      <c r="E634" s="89">
        <f t="shared" si="131"/>
        <v>1</v>
      </c>
      <c r="H634" s="206">
        <v>46281</v>
      </c>
      <c r="I634" s="215"/>
      <c r="K634" s="12"/>
      <c r="L634" s="12"/>
      <c r="M634" s="215"/>
      <c r="N634" s="12"/>
      <c r="O634" s="219"/>
      <c r="P634" s="219"/>
      <c r="Q634" s="219"/>
      <c r="R634" s="219"/>
      <c r="T634" s="215"/>
      <c r="U634" s="12"/>
      <c r="V634" s="12"/>
      <c r="W634" s="12"/>
      <c r="X634" s="12"/>
      <c r="Z634" s="245"/>
      <c r="AA634" s="118"/>
      <c r="AB634" s="12"/>
      <c r="AC634" s="13"/>
    </row>
    <row r="635" spans="2:29" x14ac:dyDescent="0.2">
      <c r="B635" s="9" t="str">
        <f t="shared" si="129"/>
        <v>9 2026</v>
      </c>
      <c r="C635" s="88">
        <f t="shared" si="130"/>
        <v>46284</v>
      </c>
      <c r="D635" s="88">
        <f t="shared" si="132"/>
        <v>46285</v>
      </c>
      <c r="E635" s="89">
        <f t="shared" si="131"/>
        <v>1</v>
      </c>
      <c r="H635" s="206">
        <v>46281</v>
      </c>
      <c r="I635" s="215"/>
      <c r="K635" s="12"/>
      <c r="L635" s="12"/>
      <c r="M635" s="215"/>
      <c r="N635" s="12"/>
      <c r="O635" s="219"/>
      <c r="P635" s="219"/>
      <c r="Q635" s="219"/>
      <c r="R635" s="219"/>
      <c r="T635" s="215"/>
      <c r="U635" s="12"/>
      <c r="V635" s="12"/>
      <c r="W635" s="12"/>
      <c r="X635" s="12"/>
      <c r="Z635" s="245"/>
      <c r="AA635" s="118"/>
      <c r="AB635" s="12"/>
      <c r="AC635" s="13"/>
    </row>
    <row r="636" spans="2:29" x14ac:dyDescent="0.2">
      <c r="B636" s="9" t="str">
        <f t="shared" si="129"/>
        <v>9 2026</v>
      </c>
      <c r="C636" s="88">
        <f t="shared" si="130"/>
        <v>46285</v>
      </c>
      <c r="D636" s="88">
        <f t="shared" si="132"/>
        <v>46286</v>
      </c>
      <c r="E636" s="89">
        <f t="shared" si="131"/>
        <v>1</v>
      </c>
      <c r="H636" s="206">
        <v>46281</v>
      </c>
      <c r="I636" s="215"/>
      <c r="K636" s="12"/>
      <c r="L636" s="12"/>
      <c r="M636" s="215"/>
      <c r="N636" s="12"/>
      <c r="O636" s="219"/>
      <c r="P636" s="219"/>
      <c r="Q636" s="219"/>
      <c r="R636" s="219"/>
      <c r="T636" s="215"/>
      <c r="U636" s="12"/>
      <c r="V636" s="12"/>
      <c r="W636" s="12"/>
      <c r="X636" s="12"/>
      <c r="Z636" s="245"/>
      <c r="AA636" s="118"/>
      <c r="AB636" s="12"/>
      <c r="AC636" s="13"/>
    </row>
    <row r="637" spans="2:29" x14ac:dyDescent="0.2">
      <c r="B637" s="9" t="str">
        <f t="shared" si="129"/>
        <v>9 2026</v>
      </c>
      <c r="C637" s="88">
        <f t="shared" si="130"/>
        <v>46286</v>
      </c>
      <c r="D637" s="88">
        <f t="shared" si="132"/>
        <v>46287</v>
      </c>
      <c r="E637" s="89">
        <f t="shared" si="131"/>
        <v>1</v>
      </c>
      <c r="H637" s="206">
        <v>46282</v>
      </c>
      <c r="I637" s="215"/>
      <c r="K637" s="12"/>
      <c r="L637" s="12"/>
      <c r="M637" s="215"/>
      <c r="N637" s="12"/>
      <c r="O637" s="219"/>
      <c r="P637" s="219"/>
      <c r="Q637" s="219"/>
      <c r="R637" s="219"/>
      <c r="T637" s="215"/>
      <c r="U637" s="12"/>
      <c r="V637" s="12"/>
      <c r="W637" s="12"/>
      <c r="X637" s="12"/>
      <c r="Z637" s="245"/>
      <c r="AA637" s="118"/>
      <c r="AB637" s="12"/>
      <c r="AC637" s="13"/>
    </row>
    <row r="638" spans="2:29" x14ac:dyDescent="0.2">
      <c r="B638" s="9" t="str">
        <f t="shared" si="129"/>
        <v>9 2026</v>
      </c>
      <c r="C638" s="88">
        <f t="shared" si="130"/>
        <v>46287</v>
      </c>
      <c r="D638" s="88">
        <f t="shared" si="132"/>
        <v>46288</v>
      </c>
      <c r="E638" s="89">
        <f t="shared" si="131"/>
        <v>1</v>
      </c>
      <c r="H638" s="206">
        <v>46283</v>
      </c>
      <c r="I638" s="215"/>
      <c r="K638" s="12"/>
      <c r="L638" s="12"/>
      <c r="M638" s="215"/>
      <c r="N638" s="12"/>
      <c r="O638" s="219"/>
      <c r="P638" s="219"/>
      <c r="Q638" s="219"/>
      <c r="R638" s="219"/>
      <c r="T638" s="215"/>
      <c r="U638" s="12"/>
      <c r="V638" s="12"/>
      <c r="W638" s="12"/>
      <c r="X638" s="12"/>
      <c r="Z638" s="245"/>
      <c r="AA638" s="118"/>
      <c r="AB638" s="12"/>
      <c r="AC638" s="13"/>
    </row>
    <row r="639" spans="2:29" x14ac:dyDescent="0.2">
      <c r="B639" s="9" t="str">
        <f t="shared" si="129"/>
        <v>9 2026</v>
      </c>
      <c r="C639" s="88">
        <f t="shared" si="130"/>
        <v>46288</v>
      </c>
      <c r="D639" s="88">
        <f t="shared" si="132"/>
        <v>46289</v>
      </c>
      <c r="E639" s="89">
        <f t="shared" si="131"/>
        <v>1</v>
      </c>
      <c r="H639" s="206"/>
      <c r="I639" s="215"/>
      <c r="K639" s="12"/>
      <c r="L639" s="12"/>
      <c r="M639" s="215"/>
      <c r="N639" s="12"/>
      <c r="O639" s="219"/>
      <c r="P639" s="219"/>
      <c r="Q639" s="219"/>
      <c r="R639" s="219"/>
      <c r="T639" s="215"/>
      <c r="U639" s="12"/>
      <c r="V639" s="12"/>
      <c r="W639" s="12"/>
      <c r="X639" s="12"/>
      <c r="Z639" s="245"/>
      <c r="AA639" s="118"/>
      <c r="AB639" s="12"/>
      <c r="AC639" s="13"/>
    </row>
    <row r="640" spans="2:29" x14ac:dyDescent="0.2">
      <c r="B640" s="9" t="str">
        <f t="shared" si="129"/>
        <v>9 2026</v>
      </c>
      <c r="C640" s="88">
        <f t="shared" si="130"/>
        <v>46289</v>
      </c>
      <c r="D640" s="88">
        <f t="shared" si="132"/>
        <v>46290</v>
      </c>
      <c r="E640" s="89">
        <f t="shared" si="131"/>
        <v>1</v>
      </c>
      <c r="H640" s="206"/>
      <c r="I640" s="215"/>
      <c r="K640" s="12"/>
      <c r="L640" s="12"/>
      <c r="M640" s="215"/>
      <c r="N640" s="12"/>
      <c r="O640" s="219"/>
      <c r="P640" s="219"/>
      <c r="Q640" s="219"/>
      <c r="R640" s="219"/>
      <c r="T640" s="215"/>
      <c r="U640" s="12"/>
      <c r="V640" s="12"/>
      <c r="W640" s="12"/>
      <c r="X640" s="12"/>
      <c r="Z640" s="245"/>
      <c r="AA640" s="118"/>
      <c r="AB640" s="12"/>
      <c r="AC640" s="13"/>
    </row>
    <row r="641" spans="2:29" x14ac:dyDescent="0.2">
      <c r="B641" s="9" t="str">
        <f t="shared" si="129"/>
        <v>9 2026</v>
      </c>
      <c r="C641" s="88">
        <f t="shared" si="130"/>
        <v>46290</v>
      </c>
      <c r="D641" s="88">
        <f t="shared" si="132"/>
        <v>46291</v>
      </c>
      <c r="E641" s="89">
        <f t="shared" si="131"/>
        <v>1</v>
      </c>
      <c r="H641" s="206"/>
      <c r="I641" s="215"/>
      <c r="K641" s="12"/>
      <c r="L641" s="12"/>
      <c r="M641" s="215"/>
      <c r="N641" s="12"/>
      <c r="O641" s="219"/>
      <c r="P641" s="219"/>
      <c r="Q641" s="219"/>
      <c r="R641" s="219"/>
      <c r="T641" s="215"/>
      <c r="U641" s="12"/>
      <c r="V641" s="12"/>
      <c r="W641" s="12"/>
      <c r="X641" s="12"/>
      <c r="Z641" s="245"/>
      <c r="AA641" s="118"/>
      <c r="AB641" s="12"/>
      <c r="AC641" s="13"/>
    </row>
    <row r="642" spans="2:29" x14ac:dyDescent="0.2">
      <c r="B642" s="9" t="str">
        <f t="shared" si="129"/>
        <v>9 2026</v>
      </c>
      <c r="C642" s="88">
        <f t="shared" si="130"/>
        <v>46291</v>
      </c>
      <c r="D642" s="88">
        <f t="shared" si="132"/>
        <v>46292</v>
      </c>
      <c r="E642" s="89">
        <f t="shared" si="131"/>
        <v>1</v>
      </c>
      <c r="H642" s="206"/>
      <c r="I642" s="215"/>
      <c r="K642" s="12"/>
      <c r="L642" s="12"/>
      <c r="M642" s="215"/>
      <c r="N642" s="12"/>
      <c r="O642" s="219"/>
      <c r="P642" s="219"/>
      <c r="Q642" s="219"/>
      <c r="R642" s="219"/>
      <c r="T642" s="215"/>
      <c r="U642" s="12"/>
      <c r="V642" s="12"/>
      <c r="W642" s="12"/>
      <c r="X642" s="12"/>
      <c r="Z642" s="245"/>
      <c r="AA642" s="118"/>
      <c r="AB642" s="12"/>
      <c r="AC642" s="13"/>
    </row>
    <row r="643" spans="2:29" x14ac:dyDescent="0.2">
      <c r="B643" s="9" t="str">
        <f t="shared" si="129"/>
        <v>9 2026</v>
      </c>
      <c r="C643" s="88">
        <f t="shared" si="130"/>
        <v>46292</v>
      </c>
      <c r="D643" s="88">
        <f t="shared" si="132"/>
        <v>46293</v>
      </c>
      <c r="E643" s="89">
        <f t="shared" si="131"/>
        <v>1</v>
      </c>
      <c r="H643" s="206"/>
      <c r="I643" s="215"/>
      <c r="K643" s="12"/>
      <c r="L643" s="12"/>
      <c r="M643" s="215"/>
      <c r="N643" s="12"/>
      <c r="O643" s="219"/>
      <c r="P643" s="219"/>
      <c r="Q643" s="219"/>
      <c r="R643" s="219"/>
      <c r="T643" s="215"/>
      <c r="U643" s="12"/>
      <c r="V643" s="12"/>
      <c r="W643" s="12"/>
      <c r="X643" s="12"/>
      <c r="Z643" s="245"/>
      <c r="AA643" s="118"/>
      <c r="AB643" s="12"/>
      <c r="AC643" s="13"/>
    </row>
    <row r="644" spans="2:29" x14ac:dyDescent="0.2">
      <c r="B644" s="9" t="str">
        <f t="shared" si="129"/>
        <v>9 2026</v>
      </c>
      <c r="C644" s="88">
        <f t="shared" si="130"/>
        <v>46293</v>
      </c>
      <c r="D644" s="88">
        <f t="shared" si="132"/>
        <v>46294</v>
      </c>
      <c r="E644" s="89">
        <f t="shared" si="131"/>
        <v>1</v>
      </c>
      <c r="H644" s="206"/>
      <c r="I644" s="215"/>
      <c r="K644" s="12"/>
      <c r="L644" s="12"/>
      <c r="M644" s="215"/>
      <c r="N644" s="12"/>
      <c r="O644" s="219"/>
      <c r="P644" s="219"/>
      <c r="Q644" s="219"/>
      <c r="R644" s="219"/>
      <c r="T644" s="215"/>
      <c r="U644" s="12"/>
      <c r="V644" s="12"/>
      <c r="W644" s="12"/>
      <c r="X644" s="12"/>
      <c r="Z644" s="245"/>
      <c r="AA644" s="118"/>
      <c r="AB644" s="12"/>
      <c r="AC644" s="13"/>
    </row>
    <row r="645" spans="2:29" x14ac:dyDescent="0.2">
      <c r="B645" s="9" t="str">
        <f t="shared" si="129"/>
        <v>9 2026</v>
      </c>
      <c r="C645" s="88">
        <f t="shared" si="130"/>
        <v>46294</v>
      </c>
      <c r="D645" s="88">
        <f t="shared" si="132"/>
        <v>46295</v>
      </c>
      <c r="E645" s="89">
        <f t="shared" si="131"/>
        <v>1</v>
      </c>
      <c r="H645" s="206"/>
      <c r="I645" s="215"/>
      <c r="K645" s="12"/>
      <c r="L645" s="12"/>
      <c r="M645" s="215"/>
      <c r="N645" s="12"/>
      <c r="O645" s="219"/>
      <c r="P645" s="219"/>
      <c r="Q645" s="219"/>
      <c r="R645" s="219"/>
      <c r="T645" s="215"/>
      <c r="U645" s="12"/>
      <c r="V645" s="12"/>
      <c r="W645" s="12"/>
      <c r="X645" s="12"/>
      <c r="Z645" s="245"/>
      <c r="AA645" s="118"/>
      <c r="AB645" s="12"/>
      <c r="AC645" s="13"/>
    </row>
    <row r="646" spans="2:29" x14ac:dyDescent="0.2">
      <c r="B646" s="9" t="str">
        <f t="shared" si="129"/>
        <v>10 2026</v>
      </c>
      <c r="C646" s="88">
        <f t="shared" si="130"/>
        <v>46295</v>
      </c>
      <c r="D646" s="88">
        <f t="shared" si="132"/>
        <v>46296</v>
      </c>
      <c r="E646" s="89">
        <f t="shared" si="131"/>
        <v>1</v>
      </c>
      <c r="H646" s="206"/>
      <c r="I646" s="215"/>
      <c r="K646" s="12"/>
      <c r="L646" s="12"/>
      <c r="M646" s="215"/>
      <c r="N646" s="12"/>
      <c r="O646" s="219"/>
      <c r="P646" s="219"/>
      <c r="Q646" s="219"/>
      <c r="R646" s="219"/>
      <c r="T646" s="215"/>
      <c r="U646" s="12"/>
      <c r="V646" s="12"/>
      <c r="W646" s="12"/>
      <c r="X646" s="12"/>
      <c r="Z646" s="245"/>
      <c r="AA646" s="118"/>
      <c r="AB646" s="12"/>
      <c r="AC646" s="13"/>
    </row>
    <row r="647" spans="2:29" x14ac:dyDescent="0.2">
      <c r="B647" s="9" t="str">
        <f t="shared" si="129"/>
        <v>10 2026</v>
      </c>
      <c r="C647" s="88">
        <f t="shared" si="130"/>
        <v>46296</v>
      </c>
      <c r="D647" s="88">
        <f t="shared" si="132"/>
        <v>46297</v>
      </c>
      <c r="E647" s="89">
        <f t="shared" si="131"/>
        <v>1</v>
      </c>
      <c r="H647" s="206"/>
      <c r="I647" s="215"/>
      <c r="K647" s="12"/>
      <c r="L647" s="12"/>
      <c r="M647" s="215"/>
      <c r="N647" s="12"/>
      <c r="O647" s="219"/>
      <c r="P647" s="219"/>
      <c r="Q647" s="219"/>
      <c r="R647" s="219"/>
      <c r="T647" s="215"/>
      <c r="U647" s="12"/>
      <c r="V647" s="12"/>
      <c r="W647" s="12"/>
      <c r="X647" s="12"/>
      <c r="Z647" s="245"/>
      <c r="AA647" s="118"/>
      <c r="AB647" s="12"/>
      <c r="AC647" s="13"/>
    </row>
    <row r="648" spans="2:29" x14ac:dyDescent="0.2">
      <c r="B648" s="9" t="str">
        <f t="shared" si="129"/>
        <v>10 2026</v>
      </c>
      <c r="C648" s="88">
        <f t="shared" si="130"/>
        <v>46297</v>
      </c>
      <c r="D648" s="88">
        <f t="shared" si="132"/>
        <v>46298</v>
      </c>
      <c r="E648" s="89">
        <f t="shared" si="131"/>
        <v>1</v>
      </c>
      <c r="H648" s="206"/>
      <c r="I648" s="215"/>
      <c r="K648" s="12"/>
      <c r="L648" s="12"/>
      <c r="M648" s="215"/>
      <c r="N648" s="12"/>
      <c r="O648" s="219"/>
      <c r="P648" s="219"/>
      <c r="Q648" s="219"/>
      <c r="R648" s="219"/>
      <c r="T648" s="215"/>
      <c r="U648" s="12"/>
      <c r="V648" s="12"/>
      <c r="W648" s="12"/>
      <c r="X648" s="12"/>
      <c r="Z648" s="245"/>
      <c r="AA648" s="118"/>
      <c r="AB648" s="12"/>
      <c r="AC648" s="13"/>
    </row>
    <row r="649" spans="2:29" x14ac:dyDescent="0.2">
      <c r="B649" s="9" t="str">
        <f t="shared" si="129"/>
        <v>10 2026</v>
      </c>
      <c r="C649" s="88">
        <f t="shared" si="130"/>
        <v>46298</v>
      </c>
      <c r="D649" s="88">
        <f t="shared" si="132"/>
        <v>46299</v>
      </c>
      <c r="E649" s="89">
        <f t="shared" si="131"/>
        <v>1</v>
      </c>
      <c r="H649" s="206"/>
      <c r="I649" s="215"/>
      <c r="K649" s="12"/>
      <c r="L649" s="12"/>
      <c r="M649" s="215"/>
      <c r="N649" s="12"/>
      <c r="O649" s="219"/>
      <c r="P649" s="219"/>
      <c r="Q649" s="219"/>
      <c r="R649" s="219"/>
      <c r="T649" s="215"/>
      <c r="U649" s="12"/>
      <c r="V649" s="12"/>
      <c r="W649" s="12"/>
      <c r="X649" s="12"/>
      <c r="Z649" s="245"/>
      <c r="AA649" s="118"/>
      <c r="AB649" s="12"/>
      <c r="AC649" s="13"/>
    </row>
    <row r="650" spans="2:29" x14ac:dyDescent="0.2">
      <c r="B650" s="9" t="str">
        <f t="shared" si="129"/>
        <v>10 2026</v>
      </c>
      <c r="C650" s="88">
        <f t="shared" si="130"/>
        <v>46299</v>
      </c>
      <c r="D650" s="88">
        <f t="shared" si="132"/>
        <v>46300</v>
      </c>
      <c r="E650" s="89">
        <f t="shared" si="131"/>
        <v>1</v>
      </c>
      <c r="H650" s="206"/>
      <c r="I650" s="215"/>
      <c r="K650" s="12"/>
      <c r="L650" s="12"/>
      <c r="M650" s="215"/>
      <c r="N650" s="12"/>
      <c r="O650" s="219"/>
      <c r="P650" s="219"/>
      <c r="Q650" s="219"/>
      <c r="R650" s="219"/>
      <c r="T650" s="215"/>
      <c r="U650" s="12"/>
      <c r="V650" s="12"/>
      <c r="W650" s="12"/>
      <c r="X650" s="12"/>
      <c r="Z650" s="245"/>
      <c r="AA650" s="118"/>
      <c r="AB650" s="12"/>
      <c r="AC650" s="13"/>
    </row>
    <row r="651" spans="2:29" x14ac:dyDescent="0.2">
      <c r="B651" s="9" t="str">
        <f t="shared" si="129"/>
        <v>10 2026</v>
      </c>
      <c r="C651" s="88">
        <f t="shared" si="130"/>
        <v>46300</v>
      </c>
      <c r="D651" s="88">
        <f t="shared" si="132"/>
        <v>46301</v>
      </c>
      <c r="E651" s="89">
        <f t="shared" si="131"/>
        <v>1</v>
      </c>
      <c r="H651" s="206"/>
      <c r="I651" s="215"/>
      <c r="K651" s="12"/>
      <c r="L651" s="12"/>
      <c r="M651" s="215"/>
      <c r="N651" s="12"/>
      <c r="O651" s="219"/>
      <c r="P651" s="219"/>
      <c r="Q651" s="219"/>
      <c r="R651" s="219"/>
      <c r="T651" s="215"/>
      <c r="U651" s="12"/>
      <c r="V651" s="12"/>
      <c r="W651" s="12"/>
      <c r="X651" s="12"/>
      <c r="Z651" s="245"/>
      <c r="AA651" s="118"/>
      <c r="AB651" s="12"/>
      <c r="AC651" s="13"/>
    </row>
    <row r="652" spans="2:29" x14ac:dyDescent="0.2">
      <c r="B652" s="9" t="str">
        <f t="shared" si="129"/>
        <v>10 2026</v>
      </c>
      <c r="C652" s="88">
        <f t="shared" si="130"/>
        <v>46301</v>
      </c>
      <c r="D652" s="88">
        <f t="shared" si="132"/>
        <v>46302</v>
      </c>
      <c r="E652" s="89">
        <f t="shared" si="131"/>
        <v>1</v>
      </c>
      <c r="H652" s="206"/>
      <c r="I652" s="215"/>
      <c r="K652" s="12"/>
      <c r="L652" s="12"/>
      <c r="M652" s="215"/>
      <c r="N652" s="12"/>
      <c r="O652" s="219"/>
      <c r="P652" s="219"/>
      <c r="Q652" s="219"/>
      <c r="R652" s="219"/>
      <c r="T652" s="215"/>
      <c r="U652" s="12"/>
      <c r="V652" s="12"/>
      <c r="W652" s="12"/>
      <c r="X652" s="12"/>
      <c r="Z652" s="245"/>
      <c r="AA652" s="118"/>
      <c r="AB652" s="12"/>
      <c r="AC652" s="13"/>
    </row>
    <row r="653" spans="2:29" x14ac:dyDescent="0.2">
      <c r="B653" s="9" t="str">
        <f t="shared" si="129"/>
        <v>10 2026</v>
      </c>
      <c r="C653" s="88">
        <f t="shared" si="130"/>
        <v>46302</v>
      </c>
      <c r="D653" s="88">
        <f t="shared" si="132"/>
        <v>46303</v>
      </c>
      <c r="E653" s="89">
        <f t="shared" si="131"/>
        <v>1</v>
      </c>
      <c r="H653" s="206"/>
      <c r="I653" s="215"/>
      <c r="K653" s="12"/>
      <c r="L653" s="12"/>
      <c r="M653" s="215"/>
      <c r="N653" s="12"/>
      <c r="O653" s="219"/>
      <c r="P653" s="219"/>
      <c r="Q653" s="219"/>
      <c r="R653" s="219"/>
      <c r="T653" s="215"/>
      <c r="U653" s="12"/>
      <c r="V653" s="12"/>
      <c r="W653" s="12"/>
      <c r="X653" s="12"/>
      <c r="Z653" s="245"/>
      <c r="AA653" s="118"/>
      <c r="AB653" s="12"/>
      <c r="AC653" s="13"/>
    </row>
    <row r="654" spans="2:29" x14ac:dyDescent="0.2">
      <c r="B654" s="9" t="str">
        <f t="shared" si="129"/>
        <v>10 2026</v>
      </c>
      <c r="C654" s="88">
        <f t="shared" si="130"/>
        <v>46303</v>
      </c>
      <c r="D654" s="88">
        <f t="shared" si="132"/>
        <v>46304</v>
      </c>
      <c r="E654" s="89">
        <f t="shared" si="131"/>
        <v>1</v>
      </c>
      <c r="H654" s="206"/>
      <c r="I654" s="215"/>
      <c r="K654" s="12"/>
      <c r="L654" s="12"/>
      <c r="M654" s="215"/>
      <c r="N654" s="12"/>
      <c r="O654" s="219"/>
      <c r="P654" s="219"/>
      <c r="Q654" s="219"/>
      <c r="R654" s="219"/>
      <c r="T654" s="215"/>
      <c r="U654" s="12"/>
      <c r="V654" s="12"/>
      <c r="W654" s="12"/>
      <c r="X654" s="12"/>
      <c r="Z654" s="245"/>
      <c r="AA654" s="118"/>
      <c r="AB654" s="12"/>
      <c r="AC654" s="13"/>
    </row>
    <row r="655" spans="2:29" x14ac:dyDescent="0.2">
      <c r="B655" s="9" t="str">
        <f t="shared" si="129"/>
        <v>10 2026</v>
      </c>
      <c r="C655" s="88">
        <f t="shared" si="130"/>
        <v>46304</v>
      </c>
      <c r="D655" s="88">
        <f t="shared" si="132"/>
        <v>46305</v>
      </c>
      <c r="E655" s="89">
        <f t="shared" si="131"/>
        <v>1</v>
      </c>
      <c r="H655" s="206"/>
      <c r="I655" s="215"/>
      <c r="K655" s="12"/>
      <c r="L655" s="12"/>
      <c r="M655" s="215"/>
      <c r="N655" s="12"/>
      <c r="O655" s="219"/>
      <c r="P655" s="219"/>
      <c r="Q655" s="219"/>
      <c r="R655" s="219"/>
      <c r="T655" s="215"/>
      <c r="U655" s="12"/>
      <c r="V655" s="12"/>
      <c r="W655" s="12"/>
      <c r="X655" s="12"/>
      <c r="Z655" s="245"/>
      <c r="AA655" s="118"/>
      <c r="AB655" s="12"/>
      <c r="AC655" s="13"/>
    </row>
    <row r="656" spans="2:29" x14ac:dyDescent="0.2">
      <c r="B656" s="9" t="str">
        <f t="shared" si="129"/>
        <v>10 2026</v>
      </c>
      <c r="C656" s="88">
        <f t="shared" si="130"/>
        <v>46305</v>
      </c>
      <c r="D656" s="88">
        <f t="shared" si="132"/>
        <v>46306</v>
      </c>
      <c r="E656" s="89">
        <f t="shared" si="131"/>
        <v>1</v>
      </c>
      <c r="H656" s="206"/>
      <c r="I656" s="215"/>
      <c r="K656" s="12"/>
      <c r="L656" s="12"/>
      <c r="M656" s="215"/>
      <c r="N656" s="12"/>
      <c r="O656" s="219"/>
      <c r="P656" s="219"/>
      <c r="Q656" s="219"/>
      <c r="R656" s="219"/>
      <c r="T656" s="215"/>
      <c r="U656" s="12"/>
      <c r="V656" s="12"/>
      <c r="W656" s="12"/>
      <c r="X656" s="12"/>
      <c r="Z656" s="245"/>
      <c r="AA656" s="118"/>
      <c r="AB656" s="12"/>
      <c r="AC656" s="13"/>
    </row>
    <row r="657" spans="2:29" x14ac:dyDescent="0.2">
      <c r="B657" s="9" t="str">
        <f t="shared" si="129"/>
        <v>10 2026</v>
      </c>
      <c r="C657" s="88">
        <f t="shared" si="130"/>
        <v>46306</v>
      </c>
      <c r="D657" s="88">
        <f t="shared" si="132"/>
        <v>46307</v>
      </c>
      <c r="E657" s="89">
        <f t="shared" si="131"/>
        <v>1</v>
      </c>
      <c r="H657" s="206"/>
      <c r="I657" s="215"/>
      <c r="K657" s="12"/>
      <c r="L657" s="12"/>
      <c r="M657" s="215"/>
      <c r="N657" s="12"/>
      <c r="O657" s="219"/>
      <c r="P657" s="219"/>
      <c r="Q657" s="219"/>
      <c r="R657" s="219"/>
      <c r="T657" s="215"/>
      <c r="U657" s="12"/>
      <c r="V657" s="12"/>
      <c r="W657" s="12"/>
      <c r="X657" s="12"/>
      <c r="Z657" s="245"/>
      <c r="AA657" s="118"/>
      <c r="AB657" s="12"/>
      <c r="AC657" s="13"/>
    </row>
    <row r="658" spans="2:29" x14ac:dyDescent="0.2">
      <c r="B658" s="9" t="str">
        <f t="shared" si="129"/>
        <v>10 2026</v>
      </c>
      <c r="C658" s="88">
        <f t="shared" si="130"/>
        <v>46307</v>
      </c>
      <c r="D658" s="88">
        <f t="shared" si="132"/>
        <v>46308</v>
      </c>
      <c r="E658" s="89">
        <f t="shared" si="131"/>
        <v>1</v>
      </c>
      <c r="H658" s="206"/>
      <c r="I658" s="215"/>
      <c r="K658" s="12"/>
      <c r="L658" s="12"/>
      <c r="M658" s="215"/>
      <c r="N658" s="12"/>
      <c r="O658" s="219"/>
      <c r="P658" s="219"/>
      <c r="Q658" s="219"/>
      <c r="R658" s="219"/>
      <c r="T658" s="215"/>
      <c r="U658" s="12"/>
      <c r="V658" s="12"/>
      <c r="W658" s="12"/>
      <c r="X658" s="12"/>
      <c r="Z658" s="245"/>
      <c r="AA658" s="118"/>
      <c r="AB658" s="12"/>
      <c r="AC658" s="13"/>
    </row>
    <row r="659" spans="2:29" x14ac:dyDescent="0.2">
      <c r="B659" s="9" t="str">
        <f t="shared" si="129"/>
        <v>10 2026</v>
      </c>
      <c r="C659" s="88">
        <f t="shared" si="130"/>
        <v>46308</v>
      </c>
      <c r="D659" s="88">
        <f t="shared" si="132"/>
        <v>46309</v>
      </c>
      <c r="E659" s="89">
        <f t="shared" si="131"/>
        <v>1</v>
      </c>
      <c r="H659" s="206"/>
      <c r="I659" s="215"/>
      <c r="K659" s="12"/>
      <c r="L659" s="12"/>
      <c r="M659" s="215"/>
      <c r="N659" s="12"/>
      <c r="O659" s="219"/>
      <c r="P659" s="219"/>
      <c r="Q659" s="219"/>
      <c r="R659" s="219"/>
      <c r="T659" s="215"/>
      <c r="U659" s="12"/>
      <c r="V659" s="12"/>
      <c r="W659" s="12"/>
      <c r="X659" s="12"/>
      <c r="Z659" s="245"/>
      <c r="AA659" s="118"/>
      <c r="AB659" s="12"/>
      <c r="AC659" s="13"/>
    </row>
    <row r="660" spans="2:29" x14ac:dyDescent="0.2">
      <c r="B660" s="9" t="str">
        <f t="shared" si="129"/>
        <v>10 2026</v>
      </c>
      <c r="C660" s="88">
        <f t="shared" si="130"/>
        <v>46309</v>
      </c>
      <c r="D660" s="88">
        <f t="shared" si="132"/>
        <v>46310</v>
      </c>
      <c r="E660" s="89">
        <f t="shared" si="131"/>
        <v>1</v>
      </c>
      <c r="H660" s="206"/>
      <c r="I660" s="215"/>
      <c r="K660" s="12"/>
      <c r="L660" s="12"/>
      <c r="M660" s="215"/>
      <c r="N660" s="12"/>
      <c r="O660" s="219"/>
      <c r="P660" s="219"/>
      <c r="Q660" s="219"/>
      <c r="R660" s="219"/>
      <c r="T660" s="215"/>
      <c r="U660" s="12"/>
      <c r="V660" s="12"/>
      <c r="W660" s="12"/>
      <c r="X660" s="12"/>
      <c r="Z660" s="245"/>
      <c r="AA660" s="118"/>
      <c r="AB660" s="12"/>
      <c r="AC660" s="13"/>
    </row>
    <row r="661" spans="2:29" x14ac:dyDescent="0.2">
      <c r="B661" s="9" t="str">
        <f t="shared" ref="B661:B724" si="133">CONCATENATE(MONTH(D661)," ",YEAR(D661))</f>
        <v>10 2026</v>
      </c>
      <c r="C661" s="88">
        <f t="shared" ref="C661:C724" si="134">D660</f>
        <v>46310</v>
      </c>
      <c r="D661" s="88">
        <f t="shared" si="132"/>
        <v>46311</v>
      </c>
      <c r="E661" s="89">
        <f t="shared" ref="E661:E724" si="135">D661-C661</f>
        <v>1</v>
      </c>
      <c r="H661" s="206"/>
      <c r="I661" s="215"/>
      <c r="K661" s="12"/>
      <c r="L661" s="12"/>
      <c r="M661" s="215"/>
      <c r="N661" s="12"/>
      <c r="O661" s="219"/>
      <c r="P661" s="219"/>
      <c r="Q661" s="219"/>
      <c r="R661" s="219"/>
      <c r="T661" s="215"/>
      <c r="U661" s="12"/>
      <c r="V661" s="12"/>
      <c r="W661" s="12"/>
      <c r="X661" s="12"/>
      <c r="Z661" s="245"/>
      <c r="AA661" s="118"/>
      <c r="AB661" s="12"/>
      <c r="AC661" s="13"/>
    </row>
    <row r="662" spans="2:29" x14ac:dyDescent="0.2">
      <c r="B662" s="9" t="str">
        <f t="shared" si="133"/>
        <v>10 2026</v>
      </c>
      <c r="C662" s="88">
        <f t="shared" si="134"/>
        <v>46311</v>
      </c>
      <c r="D662" s="88">
        <f t="shared" si="132"/>
        <v>46312</v>
      </c>
      <c r="E662" s="89">
        <f t="shared" si="135"/>
        <v>1</v>
      </c>
      <c r="H662" s="206"/>
      <c r="I662" s="215"/>
      <c r="K662" s="12"/>
      <c r="L662" s="12"/>
      <c r="M662" s="215"/>
      <c r="N662" s="12"/>
      <c r="O662" s="219"/>
      <c r="P662" s="219"/>
      <c r="Q662" s="219"/>
      <c r="R662" s="219"/>
      <c r="T662" s="215"/>
      <c r="U662" s="12"/>
      <c r="V662" s="12"/>
      <c r="W662" s="12"/>
      <c r="X662" s="12"/>
      <c r="Z662" s="245"/>
      <c r="AA662" s="118"/>
      <c r="AB662" s="12"/>
      <c r="AC662" s="13"/>
    </row>
    <row r="663" spans="2:29" x14ac:dyDescent="0.2">
      <c r="B663" s="9" t="str">
        <f t="shared" si="133"/>
        <v>10 2026</v>
      </c>
      <c r="C663" s="88">
        <f t="shared" si="134"/>
        <v>46312</v>
      </c>
      <c r="D663" s="88">
        <f t="shared" si="132"/>
        <v>46313</v>
      </c>
      <c r="E663" s="89">
        <f t="shared" si="135"/>
        <v>1</v>
      </c>
      <c r="H663" s="206"/>
      <c r="I663" s="215"/>
      <c r="K663" s="12"/>
      <c r="L663" s="12"/>
      <c r="M663" s="215"/>
      <c r="N663" s="12"/>
      <c r="O663" s="219"/>
      <c r="P663" s="219"/>
      <c r="Q663" s="219"/>
      <c r="R663" s="219"/>
      <c r="T663" s="215"/>
      <c r="U663" s="12"/>
      <c r="V663" s="12"/>
      <c r="W663" s="12"/>
      <c r="X663" s="12"/>
      <c r="Z663" s="245"/>
      <c r="AA663" s="118"/>
      <c r="AB663" s="12"/>
      <c r="AC663" s="13"/>
    </row>
    <row r="664" spans="2:29" x14ac:dyDescent="0.2">
      <c r="B664" s="9" t="str">
        <f t="shared" si="133"/>
        <v>10 2026</v>
      </c>
      <c r="C664" s="88">
        <f t="shared" si="134"/>
        <v>46313</v>
      </c>
      <c r="D664" s="88">
        <f t="shared" si="132"/>
        <v>46314</v>
      </c>
      <c r="E664" s="89">
        <f t="shared" si="135"/>
        <v>1</v>
      </c>
      <c r="H664" s="206"/>
      <c r="I664" s="215"/>
      <c r="K664" s="12"/>
      <c r="L664" s="12"/>
      <c r="M664" s="215"/>
      <c r="N664" s="12"/>
      <c r="O664" s="219"/>
      <c r="P664" s="219"/>
      <c r="Q664" s="219"/>
      <c r="R664" s="219"/>
      <c r="T664" s="215"/>
      <c r="U664" s="12"/>
      <c r="V664" s="12"/>
      <c r="W664" s="12"/>
      <c r="X664" s="12"/>
      <c r="Z664" s="245"/>
      <c r="AA664" s="118"/>
      <c r="AB664" s="12"/>
      <c r="AC664" s="13"/>
    </row>
    <row r="665" spans="2:29" x14ac:dyDescent="0.2">
      <c r="B665" s="9" t="str">
        <f t="shared" si="133"/>
        <v>10 2026</v>
      </c>
      <c r="C665" s="88">
        <f t="shared" si="134"/>
        <v>46314</v>
      </c>
      <c r="D665" s="88">
        <f t="shared" si="132"/>
        <v>46315</v>
      </c>
      <c r="E665" s="89">
        <f t="shared" si="135"/>
        <v>1</v>
      </c>
      <c r="H665" s="206"/>
      <c r="I665" s="215"/>
      <c r="K665" s="12"/>
      <c r="L665" s="12"/>
      <c r="M665" s="215"/>
      <c r="N665" s="12"/>
      <c r="O665" s="219"/>
      <c r="P665" s="219"/>
      <c r="Q665" s="219"/>
      <c r="R665" s="219"/>
      <c r="T665" s="215"/>
      <c r="U665" s="12"/>
      <c r="V665" s="12"/>
      <c r="W665" s="12"/>
      <c r="X665" s="12"/>
      <c r="Z665" s="245"/>
      <c r="AA665" s="118"/>
      <c r="AB665" s="12"/>
      <c r="AC665" s="13"/>
    </row>
    <row r="666" spans="2:29" x14ac:dyDescent="0.2">
      <c r="B666" s="9" t="str">
        <f t="shared" si="133"/>
        <v>10 2026</v>
      </c>
      <c r="C666" s="88">
        <f t="shared" si="134"/>
        <v>46315</v>
      </c>
      <c r="D666" s="88">
        <f t="shared" si="132"/>
        <v>46316</v>
      </c>
      <c r="E666" s="89">
        <f t="shared" si="135"/>
        <v>1</v>
      </c>
      <c r="H666" s="206"/>
      <c r="I666" s="215"/>
      <c r="K666" s="12"/>
      <c r="L666" s="12"/>
      <c r="M666" s="215"/>
      <c r="N666" s="12"/>
      <c r="O666" s="219"/>
      <c r="P666" s="219"/>
      <c r="Q666" s="219"/>
      <c r="R666" s="219"/>
      <c r="T666" s="215"/>
      <c r="U666" s="12"/>
      <c r="V666" s="12"/>
      <c r="W666" s="12"/>
      <c r="X666" s="12"/>
      <c r="Z666" s="245"/>
      <c r="AA666" s="118"/>
      <c r="AB666" s="12"/>
      <c r="AC666" s="13"/>
    </row>
    <row r="667" spans="2:29" x14ac:dyDescent="0.2">
      <c r="B667" s="9" t="str">
        <f t="shared" si="133"/>
        <v>10 2026</v>
      </c>
      <c r="C667" s="88">
        <f t="shared" si="134"/>
        <v>46316</v>
      </c>
      <c r="D667" s="88">
        <f t="shared" si="132"/>
        <v>46317</v>
      </c>
      <c r="E667" s="89">
        <f t="shared" si="135"/>
        <v>1</v>
      </c>
      <c r="H667" s="206"/>
      <c r="I667" s="215"/>
      <c r="K667" s="12"/>
      <c r="L667" s="12"/>
      <c r="M667" s="215"/>
      <c r="N667" s="12"/>
      <c r="O667" s="219"/>
      <c r="P667" s="219"/>
      <c r="Q667" s="219"/>
      <c r="R667" s="219"/>
      <c r="T667" s="215"/>
      <c r="U667" s="12"/>
      <c r="V667" s="12"/>
      <c r="W667" s="12"/>
      <c r="X667" s="12"/>
      <c r="Z667" s="245"/>
      <c r="AA667" s="118"/>
      <c r="AB667" s="12"/>
      <c r="AC667" s="13"/>
    </row>
    <row r="668" spans="2:29" x14ac:dyDescent="0.2">
      <c r="B668" s="9" t="str">
        <f t="shared" si="133"/>
        <v>10 2026</v>
      </c>
      <c r="C668" s="88">
        <f t="shared" si="134"/>
        <v>46317</v>
      </c>
      <c r="D668" s="88">
        <f t="shared" si="132"/>
        <v>46318</v>
      </c>
      <c r="E668" s="89">
        <f t="shared" si="135"/>
        <v>1</v>
      </c>
      <c r="H668" s="206"/>
      <c r="I668" s="215"/>
      <c r="K668" s="12"/>
      <c r="L668" s="12"/>
      <c r="M668" s="215"/>
      <c r="N668" s="12"/>
      <c r="O668" s="219"/>
      <c r="P668" s="219"/>
      <c r="Q668" s="219"/>
      <c r="R668" s="219"/>
      <c r="T668" s="215"/>
      <c r="U668" s="12"/>
      <c r="V668" s="12"/>
      <c r="W668" s="12"/>
      <c r="X668" s="12"/>
      <c r="Z668" s="245"/>
      <c r="AA668" s="118"/>
      <c r="AB668" s="12"/>
      <c r="AC668" s="13"/>
    </row>
    <row r="669" spans="2:29" x14ac:dyDescent="0.2">
      <c r="B669" s="9" t="str">
        <f t="shared" si="133"/>
        <v>10 2026</v>
      </c>
      <c r="C669" s="88">
        <f t="shared" si="134"/>
        <v>46318</v>
      </c>
      <c r="D669" s="88">
        <f t="shared" si="132"/>
        <v>46319</v>
      </c>
      <c r="E669" s="89">
        <f t="shared" si="135"/>
        <v>1</v>
      </c>
      <c r="H669" s="206"/>
      <c r="I669" s="215"/>
      <c r="K669" s="12"/>
      <c r="L669" s="12"/>
      <c r="M669" s="215"/>
      <c r="N669" s="12"/>
      <c r="O669" s="219"/>
      <c r="P669" s="219"/>
      <c r="Q669" s="219"/>
      <c r="R669" s="219"/>
      <c r="T669" s="215"/>
      <c r="U669" s="12"/>
      <c r="V669" s="12"/>
      <c r="W669" s="12"/>
      <c r="X669" s="12"/>
      <c r="Z669" s="245"/>
      <c r="AA669" s="118"/>
      <c r="AB669" s="12"/>
      <c r="AC669" s="13"/>
    </row>
    <row r="670" spans="2:29" x14ac:dyDescent="0.2">
      <c r="B670" s="9" t="str">
        <f t="shared" si="133"/>
        <v>10 2026</v>
      </c>
      <c r="C670" s="88">
        <f t="shared" si="134"/>
        <v>46319</v>
      </c>
      <c r="D670" s="88">
        <f t="shared" si="132"/>
        <v>46320</v>
      </c>
      <c r="E670" s="89">
        <f t="shared" si="135"/>
        <v>1</v>
      </c>
      <c r="H670" s="206"/>
      <c r="I670" s="215"/>
      <c r="K670" s="12"/>
      <c r="L670" s="12"/>
      <c r="M670" s="215"/>
      <c r="N670" s="12"/>
      <c r="O670" s="219"/>
      <c r="P670" s="219"/>
      <c r="Q670" s="219"/>
      <c r="R670" s="219"/>
      <c r="T670" s="215"/>
      <c r="U670" s="12"/>
      <c r="V670" s="12"/>
      <c r="W670" s="12"/>
      <c r="X670" s="12"/>
      <c r="Z670" s="245"/>
      <c r="AA670" s="118"/>
      <c r="AB670" s="12"/>
      <c r="AC670" s="13"/>
    </row>
    <row r="671" spans="2:29" x14ac:dyDescent="0.2">
      <c r="B671" s="9" t="str">
        <f t="shared" si="133"/>
        <v>10 2026</v>
      </c>
      <c r="C671" s="88">
        <f t="shared" si="134"/>
        <v>46320</v>
      </c>
      <c r="D671" s="88">
        <f t="shared" si="132"/>
        <v>46321</v>
      </c>
      <c r="E671" s="89">
        <f t="shared" si="135"/>
        <v>1</v>
      </c>
      <c r="H671" s="206"/>
      <c r="I671" s="215"/>
      <c r="K671" s="12"/>
      <c r="L671" s="12"/>
      <c r="M671" s="215"/>
      <c r="N671" s="12"/>
      <c r="O671" s="219"/>
      <c r="P671" s="219"/>
      <c r="Q671" s="219"/>
      <c r="R671" s="219"/>
      <c r="T671" s="215"/>
      <c r="U671" s="12"/>
      <c r="V671" s="12"/>
      <c r="W671" s="12"/>
      <c r="X671" s="12"/>
      <c r="Z671" s="245"/>
      <c r="AA671" s="118"/>
      <c r="AB671" s="12"/>
      <c r="AC671" s="13"/>
    </row>
    <row r="672" spans="2:29" x14ac:dyDescent="0.2">
      <c r="B672" s="9" t="str">
        <f t="shared" si="133"/>
        <v>10 2026</v>
      </c>
      <c r="C672" s="88">
        <f t="shared" si="134"/>
        <v>46321</v>
      </c>
      <c r="D672" s="88">
        <f t="shared" si="132"/>
        <v>46322</v>
      </c>
      <c r="E672" s="89">
        <f t="shared" si="135"/>
        <v>1</v>
      </c>
      <c r="H672" s="206"/>
      <c r="I672" s="215"/>
      <c r="K672" s="12"/>
      <c r="L672" s="12"/>
      <c r="M672" s="215"/>
      <c r="N672" s="12"/>
      <c r="O672" s="219"/>
      <c r="P672" s="219"/>
      <c r="Q672" s="219"/>
      <c r="R672" s="219"/>
      <c r="T672" s="215"/>
      <c r="U672" s="12"/>
      <c r="V672" s="12"/>
      <c r="W672" s="12"/>
      <c r="X672" s="12"/>
      <c r="Z672" s="245"/>
      <c r="AA672" s="118"/>
      <c r="AB672" s="12"/>
      <c r="AC672" s="13"/>
    </row>
    <row r="673" spans="2:29" x14ac:dyDescent="0.2">
      <c r="B673" s="9" t="str">
        <f t="shared" si="133"/>
        <v>10 2026</v>
      </c>
      <c r="C673" s="88">
        <f t="shared" si="134"/>
        <v>46322</v>
      </c>
      <c r="D673" s="88">
        <f t="shared" si="132"/>
        <v>46323</v>
      </c>
      <c r="E673" s="89">
        <f t="shared" si="135"/>
        <v>1</v>
      </c>
      <c r="H673" s="206"/>
      <c r="I673" s="215"/>
      <c r="K673" s="12"/>
      <c r="L673" s="12"/>
      <c r="M673" s="215"/>
      <c r="N673" s="12"/>
      <c r="O673" s="219"/>
      <c r="P673" s="219"/>
      <c r="Q673" s="219"/>
      <c r="R673" s="219"/>
      <c r="T673" s="215"/>
      <c r="U673" s="12"/>
      <c r="V673" s="12"/>
      <c r="W673" s="12"/>
      <c r="X673" s="12"/>
      <c r="Z673" s="245"/>
      <c r="AA673" s="118"/>
      <c r="AB673" s="12"/>
      <c r="AC673" s="13"/>
    </row>
    <row r="674" spans="2:29" x14ac:dyDescent="0.2">
      <c r="B674" s="9" t="str">
        <f t="shared" si="133"/>
        <v>10 2026</v>
      </c>
      <c r="C674" s="88">
        <f t="shared" si="134"/>
        <v>46323</v>
      </c>
      <c r="D674" s="88">
        <f t="shared" si="132"/>
        <v>46324</v>
      </c>
      <c r="E674" s="89">
        <f t="shared" si="135"/>
        <v>1</v>
      </c>
      <c r="H674" s="206"/>
      <c r="I674" s="215"/>
      <c r="K674" s="12"/>
      <c r="L674" s="12"/>
      <c r="M674" s="215"/>
      <c r="N674" s="12"/>
      <c r="O674" s="219"/>
      <c r="P674" s="219"/>
      <c r="Q674" s="219"/>
      <c r="R674" s="219"/>
      <c r="T674" s="215"/>
      <c r="U674" s="12"/>
      <c r="V674" s="12"/>
      <c r="W674" s="12"/>
      <c r="X674" s="12"/>
      <c r="Z674" s="245"/>
      <c r="AA674" s="118"/>
      <c r="AB674" s="12"/>
      <c r="AC674" s="13"/>
    </row>
    <row r="675" spans="2:29" x14ac:dyDescent="0.2">
      <c r="B675" s="9" t="str">
        <f t="shared" si="133"/>
        <v>10 2026</v>
      </c>
      <c r="C675" s="88">
        <f t="shared" si="134"/>
        <v>46324</v>
      </c>
      <c r="D675" s="88">
        <f t="shared" si="132"/>
        <v>46325</v>
      </c>
      <c r="E675" s="89">
        <f t="shared" si="135"/>
        <v>1</v>
      </c>
      <c r="H675" s="206"/>
      <c r="I675" s="215"/>
      <c r="K675" s="12"/>
      <c r="L675" s="12"/>
      <c r="M675" s="215"/>
      <c r="N675" s="12"/>
      <c r="O675" s="219"/>
      <c r="P675" s="219"/>
      <c r="Q675" s="219"/>
      <c r="R675" s="219"/>
      <c r="T675" s="215"/>
      <c r="U675" s="12"/>
      <c r="V675" s="12"/>
      <c r="W675" s="12"/>
      <c r="X675" s="12"/>
      <c r="Z675" s="245"/>
      <c r="AA675" s="118"/>
      <c r="AB675" s="12"/>
      <c r="AC675" s="13"/>
    </row>
    <row r="676" spans="2:29" x14ac:dyDescent="0.2">
      <c r="B676" s="9" t="str">
        <f t="shared" si="133"/>
        <v>10 2026</v>
      </c>
      <c r="C676" s="88">
        <f t="shared" si="134"/>
        <v>46325</v>
      </c>
      <c r="D676" s="88">
        <f t="shared" si="132"/>
        <v>46326</v>
      </c>
      <c r="E676" s="89">
        <f t="shared" si="135"/>
        <v>1</v>
      </c>
      <c r="H676" s="206"/>
      <c r="I676" s="215"/>
      <c r="K676" s="12"/>
      <c r="L676" s="12"/>
      <c r="M676" s="215"/>
      <c r="N676" s="12"/>
      <c r="O676" s="219"/>
      <c r="P676" s="219"/>
      <c r="Q676" s="219"/>
      <c r="R676" s="219"/>
      <c r="T676" s="215"/>
      <c r="U676" s="12"/>
      <c r="V676" s="12"/>
      <c r="W676" s="12"/>
      <c r="X676" s="12"/>
      <c r="Z676" s="245"/>
      <c r="AA676" s="118"/>
      <c r="AB676" s="12"/>
      <c r="AC676" s="13"/>
    </row>
    <row r="677" spans="2:29" x14ac:dyDescent="0.2">
      <c r="B677" s="9" t="str">
        <f t="shared" si="133"/>
        <v>11 2026</v>
      </c>
      <c r="C677" s="88">
        <f t="shared" si="134"/>
        <v>46326</v>
      </c>
      <c r="D677" s="88">
        <f t="shared" si="132"/>
        <v>46327</v>
      </c>
      <c r="E677" s="89">
        <f t="shared" si="135"/>
        <v>1</v>
      </c>
      <c r="H677" s="206"/>
      <c r="I677" s="215"/>
      <c r="K677" s="12"/>
      <c r="L677" s="12"/>
      <c r="M677" s="215"/>
      <c r="N677" s="12"/>
      <c r="O677" s="219"/>
      <c r="P677" s="219"/>
      <c r="Q677" s="219"/>
      <c r="R677" s="219"/>
      <c r="T677" s="215"/>
      <c r="U677" s="12"/>
      <c r="V677" s="12"/>
      <c r="W677" s="12"/>
      <c r="X677" s="12"/>
      <c r="Z677" s="245"/>
      <c r="AA677" s="118"/>
      <c r="AB677" s="12"/>
      <c r="AC677" s="13"/>
    </row>
    <row r="678" spans="2:29" x14ac:dyDescent="0.2">
      <c r="B678" s="9" t="str">
        <f t="shared" si="133"/>
        <v>11 2026</v>
      </c>
      <c r="C678" s="88">
        <f t="shared" si="134"/>
        <v>46327</v>
      </c>
      <c r="D678" s="88">
        <f t="shared" si="132"/>
        <v>46328</v>
      </c>
      <c r="E678" s="89">
        <f t="shared" si="135"/>
        <v>1</v>
      </c>
      <c r="H678" s="206"/>
      <c r="I678" s="215"/>
      <c r="K678" s="12"/>
      <c r="L678" s="12"/>
      <c r="M678" s="215"/>
      <c r="N678" s="12"/>
      <c r="O678" s="219"/>
      <c r="P678" s="219"/>
      <c r="Q678" s="219"/>
      <c r="R678" s="219"/>
      <c r="T678" s="215"/>
      <c r="U678" s="12"/>
      <c r="V678" s="12"/>
      <c r="W678" s="12"/>
      <c r="X678" s="12"/>
      <c r="Z678" s="245"/>
      <c r="AA678" s="118"/>
      <c r="AB678" s="12"/>
      <c r="AC678" s="13"/>
    </row>
    <row r="679" spans="2:29" x14ac:dyDescent="0.2">
      <c r="B679" s="9" t="str">
        <f t="shared" si="133"/>
        <v>11 2026</v>
      </c>
      <c r="C679" s="88">
        <f t="shared" si="134"/>
        <v>46328</v>
      </c>
      <c r="D679" s="88">
        <f t="shared" si="132"/>
        <v>46329</v>
      </c>
      <c r="E679" s="89">
        <f t="shared" si="135"/>
        <v>1</v>
      </c>
      <c r="H679" s="206"/>
      <c r="I679" s="215"/>
      <c r="K679" s="12"/>
      <c r="L679" s="12"/>
      <c r="M679" s="215"/>
      <c r="N679" s="12"/>
      <c r="O679" s="219"/>
      <c r="P679" s="219"/>
      <c r="Q679" s="219"/>
      <c r="R679" s="219"/>
      <c r="T679" s="215"/>
      <c r="U679" s="12"/>
      <c r="V679" s="12"/>
      <c r="W679" s="12"/>
      <c r="X679" s="12"/>
      <c r="Z679" s="245"/>
      <c r="AA679" s="118"/>
      <c r="AB679" s="12"/>
      <c r="AC679" s="13"/>
    </row>
    <row r="680" spans="2:29" x14ac:dyDescent="0.2">
      <c r="B680" s="9" t="str">
        <f t="shared" si="133"/>
        <v>11 2026</v>
      </c>
      <c r="C680" s="88">
        <f t="shared" si="134"/>
        <v>46329</v>
      </c>
      <c r="D680" s="88">
        <f t="shared" si="132"/>
        <v>46330</v>
      </c>
      <c r="E680" s="89">
        <f t="shared" si="135"/>
        <v>1</v>
      </c>
      <c r="H680" s="206"/>
      <c r="I680" s="215"/>
      <c r="K680" s="12"/>
      <c r="L680" s="12"/>
      <c r="M680" s="215"/>
      <c r="N680" s="12"/>
      <c r="O680" s="219"/>
      <c r="P680" s="219"/>
      <c r="Q680" s="219"/>
      <c r="R680" s="219"/>
      <c r="T680" s="215"/>
      <c r="U680" s="12"/>
      <c r="V680" s="12"/>
      <c r="W680" s="12"/>
      <c r="X680" s="12"/>
      <c r="Z680" s="245"/>
      <c r="AA680" s="118"/>
      <c r="AB680" s="12"/>
      <c r="AC680" s="13"/>
    </row>
    <row r="681" spans="2:29" x14ac:dyDescent="0.2">
      <c r="B681" s="9" t="str">
        <f t="shared" si="133"/>
        <v>11 2026</v>
      </c>
      <c r="C681" s="88">
        <f t="shared" si="134"/>
        <v>46330</v>
      </c>
      <c r="D681" s="88">
        <f t="shared" si="132"/>
        <v>46331</v>
      </c>
      <c r="E681" s="89">
        <f t="shared" si="135"/>
        <v>1</v>
      </c>
      <c r="H681" s="206"/>
      <c r="I681" s="215"/>
      <c r="K681" s="12"/>
      <c r="L681" s="12"/>
      <c r="M681" s="215"/>
      <c r="N681" s="12"/>
      <c r="O681" s="219"/>
      <c r="P681" s="219"/>
      <c r="Q681" s="219"/>
      <c r="R681" s="219"/>
      <c r="T681" s="215"/>
      <c r="U681" s="12"/>
      <c r="V681" s="12"/>
      <c r="W681" s="12"/>
      <c r="X681" s="12"/>
      <c r="Z681" s="245"/>
      <c r="AA681" s="118"/>
      <c r="AB681" s="12"/>
      <c r="AC681" s="13"/>
    </row>
    <row r="682" spans="2:29" x14ac:dyDescent="0.2">
      <c r="B682" s="9" t="str">
        <f t="shared" si="133"/>
        <v>11 2026</v>
      </c>
      <c r="C682" s="88">
        <f t="shared" si="134"/>
        <v>46331</v>
      </c>
      <c r="D682" s="88">
        <f t="shared" si="132"/>
        <v>46332</v>
      </c>
      <c r="E682" s="89">
        <f t="shared" si="135"/>
        <v>1</v>
      </c>
      <c r="H682" s="206"/>
      <c r="I682" s="215"/>
      <c r="K682" s="12"/>
      <c r="L682" s="12"/>
      <c r="M682" s="215"/>
      <c r="N682" s="12"/>
      <c r="O682" s="219"/>
      <c r="P682" s="219"/>
      <c r="Q682" s="219"/>
      <c r="R682" s="219"/>
      <c r="T682" s="215"/>
      <c r="U682" s="12"/>
      <c r="V682" s="12"/>
      <c r="W682" s="12"/>
      <c r="X682" s="12"/>
      <c r="Z682" s="245"/>
      <c r="AA682" s="118"/>
      <c r="AB682" s="12"/>
      <c r="AC682" s="13"/>
    </row>
    <row r="683" spans="2:29" x14ac:dyDescent="0.2">
      <c r="B683" s="9" t="str">
        <f t="shared" si="133"/>
        <v>11 2026</v>
      </c>
      <c r="C683" s="88">
        <f t="shared" si="134"/>
        <v>46332</v>
      </c>
      <c r="D683" s="88">
        <f t="shared" si="132"/>
        <v>46333</v>
      </c>
      <c r="E683" s="89">
        <f t="shared" si="135"/>
        <v>1</v>
      </c>
      <c r="H683" s="206"/>
      <c r="I683" s="215"/>
      <c r="K683" s="12"/>
      <c r="L683" s="12"/>
      <c r="M683" s="215"/>
      <c r="N683" s="12"/>
      <c r="O683" s="219"/>
      <c r="P683" s="219"/>
      <c r="Q683" s="219"/>
      <c r="R683" s="219"/>
      <c r="T683" s="215"/>
      <c r="U683" s="12"/>
      <c r="V683" s="12"/>
      <c r="W683" s="12"/>
      <c r="X683" s="12"/>
      <c r="Z683" s="245"/>
      <c r="AA683" s="118"/>
      <c r="AB683" s="12"/>
      <c r="AC683" s="13"/>
    </row>
    <row r="684" spans="2:29" x14ac:dyDescent="0.2">
      <c r="B684" s="9" t="str">
        <f t="shared" si="133"/>
        <v>11 2026</v>
      </c>
      <c r="C684" s="88">
        <f t="shared" si="134"/>
        <v>46333</v>
      </c>
      <c r="D684" s="88">
        <f t="shared" si="132"/>
        <v>46334</v>
      </c>
      <c r="E684" s="89">
        <f t="shared" si="135"/>
        <v>1</v>
      </c>
      <c r="H684" s="206"/>
      <c r="I684" s="215"/>
      <c r="K684" s="12"/>
      <c r="L684" s="12"/>
      <c r="M684" s="215"/>
      <c r="N684" s="12"/>
      <c r="O684" s="219"/>
      <c r="P684" s="219"/>
      <c r="Q684" s="219"/>
      <c r="R684" s="219"/>
      <c r="T684" s="215"/>
      <c r="U684" s="12"/>
      <c r="V684" s="12"/>
      <c r="W684" s="12"/>
      <c r="X684" s="12"/>
      <c r="Z684" s="245"/>
      <c r="AA684" s="118"/>
      <c r="AB684" s="12"/>
      <c r="AC684" s="13"/>
    </row>
    <row r="685" spans="2:29" x14ac:dyDescent="0.2">
      <c r="B685" s="9" t="str">
        <f t="shared" si="133"/>
        <v>11 2026</v>
      </c>
      <c r="C685" s="88">
        <f t="shared" si="134"/>
        <v>46334</v>
      </c>
      <c r="D685" s="88">
        <f t="shared" si="132"/>
        <v>46335</v>
      </c>
      <c r="E685" s="89">
        <f t="shared" si="135"/>
        <v>1</v>
      </c>
      <c r="H685" s="206"/>
      <c r="I685" s="215"/>
      <c r="K685" s="12"/>
      <c r="L685" s="12"/>
      <c r="M685" s="215"/>
      <c r="N685" s="12"/>
      <c r="O685" s="219"/>
      <c r="P685" s="219"/>
      <c r="Q685" s="219"/>
      <c r="R685" s="219"/>
      <c r="T685" s="215"/>
      <c r="U685" s="12"/>
      <c r="V685" s="12"/>
      <c r="W685" s="12"/>
      <c r="X685" s="12"/>
      <c r="Z685" s="245"/>
      <c r="AA685" s="118"/>
      <c r="AB685" s="12"/>
      <c r="AC685" s="13"/>
    </row>
    <row r="686" spans="2:29" x14ac:dyDescent="0.2">
      <c r="B686" s="9" t="str">
        <f t="shared" si="133"/>
        <v>11 2026</v>
      </c>
      <c r="C686" s="88">
        <f t="shared" si="134"/>
        <v>46335</v>
      </c>
      <c r="D686" s="88">
        <f t="shared" si="132"/>
        <v>46336</v>
      </c>
      <c r="E686" s="89">
        <f t="shared" si="135"/>
        <v>1</v>
      </c>
      <c r="H686" s="206"/>
      <c r="I686" s="215"/>
      <c r="K686" s="12"/>
      <c r="L686" s="12"/>
      <c r="M686" s="215"/>
      <c r="N686" s="12"/>
      <c r="O686" s="219"/>
      <c r="P686" s="219"/>
      <c r="Q686" s="219"/>
      <c r="R686" s="219"/>
      <c r="T686" s="215"/>
      <c r="U686" s="12"/>
      <c r="V686" s="12"/>
      <c r="W686" s="12"/>
      <c r="X686" s="12"/>
      <c r="Z686" s="245"/>
      <c r="AA686" s="118"/>
      <c r="AB686" s="12"/>
      <c r="AC686" s="13"/>
    </row>
    <row r="687" spans="2:29" x14ac:dyDescent="0.2">
      <c r="B687" s="9" t="str">
        <f t="shared" si="133"/>
        <v>11 2026</v>
      </c>
      <c r="C687" s="88">
        <f t="shared" si="134"/>
        <v>46336</v>
      </c>
      <c r="D687" s="88">
        <f t="shared" si="132"/>
        <v>46337</v>
      </c>
      <c r="E687" s="89">
        <f t="shared" si="135"/>
        <v>1</v>
      </c>
      <c r="H687" s="206"/>
      <c r="I687" s="215"/>
      <c r="K687" s="12"/>
      <c r="L687" s="12"/>
      <c r="M687" s="215"/>
      <c r="N687" s="12"/>
      <c r="O687" s="219"/>
      <c r="P687" s="219"/>
      <c r="Q687" s="219"/>
      <c r="R687" s="219"/>
      <c r="T687" s="215"/>
      <c r="U687" s="12"/>
      <c r="V687" s="12"/>
      <c r="W687" s="12"/>
      <c r="X687" s="12"/>
      <c r="Z687" s="245"/>
      <c r="AA687" s="118"/>
      <c r="AB687" s="12"/>
      <c r="AC687" s="13"/>
    </row>
    <row r="688" spans="2:29" x14ac:dyDescent="0.2">
      <c r="B688" s="9" t="str">
        <f t="shared" si="133"/>
        <v>11 2026</v>
      </c>
      <c r="C688" s="88">
        <f t="shared" si="134"/>
        <v>46337</v>
      </c>
      <c r="D688" s="88">
        <f t="shared" si="132"/>
        <v>46338</v>
      </c>
      <c r="E688" s="89">
        <f t="shared" si="135"/>
        <v>1</v>
      </c>
      <c r="H688" s="206"/>
      <c r="I688" s="215"/>
      <c r="K688" s="12"/>
      <c r="L688" s="12"/>
      <c r="M688" s="215"/>
      <c r="N688" s="12"/>
      <c r="O688" s="219"/>
      <c r="P688" s="219"/>
      <c r="Q688" s="219"/>
      <c r="R688" s="219"/>
      <c r="T688" s="215"/>
      <c r="U688" s="12"/>
      <c r="V688" s="12"/>
      <c r="W688" s="12"/>
      <c r="X688" s="12"/>
      <c r="Z688" s="245"/>
      <c r="AA688" s="118"/>
      <c r="AB688" s="12"/>
      <c r="AC688" s="13"/>
    </row>
    <row r="689" spans="2:29" x14ac:dyDescent="0.2">
      <c r="B689" s="9" t="str">
        <f t="shared" si="133"/>
        <v>11 2026</v>
      </c>
      <c r="C689" s="88">
        <f t="shared" si="134"/>
        <v>46338</v>
      </c>
      <c r="D689" s="88">
        <f t="shared" si="132"/>
        <v>46339</v>
      </c>
      <c r="E689" s="89">
        <f t="shared" si="135"/>
        <v>1</v>
      </c>
      <c r="H689" s="206"/>
      <c r="I689" s="215"/>
      <c r="K689" s="12"/>
      <c r="L689" s="12"/>
      <c r="M689" s="215"/>
      <c r="N689" s="12"/>
      <c r="O689" s="219"/>
      <c r="P689" s="219"/>
      <c r="Q689" s="219"/>
      <c r="R689" s="219"/>
      <c r="T689" s="215"/>
      <c r="U689" s="12"/>
      <c r="V689" s="12"/>
      <c r="W689" s="12"/>
      <c r="X689" s="12"/>
      <c r="Z689" s="245"/>
      <c r="AA689" s="118"/>
      <c r="AB689" s="12"/>
      <c r="AC689" s="13"/>
    </row>
    <row r="690" spans="2:29" x14ac:dyDescent="0.2">
      <c r="B690" s="9" t="str">
        <f t="shared" si="133"/>
        <v>11 2026</v>
      </c>
      <c r="C690" s="88">
        <f t="shared" si="134"/>
        <v>46339</v>
      </c>
      <c r="D690" s="88">
        <f t="shared" si="132"/>
        <v>46340</v>
      </c>
      <c r="E690" s="89">
        <f t="shared" si="135"/>
        <v>1</v>
      </c>
      <c r="H690" s="206"/>
      <c r="I690" s="215"/>
      <c r="K690" s="12"/>
      <c r="L690" s="12"/>
      <c r="M690" s="215"/>
      <c r="N690" s="12"/>
      <c r="O690" s="219"/>
      <c r="P690" s="219"/>
      <c r="Q690" s="219"/>
      <c r="R690" s="219"/>
      <c r="T690" s="215"/>
      <c r="U690" s="12"/>
      <c r="V690" s="12"/>
      <c r="W690" s="12"/>
      <c r="X690" s="12"/>
      <c r="Z690" s="245"/>
      <c r="AA690" s="118"/>
      <c r="AB690" s="12"/>
      <c r="AC690" s="13"/>
    </row>
    <row r="691" spans="2:29" x14ac:dyDescent="0.2">
      <c r="B691" s="9" t="str">
        <f t="shared" si="133"/>
        <v>11 2026</v>
      </c>
      <c r="C691" s="88">
        <f t="shared" si="134"/>
        <v>46340</v>
      </c>
      <c r="D691" s="88">
        <f t="shared" si="132"/>
        <v>46341</v>
      </c>
      <c r="E691" s="89">
        <f t="shared" si="135"/>
        <v>1</v>
      </c>
      <c r="H691" s="206"/>
      <c r="I691" s="215"/>
      <c r="K691" s="12"/>
      <c r="L691" s="12"/>
      <c r="M691" s="215"/>
      <c r="N691" s="12"/>
      <c r="O691" s="219"/>
      <c r="P691" s="219"/>
      <c r="Q691" s="219"/>
      <c r="R691" s="219"/>
      <c r="T691" s="215"/>
      <c r="U691" s="12"/>
      <c r="V691" s="12"/>
      <c r="W691" s="12"/>
      <c r="X691" s="12"/>
      <c r="Z691" s="245"/>
      <c r="AA691" s="118"/>
      <c r="AB691" s="12"/>
      <c r="AC691" s="13"/>
    </row>
    <row r="692" spans="2:29" x14ac:dyDescent="0.2">
      <c r="B692" s="9" t="str">
        <f t="shared" si="133"/>
        <v>11 2026</v>
      </c>
      <c r="C692" s="88">
        <f t="shared" si="134"/>
        <v>46341</v>
      </c>
      <c r="D692" s="88">
        <f t="shared" si="132"/>
        <v>46342</v>
      </c>
      <c r="E692" s="89">
        <f t="shared" si="135"/>
        <v>1</v>
      </c>
      <c r="H692" s="206"/>
      <c r="I692" s="215"/>
      <c r="K692" s="12"/>
      <c r="L692" s="12"/>
      <c r="M692" s="215"/>
      <c r="N692" s="12"/>
      <c r="O692" s="219"/>
      <c r="P692" s="219"/>
      <c r="Q692" s="219"/>
      <c r="R692" s="219"/>
      <c r="T692" s="215"/>
      <c r="U692" s="12"/>
      <c r="V692" s="12"/>
      <c r="W692" s="12"/>
      <c r="X692" s="12"/>
      <c r="Z692" s="245"/>
      <c r="AA692" s="118"/>
      <c r="AB692" s="12"/>
      <c r="AC692" s="13"/>
    </row>
    <row r="693" spans="2:29" x14ac:dyDescent="0.2">
      <c r="B693" s="9" t="str">
        <f t="shared" si="133"/>
        <v>11 2026</v>
      </c>
      <c r="C693" s="88">
        <f t="shared" si="134"/>
        <v>46342</v>
      </c>
      <c r="D693" s="88">
        <f t="shared" si="132"/>
        <v>46343</v>
      </c>
      <c r="E693" s="89">
        <f t="shared" si="135"/>
        <v>1</v>
      </c>
      <c r="H693" s="206"/>
      <c r="I693" s="215"/>
      <c r="K693" s="12"/>
      <c r="L693" s="12"/>
      <c r="M693" s="215"/>
      <c r="N693" s="12"/>
      <c r="O693" s="219"/>
      <c r="P693" s="219"/>
      <c r="Q693" s="219"/>
      <c r="R693" s="219"/>
      <c r="T693" s="215"/>
      <c r="U693" s="12"/>
      <c r="V693" s="12"/>
      <c r="W693" s="12"/>
      <c r="X693" s="12"/>
      <c r="Z693" s="245"/>
      <c r="AA693" s="118"/>
      <c r="AB693" s="12"/>
      <c r="AC693" s="13"/>
    </row>
    <row r="694" spans="2:29" x14ac:dyDescent="0.2">
      <c r="B694" s="9" t="str">
        <f t="shared" si="133"/>
        <v>11 2026</v>
      </c>
      <c r="C694" s="88">
        <f t="shared" si="134"/>
        <v>46343</v>
      </c>
      <c r="D694" s="88">
        <f t="shared" si="132"/>
        <v>46344</v>
      </c>
      <c r="E694" s="89">
        <f t="shared" si="135"/>
        <v>1</v>
      </c>
      <c r="H694" s="206"/>
      <c r="I694" s="215"/>
      <c r="K694" s="12"/>
      <c r="L694" s="12"/>
      <c r="M694" s="215"/>
      <c r="N694" s="12"/>
      <c r="O694" s="219"/>
      <c r="P694" s="219"/>
      <c r="Q694" s="219"/>
      <c r="R694" s="219"/>
      <c r="T694" s="215"/>
      <c r="U694" s="12"/>
      <c r="V694" s="12"/>
      <c r="W694" s="12"/>
      <c r="X694" s="12"/>
      <c r="Z694" s="245"/>
      <c r="AA694" s="118"/>
      <c r="AB694" s="12"/>
      <c r="AC694" s="13"/>
    </row>
    <row r="695" spans="2:29" x14ac:dyDescent="0.2">
      <c r="B695" s="9" t="str">
        <f t="shared" si="133"/>
        <v>11 2026</v>
      </c>
      <c r="C695" s="88">
        <f t="shared" si="134"/>
        <v>46344</v>
      </c>
      <c r="D695" s="88">
        <f t="shared" si="132"/>
        <v>46345</v>
      </c>
      <c r="E695" s="89">
        <f t="shared" si="135"/>
        <v>1</v>
      </c>
      <c r="H695" s="206"/>
      <c r="I695" s="215"/>
      <c r="K695" s="12"/>
      <c r="L695" s="12"/>
      <c r="M695" s="215"/>
      <c r="N695" s="12"/>
      <c r="O695" s="219"/>
      <c r="P695" s="219"/>
      <c r="Q695" s="219"/>
      <c r="R695" s="219"/>
      <c r="T695" s="215"/>
      <c r="U695" s="12"/>
      <c r="V695" s="12"/>
      <c r="W695" s="12"/>
      <c r="X695" s="12"/>
      <c r="Z695" s="245"/>
      <c r="AA695" s="118"/>
      <c r="AB695" s="12"/>
      <c r="AC695" s="13"/>
    </row>
    <row r="696" spans="2:29" x14ac:dyDescent="0.2">
      <c r="B696" s="9" t="str">
        <f t="shared" si="133"/>
        <v>11 2026</v>
      </c>
      <c r="C696" s="88">
        <f t="shared" si="134"/>
        <v>46345</v>
      </c>
      <c r="D696" s="88">
        <f t="shared" ref="D696:D737" si="136">D695+1</f>
        <v>46346</v>
      </c>
      <c r="E696" s="89">
        <f t="shared" si="135"/>
        <v>1</v>
      </c>
      <c r="H696" s="206"/>
      <c r="I696" s="215"/>
      <c r="K696" s="12"/>
      <c r="L696" s="12"/>
      <c r="M696" s="215"/>
      <c r="N696" s="12"/>
      <c r="O696" s="219"/>
      <c r="P696" s="219"/>
      <c r="Q696" s="219"/>
      <c r="R696" s="219"/>
      <c r="T696" s="215"/>
      <c r="U696" s="12"/>
      <c r="V696" s="12"/>
      <c r="W696" s="12"/>
      <c r="X696" s="12"/>
      <c r="Z696" s="245"/>
      <c r="AA696" s="118"/>
      <c r="AB696" s="12"/>
      <c r="AC696" s="13"/>
    </row>
    <row r="697" spans="2:29" x14ac:dyDescent="0.2">
      <c r="B697" s="9" t="str">
        <f t="shared" si="133"/>
        <v>11 2026</v>
      </c>
      <c r="C697" s="88">
        <f t="shared" si="134"/>
        <v>46346</v>
      </c>
      <c r="D697" s="88">
        <f t="shared" si="136"/>
        <v>46347</v>
      </c>
      <c r="E697" s="89">
        <f t="shared" si="135"/>
        <v>1</v>
      </c>
      <c r="H697" s="206"/>
      <c r="I697" s="215"/>
      <c r="K697" s="12"/>
      <c r="L697" s="12"/>
      <c r="M697" s="215"/>
      <c r="N697" s="12"/>
      <c r="O697" s="219"/>
      <c r="P697" s="219"/>
      <c r="Q697" s="219"/>
      <c r="R697" s="219"/>
      <c r="T697" s="215"/>
      <c r="U697" s="12"/>
      <c r="V697" s="12"/>
      <c r="W697" s="12"/>
      <c r="X697" s="12"/>
      <c r="Z697" s="245"/>
      <c r="AA697" s="118"/>
      <c r="AB697" s="12"/>
      <c r="AC697" s="13"/>
    </row>
    <row r="698" spans="2:29" x14ac:dyDescent="0.2">
      <c r="B698" s="9" t="str">
        <f t="shared" si="133"/>
        <v>11 2026</v>
      </c>
      <c r="C698" s="88">
        <f t="shared" si="134"/>
        <v>46347</v>
      </c>
      <c r="D698" s="88">
        <f t="shared" si="136"/>
        <v>46348</v>
      </c>
      <c r="E698" s="89">
        <f t="shared" si="135"/>
        <v>1</v>
      </c>
      <c r="H698" s="206"/>
      <c r="I698" s="215"/>
      <c r="K698" s="12"/>
      <c r="L698" s="12"/>
      <c r="M698" s="215"/>
      <c r="N698" s="12"/>
      <c r="O698" s="219"/>
      <c r="P698" s="219"/>
      <c r="Q698" s="219"/>
      <c r="R698" s="219"/>
      <c r="T698" s="215"/>
      <c r="U698" s="12"/>
      <c r="V698" s="12"/>
      <c r="W698" s="12"/>
      <c r="X698" s="12"/>
      <c r="Z698" s="245"/>
      <c r="AA698" s="118"/>
      <c r="AB698" s="12"/>
      <c r="AC698" s="13"/>
    </row>
    <row r="699" spans="2:29" x14ac:dyDescent="0.2">
      <c r="B699" s="9" t="str">
        <f t="shared" si="133"/>
        <v>11 2026</v>
      </c>
      <c r="C699" s="88">
        <f t="shared" si="134"/>
        <v>46348</v>
      </c>
      <c r="D699" s="88">
        <f t="shared" si="136"/>
        <v>46349</v>
      </c>
      <c r="E699" s="89">
        <f t="shared" si="135"/>
        <v>1</v>
      </c>
      <c r="H699" s="206"/>
      <c r="I699" s="215"/>
      <c r="K699" s="12"/>
      <c r="L699" s="12"/>
      <c r="M699" s="215"/>
      <c r="N699" s="12"/>
      <c r="O699" s="219"/>
      <c r="P699" s="219"/>
      <c r="Q699" s="219"/>
      <c r="R699" s="219"/>
      <c r="T699" s="215"/>
      <c r="U699" s="12"/>
      <c r="V699" s="12"/>
      <c r="W699" s="12"/>
      <c r="X699" s="12"/>
      <c r="Z699" s="245"/>
      <c r="AA699" s="118"/>
      <c r="AB699" s="12"/>
      <c r="AC699" s="13"/>
    </row>
    <row r="700" spans="2:29" x14ac:dyDescent="0.2">
      <c r="B700" s="9" t="str">
        <f t="shared" si="133"/>
        <v>11 2026</v>
      </c>
      <c r="C700" s="88">
        <f t="shared" si="134"/>
        <v>46349</v>
      </c>
      <c r="D700" s="88">
        <f t="shared" si="136"/>
        <v>46350</v>
      </c>
      <c r="E700" s="89">
        <f t="shared" si="135"/>
        <v>1</v>
      </c>
      <c r="H700" s="206"/>
      <c r="I700" s="215"/>
      <c r="K700" s="12"/>
      <c r="L700" s="12"/>
      <c r="M700" s="215"/>
      <c r="N700" s="12"/>
      <c r="O700" s="219"/>
      <c r="P700" s="219"/>
      <c r="Q700" s="219"/>
      <c r="R700" s="219"/>
      <c r="T700" s="215"/>
      <c r="U700" s="12"/>
      <c r="V700" s="12"/>
      <c r="W700" s="12"/>
      <c r="X700" s="12"/>
      <c r="Z700" s="245"/>
      <c r="AA700" s="118"/>
      <c r="AB700" s="12"/>
      <c r="AC700" s="13"/>
    </row>
    <row r="701" spans="2:29" x14ac:dyDescent="0.2">
      <c r="B701" s="9" t="str">
        <f t="shared" si="133"/>
        <v>11 2026</v>
      </c>
      <c r="C701" s="88">
        <f t="shared" si="134"/>
        <v>46350</v>
      </c>
      <c r="D701" s="88">
        <f t="shared" si="136"/>
        <v>46351</v>
      </c>
      <c r="E701" s="89">
        <f t="shared" si="135"/>
        <v>1</v>
      </c>
      <c r="H701" s="206"/>
      <c r="I701" s="215"/>
      <c r="K701" s="12"/>
      <c r="L701" s="12"/>
      <c r="M701" s="215"/>
      <c r="N701" s="12"/>
      <c r="O701" s="219"/>
      <c r="P701" s="219"/>
      <c r="Q701" s="219"/>
      <c r="R701" s="219"/>
      <c r="T701" s="215"/>
      <c r="U701" s="12"/>
      <c r="V701" s="12"/>
      <c r="W701" s="12"/>
      <c r="X701" s="12"/>
      <c r="Z701" s="245"/>
      <c r="AA701" s="118"/>
      <c r="AB701" s="12"/>
      <c r="AC701" s="13"/>
    </row>
    <row r="702" spans="2:29" x14ac:dyDescent="0.2">
      <c r="B702" s="9" t="str">
        <f t="shared" si="133"/>
        <v>11 2026</v>
      </c>
      <c r="C702" s="88">
        <f t="shared" si="134"/>
        <v>46351</v>
      </c>
      <c r="D702" s="88">
        <f t="shared" si="136"/>
        <v>46352</v>
      </c>
      <c r="E702" s="89">
        <f t="shared" si="135"/>
        <v>1</v>
      </c>
      <c r="H702" s="206"/>
      <c r="I702" s="215"/>
      <c r="K702" s="12"/>
      <c r="L702" s="12"/>
      <c r="M702" s="215"/>
      <c r="N702" s="12"/>
      <c r="O702" s="219"/>
      <c r="P702" s="219"/>
      <c r="Q702" s="219"/>
      <c r="R702" s="219"/>
      <c r="T702" s="215"/>
      <c r="U702" s="12"/>
      <c r="V702" s="12"/>
      <c r="W702" s="12"/>
      <c r="X702" s="12"/>
      <c r="Z702" s="245"/>
      <c r="AA702" s="118"/>
      <c r="AB702" s="12"/>
      <c r="AC702" s="13"/>
    </row>
    <row r="703" spans="2:29" x14ac:dyDescent="0.2">
      <c r="B703" s="9" t="str">
        <f t="shared" si="133"/>
        <v>11 2026</v>
      </c>
      <c r="C703" s="88">
        <f t="shared" si="134"/>
        <v>46352</v>
      </c>
      <c r="D703" s="88">
        <f t="shared" si="136"/>
        <v>46353</v>
      </c>
      <c r="E703" s="89">
        <f t="shared" si="135"/>
        <v>1</v>
      </c>
      <c r="H703" s="206"/>
      <c r="I703" s="215"/>
      <c r="K703" s="12"/>
      <c r="L703" s="12"/>
      <c r="M703" s="215"/>
      <c r="N703" s="12"/>
      <c r="O703" s="219"/>
      <c r="P703" s="219"/>
      <c r="Q703" s="219"/>
      <c r="R703" s="219"/>
      <c r="T703" s="215"/>
      <c r="U703" s="12"/>
      <c r="V703" s="12"/>
      <c r="W703" s="12"/>
      <c r="X703" s="12"/>
      <c r="Z703" s="245"/>
      <c r="AA703" s="118"/>
      <c r="AB703" s="12"/>
      <c r="AC703" s="13"/>
    </row>
    <row r="704" spans="2:29" x14ac:dyDescent="0.2">
      <c r="B704" s="9" t="str">
        <f t="shared" si="133"/>
        <v>11 2026</v>
      </c>
      <c r="C704" s="88">
        <f t="shared" si="134"/>
        <v>46353</v>
      </c>
      <c r="D704" s="88">
        <f t="shared" si="136"/>
        <v>46354</v>
      </c>
      <c r="E704" s="89">
        <f t="shared" si="135"/>
        <v>1</v>
      </c>
      <c r="H704" s="206"/>
      <c r="I704" s="215"/>
      <c r="K704" s="12"/>
      <c r="L704" s="12"/>
      <c r="M704" s="215"/>
      <c r="N704" s="12"/>
      <c r="O704" s="219"/>
      <c r="P704" s="219"/>
      <c r="Q704" s="219"/>
      <c r="R704" s="219"/>
      <c r="T704" s="215"/>
      <c r="U704" s="12"/>
      <c r="V704" s="12"/>
      <c r="W704" s="12"/>
      <c r="X704" s="12"/>
      <c r="Z704" s="245"/>
      <c r="AA704" s="118"/>
      <c r="AB704" s="12"/>
      <c r="AC704" s="13"/>
    </row>
    <row r="705" spans="2:29" x14ac:dyDescent="0.2">
      <c r="B705" s="9" t="str">
        <f t="shared" si="133"/>
        <v>11 2026</v>
      </c>
      <c r="C705" s="88">
        <f t="shared" si="134"/>
        <v>46354</v>
      </c>
      <c r="D705" s="88">
        <f t="shared" si="136"/>
        <v>46355</v>
      </c>
      <c r="E705" s="89">
        <f t="shared" si="135"/>
        <v>1</v>
      </c>
      <c r="H705" s="206"/>
      <c r="I705" s="215"/>
      <c r="K705" s="12"/>
      <c r="L705" s="12"/>
      <c r="M705" s="215"/>
      <c r="N705" s="12"/>
      <c r="O705" s="219"/>
      <c r="P705" s="219"/>
      <c r="Q705" s="219"/>
      <c r="R705" s="219"/>
      <c r="T705" s="215"/>
      <c r="U705" s="12"/>
      <c r="V705" s="12"/>
      <c r="W705" s="12"/>
      <c r="X705" s="12"/>
      <c r="Z705" s="245"/>
      <c r="AA705" s="118"/>
      <c r="AB705" s="12"/>
      <c r="AC705" s="13"/>
    </row>
    <row r="706" spans="2:29" x14ac:dyDescent="0.2">
      <c r="B706" s="9" t="str">
        <f t="shared" si="133"/>
        <v>11 2026</v>
      </c>
      <c r="C706" s="88">
        <f t="shared" si="134"/>
        <v>46355</v>
      </c>
      <c r="D706" s="88">
        <f t="shared" si="136"/>
        <v>46356</v>
      </c>
      <c r="E706" s="89">
        <f t="shared" si="135"/>
        <v>1</v>
      </c>
      <c r="H706" s="206"/>
      <c r="I706" s="215"/>
      <c r="K706" s="12"/>
      <c r="L706" s="12"/>
      <c r="M706" s="215"/>
      <c r="N706" s="12"/>
      <c r="O706" s="219"/>
      <c r="P706" s="219"/>
      <c r="Q706" s="219"/>
      <c r="R706" s="219"/>
      <c r="T706" s="215"/>
      <c r="U706" s="12"/>
      <c r="V706" s="12"/>
      <c r="W706" s="12"/>
      <c r="X706" s="12"/>
      <c r="Z706" s="245"/>
      <c r="AA706" s="118"/>
      <c r="AB706" s="12"/>
      <c r="AC706" s="13"/>
    </row>
    <row r="707" spans="2:29" x14ac:dyDescent="0.2">
      <c r="B707" s="9" t="str">
        <f t="shared" si="133"/>
        <v>12 2026</v>
      </c>
      <c r="C707" s="88">
        <f t="shared" si="134"/>
        <v>46356</v>
      </c>
      <c r="D707" s="88">
        <f t="shared" si="136"/>
        <v>46357</v>
      </c>
      <c r="E707" s="89">
        <f t="shared" si="135"/>
        <v>1</v>
      </c>
      <c r="H707" s="206"/>
      <c r="I707" s="215"/>
      <c r="K707" s="12"/>
      <c r="L707" s="12"/>
      <c r="M707" s="215"/>
      <c r="N707" s="12"/>
      <c r="O707" s="219"/>
      <c r="P707" s="219"/>
      <c r="Q707" s="219"/>
      <c r="R707" s="219"/>
      <c r="T707" s="215"/>
      <c r="U707" s="12"/>
      <c r="V707" s="12"/>
      <c r="W707" s="12"/>
      <c r="X707" s="12"/>
      <c r="Z707" s="245"/>
      <c r="AA707" s="118"/>
      <c r="AB707" s="12"/>
      <c r="AC707" s="13"/>
    </row>
    <row r="708" spans="2:29" x14ac:dyDescent="0.2">
      <c r="B708" s="9" t="str">
        <f t="shared" si="133"/>
        <v>12 2026</v>
      </c>
      <c r="C708" s="88">
        <f t="shared" si="134"/>
        <v>46357</v>
      </c>
      <c r="D708" s="88">
        <f t="shared" si="136"/>
        <v>46358</v>
      </c>
      <c r="E708" s="89">
        <f t="shared" si="135"/>
        <v>1</v>
      </c>
      <c r="H708" s="206"/>
      <c r="I708" s="215"/>
      <c r="K708" s="12"/>
      <c r="L708" s="12"/>
      <c r="M708" s="215"/>
      <c r="N708" s="12"/>
      <c r="O708" s="219"/>
      <c r="P708" s="219"/>
      <c r="Q708" s="219"/>
      <c r="R708" s="219"/>
      <c r="T708" s="215"/>
      <c r="U708" s="12"/>
      <c r="V708" s="12"/>
      <c r="W708" s="12"/>
      <c r="X708" s="12"/>
      <c r="Z708" s="245"/>
      <c r="AA708" s="118"/>
      <c r="AB708" s="12"/>
      <c r="AC708" s="13"/>
    </row>
    <row r="709" spans="2:29" x14ac:dyDescent="0.2">
      <c r="B709" s="9" t="str">
        <f t="shared" si="133"/>
        <v>12 2026</v>
      </c>
      <c r="C709" s="88">
        <f t="shared" si="134"/>
        <v>46358</v>
      </c>
      <c r="D709" s="88">
        <f t="shared" si="136"/>
        <v>46359</v>
      </c>
      <c r="E709" s="89">
        <f t="shared" si="135"/>
        <v>1</v>
      </c>
      <c r="H709" s="206"/>
      <c r="I709" s="215"/>
      <c r="K709" s="12"/>
      <c r="L709" s="12"/>
      <c r="M709" s="215"/>
      <c r="N709" s="12"/>
      <c r="O709" s="219"/>
      <c r="P709" s="219"/>
      <c r="Q709" s="219"/>
      <c r="R709" s="219"/>
      <c r="T709" s="215"/>
      <c r="U709" s="12"/>
      <c r="V709" s="12"/>
      <c r="W709" s="12"/>
      <c r="X709" s="12"/>
      <c r="Z709" s="245"/>
      <c r="AA709" s="118"/>
      <c r="AB709" s="12"/>
      <c r="AC709" s="13"/>
    </row>
    <row r="710" spans="2:29" x14ac:dyDescent="0.2">
      <c r="B710" s="9" t="str">
        <f t="shared" si="133"/>
        <v>12 2026</v>
      </c>
      <c r="C710" s="88">
        <f t="shared" si="134"/>
        <v>46359</v>
      </c>
      <c r="D710" s="88">
        <f t="shared" si="136"/>
        <v>46360</v>
      </c>
      <c r="E710" s="89">
        <f t="shared" si="135"/>
        <v>1</v>
      </c>
      <c r="H710" s="206"/>
      <c r="I710" s="215"/>
      <c r="K710" s="12"/>
      <c r="L710" s="12"/>
      <c r="M710" s="215"/>
      <c r="N710" s="12"/>
      <c r="O710" s="219"/>
      <c r="P710" s="219"/>
      <c r="Q710" s="219"/>
      <c r="R710" s="219"/>
      <c r="T710" s="215"/>
      <c r="U710" s="12"/>
      <c r="V710" s="12"/>
      <c r="W710" s="12"/>
      <c r="X710" s="12"/>
      <c r="Z710" s="245"/>
      <c r="AA710" s="118"/>
      <c r="AB710" s="12"/>
      <c r="AC710" s="13"/>
    </row>
    <row r="711" spans="2:29" x14ac:dyDescent="0.2">
      <c r="B711" s="9" t="str">
        <f t="shared" si="133"/>
        <v>12 2026</v>
      </c>
      <c r="C711" s="88">
        <f t="shared" si="134"/>
        <v>46360</v>
      </c>
      <c r="D711" s="88">
        <f t="shared" si="136"/>
        <v>46361</v>
      </c>
      <c r="E711" s="89">
        <f t="shared" si="135"/>
        <v>1</v>
      </c>
      <c r="H711" s="206"/>
      <c r="I711" s="215"/>
      <c r="K711" s="12"/>
      <c r="L711" s="12"/>
      <c r="M711" s="215"/>
      <c r="N711" s="12"/>
      <c r="O711" s="219"/>
      <c r="P711" s="219"/>
      <c r="Q711" s="219"/>
      <c r="R711" s="219"/>
      <c r="T711" s="215"/>
      <c r="U711" s="12"/>
      <c r="V711" s="12"/>
      <c r="W711" s="12"/>
      <c r="X711" s="12"/>
      <c r="Z711" s="245"/>
      <c r="AA711" s="118"/>
      <c r="AB711" s="12"/>
      <c r="AC711" s="13"/>
    </row>
    <row r="712" spans="2:29" x14ac:dyDescent="0.2">
      <c r="B712" s="9" t="str">
        <f t="shared" si="133"/>
        <v>12 2026</v>
      </c>
      <c r="C712" s="88">
        <f t="shared" si="134"/>
        <v>46361</v>
      </c>
      <c r="D712" s="88">
        <f t="shared" si="136"/>
        <v>46362</v>
      </c>
      <c r="E712" s="89">
        <f t="shared" si="135"/>
        <v>1</v>
      </c>
      <c r="H712" s="206"/>
      <c r="I712" s="215"/>
      <c r="K712" s="12"/>
      <c r="L712" s="12"/>
      <c r="M712" s="215"/>
      <c r="N712" s="12"/>
      <c r="O712" s="219"/>
      <c r="P712" s="219"/>
      <c r="Q712" s="219"/>
      <c r="R712" s="219"/>
      <c r="T712" s="215"/>
      <c r="U712" s="12"/>
      <c r="V712" s="12"/>
      <c r="W712" s="12"/>
      <c r="X712" s="12"/>
      <c r="Z712" s="245"/>
      <c r="AA712" s="118"/>
      <c r="AB712" s="12"/>
      <c r="AC712" s="13"/>
    </row>
    <row r="713" spans="2:29" x14ac:dyDescent="0.2">
      <c r="B713" s="9" t="str">
        <f t="shared" si="133"/>
        <v>12 2026</v>
      </c>
      <c r="C713" s="88">
        <f t="shared" si="134"/>
        <v>46362</v>
      </c>
      <c r="D713" s="88">
        <f t="shared" si="136"/>
        <v>46363</v>
      </c>
      <c r="E713" s="89">
        <f t="shared" si="135"/>
        <v>1</v>
      </c>
      <c r="H713" s="206"/>
      <c r="I713" s="215"/>
      <c r="K713" s="12"/>
      <c r="L713" s="12"/>
      <c r="M713" s="215"/>
      <c r="N713" s="12"/>
      <c r="O713" s="219"/>
      <c r="P713" s="219"/>
      <c r="Q713" s="219"/>
      <c r="R713" s="219"/>
      <c r="T713" s="215"/>
      <c r="U713" s="12"/>
      <c r="V713" s="12"/>
      <c r="W713" s="12"/>
      <c r="X713" s="12"/>
      <c r="Z713" s="245"/>
      <c r="AA713" s="118"/>
      <c r="AB713" s="12"/>
      <c r="AC713" s="13"/>
    </row>
    <row r="714" spans="2:29" x14ac:dyDescent="0.2">
      <c r="B714" s="9" t="str">
        <f t="shared" si="133"/>
        <v>12 2026</v>
      </c>
      <c r="C714" s="88">
        <f t="shared" si="134"/>
        <v>46363</v>
      </c>
      <c r="D714" s="88">
        <f t="shared" si="136"/>
        <v>46364</v>
      </c>
      <c r="E714" s="89">
        <f t="shared" si="135"/>
        <v>1</v>
      </c>
      <c r="H714" s="206"/>
      <c r="I714" s="215"/>
      <c r="K714" s="12"/>
      <c r="L714" s="12"/>
      <c r="M714" s="215"/>
      <c r="N714" s="12"/>
      <c r="O714" s="219"/>
      <c r="P714" s="219"/>
      <c r="Q714" s="219"/>
      <c r="R714" s="219"/>
      <c r="T714" s="215"/>
      <c r="U714" s="12"/>
      <c r="V714" s="12"/>
      <c r="W714" s="12"/>
      <c r="X714" s="12"/>
      <c r="Z714" s="245"/>
      <c r="AA714" s="118"/>
      <c r="AB714" s="12"/>
      <c r="AC714" s="13"/>
    </row>
    <row r="715" spans="2:29" x14ac:dyDescent="0.2">
      <c r="B715" s="9" t="str">
        <f t="shared" si="133"/>
        <v>12 2026</v>
      </c>
      <c r="C715" s="88">
        <f t="shared" si="134"/>
        <v>46364</v>
      </c>
      <c r="D715" s="88">
        <f t="shared" si="136"/>
        <v>46365</v>
      </c>
      <c r="E715" s="89">
        <f t="shared" si="135"/>
        <v>1</v>
      </c>
      <c r="H715" s="206"/>
      <c r="I715" s="215"/>
      <c r="K715" s="12"/>
      <c r="L715" s="12"/>
      <c r="M715" s="215"/>
      <c r="N715" s="12"/>
      <c r="O715" s="219"/>
      <c r="P715" s="219"/>
      <c r="Q715" s="219"/>
      <c r="R715" s="219"/>
      <c r="T715" s="215"/>
      <c r="U715" s="12"/>
      <c r="V715" s="12"/>
      <c r="W715" s="12"/>
      <c r="X715" s="12"/>
      <c r="Z715" s="245"/>
      <c r="AA715" s="118"/>
      <c r="AB715" s="12"/>
      <c r="AC715" s="13"/>
    </row>
    <row r="716" spans="2:29" x14ac:dyDescent="0.2">
      <c r="B716" s="9" t="str">
        <f t="shared" si="133"/>
        <v>12 2026</v>
      </c>
      <c r="C716" s="88">
        <f t="shared" si="134"/>
        <v>46365</v>
      </c>
      <c r="D716" s="88">
        <f t="shared" si="136"/>
        <v>46366</v>
      </c>
      <c r="E716" s="89">
        <f t="shared" si="135"/>
        <v>1</v>
      </c>
      <c r="H716" s="206"/>
      <c r="I716" s="215"/>
      <c r="K716" s="12"/>
      <c r="L716" s="12"/>
      <c r="M716" s="215"/>
      <c r="N716" s="12"/>
      <c r="O716" s="219"/>
      <c r="P716" s="219"/>
      <c r="Q716" s="219"/>
      <c r="R716" s="219"/>
      <c r="T716" s="215"/>
      <c r="U716" s="12"/>
      <c r="V716" s="12"/>
      <c r="W716" s="12"/>
      <c r="X716" s="12"/>
      <c r="Z716" s="245"/>
      <c r="AA716" s="118"/>
      <c r="AB716" s="12"/>
      <c r="AC716" s="13"/>
    </row>
    <row r="717" spans="2:29" x14ac:dyDescent="0.2">
      <c r="B717" s="9" t="str">
        <f t="shared" si="133"/>
        <v>12 2026</v>
      </c>
      <c r="C717" s="88">
        <f t="shared" si="134"/>
        <v>46366</v>
      </c>
      <c r="D717" s="88">
        <f t="shared" si="136"/>
        <v>46367</v>
      </c>
      <c r="E717" s="89">
        <f t="shared" si="135"/>
        <v>1</v>
      </c>
      <c r="H717" s="206"/>
      <c r="I717" s="215"/>
      <c r="K717" s="12"/>
      <c r="L717" s="12"/>
      <c r="M717" s="215"/>
      <c r="N717" s="12"/>
      <c r="O717" s="219"/>
      <c r="P717" s="219"/>
      <c r="Q717" s="219"/>
      <c r="R717" s="219"/>
      <c r="T717" s="215"/>
      <c r="U717" s="12"/>
      <c r="V717" s="12"/>
      <c r="W717" s="12"/>
      <c r="X717" s="12"/>
      <c r="Z717" s="245"/>
      <c r="AA717" s="118"/>
      <c r="AB717" s="12"/>
      <c r="AC717" s="13"/>
    </row>
    <row r="718" spans="2:29" x14ac:dyDescent="0.2">
      <c r="B718" s="9" t="str">
        <f t="shared" si="133"/>
        <v>12 2026</v>
      </c>
      <c r="C718" s="88">
        <f t="shared" si="134"/>
        <v>46367</v>
      </c>
      <c r="D718" s="88">
        <f t="shared" si="136"/>
        <v>46368</v>
      </c>
      <c r="E718" s="89">
        <f t="shared" si="135"/>
        <v>1</v>
      </c>
      <c r="H718" s="206"/>
      <c r="I718" s="215"/>
      <c r="K718" s="12"/>
      <c r="L718" s="12"/>
      <c r="M718" s="215"/>
      <c r="N718" s="12"/>
      <c r="O718" s="219"/>
      <c r="P718" s="219"/>
      <c r="Q718" s="219"/>
      <c r="R718" s="219"/>
      <c r="T718" s="215"/>
      <c r="U718" s="12"/>
      <c r="V718" s="12"/>
      <c r="W718" s="12"/>
      <c r="X718" s="12"/>
      <c r="Z718" s="245"/>
      <c r="AA718" s="118"/>
      <c r="AB718" s="12"/>
      <c r="AC718" s="13"/>
    </row>
    <row r="719" spans="2:29" x14ac:dyDescent="0.2">
      <c r="B719" s="9" t="str">
        <f t="shared" si="133"/>
        <v>12 2026</v>
      </c>
      <c r="C719" s="88">
        <f t="shared" si="134"/>
        <v>46368</v>
      </c>
      <c r="D719" s="88">
        <f t="shared" si="136"/>
        <v>46369</v>
      </c>
      <c r="E719" s="89">
        <f t="shared" si="135"/>
        <v>1</v>
      </c>
      <c r="H719" s="206"/>
      <c r="I719" s="215"/>
      <c r="K719" s="12"/>
      <c r="L719" s="12"/>
      <c r="M719" s="215"/>
      <c r="N719" s="12"/>
      <c r="O719" s="219"/>
      <c r="P719" s="219"/>
      <c r="Q719" s="219"/>
      <c r="R719" s="219"/>
      <c r="T719" s="215"/>
      <c r="U719" s="12"/>
      <c r="V719" s="12"/>
      <c r="W719" s="12"/>
      <c r="X719" s="12"/>
      <c r="Z719" s="245"/>
      <c r="AA719" s="118"/>
      <c r="AB719" s="12"/>
      <c r="AC719" s="13"/>
    </row>
    <row r="720" spans="2:29" x14ac:dyDescent="0.2">
      <c r="B720" s="9" t="str">
        <f t="shared" si="133"/>
        <v>12 2026</v>
      </c>
      <c r="C720" s="88">
        <f t="shared" si="134"/>
        <v>46369</v>
      </c>
      <c r="D720" s="88">
        <f t="shared" si="136"/>
        <v>46370</v>
      </c>
      <c r="E720" s="89">
        <f t="shared" si="135"/>
        <v>1</v>
      </c>
      <c r="H720" s="206"/>
      <c r="I720" s="215"/>
      <c r="K720" s="12"/>
      <c r="L720" s="12"/>
      <c r="M720" s="215"/>
      <c r="N720" s="12"/>
      <c r="O720" s="219"/>
      <c r="P720" s="219"/>
      <c r="Q720" s="219"/>
      <c r="R720" s="219"/>
      <c r="T720" s="215"/>
      <c r="U720" s="12"/>
      <c r="V720" s="12"/>
      <c r="W720" s="12"/>
      <c r="X720" s="12"/>
      <c r="Z720" s="245"/>
      <c r="AA720" s="118"/>
      <c r="AB720" s="12"/>
      <c r="AC720" s="13"/>
    </row>
    <row r="721" spans="2:29" x14ac:dyDescent="0.2">
      <c r="B721" s="9" t="str">
        <f t="shared" si="133"/>
        <v>12 2026</v>
      </c>
      <c r="C721" s="88">
        <f t="shared" si="134"/>
        <v>46370</v>
      </c>
      <c r="D721" s="88">
        <f t="shared" si="136"/>
        <v>46371</v>
      </c>
      <c r="E721" s="89">
        <f t="shared" si="135"/>
        <v>1</v>
      </c>
      <c r="H721" s="206"/>
      <c r="I721" s="215"/>
      <c r="K721" s="12"/>
      <c r="L721" s="12"/>
      <c r="M721" s="215"/>
      <c r="N721" s="12"/>
      <c r="O721" s="219"/>
      <c r="P721" s="219"/>
      <c r="Q721" s="219"/>
      <c r="R721" s="219"/>
      <c r="T721" s="215"/>
      <c r="U721" s="12"/>
      <c r="V721" s="12"/>
      <c r="W721" s="12"/>
      <c r="X721" s="12"/>
      <c r="Z721" s="245"/>
      <c r="AA721" s="118"/>
      <c r="AB721" s="12"/>
      <c r="AC721" s="13"/>
    </row>
    <row r="722" spans="2:29" x14ac:dyDescent="0.2">
      <c r="B722" s="9" t="str">
        <f t="shared" si="133"/>
        <v>12 2026</v>
      </c>
      <c r="C722" s="88">
        <f t="shared" si="134"/>
        <v>46371</v>
      </c>
      <c r="D722" s="88">
        <f t="shared" si="136"/>
        <v>46372</v>
      </c>
      <c r="E722" s="89">
        <f t="shared" si="135"/>
        <v>1</v>
      </c>
      <c r="H722" s="206"/>
      <c r="I722" s="215"/>
      <c r="K722" s="12"/>
      <c r="L722" s="12"/>
      <c r="M722" s="215"/>
      <c r="N722" s="12"/>
      <c r="O722" s="219"/>
      <c r="P722" s="219"/>
      <c r="Q722" s="219"/>
      <c r="R722" s="219"/>
      <c r="T722" s="215"/>
      <c r="U722" s="12"/>
      <c r="V722" s="12"/>
      <c r="W722" s="12"/>
      <c r="X722" s="12"/>
      <c r="Z722" s="245"/>
      <c r="AA722" s="118"/>
      <c r="AB722" s="12"/>
      <c r="AC722" s="13"/>
    </row>
    <row r="723" spans="2:29" x14ac:dyDescent="0.2">
      <c r="B723" s="9" t="str">
        <f t="shared" si="133"/>
        <v>12 2026</v>
      </c>
      <c r="C723" s="88">
        <f t="shared" si="134"/>
        <v>46372</v>
      </c>
      <c r="D723" s="88">
        <f t="shared" si="136"/>
        <v>46373</v>
      </c>
      <c r="E723" s="89">
        <f t="shared" si="135"/>
        <v>1</v>
      </c>
      <c r="H723" s="206"/>
      <c r="I723" s="215"/>
      <c r="K723" s="12"/>
      <c r="L723" s="12"/>
      <c r="M723" s="215"/>
      <c r="N723" s="12"/>
      <c r="O723" s="219"/>
      <c r="P723" s="219"/>
      <c r="Q723" s="219"/>
      <c r="R723" s="219"/>
      <c r="T723" s="215"/>
      <c r="U723" s="12"/>
      <c r="V723" s="12"/>
      <c r="W723" s="12"/>
      <c r="X723" s="12"/>
      <c r="Z723" s="245"/>
      <c r="AA723" s="118"/>
      <c r="AB723" s="12"/>
      <c r="AC723" s="13"/>
    </row>
    <row r="724" spans="2:29" x14ac:dyDescent="0.2">
      <c r="B724" s="9" t="str">
        <f t="shared" si="133"/>
        <v>12 2026</v>
      </c>
      <c r="C724" s="88">
        <f t="shared" si="134"/>
        <v>46373</v>
      </c>
      <c r="D724" s="88">
        <f t="shared" si="136"/>
        <v>46374</v>
      </c>
      <c r="E724" s="89">
        <f t="shared" si="135"/>
        <v>1</v>
      </c>
      <c r="H724" s="206"/>
      <c r="I724" s="215"/>
      <c r="K724" s="12"/>
      <c r="L724" s="12"/>
      <c r="M724" s="215"/>
      <c r="N724" s="12"/>
      <c r="O724" s="219"/>
      <c r="P724" s="219"/>
      <c r="Q724" s="219"/>
      <c r="R724" s="219"/>
      <c r="T724" s="215"/>
      <c r="U724" s="12"/>
      <c r="V724" s="12"/>
      <c r="W724" s="12"/>
      <c r="X724" s="12"/>
      <c r="Z724" s="245"/>
      <c r="AA724" s="118"/>
      <c r="AB724" s="12"/>
      <c r="AC724" s="13"/>
    </row>
    <row r="725" spans="2:29" x14ac:dyDescent="0.2">
      <c r="B725" s="9" t="str">
        <f t="shared" ref="B725:B737" si="137">CONCATENATE(MONTH(D725)," ",YEAR(D725))</f>
        <v>12 2026</v>
      </c>
      <c r="C725" s="88">
        <f t="shared" ref="C725:C737" si="138">D724</f>
        <v>46374</v>
      </c>
      <c r="D725" s="88">
        <f t="shared" si="136"/>
        <v>46375</v>
      </c>
      <c r="E725" s="89">
        <f t="shared" ref="E725:E737" si="139">D725-C725</f>
        <v>1</v>
      </c>
      <c r="H725" s="206"/>
      <c r="I725" s="215"/>
      <c r="K725" s="12"/>
      <c r="L725" s="12"/>
      <c r="M725" s="215"/>
      <c r="N725" s="12"/>
      <c r="O725" s="219"/>
      <c r="P725" s="219"/>
      <c r="Q725" s="219"/>
      <c r="R725" s="219"/>
      <c r="T725" s="215"/>
      <c r="U725" s="12"/>
      <c r="V725" s="12"/>
      <c r="W725" s="12"/>
      <c r="X725" s="12"/>
      <c r="Z725" s="245"/>
      <c r="AA725" s="118"/>
      <c r="AB725" s="12"/>
      <c r="AC725" s="13"/>
    </row>
    <row r="726" spans="2:29" x14ac:dyDescent="0.2">
      <c r="B726" s="9" t="str">
        <f t="shared" si="137"/>
        <v>12 2026</v>
      </c>
      <c r="C726" s="88">
        <f t="shared" si="138"/>
        <v>46375</v>
      </c>
      <c r="D726" s="88">
        <f t="shared" si="136"/>
        <v>46376</v>
      </c>
      <c r="E726" s="89">
        <f t="shared" si="139"/>
        <v>1</v>
      </c>
      <c r="H726" s="206"/>
      <c r="I726" s="215"/>
      <c r="K726" s="12"/>
      <c r="L726" s="12"/>
      <c r="M726" s="215"/>
      <c r="N726" s="12"/>
      <c r="O726" s="219"/>
      <c r="P726" s="219"/>
      <c r="Q726" s="219"/>
      <c r="R726" s="219"/>
      <c r="T726" s="215"/>
      <c r="U726" s="12"/>
      <c r="V726" s="12"/>
      <c r="W726" s="12"/>
      <c r="X726" s="12"/>
      <c r="Z726" s="245"/>
      <c r="AA726" s="118"/>
      <c r="AB726" s="12"/>
      <c r="AC726" s="13"/>
    </row>
    <row r="727" spans="2:29" x14ac:dyDescent="0.2">
      <c r="B727" s="9" t="str">
        <f t="shared" si="137"/>
        <v>12 2026</v>
      </c>
      <c r="C727" s="88">
        <f t="shared" si="138"/>
        <v>46376</v>
      </c>
      <c r="D727" s="88">
        <f t="shared" si="136"/>
        <v>46377</v>
      </c>
      <c r="E727" s="89">
        <f t="shared" si="139"/>
        <v>1</v>
      </c>
      <c r="H727" s="206"/>
      <c r="I727" s="215"/>
      <c r="K727" s="12"/>
      <c r="L727" s="12"/>
      <c r="M727" s="215"/>
      <c r="N727" s="12"/>
      <c r="O727" s="219"/>
      <c r="P727" s="219"/>
      <c r="Q727" s="219"/>
      <c r="R727" s="219"/>
      <c r="T727" s="215"/>
      <c r="U727" s="12"/>
      <c r="V727" s="12"/>
      <c r="W727" s="12"/>
      <c r="X727" s="12"/>
      <c r="Z727" s="245"/>
      <c r="AA727" s="118"/>
      <c r="AB727" s="12"/>
      <c r="AC727" s="13"/>
    </row>
    <row r="728" spans="2:29" x14ac:dyDescent="0.2">
      <c r="B728" s="9" t="str">
        <f t="shared" si="137"/>
        <v>12 2026</v>
      </c>
      <c r="C728" s="88">
        <f t="shared" si="138"/>
        <v>46377</v>
      </c>
      <c r="D728" s="88">
        <f t="shared" si="136"/>
        <v>46378</v>
      </c>
      <c r="E728" s="89">
        <f t="shared" si="139"/>
        <v>1</v>
      </c>
      <c r="H728" s="206"/>
      <c r="I728" s="215"/>
      <c r="K728" s="12"/>
      <c r="L728" s="12"/>
      <c r="M728" s="215"/>
      <c r="N728" s="12"/>
      <c r="O728" s="219"/>
      <c r="P728" s="219"/>
      <c r="Q728" s="219"/>
      <c r="R728" s="219"/>
      <c r="T728" s="215"/>
      <c r="U728" s="12"/>
      <c r="V728" s="12"/>
      <c r="W728" s="12"/>
      <c r="X728" s="12"/>
      <c r="Z728" s="245"/>
      <c r="AA728" s="118"/>
      <c r="AB728" s="12"/>
      <c r="AC728" s="13"/>
    </row>
    <row r="729" spans="2:29" x14ac:dyDescent="0.2">
      <c r="B729" s="9" t="str">
        <f t="shared" si="137"/>
        <v>12 2026</v>
      </c>
      <c r="C729" s="88">
        <f t="shared" si="138"/>
        <v>46378</v>
      </c>
      <c r="D729" s="88">
        <f t="shared" si="136"/>
        <v>46379</v>
      </c>
      <c r="E729" s="89">
        <f t="shared" si="139"/>
        <v>1</v>
      </c>
      <c r="H729" s="206"/>
      <c r="I729" s="215"/>
      <c r="K729" s="12"/>
      <c r="L729" s="12"/>
      <c r="M729" s="215"/>
      <c r="N729" s="12"/>
      <c r="O729" s="219"/>
      <c r="P729" s="219"/>
      <c r="Q729" s="219"/>
      <c r="R729" s="219"/>
      <c r="T729" s="215"/>
      <c r="U729" s="12"/>
      <c r="V729" s="12"/>
      <c r="W729" s="12"/>
      <c r="X729" s="12"/>
      <c r="Z729" s="245"/>
      <c r="AA729" s="118"/>
      <c r="AB729" s="12"/>
      <c r="AC729" s="13"/>
    </row>
    <row r="730" spans="2:29" x14ac:dyDescent="0.2">
      <c r="B730" s="9" t="str">
        <f t="shared" si="137"/>
        <v>12 2026</v>
      </c>
      <c r="C730" s="88">
        <f t="shared" si="138"/>
        <v>46379</v>
      </c>
      <c r="D730" s="88">
        <f t="shared" si="136"/>
        <v>46380</v>
      </c>
      <c r="E730" s="89">
        <f t="shared" si="139"/>
        <v>1</v>
      </c>
      <c r="H730" s="206"/>
      <c r="I730" s="215"/>
      <c r="K730" s="12"/>
      <c r="L730" s="12"/>
      <c r="M730" s="215"/>
      <c r="N730" s="12"/>
      <c r="O730" s="219"/>
      <c r="P730" s="219"/>
      <c r="Q730" s="219"/>
      <c r="R730" s="219"/>
      <c r="T730" s="215"/>
      <c r="U730" s="12"/>
      <c r="V730" s="12"/>
      <c r="W730" s="12"/>
      <c r="X730" s="12"/>
      <c r="Z730" s="245"/>
      <c r="AA730" s="118"/>
      <c r="AB730" s="12"/>
      <c r="AC730" s="13"/>
    </row>
    <row r="731" spans="2:29" x14ac:dyDescent="0.2">
      <c r="B731" s="9" t="str">
        <f t="shared" si="137"/>
        <v>12 2026</v>
      </c>
      <c r="C731" s="88">
        <f t="shared" si="138"/>
        <v>46380</v>
      </c>
      <c r="D731" s="88">
        <f t="shared" si="136"/>
        <v>46381</v>
      </c>
      <c r="E731" s="89">
        <f t="shared" si="139"/>
        <v>1</v>
      </c>
      <c r="H731" s="206"/>
      <c r="I731" s="215"/>
      <c r="K731" s="12"/>
      <c r="L731" s="12"/>
      <c r="M731" s="215"/>
      <c r="N731" s="12"/>
      <c r="O731" s="219"/>
      <c r="P731" s="219"/>
      <c r="Q731" s="219"/>
      <c r="R731" s="219"/>
      <c r="T731" s="215"/>
      <c r="U731" s="12"/>
      <c r="V731" s="12"/>
      <c r="W731" s="12"/>
      <c r="X731" s="12"/>
      <c r="Z731" s="245"/>
      <c r="AA731" s="118"/>
      <c r="AB731" s="12"/>
      <c r="AC731" s="13"/>
    </row>
    <row r="732" spans="2:29" x14ac:dyDescent="0.2">
      <c r="B732" s="9" t="str">
        <f t="shared" si="137"/>
        <v>12 2026</v>
      </c>
      <c r="C732" s="88">
        <f t="shared" si="138"/>
        <v>46381</v>
      </c>
      <c r="D732" s="88">
        <f t="shared" si="136"/>
        <v>46382</v>
      </c>
      <c r="E732" s="89">
        <f t="shared" si="139"/>
        <v>1</v>
      </c>
      <c r="H732" s="206"/>
      <c r="I732" s="215"/>
      <c r="K732" s="12"/>
      <c r="L732" s="12"/>
      <c r="M732" s="215"/>
      <c r="N732" s="12"/>
      <c r="O732" s="219"/>
      <c r="P732" s="219"/>
      <c r="Q732" s="219"/>
      <c r="R732" s="219"/>
      <c r="T732" s="215"/>
      <c r="U732" s="12"/>
      <c r="V732" s="12"/>
      <c r="W732" s="12"/>
      <c r="X732" s="12"/>
      <c r="Z732" s="245"/>
      <c r="AA732" s="118"/>
      <c r="AB732" s="12"/>
      <c r="AC732" s="13"/>
    </row>
    <row r="733" spans="2:29" x14ac:dyDescent="0.2">
      <c r="B733" s="9" t="str">
        <f t="shared" si="137"/>
        <v>12 2026</v>
      </c>
      <c r="C733" s="88">
        <f t="shared" si="138"/>
        <v>46382</v>
      </c>
      <c r="D733" s="88">
        <f t="shared" si="136"/>
        <v>46383</v>
      </c>
      <c r="E733" s="89">
        <f t="shared" si="139"/>
        <v>1</v>
      </c>
      <c r="H733" s="206"/>
      <c r="I733" s="215"/>
      <c r="K733" s="12"/>
      <c r="L733" s="12"/>
      <c r="M733" s="215"/>
      <c r="N733" s="12"/>
      <c r="O733" s="219"/>
      <c r="P733" s="219"/>
      <c r="Q733" s="219"/>
      <c r="R733" s="219"/>
      <c r="T733" s="215"/>
      <c r="U733" s="12"/>
      <c r="V733" s="12"/>
      <c r="W733" s="12"/>
      <c r="X733" s="12"/>
      <c r="Z733" s="245"/>
      <c r="AA733" s="118"/>
      <c r="AB733" s="12"/>
      <c r="AC733" s="13"/>
    </row>
    <row r="734" spans="2:29" x14ac:dyDescent="0.2">
      <c r="B734" s="9" t="str">
        <f t="shared" si="137"/>
        <v>12 2026</v>
      </c>
      <c r="C734" s="88">
        <f t="shared" si="138"/>
        <v>46383</v>
      </c>
      <c r="D734" s="88">
        <f t="shared" si="136"/>
        <v>46384</v>
      </c>
      <c r="E734" s="89">
        <f t="shared" si="139"/>
        <v>1</v>
      </c>
      <c r="H734" s="206"/>
      <c r="I734" s="215"/>
      <c r="K734" s="12"/>
      <c r="L734" s="12"/>
      <c r="M734" s="215"/>
      <c r="N734" s="12"/>
      <c r="O734" s="219"/>
      <c r="P734" s="219"/>
      <c r="Q734" s="219"/>
      <c r="R734" s="219"/>
      <c r="T734" s="215"/>
      <c r="U734" s="12"/>
      <c r="V734" s="12"/>
      <c r="W734" s="12"/>
      <c r="X734" s="12"/>
      <c r="Z734" s="245"/>
      <c r="AA734" s="118"/>
      <c r="AB734" s="12"/>
      <c r="AC734" s="13"/>
    </row>
    <row r="735" spans="2:29" x14ac:dyDescent="0.2">
      <c r="B735" s="9" t="str">
        <f t="shared" si="137"/>
        <v>12 2026</v>
      </c>
      <c r="C735" s="88">
        <f t="shared" si="138"/>
        <v>46384</v>
      </c>
      <c r="D735" s="88">
        <f t="shared" si="136"/>
        <v>46385</v>
      </c>
      <c r="E735" s="89">
        <f t="shared" si="139"/>
        <v>1</v>
      </c>
      <c r="H735" s="206"/>
      <c r="I735" s="215"/>
      <c r="K735" s="12"/>
      <c r="L735" s="12"/>
      <c r="M735" s="215"/>
      <c r="N735" s="12"/>
      <c r="O735" s="219"/>
      <c r="P735" s="219"/>
      <c r="Q735" s="219"/>
      <c r="R735" s="219"/>
      <c r="T735" s="215"/>
      <c r="U735" s="12"/>
      <c r="V735" s="12"/>
      <c r="W735" s="12"/>
      <c r="X735" s="12"/>
      <c r="Z735" s="245"/>
      <c r="AA735" s="118"/>
      <c r="AB735" s="12"/>
      <c r="AC735" s="13"/>
    </row>
    <row r="736" spans="2:29" x14ac:dyDescent="0.2">
      <c r="B736" s="9" t="str">
        <f t="shared" si="137"/>
        <v>12 2026</v>
      </c>
      <c r="C736" s="88">
        <f t="shared" si="138"/>
        <v>46385</v>
      </c>
      <c r="D736" s="88">
        <f t="shared" si="136"/>
        <v>46386</v>
      </c>
      <c r="E736" s="89">
        <f t="shared" si="139"/>
        <v>1</v>
      </c>
      <c r="H736" s="206"/>
      <c r="I736" s="215"/>
      <c r="K736" s="12"/>
      <c r="L736" s="12"/>
      <c r="M736" s="215"/>
      <c r="N736" s="12"/>
      <c r="O736" s="219"/>
      <c r="P736" s="219"/>
      <c r="Q736" s="219"/>
      <c r="R736" s="219"/>
      <c r="T736" s="215"/>
      <c r="U736" s="12"/>
      <c r="V736" s="12"/>
      <c r="W736" s="12"/>
      <c r="X736" s="12"/>
      <c r="Z736" s="245"/>
      <c r="AA736" s="118"/>
      <c r="AB736" s="12"/>
      <c r="AC736" s="13"/>
    </row>
    <row r="737" spans="2:32" x14ac:dyDescent="0.2">
      <c r="B737" s="9" t="str">
        <f t="shared" si="137"/>
        <v>12 2026</v>
      </c>
      <c r="C737" s="88">
        <f t="shared" si="138"/>
        <v>46386</v>
      </c>
      <c r="D737" s="88">
        <f t="shared" si="136"/>
        <v>46387</v>
      </c>
      <c r="E737" s="89">
        <f t="shared" si="139"/>
        <v>1</v>
      </c>
      <c r="H737" s="206"/>
      <c r="I737" s="215"/>
      <c r="K737" s="12"/>
      <c r="L737" s="12"/>
      <c r="M737" s="215"/>
      <c r="N737" s="12"/>
      <c r="O737" s="219"/>
      <c r="P737" s="219"/>
      <c r="Q737" s="219"/>
      <c r="R737" s="219"/>
      <c r="T737" s="215"/>
      <c r="U737" s="12"/>
      <c r="V737" s="12"/>
      <c r="W737" s="12"/>
      <c r="X737" s="12"/>
      <c r="Z737" s="245"/>
      <c r="AA737" s="118"/>
      <c r="AB737" s="12"/>
      <c r="AC737" s="13"/>
    </row>
    <row r="738" spans="2:32" x14ac:dyDescent="0.2">
      <c r="AC738" s="99"/>
      <c r="AD738" s="99"/>
      <c r="AE738" s="99"/>
      <c r="AF738" s="99"/>
    </row>
    <row r="739" spans="2:32" x14ac:dyDescent="0.2">
      <c r="AC739" s="99"/>
      <c r="AD739" s="99"/>
      <c r="AE739" s="99"/>
      <c r="AF739" s="99"/>
    </row>
    <row r="740" spans="2:32" x14ac:dyDescent="0.2">
      <c r="AC740" s="99"/>
      <c r="AD740" s="99"/>
      <c r="AE740" s="99"/>
      <c r="AF740" s="99"/>
    </row>
    <row r="741" spans="2:32" x14ac:dyDescent="0.2">
      <c r="AC741" s="99"/>
      <c r="AD741" s="99"/>
      <c r="AE741" s="99"/>
      <c r="AF741" s="99"/>
    </row>
    <row r="1048228" spans="28:28" x14ac:dyDescent="0.2">
      <c r="AB1048228" s="118"/>
    </row>
  </sheetData>
  <dataConsolidate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4F25-D601-4B99-ACD0-C53C0BC7B073}">
  <sheetPr>
    <tabColor theme="4" tint="0.39997558519241921"/>
  </sheetPr>
  <dimension ref="A2:AL810"/>
  <sheetViews>
    <sheetView tabSelected="1" topLeftCell="A6" zoomScale="90" zoomScaleNormal="90" workbookViewId="0">
      <pane xSplit="2" ySplit="1" topLeftCell="C739" activePane="bottomRight" state="frozen"/>
      <selection activeCell="M12" sqref="M12"/>
      <selection pane="topRight" activeCell="M12" sqref="M12"/>
      <selection pane="bottomLeft" activeCell="M12" sqref="M12"/>
      <selection pane="bottomRight" activeCell="H768" sqref="H768"/>
    </sheetView>
  </sheetViews>
  <sheetFormatPr baseColWidth="10" defaultColWidth="10.85546875" defaultRowHeight="15" outlineLevelRow="1" x14ac:dyDescent="0.25"/>
  <cols>
    <col min="1" max="1" width="21.5703125" style="45" customWidth="1"/>
    <col min="2" max="2" width="14.140625" style="44" bestFit="1" customWidth="1"/>
    <col min="3" max="4" width="17.5703125" style="45" bestFit="1" customWidth="1"/>
    <col min="5" max="5" width="21" style="45" customWidth="1"/>
    <col min="6" max="6" width="15" style="45" customWidth="1"/>
    <col min="7" max="15" width="18.5703125" style="45" customWidth="1"/>
    <col min="16" max="18" width="18.5703125" style="45" hidden="1" customWidth="1"/>
    <col min="19" max="19" width="14.140625" style="74" customWidth="1"/>
    <col min="20" max="20" width="19.42578125" style="57" customWidth="1"/>
    <col min="21" max="21" width="18.140625" style="57" bestFit="1" customWidth="1"/>
    <col min="22" max="22" width="21.140625" style="57" customWidth="1"/>
    <col min="23" max="23" width="15" style="57" customWidth="1"/>
    <col min="24" max="24" width="18.140625" style="57" customWidth="1"/>
    <col min="25" max="25" width="18.5703125" style="57" customWidth="1"/>
    <col min="26" max="26" width="19.85546875" style="57" bestFit="1" customWidth="1"/>
    <col min="27" max="27" width="19.85546875" style="57" customWidth="1"/>
    <col min="28" max="30" width="18.5703125" style="57" customWidth="1"/>
    <col min="31" max="34" width="19.85546875" style="57" customWidth="1"/>
    <col min="35" max="35" width="12.85546875" style="45" bestFit="1" customWidth="1"/>
    <col min="36" max="38" width="18.5703125" style="57" bestFit="1" customWidth="1"/>
    <col min="39" max="16384" width="10.85546875" style="45"/>
  </cols>
  <sheetData>
    <row r="2" spans="2:38" x14ac:dyDescent="0.25">
      <c r="T2" s="57">
        <f>U52-X43</f>
        <v>-10100000</v>
      </c>
    </row>
    <row r="4" spans="2:38" ht="15.75" thickBot="1" x14ac:dyDescent="0.3"/>
    <row r="5" spans="2:38" ht="21" x14ac:dyDescent="0.35">
      <c r="B5" s="46"/>
      <c r="C5" s="708" t="s">
        <v>19</v>
      </c>
      <c r="D5" s="709"/>
      <c r="E5" s="709"/>
      <c r="F5" s="709"/>
      <c r="G5" s="709"/>
      <c r="H5" s="710"/>
      <c r="I5" s="94"/>
      <c r="J5" s="94"/>
      <c r="K5" s="94"/>
      <c r="L5" s="94"/>
      <c r="M5" s="94"/>
      <c r="N5" s="94"/>
      <c r="O5" s="94"/>
      <c r="P5" s="94"/>
      <c r="Q5" s="94"/>
      <c r="R5" s="94"/>
      <c r="S5" s="75"/>
      <c r="T5" s="711" t="s">
        <v>20</v>
      </c>
      <c r="U5" s="712"/>
      <c r="V5" s="712"/>
      <c r="W5" s="712"/>
      <c r="X5" s="712"/>
      <c r="Y5" s="713"/>
      <c r="Z5" s="168"/>
      <c r="AA5" s="168"/>
      <c r="AB5" s="168"/>
      <c r="AC5" s="168"/>
      <c r="AD5" s="168"/>
      <c r="AE5" s="168"/>
      <c r="AF5" s="168"/>
      <c r="AG5" s="168"/>
      <c r="AH5" s="168"/>
      <c r="AJ5" s="168"/>
      <c r="AK5" s="168"/>
      <c r="AL5" s="168"/>
    </row>
    <row r="6" spans="2:38" ht="30" x14ac:dyDescent="0.25">
      <c r="B6" s="36" t="s">
        <v>14</v>
      </c>
      <c r="C6" s="37" t="s">
        <v>16</v>
      </c>
      <c r="D6" s="38" t="s">
        <v>15</v>
      </c>
      <c r="E6" s="47" t="s">
        <v>46</v>
      </c>
      <c r="F6" s="47" t="s">
        <v>22</v>
      </c>
      <c r="G6" s="38" t="s">
        <v>17</v>
      </c>
      <c r="H6" s="48" t="s">
        <v>18</v>
      </c>
      <c r="I6" s="95" t="s">
        <v>117</v>
      </c>
      <c r="J6" s="95" t="s">
        <v>130</v>
      </c>
      <c r="K6" s="95" t="s">
        <v>131</v>
      </c>
      <c r="L6" s="95" t="s">
        <v>132</v>
      </c>
      <c r="M6" s="95" t="s">
        <v>183</v>
      </c>
      <c r="N6" s="410" t="s">
        <v>154</v>
      </c>
      <c r="O6" s="410" t="s">
        <v>107</v>
      </c>
      <c r="P6" s="95" t="s">
        <v>33</v>
      </c>
      <c r="Q6" s="95" t="s">
        <v>40</v>
      </c>
      <c r="R6" s="95" t="s">
        <v>51</v>
      </c>
      <c r="S6" s="76" t="s">
        <v>14</v>
      </c>
      <c r="T6" s="58" t="s">
        <v>16</v>
      </c>
      <c r="U6" s="59" t="s">
        <v>15</v>
      </c>
      <c r="V6" s="60" t="s">
        <v>46</v>
      </c>
      <c r="W6" s="60" t="s">
        <v>22</v>
      </c>
      <c r="X6" s="59" t="s">
        <v>17</v>
      </c>
      <c r="Y6" s="61" t="s">
        <v>18</v>
      </c>
      <c r="Z6" s="61" t="s">
        <v>129</v>
      </c>
      <c r="AA6" s="61" t="s">
        <v>184</v>
      </c>
      <c r="AB6" s="61" t="s">
        <v>120</v>
      </c>
      <c r="AC6" s="61" t="s">
        <v>121</v>
      </c>
      <c r="AD6" s="61" t="s">
        <v>123</v>
      </c>
      <c r="AE6" s="415" t="s">
        <v>185</v>
      </c>
      <c r="AF6" s="415" t="s">
        <v>212</v>
      </c>
      <c r="AG6" s="415" t="s">
        <v>209</v>
      </c>
      <c r="AH6" s="415" t="s">
        <v>211</v>
      </c>
      <c r="AJ6" s="61" t="s">
        <v>101</v>
      </c>
      <c r="AK6" s="61" t="s">
        <v>122</v>
      </c>
      <c r="AL6" s="61" t="s">
        <v>124</v>
      </c>
    </row>
    <row r="7" spans="2:38" outlineLevel="1" x14ac:dyDescent="0.25">
      <c r="B7" s="36">
        <v>45253</v>
      </c>
      <c r="C7" s="37">
        <v>0</v>
      </c>
      <c r="D7" s="38">
        <v>119506.65</v>
      </c>
      <c r="E7" s="53"/>
      <c r="F7" s="38"/>
      <c r="G7" s="38"/>
      <c r="H7" s="48"/>
      <c r="I7" s="95"/>
      <c r="J7" s="95"/>
      <c r="K7" s="95"/>
      <c r="L7" s="95"/>
      <c r="M7" s="95"/>
      <c r="N7" s="95"/>
      <c r="O7" s="95"/>
      <c r="P7" s="95"/>
      <c r="Q7" s="95"/>
      <c r="R7" s="95"/>
      <c r="S7" s="76">
        <v>45253</v>
      </c>
      <c r="T7" s="62"/>
      <c r="U7" s="63"/>
      <c r="V7" s="63"/>
      <c r="W7" s="63"/>
      <c r="X7" s="63"/>
      <c r="Y7" s="64"/>
      <c r="Z7" s="64"/>
      <c r="AA7" s="64"/>
      <c r="AB7" s="64"/>
      <c r="AC7" s="302"/>
      <c r="AD7" s="302"/>
      <c r="AE7" s="64"/>
      <c r="AF7" s="64"/>
      <c r="AG7" s="64"/>
      <c r="AH7" s="64"/>
      <c r="AJ7" s="64"/>
      <c r="AK7" s="64"/>
      <c r="AL7" s="64"/>
    </row>
    <row r="8" spans="2:38" ht="14.45" customHeight="1" outlineLevel="1" x14ac:dyDescent="0.25">
      <c r="B8" s="36">
        <v>45254</v>
      </c>
      <c r="C8" s="37">
        <v>-2712000</v>
      </c>
      <c r="D8" s="37">
        <f>D7+C8</f>
        <v>-2592493.35</v>
      </c>
      <c r="E8" s="34">
        <v>2700000</v>
      </c>
      <c r="F8" s="49"/>
      <c r="G8" s="38">
        <f>E8+D8</f>
        <v>107506.64999999991</v>
      </c>
      <c r="H8" s="48"/>
      <c r="I8" s="95"/>
      <c r="J8" s="95"/>
      <c r="K8" s="95"/>
      <c r="L8" s="95"/>
      <c r="M8" s="95"/>
      <c r="N8" s="95"/>
      <c r="O8" s="95"/>
      <c r="P8" s="95"/>
      <c r="Q8" s="95"/>
      <c r="R8" s="95"/>
      <c r="S8" s="76">
        <v>45254</v>
      </c>
      <c r="T8" s="62"/>
      <c r="U8" s="63"/>
      <c r="V8" s="63"/>
      <c r="W8" s="63"/>
      <c r="X8" s="63"/>
      <c r="Y8" s="64"/>
      <c r="Z8" s="64"/>
      <c r="AA8" s="64"/>
      <c r="AB8" s="64"/>
      <c r="AC8" s="302"/>
      <c r="AD8" s="302"/>
      <c r="AE8" s="64"/>
      <c r="AF8" s="64"/>
      <c r="AG8" s="64"/>
      <c r="AH8" s="64"/>
      <c r="AJ8" s="64"/>
      <c r="AK8" s="64"/>
      <c r="AL8" s="64"/>
    </row>
    <row r="9" spans="2:38" ht="14.45" customHeight="1" outlineLevel="1" x14ac:dyDescent="0.25">
      <c r="B9" s="36">
        <v>45257</v>
      </c>
      <c r="C9" s="37">
        <f>-228200-696819.04</f>
        <v>-925019.04</v>
      </c>
      <c r="D9" s="37">
        <v>296577</v>
      </c>
      <c r="E9" s="34">
        <v>1000000</v>
      </c>
      <c r="F9" s="49"/>
      <c r="G9" s="38">
        <f>E9+D9</f>
        <v>1296577</v>
      </c>
      <c r="H9" s="48"/>
      <c r="I9" s="95"/>
      <c r="J9" s="95"/>
      <c r="K9" s="95"/>
      <c r="L9" s="95"/>
      <c r="M9" s="95"/>
      <c r="N9" s="95"/>
      <c r="O9" s="95"/>
      <c r="P9" s="95"/>
      <c r="Q9" s="95"/>
      <c r="R9" s="95"/>
      <c r="S9" s="76">
        <v>45257</v>
      </c>
      <c r="T9" s="62"/>
      <c r="U9" s="63"/>
      <c r="V9" s="63"/>
      <c r="W9" s="63"/>
      <c r="X9" s="63"/>
      <c r="Y9" s="64"/>
      <c r="Z9" s="64"/>
      <c r="AA9" s="64"/>
      <c r="AB9" s="64"/>
      <c r="AC9" s="302"/>
      <c r="AD9" s="302"/>
      <c r="AE9" s="64"/>
      <c r="AF9" s="64"/>
      <c r="AG9" s="64"/>
      <c r="AH9" s="64"/>
      <c r="AJ9" s="64"/>
      <c r="AK9" s="64"/>
      <c r="AL9" s="64"/>
    </row>
    <row r="10" spans="2:38" ht="14.45" customHeight="1" outlineLevel="1" x14ac:dyDescent="0.25">
      <c r="B10" s="36">
        <v>45258</v>
      </c>
      <c r="C10" s="37">
        <v>-1486780.11</v>
      </c>
      <c r="D10" s="38">
        <f t="shared" ref="D10:D24" si="0">C10+G9</f>
        <v>-190203.1100000001</v>
      </c>
      <c r="E10" s="34">
        <v>1500000</v>
      </c>
      <c r="F10" s="49"/>
      <c r="G10" s="38">
        <f t="shared" ref="G10:G24" si="1">E10+D10</f>
        <v>1309796.8899999999</v>
      </c>
      <c r="H10" s="48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76">
        <v>45258</v>
      </c>
      <c r="T10" s="62"/>
      <c r="U10" s="63"/>
      <c r="V10" s="63"/>
      <c r="W10" s="63"/>
      <c r="X10" s="63"/>
      <c r="Y10" s="64"/>
      <c r="Z10" s="64"/>
      <c r="AA10" s="64"/>
      <c r="AB10" s="64"/>
      <c r="AC10" s="302"/>
      <c r="AD10" s="302"/>
      <c r="AE10" s="64"/>
      <c r="AF10" s="64"/>
      <c r="AG10" s="64"/>
      <c r="AH10" s="64"/>
      <c r="AJ10" s="64"/>
      <c r="AK10" s="64"/>
      <c r="AL10" s="64"/>
    </row>
    <row r="11" spans="2:38" ht="14.45" customHeight="1" outlineLevel="1" x14ac:dyDescent="0.25">
      <c r="B11" s="36"/>
      <c r="C11" s="37"/>
      <c r="D11" s="38">
        <f>C11+G10</f>
        <v>1309796.8899999999</v>
      </c>
      <c r="E11" s="34"/>
      <c r="F11" s="49"/>
      <c r="G11" s="38">
        <f t="shared" si="1"/>
        <v>1309796.8899999999</v>
      </c>
      <c r="H11" s="48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76"/>
      <c r="T11" s="62"/>
      <c r="U11" s="63"/>
      <c r="V11" s="63"/>
      <c r="W11" s="63"/>
      <c r="X11" s="63"/>
      <c r="Y11" s="64"/>
      <c r="Z11" s="64"/>
      <c r="AA11" s="64"/>
      <c r="AB11" s="64"/>
      <c r="AC11" s="302"/>
      <c r="AD11" s="302"/>
      <c r="AE11" s="64"/>
      <c r="AF11" s="64"/>
      <c r="AG11" s="64"/>
      <c r="AH11" s="64"/>
      <c r="AJ11" s="64"/>
      <c r="AK11" s="64"/>
      <c r="AL11" s="64"/>
    </row>
    <row r="12" spans="2:38" ht="14.45" customHeight="1" outlineLevel="1" x14ac:dyDescent="0.25">
      <c r="B12" s="36">
        <v>45260</v>
      </c>
      <c r="C12" s="37">
        <f>-1347260.4*2</f>
        <v>-2694520.8</v>
      </c>
      <c r="D12" s="38">
        <f>C12+H11</f>
        <v>-2694520.8</v>
      </c>
      <c r="E12" s="34"/>
      <c r="F12" s="49"/>
      <c r="G12" s="38">
        <f>E12+D12</f>
        <v>-2694520.8</v>
      </c>
      <c r="H12" s="48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76">
        <v>45260</v>
      </c>
      <c r="T12" s="62"/>
      <c r="U12" s="63"/>
      <c r="V12" s="63"/>
      <c r="W12" s="63"/>
      <c r="X12" s="63"/>
      <c r="Y12" s="64"/>
      <c r="Z12" s="64"/>
      <c r="AA12" s="64"/>
      <c r="AB12" s="64"/>
      <c r="AC12" s="302"/>
      <c r="AD12" s="302"/>
      <c r="AE12" s="64"/>
      <c r="AF12" s="64"/>
      <c r="AG12" s="64"/>
      <c r="AH12" s="64"/>
      <c r="AJ12" s="64"/>
      <c r="AK12" s="64"/>
      <c r="AL12" s="64"/>
    </row>
    <row r="13" spans="2:38" ht="14.45" customHeight="1" outlineLevel="1" x14ac:dyDescent="0.25">
      <c r="B13" s="36">
        <v>45260</v>
      </c>
      <c r="C13" s="37">
        <v>20000000</v>
      </c>
      <c r="D13" s="38">
        <f t="shared" si="0"/>
        <v>17305479.199999999</v>
      </c>
      <c r="E13" s="34">
        <v>-17400000</v>
      </c>
      <c r="F13" s="49"/>
      <c r="G13" s="38">
        <v>46722.9</v>
      </c>
      <c r="H13" s="48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76">
        <v>45260</v>
      </c>
      <c r="T13" s="62"/>
      <c r="U13" s="63"/>
      <c r="V13" s="63"/>
      <c r="W13" s="63"/>
      <c r="X13" s="63"/>
      <c r="Y13" s="64"/>
      <c r="Z13" s="64"/>
      <c r="AA13" s="64"/>
      <c r="AB13" s="64"/>
      <c r="AC13" s="302"/>
      <c r="AD13" s="302"/>
      <c r="AE13" s="64"/>
      <c r="AF13" s="64"/>
      <c r="AG13" s="64"/>
      <c r="AH13" s="64"/>
      <c r="AJ13" s="64"/>
      <c r="AK13" s="64"/>
      <c r="AL13" s="64"/>
    </row>
    <row r="14" spans="2:38" ht="14.45" customHeight="1" outlineLevel="1" x14ac:dyDescent="0.25">
      <c r="B14" s="36">
        <v>45273</v>
      </c>
      <c r="C14" s="37"/>
      <c r="D14" s="38">
        <f t="shared" si="0"/>
        <v>46722.9</v>
      </c>
      <c r="E14" s="34"/>
      <c r="F14" s="49"/>
      <c r="G14" s="38">
        <v>50019.8</v>
      </c>
      <c r="H14" s="48">
        <v>206500000</v>
      </c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76">
        <v>45273</v>
      </c>
      <c r="T14" s="62"/>
      <c r="U14" s="63"/>
      <c r="V14" s="63"/>
      <c r="W14" s="63"/>
      <c r="X14" s="63"/>
      <c r="Y14" s="64"/>
      <c r="Z14" s="64"/>
      <c r="AA14" s="64"/>
      <c r="AB14" s="64"/>
      <c r="AC14" s="302"/>
      <c r="AD14" s="302"/>
      <c r="AE14" s="64"/>
      <c r="AF14" s="64"/>
      <c r="AG14" s="64"/>
      <c r="AH14" s="64"/>
      <c r="AJ14" s="64"/>
      <c r="AK14" s="64"/>
      <c r="AL14" s="64"/>
    </row>
    <row r="15" spans="2:38" ht="14.45" customHeight="1" outlineLevel="1" x14ac:dyDescent="0.25">
      <c r="B15" s="36">
        <v>45275</v>
      </c>
      <c r="C15" s="37">
        <v>-3792616.8</v>
      </c>
      <c r="D15" s="38">
        <f t="shared" si="0"/>
        <v>-3742597</v>
      </c>
      <c r="E15" s="34">
        <v>3800000</v>
      </c>
      <c r="F15" s="49"/>
      <c r="G15" s="38">
        <f t="shared" si="1"/>
        <v>57403</v>
      </c>
      <c r="H15" s="48">
        <f>H14-E15</f>
        <v>202700000</v>
      </c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76">
        <v>45275</v>
      </c>
      <c r="T15" s="62"/>
      <c r="U15" s="63"/>
      <c r="V15" s="63"/>
      <c r="W15" s="63"/>
      <c r="X15" s="63"/>
      <c r="Y15" s="64"/>
      <c r="Z15" s="64"/>
      <c r="AA15" s="64"/>
      <c r="AB15" s="64"/>
      <c r="AC15" s="302"/>
      <c r="AD15" s="302"/>
      <c r="AE15" s="64"/>
      <c r="AF15" s="64"/>
      <c r="AG15" s="64"/>
      <c r="AH15" s="64"/>
      <c r="AJ15" s="64"/>
      <c r="AK15" s="64"/>
      <c r="AL15" s="64"/>
    </row>
    <row r="16" spans="2:38" ht="14.45" customHeight="1" outlineLevel="1" x14ac:dyDescent="0.25">
      <c r="B16" s="36">
        <v>45278</v>
      </c>
      <c r="C16" s="37"/>
      <c r="D16" s="38"/>
      <c r="E16" s="34"/>
      <c r="F16" s="49"/>
      <c r="G16" s="38">
        <v>-118513.69</v>
      </c>
      <c r="H16" s="48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76">
        <v>45278</v>
      </c>
      <c r="T16" s="62"/>
      <c r="U16" s="63"/>
      <c r="V16" s="63"/>
      <c r="W16" s="63"/>
      <c r="X16" s="63"/>
      <c r="Y16" s="64"/>
      <c r="Z16" s="64"/>
      <c r="AA16" s="64"/>
      <c r="AB16" s="64"/>
      <c r="AC16" s="302"/>
      <c r="AD16" s="302"/>
      <c r="AE16" s="64"/>
      <c r="AF16" s="64"/>
      <c r="AG16" s="64"/>
      <c r="AH16" s="64"/>
      <c r="AJ16" s="64"/>
      <c r="AK16" s="64"/>
      <c r="AL16" s="64"/>
    </row>
    <row r="17" spans="1:38" ht="14.45" customHeight="1" outlineLevel="1" x14ac:dyDescent="0.25">
      <c r="B17" s="36">
        <v>45278</v>
      </c>
      <c r="C17" s="37"/>
      <c r="D17" s="38">
        <f>C17+G16</f>
        <v>-118513.69</v>
      </c>
      <c r="E17" s="34">
        <v>200000</v>
      </c>
      <c r="F17" s="49"/>
      <c r="G17" s="38">
        <f>E17+D17</f>
        <v>81486.31</v>
      </c>
      <c r="H17" s="48">
        <f>H15-E17</f>
        <v>202500000</v>
      </c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76">
        <v>45278</v>
      </c>
      <c r="T17" s="62"/>
      <c r="U17" s="63"/>
      <c r="V17" s="63"/>
      <c r="W17" s="63"/>
      <c r="X17" s="63"/>
      <c r="Y17" s="64"/>
      <c r="Z17" s="64"/>
      <c r="AA17" s="64"/>
      <c r="AB17" s="64"/>
      <c r="AC17" s="302"/>
      <c r="AD17" s="302"/>
      <c r="AE17" s="64"/>
      <c r="AF17" s="64"/>
      <c r="AG17" s="64"/>
      <c r="AH17" s="64"/>
      <c r="AJ17" s="64"/>
      <c r="AK17" s="64"/>
      <c r="AL17" s="64"/>
    </row>
    <row r="18" spans="1:38" outlineLevel="1" x14ac:dyDescent="0.25">
      <c r="B18" s="36">
        <v>45280</v>
      </c>
      <c r="C18" s="37">
        <v>-1407206.89</v>
      </c>
      <c r="D18" s="38">
        <f>C18+G15</f>
        <v>-1349803.89</v>
      </c>
      <c r="E18" s="34">
        <v>1500000</v>
      </c>
      <c r="F18" s="49"/>
      <c r="G18" s="38">
        <f t="shared" si="1"/>
        <v>150196.1100000001</v>
      </c>
      <c r="H18" s="48">
        <f>H17-E18</f>
        <v>201000000</v>
      </c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76">
        <v>45280</v>
      </c>
      <c r="T18" s="62"/>
      <c r="U18" s="63"/>
      <c r="V18" s="63"/>
      <c r="W18" s="63"/>
      <c r="X18" s="63"/>
      <c r="Y18" s="64"/>
      <c r="Z18" s="64"/>
      <c r="AA18" s="64"/>
      <c r="AB18" s="64"/>
      <c r="AC18" s="302"/>
      <c r="AD18" s="302"/>
      <c r="AE18" s="64"/>
      <c r="AF18" s="64"/>
      <c r="AG18" s="64"/>
      <c r="AH18" s="64"/>
      <c r="AJ18" s="64"/>
      <c r="AK18" s="64"/>
      <c r="AL18" s="64"/>
    </row>
    <row r="19" spans="1:38" ht="14.45" customHeight="1" outlineLevel="1" x14ac:dyDescent="0.25">
      <c r="A19" s="45">
        <f>C19+C18</f>
        <v>-2857548.78</v>
      </c>
      <c r="B19" s="36">
        <v>45281</v>
      </c>
      <c r="C19" s="37">
        <v>-1450341.89</v>
      </c>
      <c r="D19" s="38">
        <f t="shared" si="0"/>
        <v>-1300145.7799999998</v>
      </c>
      <c r="E19" s="34">
        <v>1500000</v>
      </c>
      <c r="F19" s="49"/>
      <c r="G19" s="38">
        <f t="shared" si="1"/>
        <v>199854.2200000002</v>
      </c>
      <c r="H19" s="48">
        <f t="shared" ref="H19:H31" si="2">H18-E19</f>
        <v>199500000</v>
      </c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76">
        <v>45281</v>
      </c>
      <c r="T19" s="62"/>
      <c r="U19" s="63"/>
      <c r="V19" s="63"/>
      <c r="W19" s="63"/>
      <c r="X19" s="63"/>
      <c r="Y19" s="64"/>
      <c r="Z19" s="64"/>
      <c r="AA19" s="64"/>
      <c r="AB19" s="64"/>
      <c r="AC19" s="302"/>
      <c r="AD19" s="302"/>
      <c r="AE19" s="64"/>
      <c r="AF19" s="64"/>
      <c r="AG19" s="64"/>
      <c r="AH19" s="64"/>
      <c r="AJ19" s="64"/>
      <c r="AK19" s="64"/>
      <c r="AL19" s="64"/>
    </row>
    <row r="20" spans="1:38" ht="14.45" customHeight="1" outlineLevel="1" x14ac:dyDescent="0.25">
      <c r="A20" s="45">
        <v>2892489.98</v>
      </c>
      <c r="B20" s="36">
        <v>45282</v>
      </c>
      <c r="C20" s="37">
        <f>-735428.49-718896.78</f>
        <v>-1454325.27</v>
      </c>
      <c r="D20" s="38">
        <f t="shared" si="0"/>
        <v>-1254471.0499999998</v>
      </c>
      <c r="E20" s="34">
        <v>1300000</v>
      </c>
      <c r="F20" s="49"/>
      <c r="G20" s="38">
        <f t="shared" si="1"/>
        <v>45528.950000000186</v>
      </c>
      <c r="H20" s="48">
        <f t="shared" si="2"/>
        <v>198200000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76">
        <v>45282</v>
      </c>
      <c r="T20" s="62"/>
      <c r="U20" s="63"/>
      <c r="V20" s="63"/>
      <c r="W20" s="63"/>
      <c r="X20" s="63"/>
      <c r="Y20" s="64"/>
      <c r="Z20" s="64"/>
      <c r="AA20" s="64"/>
      <c r="AB20" s="64"/>
      <c r="AC20" s="302"/>
      <c r="AD20" s="302"/>
      <c r="AE20" s="64"/>
      <c r="AF20" s="64"/>
      <c r="AG20" s="64"/>
      <c r="AH20" s="64"/>
      <c r="AJ20" s="64"/>
      <c r="AK20" s="64"/>
      <c r="AL20" s="64"/>
    </row>
    <row r="21" spans="1:38" ht="14.45" customHeight="1" outlineLevel="1" x14ac:dyDescent="0.25">
      <c r="A21" s="45">
        <f>SUM(A19:A20)</f>
        <v>34941.200000000186</v>
      </c>
      <c r="B21" s="36">
        <v>45286</v>
      </c>
      <c r="C21" s="37">
        <f>-4898998.8-1367589.14</f>
        <v>-6266587.9399999995</v>
      </c>
      <c r="D21" s="38">
        <f t="shared" si="0"/>
        <v>-6221058.9899999993</v>
      </c>
      <c r="E21" s="34">
        <v>6300000</v>
      </c>
      <c r="F21" s="49"/>
      <c r="G21" s="38">
        <f t="shared" si="1"/>
        <v>78941.010000000708</v>
      </c>
      <c r="H21" s="48">
        <f t="shared" si="2"/>
        <v>191900000</v>
      </c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76">
        <v>45286</v>
      </c>
      <c r="T21" s="62"/>
      <c r="U21" s="63"/>
      <c r="V21" s="63"/>
      <c r="W21" s="63"/>
      <c r="X21" s="63"/>
      <c r="Y21" s="64"/>
      <c r="Z21" s="64"/>
      <c r="AA21" s="64"/>
      <c r="AB21" s="64"/>
      <c r="AC21" s="302"/>
      <c r="AD21" s="302"/>
      <c r="AE21" s="64"/>
      <c r="AF21" s="64"/>
      <c r="AG21" s="64"/>
      <c r="AH21" s="64"/>
      <c r="AJ21" s="64"/>
      <c r="AK21" s="64"/>
      <c r="AL21" s="64"/>
    </row>
    <row r="22" spans="1:38" ht="14.45" customHeight="1" outlineLevel="1" x14ac:dyDescent="0.25">
      <c r="B22" s="36">
        <v>45300</v>
      </c>
      <c r="C22" s="37"/>
      <c r="D22" s="38"/>
      <c r="E22" s="34"/>
      <c r="F22" s="49"/>
      <c r="G22" s="38">
        <v>296577.03999999998</v>
      </c>
      <c r="H22" s="48">
        <v>190800000</v>
      </c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76">
        <v>45300</v>
      </c>
      <c r="T22" s="62"/>
      <c r="U22" s="63"/>
      <c r="V22" s="63"/>
      <c r="W22" s="63"/>
      <c r="X22" s="63"/>
      <c r="Y22" s="64"/>
      <c r="Z22" s="64"/>
      <c r="AA22" s="64"/>
      <c r="AB22" s="64"/>
      <c r="AC22" s="302"/>
      <c r="AD22" s="302"/>
      <c r="AE22" s="64"/>
      <c r="AF22" s="64"/>
      <c r="AG22" s="64"/>
      <c r="AH22" s="64"/>
      <c r="AJ22" s="64"/>
      <c r="AK22" s="64"/>
      <c r="AL22" s="64"/>
    </row>
    <row r="23" spans="1:38" outlineLevel="1" x14ac:dyDescent="0.25">
      <c r="B23" s="36">
        <v>45301</v>
      </c>
      <c r="C23" s="37">
        <v>-1050266</v>
      </c>
      <c r="D23" s="38">
        <f t="shared" si="0"/>
        <v>-753688.96</v>
      </c>
      <c r="E23" s="34">
        <v>800000</v>
      </c>
      <c r="F23" s="49"/>
      <c r="G23" s="38">
        <f t="shared" si="1"/>
        <v>46311.040000000037</v>
      </c>
      <c r="H23" s="48">
        <f t="shared" si="2"/>
        <v>190000000</v>
      </c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76">
        <v>45301</v>
      </c>
      <c r="T23" s="62"/>
      <c r="U23" s="63"/>
      <c r="V23" s="63"/>
      <c r="W23" s="63"/>
      <c r="X23" s="63"/>
      <c r="Y23" s="64"/>
      <c r="Z23" s="64"/>
      <c r="AA23" s="64"/>
      <c r="AB23" s="64"/>
      <c r="AC23" s="302"/>
      <c r="AD23" s="302"/>
      <c r="AE23" s="64"/>
      <c r="AF23" s="64"/>
      <c r="AG23" s="64"/>
      <c r="AH23" s="64"/>
      <c r="AJ23" s="64"/>
      <c r="AK23" s="64"/>
      <c r="AL23" s="64"/>
    </row>
    <row r="24" spans="1:38" outlineLevel="1" x14ac:dyDescent="0.25">
      <c r="B24" s="36">
        <v>45302</v>
      </c>
      <c r="C24" s="37">
        <f>-701747-11898</f>
        <v>-713645</v>
      </c>
      <c r="D24" s="38">
        <f t="shared" si="0"/>
        <v>-667333.96</v>
      </c>
      <c r="E24" s="34">
        <v>800000</v>
      </c>
      <c r="F24" s="49"/>
      <c r="G24" s="38">
        <f t="shared" si="1"/>
        <v>132666.04000000004</v>
      </c>
      <c r="H24" s="48">
        <f t="shared" si="2"/>
        <v>189200000</v>
      </c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76">
        <v>45302</v>
      </c>
      <c r="T24" s="62"/>
      <c r="U24" s="63"/>
      <c r="V24" s="63"/>
      <c r="W24" s="63"/>
      <c r="X24" s="63"/>
      <c r="Y24" s="64"/>
      <c r="Z24" s="64"/>
      <c r="AA24" s="64"/>
      <c r="AB24" s="64"/>
      <c r="AC24" s="302"/>
      <c r="AD24" s="302"/>
      <c r="AE24" s="64"/>
      <c r="AF24" s="64"/>
      <c r="AG24" s="64"/>
      <c r="AH24" s="64"/>
      <c r="AJ24" s="64"/>
      <c r="AK24" s="64"/>
      <c r="AL24" s="64"/>
    </row>
    <row r="25" spans="1:38" outlineLevel="1" x14ac:dyDescent="0.25">
      <c r="B25" s="36">
        <v>45306</v>
      </c>
      <c r="C25" s="37"/>
      <c r="D25" s="38"/>
      <c r="E25" s="34"/>
      <c r="F25" s="49"/>
      <c r="G25" s="38">
        <v>95797.85</v>
      </c>
      <c r="H25" s="48">
        <f t="shared" si="2"/>
        <v>189200000</v>
      </c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76">
        <v>45306</v>
      </c>
      <c r="T25" s="62"/>
      <c r="U25" s="63"/>
      <c r="V25" s="63"/>
      <c r="W25" s="63"/>
      <c r="X25" s="63"/>
      <c r="Y25" s="64"/>
      <c r="Z25" s="64"/>
      <c r="AA25" s="64"/>
      <c r="AB25" s="64"/>
      <c r="AC25" s="302"/>
      <c r="AD25" s="302"/>
      <c r="AE25" s="64"/>
      <c r="AF25" s="64"/>
      <c r="AG25" s="64"/>
      <c r="AH25" s="64"/>
      <c r="AJ25" s="64"/>
      <c r="AK25" s="64"/>
      <c r="AL25" s="64"/>
    </row>
    <row r="26" spans="1:38" outlineLevel="1" x14ac:dyDescent="0.25">
      <c r="B26" s="36">
        <v>45307</v>
      </c>
      <c r="C26" s="37">
        <f>D26-G25</f>
        <v>-300000</v>
      </c>
      <c r="D26" s="38">
        <v>-204202.15</v>
      </c>
      <c r="E26" s="34">
        <v>300000</v>
      </c>
      <c r="F26" s="49"/>
      <c r="G26" s="38">
        <v>95797.85</v>
      </c>
      <c r="H26" s="48">
        <f t="shared" si="2"/>
        <v>188900000</v>
      </c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76">
        <v>45307</v>
      </c>
      <c r="T26" s="62"/>
      <c r="U26" s="63"/>
      <c r="V26" s="63"/>
      <c r="W26" s="63"/>
      <c r="X26" s="63"/>
      <c r="Y26" s="64"/>
      <c r="Z26" s="64"/>
      <c r="AA26" s="64"/>
      <c r="AB26" s="64"/>
      <c r="AC26" s="302"/>
      <c r="AD26" s="302"/>
      <c r="AE26" s="64"/>
      <c r="AF26" s="64"/>
      <c r="AG26" s="64"/>
      <c r="AH26" s="64"/>
      <c r="AJ26" s="64"/>
      <c r="AK26" s="64"/>
      <c r="AL26" s="64"/>
    </row>
    <row r="27" spans="1:38" outlineLevel="1" x14ac:dyDescent="0.25">
      <c r="B27" s="36">
        <v>45308</v>
      </c>
      <c r="C27" s="37">
        <v>0</v>
      </c>
      <c r="D27" s="38">
        <f>C27+G24</f>
        <v>132666.04000000004</v>
      </c>
      <c r="E27" s="34"/>
      <c r="F27" s="49"/>
      <c r="G27" s="38">
        <v>95797.85</v>
      </c>
      <c r="H27" s="48">
        <f t="shared" si="2"/>
        <v>188900000</v>
      </c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76">
        <v>45308</v>
      </c>
      <c r="T27" s="62"/>
      <c r="U27" s="63">
        <f>T27+X24</f>
        <v>0</v>
      </c>
      <c r="V27" s="65"/>
      <c r="W27" s="65"/>
      <c r="X27" s="63">
        <v>441011.92</v>
      </c>
      <c r="Y27" s="64">
        <v>44600000</v>
      </c>
      <c r="Z27" s="64"/>
      <c r="AA27" s="64"/>
      <c r="AB27" s="64"/>
      <c r="AC27" s="302"/>
      <c r="AD27" s="302"/>
      <c r="AE27" s="64"/>
      <c r="AF27" s="64"/>
      <c r="AG27" s="64"/>
      <c r="AH27" s="64"/>
      <c r="AJ27" s="64"/>
      <c r="AK27" s="64"/>
      <c r="AL27" s="64"/>
    </row>
    <row r="28" spans="1:38" ht="15.75" outlineLevel="1" thickBot="1" x14ac:dyDescent="0.3">
      <c r="B28" s="39">
        <v>45309</v>
      </c>
      <c r="C28" s="40">
        <v>-3075813.84</v>
      </c>
      <c r="D28" s="41">
        <f>C28+G27</f>
        <v>-2980015.9899999998</v>
      </c>
      <c r="E28" s="35">
        <v>3100000</v>
      </c>
      <c r="F28" s="50"/>
      <c r="G28" s="41">
        <f>E28+D28</f>
        <v>119984.01000000024</v>
      </c>
      <c r="H28" s="51">
        <f t="shared" si="2"/>
        <v>185800000</v>
      </c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77">
        <v>45309</v>
      </c>
      <c r="T28" s="66">
        <v>-588673.18000000005</v>
      </c>
      <c r="U28" s="67">
        <f t="shared" ref="U28:U35" si="3">T28+X27</f>
        <v>-147661.26000000007</v>
      </c>
      <c r="V28" s="68">
        <v>200000</v>
      </c>
      <c r="W28" s="69"/>
      <c r="X28" s="63">
        <f t="shared" ref="X28:X91" si="4">V28+U28</f>
        <v>52338.739999999932</v>
      </c>
      <c r="Y28" s="70">
        <f t="shared" ref="Y28:Y35" si="5">Y27-V28</f>
        <v>44400000</v>
      </c>
      <c r="Z28" s="70"/>
      <c r="AA28" s="70"/>
      <c r="AB28" s="70"/>
      <c r="AC28" s="302"/>
      <c r="AD28" s="302"/>
      <c r="AE28" s="70"/>
      <c r="AF28" s="70"/>
      <c r="AG28" s="70"/>
      <c r="AH28" s="70"/>
      <c r="AJ28" s="70"/>
      <c r="AK28" s="70"/>
      <c r="AL28" s="70"/>
    </row>
    <row r="29" spans="1:38" ht="15.75" outlineLevel="1" thickBot="1" x14ac:dyDescent="0.3">
      <c r="B29" s="42">
        <v>45310</v>
      </c>
      <c r="C29" s="38"/>
      <c r="D29" s="38">
        <f>C29+G28</f>
        <v>119984.01000000024</v>
      </c>
      <c r="E29" s="53"/>
      <c r="F29" s="38"/>
      <c r="G29" s="38"/>
      <c r="H29" s="38">
        <f t="shared" si="2"/>
        <v>185800000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78">
        <v>45310</v>
      </c>
      <c r="T29" s="66"/>
      <c r="U29" s="67">
        <f t="shared" si="3"/>
        <v>52338.739999999932</v>
      </c>
      <c r="V29" s="68"/>
      <c r="W29" s="69"/>
      <c r="X29" s="63">
        <f t="shared" si="4"/>
        <v>52338.739999999932</v>
      </c>
      <c r="Y29" s="70">
        <f t="shared" si="5"/>
        <v>44400000</v>
      </c>
      <c r="Z29" s="70"/>
      <c r="AA29" s="70"/>
      <c r="AB29" s="70"/>
      <c r="AC29" s="302"/>
      <c r="AD29" s="302"/>
      <c r="AE29" s="70"/>
      <c r="AF29" s="70"/>
      <c r="AG29" s="70"/>
      <c r="AH29" s="70"/>
      <c r="AJ29" s="70"/>
      <c r="AK29" s="70"/>
      <c r="AL29" s="70"/>
    </row>
    <row r="30" spans="1:38" ht="15.75" outlineLevel="1" thickBot="1" x14ac:dyDescent="0.3">
      <c r="B30" s="42">
        <v>45311</v>
      </c>
      <c r="C30" s="38"/>
      <c r="D30" s="38">
        <f>C30+G29</f>
        <v>0</v>
      </c>
      <c r="E30" s="53"/>
      <c r="F30" s="38"/>
      <c r="G30" s="38"/>
      <c r="H30" s="38">
        <f t="shared" si="2"/>
        <v>185800000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78">
        <v>45311</v>
      </c>
      <c r="T30" s="66"/>
      <c r="U30" s="67">
        <f t="shared" si="3"/>
        <v>52338.739999999932</v>
      </c>
      <c r="V30" s="68"/>
      <c r="W30" s="69"/>
      <c r="X30" s="63">
        <f t="shared" si="4"/>
        <v>52338.739999999932</v>
      </c>
      <c r="Y30" s="70">
        <f t="shared" si="5"/>
        <v>44400000</v>
      </c>
      <c r="Z30" s="70"/>
      <c r="AA30" s="70"/>
      <c r="AB30" s="70"/>
      <c r="AC30" s="302"/>
      <c r="AD30" s="302"/>
      <c r="AE30" s="70"/>
      <c r="AF30" s="70"/>
      <c r="AG30" s="70"/>
      <c r="AH30" s="70"/>
      <c r="AJ30" s="70"/>
      <c r="AK30" s="70"/>
      <c r="AL30" s="70"/>
    </row>
    <row r="31" spans="1:38" ht="15.75" outlineLevel="1" thickBot="1" x14ac:dyDescent="0.3">
      <c r="B31" s="42">
        <v>45312</v>
      </c>
      <c r="C31" s="38"/>
      <c r="D31" s="38">
        <f>C31+G30</f>
        <v>0</v>
      </c>
      <c r="E31" s="53"/>
      <c r="F31" s="38"/>
      <c r="G31" s="38">
        <v>1228981.53</v>
      </c>
      <c r="H31" s="38">
        <f t="shared" si="2"/>
        <v>185800000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78">
        <v>45312</v>
      </c>
      <c r="T31" s="66"/>
      <c r="U31" s="67">
        <f t="shared" si="3"/>
        <v>52338.739999999932</v>
      </c>
      <c r="V31" s="68"/>
      <c r="W31" s="69"/>
      <c r="X31" s="63">
        <f t="shared" si="4"/>
        <v>52338.739999999932</v>
      </c>
      <c r="Y31" s="70">
        <f t="shared" si="5"/>
        <v>44400000</v>
      </c>
      <c r="Z31" s="70"/>
      <c r="AA31" s="70"/>
      <c r="AB31" s="70"/>
      <c r="AC31" s="302"/>
      <c r="AD31" s="302"/>
      <c r="AE31" s="70"/>
      <c r="AF31" s="70"/>
      <c r="AG31" s="70"/>
      <c r="AH31" s="70"/>
      <c r="AJ31" s="70"/>
      <c r="AK31" s="70"/>
      <c r="AL31" s="70"/>
    </row>
    <row r="32" spans="1:38" ht="15.75" outlineLevel="1" thickBot="1" x14ac:dyDescent="0.3">
      <c r="B32" s="42">
        <v>45313</v>
      </c>
      <c r="C32" s="38">
        <f>-1078382.16-1484348.85</f>
        <v>-2562731.0099999998</v>
      </c>
      <c r="D32" s="38">
        <f>C32+G31</f>
        <v>-1333749.4799999997</v>
      </c>
      <c r="E32" s="34">
        <v>1400000</v>
      </c>
      <c r="F32" s="49"/>
      <c r="G32" s="38">
        <f>E32+D32</f>
        <v>66250.520000000251</v>
      </c>
      <c r="H32" s="38">
        <f>H31-E32</f>
        <v>184400000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78">
        <v>45313</v>
      </c>
      <c r="T32" s="66"/>
      <c r="U32" s="67">
        <f t="shared" si="3"/>
        <v>52338.739999999932</v>
      </c>
      <c r="V32" s="68"/>
      <c r="W32" s="69"/>
      <c r="X32" s="63">
        <f t="shared" si="4"/>
        <v>52338.739999999932</v>
      </c>
      <c r="Y32" s="70">
        <f t="shared" si="5"/>
        <v>44400000</v>
      </c>
      <c r="Z32" s="70"/>
      <c r="AA32" s="70"/>
      <c r="AB32" s="70"/>
      <c r="AC32" s="302"/>
      <c r="AD32" s="302"/>
      <c r="AE32" s="70"/>
      <c r="AF32" s="70"/>
      <c r="AG32" s="70"/>
      <c r="AH32" s="70"/>
      <c r="AJ32" s="70"/>
      <c r="AK32" s="70"/>
      <c r="AL32" s="70"/>
    </row>
    <row r="33" spans="1:38" ht="15.75" outlineLevel="1" thickBot="1" x14ac:dyDescent="0.3">
      <c r="B33" s="42">
        <v>45345</v>
      </c>
      <c r="C33" s="38"/>
      <c r="D33" s="38">
        <f>C33+G32+401311.72</f>
        <v>467562.24000000022</v>
      </c>
      <c r="E33" s="53"/>
      <c r="F33" s="38"/>
      <c r="G33" s="38">
        <f>E33+D33</f>
        <v>467562.24000000022</v>
      </c>
      <c r="H33" s="38">
        <v>183000000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78">
        <v>45345</v>
      </c>
      <c r="T33" s="66"/>
      <c r="U33" s="67">
        <f t="shared" si="3"/>
        <v>52338.739999999932</v>
      </c>
      <c r="V33" s="68"/>
      <c r="W33" s="69"/>
      <c r="X33" s="63">
        <f t="shared" si="4"/>
        <v>52338.739999999932</v>
      </c>
      <c r="Y33" s="70">
        <f t="shared" si="5"/>
        <v>44400000</v>
      </c>
      <c r="Z33" s="70"/>
      <c r="AA33" s="70"/>
      <c r="AB33" s="70"/>
      <c r="AC33" s="302"/>
      <c r="AD33" s="302"/>
      <c r="AE33" s="70"/>
      <c r="AF33" s="70"/>
      <c r="AG33" s="70"/>
      <c r="AH33" s="70"/>
      <c r="AJ33" s="70"/>
      <c r="AK33" s="70"/>
      <c r="AL33" s="70"/>
    </row>
    <row r="34" spans="1:38" ht="15.75" outlineLevel="1" thickBot="1" x14ac:dyDescent="0.3">
      <c r="B34" s="42">
        <v>45348</v>
      </c>
      <c r="C34" s="38">
        <v>-2679687.5</v>
      </c>
      <c r="D34" s="38">
        <f>C34+G33</f>
        <v>-2212125.2599999998</v>
      </c>
      <c r="E34" s="34">
        <v>2400000</v>
      </c>
      <c r="F34" s="49"/>
      <c r="G34" s="38">
        <f>E34+D34</f>
        <v>187874.74000000022</v>
      </c>
      <c r="H34" s="38">
        <f>H33-E34</f>
        <v>180600000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78">
        <v>45348</v>
      </c>
      <c r="T34" s="66"/>
      <c r="U34" s="67">
        <f t="shared" si="3"/>
        <v>52338.739999999932</v>
      </c>
      <c r="V34" s="68"/>
      <c r="W34" s="69"/>
      <c r="X34" s="63">
        <f t="shared" si="4"/>
        <v>52338.739999999932</v>
      </c>
      <c r="Y34" s="70">
        <f t="shared" si="5"/>
        <v>44400000</v>
      </c>
      <c r="Z34" s="70"/>
      <c r="AA34" s="70"/>
      <c r="AB34" s="70"/>
      <c r="AC34" s="302"/>
      <c r="AD34" s="302"/>
      <c r="AE34" s="70"/>
      <c r="AF34" s="70"/>
      <c r="AG34" s="70"/>
      <c r="AH34" s="70"/>
      <c r="AJ34" s="70"/>
      <c r="AK34" s="70"/>
      <c r="AL34" s="70"/>
    </row>
    <row r="35" spans="1:38" outlineLevel="1" x14ac:dyDescent="0.25">
      <c r="B35" s="43">
        <v>45349</v>
      </c>
      <c r="C35" s="41"/>
      <c r="D35" s="41">
        <f>C35+G34</f>
        <v>187874.74000000022</v>
      </c>
      <c r="E35" s="35">
        <v>900000</v>
      </c>
      <c r="F35" s="50"/>
      <c r="G35" s="41"/>
      <c r="H35" s="41">
        <f>H34-E35</f>
        <v>179700000</v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79">
        <v>45349</v>
      </c>
      <c r="T35" s="71"/>
      <c r="U35" s="72">
        <f t="shared" si="3"/>
        <v>52338.739999999932</v>
      </c>
      <c r="V35" s="69"/>
      <c r="W35" s="69"/>
      <c r="X35" s="72">
        <f t="shared" si="4"/>
        <v>52338.739999999932</v>
      </c>
      <c r="Y35" s="73">
        <f t="shared" si="5"/>
        <v>44400000</v>
      </c>
      <c r="Z35" s="73"/>
      <c r="AA35" s="73"/>
      <c r="AB35" s="73"/>
      <c r="AC35" s="302"/>
      <c r="AD35" s="302"/>
      <c r="AE35" s="73"/>
      <c r="AF35" s="73"/>
      <c r="AG35" s="73"/>
      <c r="AH35" s="73"/>
      <c r="AJ35" s="73"/>
      <c r="AK35" s="73"/>
      <c r="AL35" s="73"/>
    </row>
    <row r="36" spans="1:38" outlineLevel="1" x14ac:dyDescent="0.25">
      <c r="B36" s="42">
        <v>45355</v>
      </c>
      <c r="C36" s="38"/>
      <c r="D36" s="38">
        <f>C36+G35</f>
        <v>0</v>
      </c>
      <c r="E36" s="53"/>
      <c r="F36" s="38"/>
      <c r="G36" s="38">
        <v>147755.82</v>
      </c>
      <c r="H36" s="38">
        <f>H35-E36</f>
        <v>179700000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78">
        <v>45355</v>
      </c>
      <c r="T36" s="63"/>
      <c r="U36" s="63">
        <v>106452.09</v>
      </c>
      <c r="V36" s="65"/>
      <c r="W36" s="65"/>
      <c r="X36" s="63">
        <f t="shared" si="4"/>
        <v>106452.09</v>
      </c>
      <c r="Y36" s="63">
        <v>18400000</v>
      </c>
      <c r="Z36" s="63"/>
      <c r="AA36" s="63"/>
      <c r="AB36" s="63"/>
      <c r="AC36" s="302"/>
      <c r="AD36" s="302"/>
      <c r="AE36" s="63"/>
      <c r="AF36" s="63"/>
      <c r="AG36" s="63"/>
      <c r="AH36" s="63"/>
      <c r="AJ36" s="63"/>
      <c r="AK36" s="63"/>
      <c r="AL36" s="63"/>
    </row>
    <row r="37" spans="1:38" outlineLevel="1" x14ac:dyDescent="0.25">
      <c r="A37" s="52" t="s">
        <v>21</v>
      </c>
      <c r="B37" s="42">
        <v>45356</v>
      </c>
      <c r="C37" s="38">
        <v>-1554623.97</v>
      </c>
      <c r="D37" s="38">
        <f>C37+G36</f>
        <v>-1406868.15</v>
      </c>
      <c r="E37" s="34">
        <v>1500000</v>
      </c>
      <c r="F37" s="49"/>
      <c r="G37" s="38">
        <f>E37+D37</f>
        <v>93131.850000000093</v>
      </c>
      <c r="H37" s="38">
        <f>H36</f>
        <v>179700000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78">
        <v>45356</v>
      </c>
      <c r="T37" s="63">
        <v>-103387.45</v>
      </c>
      <c r="U37" s="63">
        <f t="shared" ref="U37:U68" si="6">T37+X36</f>
        <v>3064.6399999999994</v>
      </c>
      <c r="V37" s="65">
        <v>100000</v>
      </c>
      <c r="W37" s="65"/>
      <c r="X37" s="63">
        <f t="shared" si="4"/>
        <v>103064.64</v>
      </c>
      <c r="Y37" s="63">
        <f t="shared" ref="Y37:Y72" si="7">Y36-V37</f>
        <v>18300000</v>
      </c>
      <c r="Z37" s="63"/>
      <c r="AA37" s="63"/>
      <c r="AB37" s="63"/>
      <c r="AC37" s="302"/>
      <c r="AD37" s="302"/>
      <c r="AE37" s="63"/>
      <c r="AF37" s="63"/>
      <c r="AG37" s="63"/>
      <c r="AH37" s="63"/>
      <c r="AJ37" s="63"/>
      <c r="AK37" s="63"/>
      <c r="AL37" s="63"/>
    </row>
    <row r="38" spans="1:38" outlineLevel="1" x14ac:dyDescent="0.25">
      <c r="B38" s="42">
        <v>45357</v>
      </c>
      <c r="C38" s="38"/>
      <c r="D38" s="38">
        <f>C38+G37</f>
        <v>93131.850000000093</v>
      </c>
      <c r="E38" s="53"/>
      <c r="F38" s="38"/>
      <c r="G38" s="38"/>
      <c r="H38" s="38">
        <v>178700000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78">
        <v>45357</v>
      </c>
      <c r="T38" s="63"/>
      <c r="U38" s="63">
        <f t="shared" si="6"/>
        <v>103064.64</v>
      </c>
      <c r="V38" s="65"/>
      <c r="W38" s="65"/>
      <c r="X38" s="63">
        <f t="shared" si="4"/>
        <v>103064.64</v>
      </c>
      <c r="Y38" s="63">
        <f t="shared" si="7"/>
        <v>18300000</v>
      </c>
      <c r="Z38" s="63"/>
      <c r="AA38" s="63"/>
      <c r="AB38" s="63"/>
      <c r="AC38" s="302"/>
      <c r="AD38" s="302"/>
      <c r="AE38" s="63"/>
      <c r="AF38" s="63"/>
      <c r="AG38" s="63"/>
      <c r="AH38" s="63"/>
      <c r="AJ38" s="63"/>
      <c r="AK38" s="63"/>
      <c r="AL38" s="63"/>
    </row>
    <row r="39" spans="1:38" outlineLevel="1" x14ac:dyDescent="0.25">
      <c r="B39" s="42">
        <v>45358</v>
      </c>
      <c r="C39" s="38"/>
      <c r="D39" s="38"/>
      <c r="E39" s="34"/>
      <c r="F39" s="49"/>
      <c r="G39" s="38">
        <f>E39+D39</f>
        <v>0</v>
      </c>
      <c r="H39" s="38">
        <f>H38</f>
        <v>178700000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78">
        <v>45358</v>
      </c>
      <c r="T39" s="63"/>
      <c r="U39" s="63">
        <f t="shared" si="6"/>
        <v>103064.64</v>
      </c>
      <c r="V39" s="65"/>
      <c r="W39" s="65"/>
      <c r="X39" s="63">
        <f t="shared" si="4"/>
        <v>103064.64</v>
      </c>
      <c r="Y39" s="63">
        <f t="shared" si="7"/>
        <v>18300000</v>
      </c>
      <c r="Z39" s="63"/>
      <c r="AA39" s="63"/>
      <c r="AB39" s="63"/>
      <c r="AC39" s="302"/>
      <c r="AD39" s="302"/>
      <c r="AE39" s="63"/>
      <c r="AF39" s="63"/>
      <c r="AG39" s="63"/>
      <c r="AH39" s="63"/>
      <c r="AJ39" s="63"/>
      <c r="AK39" s="63"/>
      <c r="AL39" s="63"/>
    </row>
    <row r="40" spans="1:38" outlineLevel="1" x14ac:dyDescent="0.25">
      <c r="B40" s="42">
        <v>45359</v>
      </c>
      <c r="C40" s="38"/>
      <c r="D40" s="38"/>
      <c r="E40" s="53"/>
      <c r="F40" s="38"/>
      <c r="G40" s="38"/>
      <c r="H40" s="38">
        <v>178600000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78">
        <v>45359</v>
      </c>
      <c r="T40" s="63"/>
      <c r="U40" s="63">
        <f t="shared" si="6"/>
        <v>103064.64</v>
      </c>
      <c r="V40" s="65"/>
      <c r="W40" s="65"/>
      <c r="X40" s="63">
        <f t="shared" si="4"/>
        <v>103064.64</v>
      </c>
      <c r="Y40" s="63">
        <f t="shared" si="7"/>
        <v>18300000</v>
      </c>
      <c r="Z40" s="63"/>
      <c r="AA40" s="63"/>
      <c r="AB40" s="63"/>
      <c r="AC40" s="302"/>
      <c r="AD40" s="302"/>
      <c r="AE40" s="63"/>
      <c r="AF40" s="63"/>
      <c r="AG40" s="63"/>
      <c r="AH40" s="63"/>
      <c r="AJ40" s="63"/>
      <c r="AK40" s="63"/>
      <c r="AL40" s="63"/>
    </row>
    <row r="41" spans="1:38" outlineLevel="1" x14ac:dyDescent="0.25">
      <c r="B41" s="42">
        <v>45360</v>
      </c>
      <c r="C41" s="38"/>
      <c r="D41" s="38"/>
      <c r="E41" s="34"/>
      <c r="F41" s="49"/>
      <c r="G41" s="38">
        <f>E41+D41</f>
        <v>0</v>
      </c>
      <c r="H41" s="38">
        <f>H40</f>
        <v>178600000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78">
        <v>45360</v>
      </c>
      <c r="T41" s="63"/>
      <c r="U41" s="63">
        <f t="shared" si="6"/>
        <v>103064.64</v>
      </c>
      <c r="V41" s="65"/>
      <c r="W41" s="65"/>
      <c r="X41" s="63">
        <f t="shared" si="4"/>
        <v>103064.64</v>
      </c>
      <c r="Y41" s="63">
        <f t="shared" si="7"/>
        <v>18300000</v>
      </c>
      <c r="Z41" s="63"/>
      <c r="AA41" s="63"/>
      <c r="AB41" s="63"/>
      <c r="AC41" s="302"/>
      <c r="AD41" s="302"/>
      <c r="AE41" s="63"/>
      <c r="AF41" s="63"/>
      <c r="AG41" s="63"/>
      <c r="AH41" s="63"/>
      <c r="AJ41" s="63"/>
      <c r="AK41" s="63"/>
      <c r="AL41" s="63"/>
    </row>
    <row r="42" spans="1:38" outlineLevel="1" x14ac:dyDescent="0.25">
      <c r="B42" s="42">
        <v>45361</v>
      </c>
      <c r="C42" s="38"/>
      <c r="D42" s="38"/>
      <c r="E42" s="53"/>
      <c r="F42" s="38"/>
      <c r="G42" s="38"/>
      <c r="H42" s="38">
        <f>H41</f>
        <v>178600000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78">
        <v>45361</v>
      </c>
      <c r="T42" s="63"/>
      <c r="U42" s="63">
        <f t="shared" si="6"/>
        <v>103064.64</v>
      </c>
      <c r="V42" s="65"/>
      <c r="W42" s="65"/>
      <c r="X42" s="63">
        <f t="shared" si="4"/>
        <v>103064.64</v>
      </c>
      <c r="Y42" s="63">
        <f t="shared" si="7"/>
        <v>18300000</v>
      </c>
      <c r="Z42" s="63"/>
      <c r="AA42" s="63"/>
      <c r="AB42" s="63"/>
      <c r="AC42" s="302"/>
      <c r="AD42" s="302"/>
      <c r="AE42" s="63"/>
      <c r="AF42" s="63"/>
      <c r="AG42" s="63"/>
      <c r="AH42" s="63"/>
      <c r="AJ42" s="63"/>
      <c r="AK42" s="63"/>
      <c r="AL42" s="63"/>
    </row>
    <row r="43" spans="1:38" outlineLevel="1" x14ac:dyDescent="0.25">
      <c r="B43" s="42">
        <v>45362</v>
      </c>
      <c r="C43" s="38"/>
      <c r="D43" s="38"/>
      <c r="E43" s="34"/>
      <c r="F43" s="49"/>
      <c r="G43" s="38">
        <f>E43+D43</f>
        <v>0</v>
      </c>
      <c r="H43" s="38">
        <f>H42</f>
        <v>178600000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78">
        <v>45362</v>
      </c>
      <c r="T43" s="63">
        <v>10107084.119999999</v>
      </c>
      <c r="U43" s="63">
        <f t="shared" si="6"/>
        <v>10210148.76</v>
      </c>
      <c r="V43" s="65"/>
      <c r="W43" s="65"/>
      <c r="X43" s="63">
        <f t="shared" si="4"/>
        <v>10210148.76</v>
      </c>
      <c r="Y43" s="63">
        <f t="shared" si="7"/>
        <v>18300000</v>
      </c>
      <c r="Z43" s="63"/>
      <c r="AA43" s="63"/>
      <c r="AB43" s="63"/>
      <c r="AC43" s="302"/>
      <c r="AD43" s="302"/>
      <c r="AE43" s="63"/>
      <c r="AF43" s="63"/>
      <c r="AG43" s="63"/>
      <c r="AH43" s="63"/>
      <c r="AJ43" s="63"/>
      <c r="AK43" s="63"/>
      <c r="AL43" s="63"/>
    </row>
    <row r="44" spans="1:38" outlineLevel="1" x14ac:dyDescent="0.25">
      <c r="B44" s="42">
        <v>45363</v>
      </c>
      <c r="C44" s="38"/>
      <c r="D44" s="38"/>
      <c r="E44" s="53"/>
      <c r="F44" s="38"/>
      <c r="G44" s="38"/>
      <c r="H44" s="38">
        <f>H43</f>
        <v>178600000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78">
        <v>45363</v>
      </c>
      <c r="T44" s="63"/>
      <c r="U44" s="63">
        <f t="shared" si="6"/>
        <v>10210148.76</v>
      </c>
      <c r="V44" s="65">
        <v>-10100000</v>
      </c>
      <c r="W44" s="65"/>
      <c r="X44" s="63">
        <f t="shared" si="4"/>
        <v>110148.75999999978</v>
      </c>
      <c r="Y44" s="63">
        <f t="shared" si="7"/>
        <v>28400000</v>
      </c>
      <c r="Z44" s="63"/>
      <c r="AA44" s="63"/>
      <c r="AB44" s="63"/>
      <c r="AC44" s="302"/>
      <c r="AD44" s="302"/>
      <c r="AE44" s="63"/>
      <c r="AF44" s="63"/>
      <c r="AG44" s="63"/>
      <c r="AH44" s="63"/>
      <c r="AJ44" s="63"/>
      <c r="AK44" s="63"/>
      <c r="AL44" s="63"/>
    </row>
    <row r="45" spans="1:38" outlineLevel="1" x14ac:dyDescent="0.25">
      <c r="B45" s="42">
        <v>45364</v>
      </c>
      <c r="C45" s="38"/>
      <c r="D45" s="38">
        <v>105526.16</v>
      </c>
      <c r="E45" s="34"/>
      <c r="F45" s="49"/>
      <c r="G45" s="38">
        <f t="shared" ref="G45:G50" si="8">E45+D45</f>
        <v>105526.16</v>
      </c>
      <c r="H45" s="38">
        <f>H44-E45</f>
        <v>178600000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78">
        <v>45364</v>
      </c>
      <c r="T45" s="63"/>
      <c r="U45" s="63">
        <f t="shared" si="6"/>
        <v>110148.75999999978</v>
      </c>
      <c r="V45" s="63"/>
      <c r="W45" s="63"/>
      <c r="X45" s="63">
        <f t="shared" si="4"/>
        <v>110148.75999999978</v>
      </c>
      <c r="Y45" s="63">
        <f t="shared" si="7"/>
        <v>28400000</v>
      </c>
      <c r="Z45" s="63"/>
      <c r="AA45" s="63"/>
      <c r="AB45" s="63"/>
      <c r="AC45" s="302"/>
      <c r="AD45" s="302"/>
      <c r="AE45" s="63"/>
      <c r="AF45" s="63"/>
      <c r="AG45" s="63"/>
      <c r="AH45" s="63"/>
      <c r="AJ45" s="63"/>
      <c r="AK45" s="63"/>
      <c r="AL45" s="63"/>
    </row>
    <row r="46" spans="1:38" outlineLevel="1" x14ac:dyDescent="0.25">
      <c r="B46" s="42">
        <v>45365</v>
      </c>
      <c r="C46" s="38">
        <v>-1041948</v>
      </c>
      <c r="D46" s="38">
        <f>C46+G45</f>
        <v>-936421.84</v>
      </c>
      <c r="E46" s="34">
        <v>1100000</v>
      </c>
      <c r="F46" s="38"/>
      <c r="G46" s="38">
        <f t="shared" si="8"/>
        <v>163578.16000000003</v>
      </c>
      <c r="H46" s="38">
        <f>H45-E46</f>
        <v>177500000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78">
        <v>45365</v>
      </c>
      <c r="T46" s="63"/>
      <c r="U46" s="63">
        <f t="shared" si="6"/>
        <v>110148.75999999978</v>
      </c>
      <c r="V46" s="63"/>
      <c r="W46" s="63"/>
      <c r="X46" s="63">
        <f t="shared" si="4"/>
        <v>110148.75999999978</v>
      </c>
      <c r="Y46" s="63">
        <f t="shared" si="7"/>
        <v>28400000</v>
      </c>
      <c r="Z46" s="63"/>
      <c r="AA46" s="63"/>
      <c r="AB46" s="63"/>
      <c r="AC46" s="302"/>
      <c r="AD46" s="302"/>
      <c r="AE46" s="63"/>
      <c r="AF46" s="63"/>
      <c r="AG46" s="63"/>
      <c r="AH46" s="63"/>
      <c r="AJ46" s="63"/>
      <c r="AK46" s="63"/>
      <c r="AL46" s="63"/>
    </row>
    <row r="47" spans="1:38" outlineLevel="1" x14ac:dyDescent="0.25">
      <c r="B47" s="42">
        <v>45366</v>
      </c>
      <c r="C47" s="38">
        <v>-1329748</v>
      </c>
      <c r="D47" s="38">
        <f>C47+G46</f>
        <v>-1166169.8399999999</v>
      </c>
      <c r="E47" s="34">
        <v>1300000</v>
      </c>
      <c r="F47" s="49"/>
      <c r="G47" s="38">
        <f t="shared" si="8"/>
        <v>133830.16000000015</v>
      </c>
      <c r="H47" s="38">
        <f>H46-E47</f>
        <v>176200000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78">
        <v>45366</v>
      </c>
      <c r="T47" s="63"/>
      <c r="U47" s="63">
        <f t="shared" si="6"/>
        <v>110148.75999999978</v>
      </c>
      <c r="V47" s="63"/>
      <c r="W47" s="63"/>
      <c r="X47" s="63">
        <f t="shared" si="4"/>
        <v>110148.75999999978</v>
      </c>
      <c r="Y47" s="63">
        <f t="shared" si="7"/>
        <v>28400000</v>
      </c>
      <c r="Z47" s="63"/>
      <c r="AA47" s="63"/>
      <c r="AB47" s="63"/>
      <c r="AC47" s="302"/>
      <c r="AD47" s="302"/>
      <c r="AE47" s="63"/>
      <c r="AF47" s="63"/>
      <c r="AG47" s="63"/>
      <c r="AH47" s="63"/>
      <c r="AJ47" s="63"/>
      <c r="AK47" s="63"/>
      <c r="AL47" s="63"/>
    </row>
    <row r="48" spans="1:38" outlineLevel="1" x14ac:dyDescent="0.25">
      <c r="B48" s="42">
        <v>45367</v>
      </c>
      <c r="C48" s="38"/>
      <c r="D48" s="38">
        <f>C48+G47</f>
        <v>133830.16000000015</v>
      </c>
      <c r="E48" s="34"/>
      <c r="F48" s="38"/>
      <c r="G48" s="38">
        <f t="shared" si="8"/>
        <v>133830.16000000015</v>
      </c>
      <c r="H48" s="38">
        <f>H47-E48</f>
        <v>176200000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78">
        <v>45367</v>
      </c>
      <c r="T48" s="63"/>
      <c r="U48" s="63">
        <f t="shared" si="6"/>
        <v>110148.75999999978</v>
      </c>
      <c r="V48" s="63"/>
      <c r="W48" s="63"/>
      <c r="X48" s="63">
        <f t="shared" si="4"/>
        <v>110148.75999999978</v>
      </c>
      <c r="Y48" s="63">
        <f t="shared" si="7"/>
        <v>28400000</v>
      </c>
      <c r="Z48" s="63"/>
      <c r="AA48" s="63"/>
      <c r="AB48" s="63"/>
      <c r="AC48" s="302"/>
      <c r="AD48" s="302"/>
      <c r="AE48" s="63"/>
      <c r="AF48" s="63"/>
      <c r="AG48" s="63"/>
      <c r="AH48" s="63"/>
      <c r="AJ48" s="63"/>
      <c r="AK48" s="63"/>
      <c r="AL48" s="63"/>
    </row>
    <row r="49" spans="2:38" outlineLevel="1" x14ac:dyDescent="0.25">
      <c r="B49" s="42">
        <v>45368</v>
      </c>
      <c r="C49" s="38"/>
      <c r="D49" s="38">
        <f t="shared" ref="D49:D63" si="9">C49+G48</f>
        <v>133830.16000000015</v>
      </c>
      <c r="E49" s="34"/>
      <c r="F49" s="38"/>
      <c r="G49" s="38">
        <f t="shared" si="8"/>
        <v>133830.16000000015</v>
      </c>
      <c r="H49" s="38">
        <f t="shared" ref="H49:H63" si="10">H48-E49</f>
        <v>176200000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78">
        <v>45368</v>
      </c>
      <c r="T49" s="63"/>
      <c r="U49" s="63">
        <f t="shared" si="6"/>
        <v>110148.75999999978</v>
      </c>
      <c r="V49" s="63"/>
      <c r="W49" s="63"/>
      <c r="X49" s="63">
        <f t="shared" si="4"/>
        <v>110148.75999999978</v>
      </c>
      <c r="Y49" s="63">
        <f t="shared" si="7"/>
        <v>28400000</v>
      </c>
      <c r="Z49" s="63"/>
      <c r="AA49" s="63"/>
      <c r="AB49" s="63"/>
      <c r="AC49" s="302"/>
      <c r="AD49" s="302"/>
      <c r="AE49" s="63"/>
      <c r="AF49" s="63"/>
      <c r="AG49" s="63"/>
      <c r="AH49" s="63"/>
      <c r="AJ49" s="63"/>
      <c r="AK49" s="63"/>
      <c r="AL49" s="63"/>
    </row>
    <row r="50" spans="2:38" outlineLevel="1" x14ac:dyDescent="0.25">
      <c r="B50" s="42">
        <v>45369</v>
      </c>
      <c r="C50" s="38">
        <f>D52-E50-G47</f>
        <v>-352492.49000000017</v>
      </c>
      <c r="D50" s="38">
        <f t="shared" si="9"/>
        <v>-218662.33000000002</v>
      </c>
      <c r="E50" s="34">
        <v>200000</v>
      </c>
      <c r="F50" s="38"/>
      <c r="G50" s="38">
        <f t="shared" si="8"/>
        <v>-18662.330000000016</v>
      </c>
      <c r="H50" s="38">
        <f t="shared" si="10"/>
        <v>176000000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78">
        <v>45369</v>
      </c>
      <c r="T50" s="63"/>
      <c r="U50" s="63">
        <f t="shared" si="6"/>
        <v>110148.75999999978</v>
      </c>
      <c r="V50" s="63"/>
      <c r="W50" s="63"/>
      <c r="X50" s="63">
        <f t="shared" si="4"/>
        <v>110148.75999999978</v>
      </c>
      <c r="Y50" s="63">
        <f t="shared" si="7"/>
        <v>28400000</v>
      </c>
      <c r="Z50" s="63"/>
      <c r="AA50" s="63"/>
      <c r="AB50" s="63"/>
      <c r="AC50" s="302"/>
      <c r="AD50" s="302"/>
      <c r="AE50" s="63"/>
      <c r="AF50" s="63"/>
      <c r="AG50" s="63"/>
      <c r="AH50" s="63"/>
      <c r="AJ50" s="63"/>
      <c r="AK50" s="63"/>
      <c r="AL50" s="63"/>
    </row>
    <row r="51" spans="2:38" outlineLevel="1" x14ac:dyDescent="0.25">
      <c r="B51" s="42">
        <v>45370</v>
      </c>
      <c r="C51" s="38"/>
      <c r="D51" s="38">
        <f t="shared" si="9"/>
        <v>-18662.330000000016</v>
      </c>
      <c r="E51" s="34"/>
      <c r="F51" s="38"/>
      <c r="G51" s="38">
        <v>167123.87</v>
      </c>
      <c r="H51" s="38">
        <f t="shared" si="10"/>
        <v>176000000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78">
        <v>45370</v>
      </c>
      <c r="T51" s="63">
        <v>-50000</v>
      </c>
      <c r="U51" s="63">
        <f t="shared" si="6"/>
        <v>60148.759999999776</v>
      </c>
      <c r="V51" s="65">
        <v>50000</v>
      </c>
      <c r="W51" s="65"/>
      <c r="X51" s="63">
        <f t="shared" si="4"/>
        <v>110148.75999999978</v>
      </c>
      <c r="Y51" s="63">
        <f t="shared" si="7"/>
        <v>28350000</v>
      </c>
      <c r="Z51" s="63"/>
      <c r="AA51" s="63"/>
      <c r="AB51" s="63"/>
      <c r="AC51" s="302"/>
      <c r="AD51" s="302"/>
      <c r="AE51" s="63"/>
      <c r="AF51" s="63"/>
      <c r="AG51" s="63"/>
      <c r="AH51" s="63"/>
      <c r="AJ51" s="63"/>
      <c r="AK51" s="63"/>
      <c r="AL51" s="63"/>
    </row>
    <row r="52" spans="2:38" outlineLevel="1" x14ac:dyDescent="0.25">
      <c r="B52" s="42">
        <v>45371</v>
      </c>
      <c r="C52" s="38">
        <v>-185786.2</v>
      </c>
      <c r="D52" s="38">
        <f t="shared" si="9"/>
        <v>-18662.330000000016</v>
      </c>
      <c r="E52" s="34">
        <v>100000</v>
      </c>
      <c r="F52" s="38"/>
      <c r="G52" s="38">
        <f>D52+E52</f>
        <v>81337.669999999984</v>
      </c>
      <c r="H52" s="38">
        <f t="shared" si="10"/>
        <v>175900000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78">
        <v>45371</v>
      </c>
      <c r="T52" s="63"/>
      <c r="U52" s="63">
        <f t="shared" si="6"/>
        <v>110148.75999999978</v>
      </c>
      <c r="V52" s="63"/>
      <c r="W52" s="63"/>
      <c r="X52" s="63">
        <f t="shared" si="4"/>
        <v>110148.75999999978</v>
      </c>
      <c r="Y52" s="63">
        <f t="shared" si="7"/>
        <v>28350000</v>
      </c>
      <c r="Z52" s="63"/>
      <c r="AA52" s="63"/>
      <c r="AB52" s="63"/>
      <c r="AC52" s="302"/>
      <c r="AD52" s="302"/>
      <c r="AE52" s="63"/>
      <c r="AF52" s="63"/>
      <c r="AG52" s="63"/>
      <c r="AH52" s="63"/>
      <c r="AJ52" s="63"/>
      <c r="AK52" s="63"/>
      <c r="AL52" s="63"/>
    </row>
    <row r="53" spans="2:38" outlineLevel="1" x14ac:dyDescent="0.25">
      <c r="B53" s="42">
        <v>45372</v>
      </c>
      <c r="C53" s="38">
        <v>-1684953.86</v>
      </c>
      <c r="D53" s="38">
        <f t="shared" si="9"/>
        <v>-1603616.1900000002</v>
      </c>
      <c r="E53" s="34">
        <v>1700000</v>
      </c>
      <c r="F53" s="49"/>
      <c r="G53" s="38">
        <f>D53+E53</f>
        <v>96383.809999999823</v>
      </c>
      <c r="H53" s="38">
        <f t="shared" si="10"/>
        <v>174200000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78">
        <v>45372</v>
      </c>
      <c r="T53" s="63">
        <v>-248554.38</v>
      </c>
      <c r="U53" s="63">
        <f t="shared" si="6"/>
        <v>-138405.62000000023</v>
      </c>
      <c r="V53" s="65">
        <v>250000</v>
      </c>
      <c r="W53" s="65"/>
      <c r="X53" s="63">
        <f t="shared" si="4"/>
        <v>111594.37999999977</v>
      </c>
      <c r="Y53" s="63">
        <f t="shared" si="7"/>
        <v>28100000</v>
      </c>
      <c r="Z53" s="63"/>
      <c r="AA53" s="63"/>
      <c r="AB53" s="63"/>
      <c r="AC53" s="302"/>
      <c r="AD53" s="302"/>
      <c r="AE53" s="63"/>
      <c r="AF53" s="63"/>
      <c r="AG53" s="63"/>
      <c r="AH53" s="63"/>
      <c r="AJ53" s="63"/>
      <c r="AK53" s="63"/>
      <c r="AL53" s="63"/>
    </row>
    <row r="54" spans="2:38" outlineLevel="1" x14ac:dyDescent="0.25">
      <c r="B54" s="42">
        <v>45373</v>
      </c>
      <c r="C54" s="38"/>
      <c r="D54" s="38">
        <f>C54+G53</f>
        <v>96383.809999999823</v>
      </c>
      <c r="E54" s="34">
        <f>2900000+100000</f>
        <v>3000000</v>
      </c>
      <c r="F54" s="49">
        <v>-12009.72</v>
      </c>
      <c r="G54" s="38">
        <f>D54+E54+F54</f>
        <v>3084374.0899999994</v>
      </c>
      <c r="H54" s="38">
        <f t="shared" si="10"/>
        <v>171200000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78">
        <v>45373</v>
      </c>
      <c r="T54" s="63"/>
      <c r="U54" s="63">
        <f t="shared" si="6"/>
        <v>111594.37999999977</v>
      </c>
      <c r="V54" s="63"/>
      <c r="W54" s="63"/>
      <c r="X54" s="63">
        <f t="shared" si="4"/>
        <v>111594.37999999977</v>
      </c>
      <c r="Y54" s="63">
        <f t="shared" si="7"/>
        <v>28100000</v>
      </c>
      <c r="Z54" s="63"/>
      <c r="AA54" s="63"/>
      <c r="AB54" s="63"/>
      <c r="AC54" s="302"/>
      <c r="AD54" s="302"/>
      <c r="AE54" s="63"/>
      <c r="AF54" s="63"/>
      <c r="AG54" s="63"/>
      <c r="AH54" s="63"/>
      <c r="AJ54" s="63"/>
      <c r="AK54" s="63"/>
      <c r="AL54" s="63"/>
    </row>
    <row r="55" spans="2:38" outlineLevel="1" x14ac:dyDescent="0.25">
      <c r="B55" s="42">
        <v>45374</v>
      </c>
      <c r="C55" s="38"/>
      <c r="D55" s="38">
        <f t="shared" si="9"/>
        <v>3084374.0899999994</v>
      </c>
      <c r="E55" s="38"/>
      <c r="F55" s="38"/>
      <c r="G55" s="38">
        <f t="shared" ref="G55:G63" si="11">D55+E55+F55</f>
        <v>3084374.0899999994</v>
      </c>
      <c r="H55" s="38">
        <f t="shared" si="10"/>
        <v>171200000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78">
        <v>45374</v>
      </c>
      <c r="T55" s="63"/>
      <c r="U55" s="63">
        <f t="shared" si="6"/>
        <v>111594.37999999977</v>
      </c>
      <c r="V55" s="63"/>
      <c r="W55" s="63"/>
      <c r="X55" s="63">
        <f t="shared" si="4"/>
        <v>111594.37999999977</v>
      </c>
      <c r="Y55" s="63">
        <f t="shared" si="7"/>
        <v>28100000</v>
      </c>
      <c r="Z55" s="63"/>
      <c r="AA55" s="63"/>
      <c r="AB55" s="63"/>
      <c r="AC55" s="302"/>
      <c r="AD55" s="302"/>
      <c r="AE55" s="63"/>
      <c r="AF55" s="63"/>
      <c r="AG55" s="63"/>
      <c r="AH55" s="63"/>
      <c r="AJ55" s="63"/>
      <c r="AK55" s="63"/>
      <c r="AL55" s="63"/>
    </row>
    <row r="56" spans="2:38" outlineLevel="1" x14ac:dyDescent="0.25">
      <c r="B56" s="42">
        <v>45375</v>
      </c>
      <c r="C56" s="38"/>
      <c r="D56" s="38">
        <f t="shared" si="9"/>
        <v>3084374.0899999994</v>
      </c>
      <c r="E56" s="38"/>
      <c r="F56" s="38"/>
      <c r="G56" s="38">
        <f t="shared" si="11"/>
        <v>3084374.0899999994</v>
      </c>
      <c r="H56" s="38">
        <f t="shared" si="10"/>
        <v>171200000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78">
        <v>45375</v>
      </c>
      <c r="T56" s="63"/>
      <c r="U56" s="63">
        <f t="shared" si="6"/>
        <v>111594.37999999977</v>
      </c>
      <c r="V56" s="63"/>
      <c r="W56" s="63"/>
      <c r="X56" s="63">
        <f t="shared" si="4"/>
        <v>111594.37999999977</v>
      </c>
      <c r="Y56" s="63">
        <f t="shared" si="7"/>
        <v>28100000</v>
      </c>
      <c r="Z56" s="63"/>
      <c r="AA56" s="63"/>
      <c r="AB56" s="63"/>
      <c r="AC56" s="302"/>
      <c r="AD56" s="302"/>
      <c r="AE56" s="63"/>
      <c r="AF56" s="63"/>
      <c r="AG56" s="63"/>
      <c r="AH56" s="63"/>
      <c r="AJ56" s="63"/>
      <c r="AK56" s="63"/>
      <c r="AL56" s="63"/>
    </row>
    <row r="57" spans="2:38" outlineLevel="1" x14ac:dyDescent="0.25">
      <c r="B57" s="42">
        <v>45376</v>
      </c>
      <c r="C57" s="38"/>
      <c r="D57" s="38">
        <f>C57+G56</f>
        <v>3084374.0899999994</v>
      </c>
      <c r="E57" s="38"/>
      <c r="F57" s="38">
        <v>-101138.97</v>
      </c>
      <c r="G57" s="38">
        <f t="shared" si="11"/>
        <v>2983235.1199999992</v>
      </c>
      <c r="H57" s="38">
        <f t="shared" si="10"/>
        <v>171200000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78">
        <v>45376</v>
      </c>
      <c r="T57" s="63"/>
      <c r="U57" s="63">
        <f t="shared" si="6"/>
        <v>111594.37999999977</v>
      </c>
      <c r="V57" s="63"/>
      <c r="W57" s="63"/>
      <c r="X57" s="63">
        <f t="shared" si="4"/>
        <v>111594.37999999977</v>
      </c>
      <c r="Y57" s="63">
        <f t="shared" si="7"/>
        <v>28100000</v>
      </c>
      <c r="Z57" s="63"/>
      <c r="AA57" s="63"/>
      <c r="AB57" s="63"/>
      <c r="AC57" s="302"/>
      <c r="AD57" s="302"/>
      <c r="AE57" s="63"/>
      <c r="AF57" s="63"/>
      <c r="AG57" s="63"/>
      <c r="AH57" s="63"/>
      <c r="AJ57" s="63"/>
      <c r="AK57" s="63"/>
      <c r="AL57" s="63"/>
    </row>
    <row r="58" spans="2:38" outlineLevel="1" x14ac:dyDescent="0.25">
      <c r="B58" s="42">
        <v>45377</v>
      </c>
      <c r="C58" s="38">
        <f>-83333.33-2845155.06</f>
        <v>-2928488.39</v>
      </c>
      <c r="D58" s="38">
        <f t="shared" si="9"/>
        <v>54746.72999999905</v>
      </c>
      <c r="E58" s="34">
        <v>300000</v>
      </c>
      <c r="F58" s="38"/>
      <c r="G58" s="38">
        <f t="shared" si="11"/>
        <v>354746.72999999905</v>
      </c>
      <c r="H58" s="38">
        <f t="shared" si="10"/>
        <v>170900000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78">
        <v>45377</v>
      </c>
      <c r="T58" s="63"/>
      <c r="U58" s="63">
        <f t="shared" si="6"/>
        <v>111594.37999999977</v>
      </c>
      <c r="V58" s="63"/>
      <c r="W58" s="63"/>
      <c r="X58" s="63">
        <f t="shared" si="4"/>
        <v>111594.37999999977</v>
      </c>
      <c r="Y58" s="63">
        <f t="shared" si="7"/>
        <v>28100000</v>
      </c>
      <c r="Z58" s="63"/>
      <c r="AA58" s="63"/>
      <c r="AB58" s="63"/>
      <c r="AC58" s="302"/>
      <c r="AD58" s="302"/>
      <c r="AE58" s="63"/>
      <c r="AF58" s="63"/>
      <c r="AG58" s="63"/>
      <c r="AH58" s="63"/>
      <c r="AJ58" s="63"/>
      <c r="AK58" s="63"/>
      <c r="AL58" s="63"/>
    </row>
    <row r="59" spans="2:38" outlineLevel="1" x14ac:dyDescent="0.25">
      <c r="B59" s="42">
        <v>45378</v>
      </c>
      <c r="C59" s="38">
        <v>-1429841.8</v>
      </c>
      <c r="D59" s="38">
        <f t="shared" si="9"/>
        <v>-1075095.070000001</v>
      </c>
      <c r="E59" s="34">
        <v>2000000</v>
      </c>
      <c r="F59" s="38"/>
      <c r="G59" s="38">
        <f t="shared" si="11"/>
        <v>924904.929999999</v>
      </c>
      <c r="H59" s="38">
        <f t="shared" si="10"/>
        <v>168900000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78">
        <v>45378</v>
      </c>
      <c r="T59" s="63"/>
      <c r="U59" s="63">
        <f t="shared" si="6"/>
        <v>111594.37999999977</v>
      </c>
      <c r="V59" s="63"/>
      <c r="W59" s="63"/>
      <c r="X59" s="63">
        <f t="shared" si="4"/>
        <v>111594.37999999977</v>
      </c>
      <c r="Y59" s="63">
        <f t="shared" si="7"/>
        <v>28100000</v>
      </c>
      <c r="Z59" s="63"/>
      <c r="AA59" s="63"/>
      <c r="AB59" s="63"/>
      <c r="AC59" s="302"/>
      <c r="AD59" s="302"/>
      <c r="AE59" s="63"/>
      <c r="AF59" s="63"/>
      <c r="AG59" s="63"/>
      <c r="AH59" s="63"/>
      <c r="AJ59" s="63"/>
      <c r="AK59" s="63"/>
      <c r="AL59" s="63"/>
    </row>
    <row r="60" spans="2:38" outlineLevel="1" x14ac:dyDescent="0.25">
      <c r="B60" s="42">
        <v>45379</v>
      </c>
      <c r="C60" s="38">
        <v>-25000</v>
      </c>
      <c r="D60" s="38">
        <f t="shared" si="9"/>
        <v>899904.929999999</v>
      </c>
      <c r="E60" s="38"/>
      <c r="F60" s="54">
        <v>24053232.399999999</v>
      </c>
      <c r="G60" s="38">
        <f t="shared" si="11"/>
        <v>24953137.329999998</v>
      </c>
      <c r="H60" s="38">
        <f t="shared" si="10"/>
        <v>168900000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78">
        <v>45379</v>
      </c>
      <c r="T60" s="63"/>
      <c r="U60" s="63">
        <f t="shared" si="6"/>
        <v>111594.37999999977</v>
      </c>
      <c r="V60" s="63"/>
      <c r="W60" s="63"/>
      <c r="X60" s="63">
        <f t="shared" si="4"/>
        <v>111594.37999999977</v>
      </c>
      <c r="Y60" s="63">
        <f t="shared" si="7"/>
        <v>28100000</v>
      </c>
      <c r="Z60" s="63"/>
      <c r="AA60" s="63"/>
      <c r="AB60" s="63"/>
      <c r="AC60" s="302"/>
      <c r="AD60" s="302"/>
      <c r="AE60" s="63"/>
      <c r="AF60" s="63"/>
      <c r="AG60" s="63"/>
      <c r="AH60" s="63"/>
      <c r="AJ60" s="63"/>
      <c r="AK60" s="63"/>
      <c r="AL60" s="63"/>
    </row>
    <row r="61" spans="2:38" outlineLevel="1" x14ac:dyDescent="0.25">
      <c r="B61" s="42">
        <v>45380</v>
      </c>
      <c r="C61" s="38"/>
      <c r="D61" s="38">
        <f t="shared" si="9"/>
        <v>24953137.329999998</v>
      </c>
      <c r="E61" s="38"/>
      <c r="F61" s="38"/>
      <c r="G61" s="38">
        <f t="shared" si="11"/>
        <v>24953137.329999998</v>
      </c>
      <c r="H61" s="38">
        <f t="shared" si="10"/>
        <v>168900000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78">
        <v>45380</v>
      </c>
      <c r="T61" s="63"/>
      <c r="U61" s="63">
        <f t="shared" si="6"/>
        <v>111594.37999999977</v>
      </c>
      <c r="V61" s="63"/>
      <c r="W61" s="63"/>
      <c r="X61" s="63">
        <f t="shared" si="4"/>
        <v>111594.37999999977</v>
      </c>
      <c r="Y61" s="63">
        <f t="shared" si="7"/>
        <v>28100000</v>
      </c>
      <c r="Z61" s="63"/>
      <c r="AA61" s="63"/>
      <c r="AB61" s="63"/>
      <c r="AC61" s="302"/>
      <c r="AD61" s="302"/>
      <c r="AE61" s="63"/>
      <c r="AF61" s="63"/>
      <c r="AG61" s="63"/>
      <c r="AH61" s="63"/>
      <c r="AI61" s="55"/>
      <c r="AJ61" s="63"/>
      <c r="AK61" s="63"/>
      <c r="AL61" s="63"/>
    </row>
    <row r="62" spans="2:38" outlineLevel="1" x14ac:dyDescent="0.25">
      <c r="B62" s="42">
        <v>45381</v>
      </c>
      <c r="C62" s="38"/>
      <c r="D62" s="38">
        <f t="shared" si="9"/>
        <v>24953137.329999998</v>
      </c>
      <c r="E62" s="38"/>
      <c r="F62" s="38"/>
      <c r="G62" s="38">
        <f t="shared" si="11"/>
        <v>24953137.329999998</v>
      </c>
      <c r="H62" s="38">
        <f t="shared" si="10"/>
        <v>168900000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78">
        <v>45381</v>
      </c>
      <c r="T62" s="63"/>
      <c r="U62" s="63">
        <f t="shared" si="6"/>
        <v>111594.37999999977</v>
      </c>
      <c r="V62" s="63"/>
      <c r="W62" s="63"/>
      <c r="X62" s="63">
        <f t="shared" si="4"/>
        <v>111594.37999999977</v>
      </c>
      <c r="Y62" s="63">
        <f t="shared" si="7"/>
        <v>28100000</v>
      </c>
      <c r="Z62" s="63"/>
      <c r="AA62" s="63"/>
      <c r="AB62" s="63"/>
      <c r="AC62" s="302"/>
      <c r="AD62" s="302"/>
      <c r="AE62" s="63"/>
      <c r="AF62" s="63"/>
      <c r="AG62" s="63"/>
      <c r="AH62" s="63"/>
      <c r="AI62" s="55"/>
      <c r="AJ62" s="63"/>
      <c r="AK62" s="63"/>
      <c r="AL62" s="63"/>
    </row>
    <row r="63" spans="2:38" outlineLevel="1" x14ac:dyDescent="0.25">
      <c r="B63" s="42">
        <v>45382</v>
      </c>
      <c r="C63" s="38"/>
      <c r="D63" s="38">
        <f t="shared" si="9"/>
        <v>24953137.329999998</v>
      </c>
      <c r="E63" s="38"/>
      <c r="F63" s="38"/>
      <c r="G63" s="38">
        <f t="shared" si="11"/>
        <v>24953137.329999998</v>
      </c>
      <c r="H63" s="38">
        <f t="shared" si="10"/>
        <v>168900000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78">
        <v>45382</v>
      </c>
      <c r="T63" s="63"/>
      <c r="U63" s="63">
        <f t="shared" si="6"/>
        <v>111594.37999999977</v>
      </c>
      <c r="V63" s="63"/>
      <c r="W63" s="63"/>
      <c r="X63" s="63">
        <f t="shared" si="4"/>
        <v>111594.37999999977</v>
      </c>
      <c r="Y63" s="63">
        <f t="shared" si="7"/>
        <v>28100000</v>
      </c>
      <c r="Z63" s="63"/>
      <c r="AA63" s="63"/>
      <c r="AB63" s="63"/>
      <c r="AC63" s="302"/>
      <c r="AD63" s="302"/>
      <c r="AE63" s="63"/>
      <c r="AF63" s="63"/>
      <c r="AG63" s="63"/>
      <c r="AH63" s="63"/>
      <c r="AJ63" s="63"/>
      <c r="AK63" s="63"/>
      <c r="AL63" s="63"/>
    </row>
    <row r="64" spans="2:38" outlineLevel="1" x14ac:dyDescent="0.25">
      <c r="B64" s="42">
        <v>45383</v>
      </c>
      <c r="C64" s="38"/>
      <c r="D64" s="38">
        <f t="shared" ref="D64:D83" si="12">C64+G63</f>
        <v>24953137.329999998</v>
      </c>
      <c r="E64" s="38"/>
      <c r="F64" s="38"/>
      <c r="G64" s="38">
        <f t="shared" ref="G64:G84" si="13">D64+E64+F64</f>
        <v>24953137.329999998</v>
      </c>
      <c r="H64" s="38">
        <f t="shared" ref="H64:H83" si="14">H63-E64</f>
        <v>168900000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78">
        <v>45383</v>
      </c>
      <c r="T64" s="63"/>
      <c r="U64" s="63">
        <f t="shared" si="6"/>
        <v>111594.37999999977</v>
      </c>
      <c r="V64" s="63"/>
      <c r="W64" s="63"/>
      <c r="X64" s="63">
        <f t="shared" si="4"/>
        <v>111594.37999999977</v>
      </c>
      <c r="Y64" s="63">
        <f t="shared" si="7"/>
        <v>28100000</v>
      </c>
      <c r="Z64" s="63"/>
      <c r="AA64" s="63"/>
      <c r="AB64" s="63"/>
      <c r="AC64" s="302"/>
      <c r="AD64" s="302"/>
      <c r="AE64" s="63"/>
      <c r="AF64" s="63"/>
      <c r="AG64" s="63"/>
      <c r="AH64" s="63"/>
      <c r="AJ64" s="63"/>
      <c r="AK64" s="63"/>
      <c r="AL64" s="63"/>
    </row>
    <row r="65" spans="2:38" outlineLevel="1" x14ac:dyDescent="0.25">
      <c r="B65" s="42">
        <v>45384</v>
      </c>
      <c r="C65" s="38"/>
      <c r="D65" s="38">
        <f t="shared" si="12"/>
        <v>24953137.329999998</v>
      </c>
      <c r="E65" s="38"/>
      <c r="F65" s="38"/>
      <c r="G65" s="38">
        <f t="shared" si="13"/>
        <v>24953137.329999998</v>
      </c>
      <c r="H65" s="38">
        <f t="shared" si="14"/>
        <v>168900000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78">
        <v>45384</v>
      </c>
      <c r="T65" s="63"/>
      <c r="U65" s="63">
        <f t="shared" si="6"/>
        <v>111594.37999999977</v>
      </c>
      <c r="V65" s="63"/>
      <c r="W65" s="63"/>
      <c r="X65" s="63">
        <f t="shared" si="4"/>
        <v>111594.37999999977</v>
      </c>
      <c r="Y65" s="63">
        <f t="shared" si="7"/>
        <v>28100000</v>
      </c>
      <c r="Z65" s="63"/>
      <c r="AA65" s="63"/>
      <c r="AB65" s="63"/>
      <c r="AC65" s="302"/>
      <c r="AD65" s="302"/>
      <c r="AE65" s="63"/>
      <c r="AF65" s="63"/>
      <c r="AG65" s="63"/>
      <c r="AH65" s="63"/>
      <c r="AJ65" s="63"/>
      <c r="AK65" s="63"/>
      <c r="AL65" s="63"/>
    </row>
    <row r="66" spans="2:38" outlineLevel="1" x14ac:dyDescent="0.25">
      <c r="B66" s="42">
        <v>45385</v>
      </c>
      <c r="C66" s="38"/>
      <c r="D66" s="38">
        <f t="shared" si="12"/>
        <v>24953137.329999998</v>
      </c>
      <c r="E66" s="38"/>
      <c r="F66" s="38"/>
      <c r="G66" s="38">
        <f t="shared" si="13"/>
        <v>24953137.329999998</v>
      </c>
      <c r="H66" s="38">
        <f t="shared" si="14"/>
        <v>168900000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78">
        <v>45385</v>
      </c>
      <c r="T66" s="63"/>
      <c r="U66" s="63">
        <f t="shared" si="6"/>
        <v>111594.37999999977</v>
      </c>
      <c r="V66" s="63"/>
      <c r="W66" s="63"/>
      <c r="X66" s="63">
        <f t="shared" si="4"/>
        <v>111594.37999999977</v>
      </c>
      <c r="Y66" s="63">
        <f t="shared" si="7"/>
        <v>28100000</v>
      </c>
      <c r="Z66" s="63"/>
      <c r="AA66" s="63"/>
      <c r="AB66" s="63"/>
      <c r="AC66" s="302"/>
      <c r="AD66" s="302"/>
      <c r="AE66" s="63"/>
      <c r="AF66" s="63"/>
      <c r="AG66" s="63"/>
      <c r="AH66" s="63"/>
      <c r="AJ66" s="63"/>
      <c r="AK66" s="63"/>
      <c r="AL66" s="63"/>
    </row>
    <row r="67" spans="2:38" outlineLevel="1" x14ac:dyDescent="0.25">
      <c r="B67" s="42">
        <v>45386</v>
      </c>
      <c r="C67" s="38"/>
      <c r="D67" s="38">
        <f t="shared" si="12"/>
        <v>24953137.329999998</v>
      </c>
      <c r="E67" s="38"/>
      <c r="F67" s="38"/>
      <c r="G67" s="38">
        <f t="shared" si="13"/>
        <v>24953137.329999998</v>
      </c>
      <c r="H67" s="38">
        <f t="shared" si="14"/>
        <v>168900000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78">
        <v>45386</v>
      </c>
      <c r="T67" s="63"/>
      <c r="U67" s="63">
        <f t="shared" si="6"/>
        <v>111594.37999999977</v>
      </c>
      <c r="V67" s="63"/>
      <c r="W67" s="63"/>
      <c r="X67" s="63">
        <f t="shared" si="4"/>
        <v>111594.37999999977</v>
      </c>
      <c r="Y67" s="63">
        <f t="shared" si="7"/>
        <v>28100000</v>
      </c>
      <c r="Z67" s="63"/>
      <c r="AA67" s="63"/>
      <c r="AB67" s="63"/>
      <c r="AC67" s="302"/>
      <c r="AD67" s="302"/>
      <c r="AE67" s="63"/>
      <c r="AF67" s="63"/>
      <c r="AG67" s="63"/>
      <c r="AH67" s="63"/>
      <c r="AJ67" s="63"/>
      <c r="AK67" s="63"/>
      <c r="AL67" s="63"/>
    </row>
    <row r="68" spans="2:38" outlineLevel="1" x14ac:dyDescent="0.25">
      <c r="B68" s="42">
        <v>45387</v>
      </c>
      <c r="C68" s="38"/>
      <c r="D68" s="38">
        <f t="shared" si="12"/>
        <v>24953137.329999998</v>
      </c>
      <c r="E68" s="38"/>
      <c r="F68" s="38"/>
      <c r="G68" s="38">
        <f t="shared" si="13"/>
        <v>24953137.329999998</v>
      </c>
      <c r="H68" s="38">
        <f t="shared" si="14"/>
        <v>168900000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78">
        <v>45387</v>
      </c>
      <c r="T68" s="63"/>
      <c r="U68" s="63">
        <f t="shared" si="6"/>
        <v>111594.37999999977</v>
      </c>
      <c r="V68" s="63"/>
      <c r="W68" s="63"/>
      <c r="X68" s="63">
        <f t="shared" si="4"/>
        <v>111594.37999999977</v>
      </c>
      <c r="Y68" s="63">
        <f t="shared" si="7"/>
        <v>28100000</v>
      </c>
      <c r="Z68" s="63"/>
      <c r="AA68" s="63"/>
      <c r="AB68" s="63"/>
      <c r="AC68" s="302"/>
      <c r="AD68" s="302"/>
      <c r="AE68" s="63"/>
      <c r="AF68" s="63"/>
      <c r="AG68" s="63"/>
      <c r="AH68" s="63"/>
      <c r="AJ68" s="63"/>
      <c r="AK68" s="63"/>
      <c r="AL68" s="63"/>
    </row>
    <row r="69" spans="2:38" outlineLevel="1" x14ac:dyDescent="0.25">
      <c r="B69" s="42">
        <v>45388</v>
      </c>
      <c r="C69" s="38"/>
      <c r="D69" s="38">
        <f t="shared" si="12"/>
        <v>24953137.329999998</v>
      </c>
      <c r="E69" s="38"/>
      <c r="F69" s="38"/>
      <c r="G69" s="38">
        <f t="shared" si="13"/>
        <v>24953137.329999998</v>
      </c>
      <c r="H69" s="38">
        <f t="shared" si="14"/>
        <v>168900000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78">
        <v>45388</v>
      </c>
      <c r="T69" s="63"/>
      <c r="U69" s="63">
        <f t="shared" ref="U69:U100" si="15">T69+X68</f>
        <v>111594.37999999977</v>
      </c>
      <c r="V69" s="63"/>
      <c r="W69" s="63"/>
      <c r="X69" s="63">
        <f t="shared" si="4"/>
        <v>111594.37999999977</v>
      </c>
      <c r="Y69" s="63">
        <f t="shared" si="7"/>
        <v>28100000</v>
      </c>
      <c r="Z69" s="63"/>
      <c r="AA69" s="63"/>
      <c r="AB69" s="63"/>
      <c r="AC69" s="302"/>
      <c r="AD69" s="302"/>
      <c r="AE69" s="63"/>
      <c r="AF69" s="63"/>
      <c r="AG69" s="63"/>
      <c r="AH69" s="63"/>
      <c r="AJ69" s="63"/>
      <c r="AK69" s="63"/>
      <c r="AL69" s="63"/>
    </row>
    <row r="70" spans="2:38" outlineLevel="1" x14ac:dyDescent="0.25">
      <c r="B70" s="42">
        <v>45389</v>
      </c>
      <c r="C70" s="38"/>
      <c r="D70" s="38">
        <f t="shared" si="12"/>
        <v>24953137.329999998</v>
      </c>
      <c r="E70" s="38"/>
      <c r="F70" s="38"/>
      <c r="G70" s="38">
        <f t="shared" si="13"/>
        <v>24953137.329999998</v>
      </c>
      <c r="H70" s="38">
        <f t="shared" si="14"/>
        <v>168900000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78">
        <v>45389</v>
      </c>
      <c r="T70" s="63"/>
      <c r="U70" s="63">
        <f t="shared" si="15"/>
        <v>111594.37999999977</v>
      </c>
      <c r="V70" s="63"/>
      <c r="W70" s="63"/>
      <c r="X70" s="63">
        <f t="shared" si="4"/>
        <v>111594.37999999977</v>
      </c>
      <c r="Y70" s="63">
        <f t="shared" si="7"/>
        <v>28100000</v>
      </c>
      <c r="Z70" s="63"/>
      <c r="AA70" s="63"/>
      <c r="AB70" s="63"/>
      <c r="AC70" s="302"/>
      <c r="AD70" s="302"/>
      <c r="AE70" s="63"/>
      <c r="AF70" s="63"/>
      <c r="AG70" s="63"/>
      <c r="AH70" s="63"/>
      <c r="AJ70" s="63"/>
      <c r="AK70" s="63"/>
      <c r="AL70" s="63"/>
    </row>
    <row r="71" spans="2:38" outlineLevel="1" x14ac:dyDescent="0.25">
      <c r="B71" s="42">
        <v>45390</v>
      </c>
      <c r="C71" s="38"/>
      <c r="D71" s="38">
        <f t="shared" si="12"/>
        <v>24953137.329999998</v>
      </c>
      <c r="E71" s="38"/>
      <c r="F71" s="38"/>
      <c r="G71" s="38">
        <f t="shared" si="13"/>
        <v>24953137.329999998</v>
      </c>
      <c r="H71" s="38">
        <f t="shared" si="14"/>
        <v>168900000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78">
        <v>45390</v>
      </c>
      <c r="T71" s="63"/>
      <c r="U71" s="63">
        <f t="shared" si="15"/>
        <v>111594.37999999977</v>
      </c>
      <c r="V71" s="63"/>
      <c r="W71" s="63"/>
      <c r="X71" s="63">
        <f t="shared" si="4"/>
        <v>111594.37999999977</v>
      </c>
      <c r="Y71" s="63">
        <f t="shared" si="7"/>
        <v>28100000</v>
      </c>
      <c r="Z71" s="63"/>
      <c r="AA71" s="63"/>
      <c r="AB71" s="63"/>
      <c r="AC71" s="302"/>
      <c r="AD71" s="302"/>
      <c r="AE71" s="63"/>
      <c r="AF71" s="63"/>
      <c r="AG71" s="63"/>
      <c r="AH71" s="63"/>
      <c r="AJ71" s="63"/>
      <c r="AK71" s="63"/>
      <c r="AL71" s="63"/>
    </row>
    <row r="72" spans="2:38" outlineLevel="1" x14ac:dyDescent="0.25">
      <c r="B72" s="42">
        <v>45391</v>
      </c>
      <c r="C72" s="38"/>
      <c r="D72" s="38">
        <f t="shared" si="12"/>
        <v>24953137.329999998</v>
      </c>
      <c r="E72" s="38"/>
      <c r="F72" s="38"/>
      <c r="G72" s="38">
        <f t="shared" si="13"/>
        <v>24953137.329999998</v>
      </c>
      <c r="H72" s="38">
        <f t="shared" si="14"/>
        <v>168900000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78">
        <v>45391</v>
      </c>
      <c r="T72" s="63"/>
      <c r="U72" s="63">
        <f t="shared" si="15"/>
        <v>111594.37999999977</v>
      </c>
      <c r="V72" s="63"/>
      <c r="W72" s="63"/>
      <c r="X72" s="63">
        <f t="shared" si="4"/>
        <v>111594.37999999977</v>
      </c>
      <c r="Y72" s="63">
        <f t="shared" si="7"/>
        <v>28100000</v>
      </c>
      <c r="Z72" s="63"/>
      <c r="AA72" s="63"/>
      <c r="AB72" s="63"/>
      <c r="AC72" s="302"/>
      <c r="AD72" s="302"/>
      <c r="AE72" s="63"/>
      <c r="AF72" s="63"/>
      <c r="AG72" s="63"/>
      <c r="AH72" s="63"/>
      <c r="AJ72" s="63"/>
      <c r="AK72" s="63"/>
      <c r="AL72" s="63"/>
    </row>
    <row r="73" spans="2:38" outlineLevel="1" x14ac:dyDescent="0.25">
      <c r="B73" s="42">
        <v>45392</v>
      </c>
      <c r="C73" s="38"/>
      <c r="D73" s="38">
        <f t="shared" si="12"/>
        <v>24953137.329999998</v>
      </c>
      <c r="E73" s="38"/>
      <c r="F73" s="38"/>
      <c r="G73" s="38">
        <f t="shared" si="13"/>
        <v>24953137.329999998</v>
      </c>
      <c r="H73" s="38">
        <f t="shared" si="14"/>
        <v>168900000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78">
        <v>45392</v>
      </c>
      <c r="T73" s="63"/>
      <c r="U73" s="63">
        <f t="shared" si="15"/>
        <v>111594.37999999977</v>
      </c>
      <c r="V73" s="63"/>
      <c r="W73" s="63"/>
      <c r="X73" s="63">
        <f t="shared" si="4"/>
        <v>111594.37999999977</v>
      </c>
      <c r="Y73" s="63">
        <f>Y72-V73-1000000</f>
        <v>27100000</v>
      </c>
      <c r="Z73" s="63"/>
      <c r="AA73" s="63"/>
      <c r="AB73" s="63"/>
      <c r="AC73" s="302"/>
      <c r="AD73" s="302"/>
      <c r="AE73" s="63"/>
      <c r="AF73" s="63"/>
      <c r="AG73" s="63"/>
      <c r="AH73" s="63"/>
      <c r="AJ73" s="63"/>
      <c r="AK73" s="63"/>
      <c r="AL73" s="63"/>
    </row>
    <row r="74" spans="2:38" outlineLevel="1" x14ac:dyDescent="0.25">
      <c r="B74" s="42">
        <v>45393</v>
      </c>
      <c r="C74" s="38"/>
      <c r="D74" s="38">
        <f t="shared" si="12"/>
        <v>24953137.329999998</v>
      </c>
      <c r="E74" s="38"/>
      <c r="F74" s="38"/>
      <c r="G74" s="38">
        <f t="shared" si="13"/>
        <v>24953137.329999998</v>
      </c>
      <c r="H74" s="38">
        <f t="shared" si="14"/>
        <v>168900000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78">
        <v>45393</v>
      </c>
      <c r="T74" s="63"/>
      <c r="U74" s="63">
        <f t="shared" si="15"/>
        <v>111594.37999999977</v>
      </c>
      <c r="V74" s="63"/>
      <c r="W74" s="63"/>
      <c r="X74" s="63">
        <f t="shared" si="4"/>
        <v>111594.37999999977</v>
      </c>
      <c r="Y74" s="63">
        <f t="shared" ref="Y74:Y105" si="16">Y73-V74</f>
        <v>27100000</v>
      </c>
      <c r="Z74" s="63"/>
      <c r="AA74" s="63"/>
      <c r="AB74" s="63"/>
      <c r="AC74" s="302"/>
      <c r="AD74" s="302"/>
      <c r="AE74" s="63"/>
      <c r="AF74" s="63"/>
      <c r="AG74" s="63"/>
      <c r="AH74" s="63"/>
      <c r="AJ74" s="63"/>
      <c r="AK74" s="63"/>
      <c r="AL74" s="63"/>
    </row>
    <row r="75" spans="2:38" outlineLevel="1" x14ac:dyDescent="0.25">
      <c r="B75" s="42">
        <v>45394</v>
      </c>
      <c r="C75" s="38"/>
      <c r="D75" s="38">
        <f t="shared" si="12"/>
        <v>24953137.329999998</v>
      </c>
      <c r="E75" s="38"/>
      <c r="F75" s="38"/>
      <c r="G75" s="38">
        <f t="shared" si="13"/>
        <v>24953137.329999998</v>
      </c>
      <c r="H75" s="38">
        <f t="shared" si="14"/>
        <v>168900000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78">
        <v>45394</v>
      </c>
      <c r="T75" s="63"/>
      <c r="U75" s="63">
        <f t="shared" si="15"/>
        <v>111594.37999999977</v>
      </c>
      <c r="V75" s="63"/>
      <c r="W75" s="63"/>
      <c r="X75" s="63">
        <f t="shared" si="4"/>
        <v>111594.37999999977</v>
      </c>
      <c r="Y75" s="63">
        <f t="shared" si="16"/>
        <v>27100000</v>
      </c>
      <c r="Z75" s="63"/>
      <c r="AA75" s="63"/>
      <c r="AB75" s="63"/>
      <c r="AC75" s="302"/>
      <c r="AD75" s="302"/>
      <c r="AE75" s="63"/>
      <c r="AF75" s="63"/>
      <c r="AG75" s="63"/>
      <c r="AH75" s="63"/>
      <c r="AJ75" s="63"/>
      <c r="AK75" s="63"/>
      <c r="AL75" s="63"/>
    </row>
    <row r="76" spans="2:38" outlineLevel="1" x14ac:dyDescent="0.25">
      <c r="B76" s="42">
        <v>45395</v>
      </c>
      <c r="C76" s="38"/>
      <c r="D76" s="38">
        <f t="shared" si="12"/>
        <v>24953137.329999998</v>
      </c>
      <c r="E76" s="38"/>
      <c r="F76" s="38"/>
      <c r="G76" s="38">
        <f t="shared" si="13"/>
        <v>24953137.329999998</v>
      </c>
      <c r="H76" s="38">
        <f t="shared" si="14"/>
        <v>168900000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78">
        <v>45395</v>
      </c>
      <c r="T76" s="63"/>
      <c r="U76" s="63">
        <f t="shared" si="15"/>
        <v>111594.37999999977</v>
      </c>
      <c r="V76" s="63"/>
      <c r="W76" s="63"/>
      <c r="X76" s="63">
        <f t="shared" si="4"/>
        <v>111594.37999999977</v>
      </c>
      <c r="Y76" s="63">
        <f t="shared" si="16"/>
        <v>27100000</v>
      </c>
      <c r="Z76" s="63"/>
      <c r="AA76" s="63"/>
      <c r="AB76" s="63"/>
      <c r="AC76" s="302"/>
      <c r="AD76" s="302"/>
      <c r="AE76" s="63"/>
      <c r="AF76" s="63"/>
      <c r="AG76" s="63"/>
      <c r="AH76" s="63"/>
      <c r="AJ76" s="63"/>
      <c r="AK76" s="63"/>
      <c r="AL76" s="63"/>
    </row>
    <row r="77" spans="2:38" outlineLevel="1" x14ac:dyDescent="0.25">
      <c r="B77" s="42">
        <v>45396</v>
      </c>
      <c r="C77" s="38"/>
      <c r="D77" s="38">
        <f t="shared" si="12"/>
        <v>24953137.329999998</v>
      </c>
      <c r="E77" s="38"/>
      <c r="F77" s="38"/>
      <c r="G77" s="38">
        <f t="shared" si="13"/>
        <v>24953137.329999998</v>
      </c>
      <c r="H77" s="38">
        <f t="shared" si="14"/>
        <v>168900000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78">
        <v>45396</v>
      </c>
      <c r="T77" s="63"/>
      <c r="U77" s="63">
        <f t="shared" si="15"/>
        <v>111594.37999999977</v>
      </c>
      <c r="V77" s="63"/>
      <c r="W77" s="63"/>
      <c r="X77" s="63">
        <f t="shared" si="4"/>
        <v>111594.37999999977</v>
      </c>
      <c r="Y77" s="63">
        <f t="shared" si="16"/>
        <v>27100000</v>
      </c>
      <c r="Z77" s="63"/>
      <c r="AA77" s="63"/>
      <c r="AB77" s="63"/>
      <c r="AC77" s="302"/>
      <c r="AD77" s="302"/>
      <c r="AE77" s="63"/>
      <c r="AF77" s="63"/>
      <c r="AG77" s="63"/>
      <c r="AH77" s="63"/>
      <c r="AJ77" s="63"/>
      <c r="AK77" s="63"/>
      <c r="AL77" s="63"/>
    </row>
    <row r="78" spans="2:38" outlineLevel="1" x14ac:dyDescent="0.25">
      <c r="B78" s="42">
        <v>45397</v>
      </c>
      <c r="C78" s="38"/>
      <c r="D78" s="38">
        <f t="shared" si="12"/>
        <v>24953137.329999998</v>
      </c>
      <c r="E78" s="38"/>
      <c r="F78" s="38"/>
      <c r="G78" s="38">
        <f t="shared" si="13"/>
        <v>24953137.329999998</v>
      </c>
      <c r="H78" s="38">
        <f t="shared" si="14"/>
        <v>168900000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78">
        <v>45397</v>
      </c>
      <c r="T78" s="63"/>
      <c r="U78" s="63">
        <f t="shared" si="15"/>
        <v>111594.37999999977</v>
      </c>
      <c r="V78" s="63"/>
      <c r="W78" s="63"/>
      <c r="X78" s="63">
        <f t="shared" si="4"/>
        <v>111594.37999999977</v>
      </c>
      <c r="Y78" s="63">
        <f t="shared" si="16"/>
        <v>27100000</v>
      </c>
      <c r="Z78" s="63"/>
      <c r="AA78" s="63"/>
      <c r="AB78" s="63"/>
      <c r="AC78" s="302"/>
      <c r="AD78" s="302"/>
      <c r="AE78" s="63"/>
      <c r="AF78" s="63"/>
      <c r="AG78" s="63"/>
      <c r="AH78" s="63"/>
      <c r="AJ78" s="63"/>
      <c r="AK78" s="63"/>
      <c r="AL78" s="63"/>
    </row>
    <row r="79" spans="2:38" outlineLevel="1" x14ac:dyDescent="0.25">
      <c r="B79" s="42">
        <v>45398</v>
      </c>
      <c r="C79" s="38"/>
      <c r="D79" s="38">
        <f t="shared" si="12"/>
        <v>24953137.329999998</v>
      </c>
      <c r="E79" s="38"/>
      <c r="F79" s="38"/>
      <c r="G79" s="38">
        <f t="shared" si="13"/>
        <v>24953137.329999998</v>
      </c>
      <c r="H79" s="38">
        <f t="shared" si="14"/>
        <v>168900000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78">
        <v>45398</v>
      </c>
      <c r="T79" s="63"/>
      <c r="U79" s="63">
        <f t="shared" si="15"/>
        <v>111594.37999999977</v>
      </c>
      <c r="V79" s="63"/>
      <c r="W79" s="63"/>
      <c r="X79" s="63">
        <f t="shared" si="4"/>
        <v>111594.37999999977</v>
      </c>
      <c r="Y79" s="63">
        <f t="shared" si="16"/>
        <v>27100000</v>
      </c>
      <c r="Z79" s="63"/>
      <c r="AA79" s="63"/>
      <c r="AB79" s="63"/>
      <c r="AC79" s="302"/>
      <c r="AD79" s="302"/>
      <c r="AE79" s="63"/>
      <c r="AF79" s="63"/>
      <c r="AG79" s="63"/>
      <c r="AH79" s="63"/>
      <c r="AJ79" s="63"/>
      <c r="AK79" s="63"/>
      <c r="AL79" s="63"/>
    </row>
    <row r="80" spans="2:38" outlineLevel="1" x14ac:dyDescent="0.25">
      <c r="B80" s="42">
        <v>45399</v>
      </c>
      <c r="C80" s="38"/>
      <c r="D80" s="38">
        <f t="shared" si="12"/>
        <v>24953137.329999998</v>
      </c>
      <c r="E80" s="38"/>
      <c r="F80" s="38"/>
      <c r="G80" s="38">
        <f t="shared" si="13"/>
        <v>24953137.329999998</v>
      </c>
      <c r="H80" s="38">
        <f t="shared" si="14"/>
        <v>168900000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78">
        <v>45399</v>
      </c>
      <c r="T80" s="63"/>
      <c r="U80" s="63">
        <f t="shared" si="15"/>
        <v>111594.37999999977</v>
      </c>
      <c r="V80" s="63"/>
      <c r="W80" s="63"/>
      <c r="X80" s="63">
        <f t="shared" si="4"/>
        <v>111594.37999999977</v>
      </c>
      <c r="Y80" s="63">
        <f t="shared" si="16"/>
        <v>27100000</v>
      </c>
      <c r="Z80" s="63"/>
      <c r="AA80" s="63"/>
      <c r="AB80" s="63"/>
      <c r="AC80" s="302"/>
      <c r="AD80" s="302"/>
      <c r="AE80" s="63"/>
      <c r="AF80" s="63"/>
      <c r="AG80" s="63"/>
      <c r="AH80" s="63"/>
      <c r="AJ80" s="63"/>
      <c r="AK80" s="63"/>
      <c r="AL80" s="63"/>
    </row>
    <row r="81" spans="2:38" outlineLevel="1" x14ac:dyDescent="0.25">
      <c r="B81" s="42">
        <v>45400</v>
      </c>
      <c r="C81" s="38"/>
      <c r="D81" s="38">
        <f t="shared" si="12"/>
        <v>24953137.329999998</v>
      </c>
      <c r="E81" s="38"/>
      <c r="F81" s="38"/>
      <c r="G81" s="38">
        <f t="shared" si="13"/>
        <v>24953137.329999998</v>
      </c>
      <c r="H81" s="38">
        <f t="shared" si="14"/>
        <v>168900000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78">
        <v>45400</v>
      </c>
      <c r="T81" s="63"/>
      <c r="U81" s="63">
        <f t="shared" si="15"/>
        <v>111594.37999999977</v>
      </c>
      <c r="V81" s="63"/>
      <c r="W81" s="63"/>
      <c r="X81" s="63">
        <f t="shared" si="4"/>
        <v>111594.37999999977</v>
      </c>
      <c r="Y81" s="63">
        <f t="shared" si="16"/>
        <v>27100000</v>
      </c>
      <c r="Z81" s="63"/>
      <c r="AA81" s="63"/>
      <c r="AB81" s="63"/>
      <c r="AC81" s="302"/>
      <c r="AD81" s="302"/>
      <c r="AE81" s="63"/>
      <c r="AF81" s="63"/>
      <c r="AG81" s="63"/>
      <c r="AH81" s="63"/>
      <c r="AJ81" s="63"/>
      <c r="AK81" s="63"/>
      <c r="AL81" s="63"/>
    </row>
    <row r="82" spans="2:38" outlineLevel="1" x14ac:dyDescent="0.25">
      <c r="B82" s="42">
        <v>45401</v>
      </c>
      <c r="C82" s="38"/>
      <c r="D82" s="38">
        <f t="shared" si="12"/>
        <v>24953137.329999998</v>
      </c>
      <c r="E82" s="38"/>
      <c r="F82" s="38"/>
      <c r="G82" s="38">
        <f t="shared" si="13"/>
        <v>24953137.329999998</v>
      </c>
      <c r="H82" s="38">
        <f t="shared" si="14"/>
        <v>168900000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78">
        <v>45401</v>
      </c>
      <c r="T82" s="63"/>
      <c r="U82" s="63">
        <f t="shared" si="15"/>
        <v>111594.37999999977</v>
      </c>
      <c r="V82" s="63"/>
      <c r="W82" s="63"/>
      <c r="X82" s="63">
        <f t="shared" si="4"/>
        <v>111594.37999999977</v>
      </c>
      <c r="Y82" s="63">
        <f t="shared" si="16"/>
        <v>27100000</v>
      </c>
      <c r="Z82" s="63"/>
      <c r="AA82" s="63"/>
      <c r="AB82" s="63"/>
      <c r="AC82" s="302"/>
      <c r="AD82" s="302"/>
      <c r="AE82" s="63"/>
      <c r="AF82" s="63"/>
      <c r="AG82" s="63"/>
      <c r="AH82" s="63"/>
      <c r="AJ82" s="63"/>
      <c r="AK82" s="63"/>
      <c r="AL82" s="63"/>
    </row>
    <row r="83" spans="2:38" outlineLevel="1" x14ac:dyDescent="0.25">
      <c r="B83" s="42">
        <v>45402</v>
      </c>
      <c r="C83" s="38"/>
      <c r="D83" s="38">
        <f t="shared" si="12"/>
        <v>24953137.329999998</v>
      </c>
      <c r="E83" s="38"/>
      <c r="F83" s="38"/>
      <c r="G83" s="38">
        <f t="shared" si="13"/>
        <v>24953137.329999998</v>
      </c>
      <c r="H83" s="38">
        <f t="shared" si="14"/>
        <v>168900000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78">
        <v>45402</v>
      </c>
      <c r="T83" s="63"/>
      <c r="U83" s="63">
        <f t="shared" si="15"/>
        <v>111594.37999999977</v>
      </c>
      <c r="V83" s="63"/>
      <c r="W83" s="63"/>
      <c r="X83" s="63">
        <f t="shared" si="4"/>
        <v>111594.37999999977</v>
      </c>
      <c r="Y83" s="63">
        <f t="shared" si="16"/>
        <v>27100000</v>
      </c>
      <c r="Z83" s="63"/>
      <c r="AA83" s="63"/>
      <c r="AB83" s="63"/>
      <c r="AC83" s="302"/>
      <c r="AD83" s="302"/>
      <c r="AE83" s="63"/>
      <c r="AF83" s="63"/>
      <c r="AG83" s="63"/>
      <c r="AH83" s="63"/>
      <c r="AJ83" s="63"/>
      <c r="AK83" s="63"/>
      <c r="AL83" s="63"/>
    </row>
    <row r="84" spans="2:38" outlineLevel="1" x14ac:dyDescent="0.25">
      <c r="B84" s="42">
        <v>45403</v>
      </c>
      <c r="C84" s="38"/>
      <c r="D84" s="38">
        <v>115526.04</v>
      </c>
      <c r="E84" s="38"/>
      <c r="F84" s="38"/>
      <c r="G84" s="38">
        <f t="shared" si="13"/>
        <v>115526.04</v>
      </c>
      <c r="H84" s="38">
        <v>178400000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78">
        <v>45403</v>
      </c>
      <c r="T84" s="63"/>
      <c r="U84" s="63">
        <f t="shared" si="15"/>
        <v>111594.37999999977</v>
      </c>
      <c r="V84" s="63"/>
      <c r="W84" s="63"/>
      <c r="X84" s="63">
        <f t="shared" si="4"/>
        <v>111594.37999999977</v>
      </c>
      <c r="Y84" s="63">
        <f t="shared" si="16"/>
        <v>27100000</v>
      </c>
      <c r="Z84" s="63"/>
      <c r="AA84" s="63"/>
      <c r="AB84" s="63"/>
      <c r="AC84" s="302"/>
      <c r="AD84" s="302"/>
      <c r="AE84" s="63"/>
      <c r="AF84" s="63"/>
      <c r="AG84" s="63"/>
      <c r="AH84" s="63"/>
      <c r="AJ84" s="63"/>
      <c r="AK84" s="63"/>
      <c r="AL84" s="63"/>
    </row>
    <row r="85" spans="2:38" outlineLevel="1" x14ac:dyDescent="0.25">
      <c r="B85" s="42">
        <v>45404</v>
      </c>
      <c r="C85" s="38">
        <v>-604762</v>
      </c>
      <c r="D85" s="38">
        <f t="shared" ref="D85:D117" si="17">C85+G84</f>
        <v>-489235.96</v>
      </c>
      <c r="E85" s="53">
        <v>700000</v>
      </c>
      <c r="F85" s="38"/>
      <c r="G85" s="38">
        <f t="shared" ref="G85:G116" si="18">D85+E85+F85</f>
        <v>210764.03999999998</v>
      </c>
      <c r="H85" s="38">
        <f t="shared" ref="H85:H117" si="19">H84-E85</f>
        <v>177700000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78">
        <v>45404</v>
      </c>
      <c r="T85" s="63"/>
      <c r="U85" s="63">
        <f t="shared" si="15"/>
        <v>111594.37999999977</v>
      </c>
      <c r="V85" s="63"/>
      <c r="W85" s="63"/>
      <c r="X85" s="63">
        <f t="shared" si="4"/>
        <v>111594.37999999977</v>
      </c>
      <c r="Y85" s="63">
        <f t="shared" si="16"/>
        <v>27100000</v>
      </c>
      <c r="Z85" s="63"/>
      <c r="AA85" s="63"/>
      <c r="AB85" s="63"/>
      <c r="AC85" s="302"/>
      <c r="AD85" s="302"/>
      <c r="AE85" s="63"/>
      <c r="AF85" s="63"/>
      <c r="AG85" s="63"/>
      <c r="AH85" s="63"/>
      <c r="AJ85" s="63"/>
      <c r="AK85" s="63"/>
      <c r="AL85" s="63"/>
    </row>
    <row r="86" spans="2:38" outlineLevel="1" x14ac:dyDescent="0.25">
      <c r="B86" s="42">
        <v>45405</v>
      </c>
      <c r="C86" s="38"/>
      <c r="D86" s="38">
        <f t="shared" si="17"/>
        <v>210764.03999999998</v>
      </c>
      <c r="E86" s="38"/>
      <c r="F86" s="38"/>
      <c r="G86" s="38">
        <f t="shared" si="18"/>
        <v>210764.03999999998</v>
      </c>
      <c r="H86" s="38">
        <f t="shared" si="19"/>
        <v>177700000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78">
        <v>45405</v>
      </c>
      <c r="T86" s="63"/>
      <c r="U86" s="63">
        <f t="shared" si="15"/>
        <v>111594.37999999977</v>
      </c>
      <c r="V86" s="63"/>
      <c r="W86" s="63"/>
      <c r="X86" s="63">
        <f t="shared" si="4"/>
        <v>111594.37999999977</v>
      </c>
      <c r="Y86" s="63">
        <f t="shared" si="16"/>
        <v>27100000</v>
      </c>
      <c r="Z86" s="63"/>
      <c r="AA86" s="63"/>
      <c r="AB86" s="63"/>
      <c r="AC86" s="302"/>
      <c r="AD86" s="302"/>
      <c r="AE86" s="63"/>
      <c r="AF86" s="63"/>
      <c r="AG86" s="63"/>
      <c r="AH86" s="63"/>
      <c r="AJ86" s="63"/>
      <c r="AK86" s="63"/>
      <c r="AL86" s="63"/>
    </row>
    <row r="87" spans="2:38" outlineLevel="1" x14ac:dyDescent="0.25">
      <c r="B87" s="42">
        <v>45406</v>
      </c>
      <c r="C87" s="38"/>
      <c r="D87" s="38">
        <f t="shared" si="17"/>
        <v>210764.03999999998</v>
      </c>
      <c r="E87" s="38"/>
      <c r="F87" s="38"/>
      <c r="G87" s="38">
        <f t="shared" si="18"/>
        <v>210764.03999999998</v>
      </c>
      <c r="H87" s="38">
        <f t="shared" si="19"/>
        <v>177700000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78">
        <v>45406</v>
      </c>
      <c r="T87" s="63"/>
      <c r="U87" s="63">
        <f t="shared" si="15"/>
        <v>111594.37999999977</v>
      </c>
      <c r="V87" s="63"/>
      <c r="W87" s="63"/>
      <c r="X87" s="63">
        <f t="shared" si="4"/>
        <v>111594.37999999977</v>
      </c>
      <c r="Y87" s="63">
        <f t="shared" si="16"/>
        <v>27100000</v>
      </c>
      <c r="Z87" s="63"/>
      <c r="AA87" s="63"/>
      <c r="AB87" s="63"/>
      <c r="AC87" s="302"/>
      <c r="AD87" s="302"/>
      <c r="AE87" s="63"/>
      <c r="AF87" s="63"/>
      <c r="AG87" s="63"/>
      <c r="AH87" s="63"/>
      <c r="AJ87" s="63"/>
      <c r="AK87" s="63"/>
      <c r="AL87" s="63"/>
    </row>
    <row r="88" spans="2:38" outlineLevel="1" x14ac:dyDescent="0.25">
      <c r="B88" s="42">
        <v>45407</v>
      </c>
      <c r="C88" s="38">
        <v>-1800000</v>
      </c>
      <c r="D88" s="38">
        <f t="shared" si="17"/>
        <v>-1589235.96</v>
      </c>
      <c r="E88" s="56">
        <v>1800000</v>
      </c>
      <c r="F88" s="38"/>
      <c r="G88" s="38">
        <f t="shared" si="18"/>
        <v>210764.04000000004</v>
      </c>
      <c r="H88" s="38">
        <f t="shared" si="19"/>
        <v>175900000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78">
        <v>45407</v>
      </c>
      <c r="T88" s="63"/>
      <c r="U88" s="63">
        <f t="shared" si="15"/>
        <v>111594.37999999977</v>
      </c>
      <c r="V88" s="63"/>
      <c r="W88" s="63"/>
      <c r="X88" s="63">
        <f t="shared" si="4"/>
        <v>111594.37999999977</v>
      </c>
      <c r="Y88" s="63">
        <f t="shared" si="16"/>
        <v>27100000</v>
      </c>
      <c r="Z88" s="63"/>
      <c r="AA88" s="63"/>
      <c r="AB88" s="63"/>
      <c r="AC88" s="302"/>
      <c r="AD88" s="302"/>
      <c r="AE88" s="63"/>
      <c r="AF88" s="63"/>
      <c r="AG88" s="63"/>
      <c r="AH88" s="63"/>
      <c r="AJ88" s="63"/>
      <c r="AK88" s="63"/>
      <c r="AL88" s="63"/>
    </row>
    <row r="89" spans="2:38" outlineLevel="1" x14ac:dyDescent="0.25">
      <c r="B89" s="42">
        <v>45408</v>
      </c>
      <c r="C89" s="38"/>
      <c r="D89" s="38">
        <f t="shared" si="17"/>
        <v>210764.04000000004</v>
      </c>
      <c r="E89" s="38"/>
      <c r="F89" s="38"/>
      <c r="G89" s="38">
        <f t="shared" si="18"/>
        <v>210764.04000000004</v>
      </c>
      <c r="H89" s="38">
        <f t="shared" si="19"/>
        <v>175900000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78">
        <v>45408</v>
      </c>
      <c r="T89" s="63"/>
      <c r="U89" s="63">
        <f t="shared" si="15"/>
        <v>111594.37999999977</v>
      </c>
      <c r="V89" s="63"/>
      <c r="W89" s="63"/>
      <c r="X89" s="63">
        <f t="shared" si="4"/>
        <v>111594.37999999977</v>
      </c>
      <c r="Y89" s="63">
        <f t="shared" si="16"/>
        <v>27100000</v>
      </c>
      <c r="Z89" s="63"/>
      <c r="AA89" s="63"/>
      <c r="AB89" s="63"/>
      <c r="AC89" s="302"/>
      <c r="AD89" s="302"/>
      <c r="AE89" s="63"/>
      <c r="AF89" s="63"/>
      <c r="AG89" s="63"/>
      <c r="AH89" s="63"/>
      <c r="AJ89" s="63"/>
      <c r="AK89" s="63"/>
      <c r="AL89" s="63"/>
    </row>
    <row r="90" spans="2:38" outlineLevel="1" x14ac:dyDescent="0.25">
      <c r="B90" s="42">
        <v>45409</v>
      </c>
      <c r="C90" s="38">
        <v>-2275122</v>
      </c>
      <c r="D90" s="38">
        <f t="shared" si="17"/>
        <v>-2064357.96</v>
      </c>
      <c r="E90" s="56">
        <v>2200000</v>
      </c>
      <c r="F90" s="38"/>
      <c r="G90" s="38">
        <f t="shared" si="18"/>
        <v>135642.04000000004</v>
      </c>
      <c r="H90" s="38">
        <f t="shared" si="19"/>
        <v>173700000</v>
      </c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78">
        <v>45409</v>
      </c>
      <c r="T90" s="63"/>
      <c r="U90" s="63">
        <f t="shared" si="15"/>
        <v>111594.37999999977</v>
      </c>
      <c r="V90" s="63"/>
      <c r="W90" s="63"/>
      <c r="X90" s="63">
        <f t="shared" si="4"/>
        <v>111594.37999999977</v>
      </c>
      <c r="Y90" s="63">
        <f t="shared" si="16"/>
        <v>27100000</v>
      </c>
      <c r="Z90" s="63"/>
      <c r="AA90" s="63"/>
      <c r="AB90" s="63"/>
      <c r="AC90" s="302"/>
      <c r="AD90" s="302"/>
      <c r="AE90" s="63"/>
      <c r="AF90" s="63"/>
      <c r="AG90" s="63"/>
      <c r="AH90" s="63"/>
      <c r="AJ90" s="63"/>
      <c r="AK90" s="63"/>
      <c r="AL90" s="63"/>
    </row>
    <row r="91" spans="2:38" outlineLevel="1" x14ac:dyDescent="0.25">
      <c r="B91" s="42">
        <v>45410</v>
      </c>
      <c r="C91" s="38"/>
      <c r="D91" s="38">
        <f t="shared" si="17"/>
        <v>135642.04000000004</v>
      </c>
      <c r="E91" s="38"/>
      <c r="F91" s="38"/>
      <c r="G91" s="38">
        <f t="shared" si="18"/>
        <v>135642.04000000004</v>
      </c>
      <c r="H91" s="38">
        <f t="shared" si="19"/>
        <v>173700000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78">
        <v>45410</v>
      </c>
      <c r="T91" s="63"/>
      <c r="U91" s="63">
        <f t="shared" si="15"/>
        <v>111594.37999999977</v>
      </c>
      <c r="V91" s="63"/>
      <c r="W91" s="63"/>
      <c r="X91" s="63">
        <f t="shared" si="4"/>
        <v>111594.37999999977</v>
      </c>
      <c r="Y91" s="63">
        <f t="shared" si="16"/>
        <v>27100000</v>
      </c>
      <c r="Z91" s="63"/>
      <c r="AA91" s="63"/>
      <c r="AB91" s="63"/>
      <c r="AC91" s="302"/>
      <c r="AD91" s="302"/>
      <c r="AE91" s="63"/>
      <c r="AF91" s="63"/>
      <c r="AG91" s="63"/>
      <c r="AH91" s="63"/>
      <c r="AJ91" s="63"/>
      <c r="AK91" s="63"/>
      <c r="AL91" s="63"/>
    </row>
    <row r="92" spans="2:38" outlineLevel="1" x14ac:dyDescent="0.25">
      <c r="B92" s="42">
        <v>45411</v>
      </c>
      <c r="C92" s="38"/>
      <c r="D92" s="38">
        <f t="shared" si="17"/>
        <v>135642.04000000004</v>
      </c>
      <c r="E92" s="38"/>
      <c r="F92" s="38"/>
      <c r="G92" s="38">
        <f t="shared" si="18"/>
        <v>135642.04000000004</v>
      </c>
      <c r="H92" s="38">
        <f t="shared" si="19"/>
        <v>173700000</v>
      </c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78">
        <v>45411</v>
      </c>
      <c r="T92" s="63"/>
      <c r="U92" s="63">
        <f t="shared" si="15"/>
        <v>111594.37999999977</v>
      </c>
      <c r="V92" s="63"/>
      <c r="W92" s="63"/>
      <c r="X92" s="63">
        <f t="shared" ref="X92:X155" si="20">V92+U92</f>
        <v>111594.37999999977</v>
      </c>
      <c r="Y92" s="63">
        <f t="shared" si="16"/>
        <v>27100000</v>
      </c>
      <c r="Z92" s="63"/>
      <c r="AA92" s="63"/>
      <c r="AB92" s="63"/>
      <c r="AC92" s="302"/>
      <c r="AD92" s="302"/>
      <c r="AE92" s="63"/>
      <c r="AF92" s="63"/>
      <c r="AG92" s="63"/>
      <c r="AH92" s="63"/>
      <c r="AJ92" s="63"/>
      <c r="AK92" s="63"/>
      <c r="AL92" s="63"/>
    </row>
    <row r="93" spans="2:38" outlineLevel="1" x14ac:dyDescent="0.25">
      <c r="B93" s="42">
        <v>45412</v>
      </c>
      <c r="C93" s="38"/>
      <c r="D93" s="38">
        <f t="shared" si="17"/>
        <v>135642.04000000004</v>
      </c>
      <c r="E93" s="38"/>
      <c r="F93" s="38"/>
      <c r="G93" s="38">
        <f t="shared" si="18"/>
        <v>135642.04000000004</v>
      </c>
      <c r="H93" s="38">
        <f t="shared" si="19"/>
        <v>173700000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78">
        <v>45412</v>
      </c>
      <c r="T93" s="63"/>
      <c r="U93" s="63">
        <f t="shared" si="15"/>
        <v>111594.37999999977</v>
      </c>
      <c r="V93" s="63"/>
      <c r="W93" s="63"/>
      <c r="X93" s="63">
        <f t="shared" si="20"/>
        <v>111594.37999999977</v>
      </c>
      <c r="Y93" s="63">
        <f t="shared" si="16"/>
        <v>27100000</v>
      </c>
      <c r="Z93" s="63"/>
      <c r="AA93" s="63"/>
      <c r="AB93" s="63"/>
      <c r="AC93" s="302"/>
      <c r="AD93" s="302"/>
      <c r="AE93" s="63"/>
      <c r="AF93" s="63"/>
      <c r="AG93" s="63"/>
      <c r="AH93" s="63"/>
      <c r="AJ93" s="63"/>
      <c r="AK93" s="63"/>
      <c r="AL93" s="63"/>
    </row>
    <row r="94" spans="2:38" outlineLevel="1" x14ac:dyDescent="0.25">
      <c r="B94" s="42">
        <v>45413</v>
      </c>
      <c r="C94" s="38"/>
      <c r="D94" s="38">
        <f t="shared" si="17"/>
        <v>135642.04000000004</v>
      </c>
      <c r="E94" s="38"/>
      <c r="F94" s="38"/>
      <c r="G94" s="38">
        <f t="shared" si="18"/>
        <v>135642.04000000004</v>
      </c>
      <c r="H94" s="38">
        <f t="shared" si="19"/>
        <v>173700000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78">
        <v>45413</v>
      </c>
      <c r="T94" s="63"/>
      <c r="U94" s="63">
        <f t="shared" si="15"/>
        <v>111594.37999999977</v>
      </c>
      <c r="V94" s="63"/>
      <c r="W94" s="63"/>
      <c r="X94" s="63">
        <f t="shared" si="20"/>
        <v>111594.37999999977</v>
      </c>
      <c r="Y94" s="63">
        <f t="shared" si="16"/>
        <v>27100000</v>
      </c>
      <c r="Z94" s="63"/>
      <c r="AA94" s="63"/>
      <c r="AB94" s="63"/>
      <c r="AC94" s="302"/>
      <c r="AD94" s="302"/>
      <c r="AE94" s="63"/>
      <c r="AF94" s="63"/>
      <c r="AG94" s="63"/>
      <c r="AH94" s="63"/>
      <c r="AJ94" s="63"/>
      <c r="AK94" s="63"/>
      <c r="AL94" s="63"/>
    </row>
    <row r="95" spans="2:38" outlineLevel="1" x14ac:dyDescent="0.25">
      <c r="B95" s="42">
        <v>45414</v>
      </c>
      <c r="C95" s="38"/>
      <c r="D95" s="38">
        <f t="shared" si="17"/>
        <v>135642.04000000004</v>
      </c>
      <c r="E95" s="38"/>
      <c r="F95" s="38"/>
      <c r="G95" s="38">
        <f t="shared" si="18"/>
        <v>135642.04000000004</v>
      </c>
      <c r="H95" s="38">
        <f t="shared" si="19"/>
        <v>173700000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78">
        <v>45414</v>
      </c>
      <c r="T95" s="63"/>
      <c r="U95" s="63">
        <f t="shared" si="15"/>
        <v>111594.37999999977</v>
      </c>
      <c r="V95" s="63"/>
      <c r="W95" s="63"/>
      <c r="X95" s="63">
        <f t="shared" si="20"/>
        <v>111594.37999999977</v>
      </c>
      <c r="Y95" s="63">
        <f t="shared" si="16"/>
        <v>27100000</v>
      </c>
      <c r="Z95" s="63"/>
      <c r="AA95" s="63"/>
      <c r="AB95" s="63"/>
      <c r="AC95" s="302"/>
      <c r="AD95" s="302"/>
      <c r="AE95" s="63"/>
      <c r="AF95" s="63"/>
      <c r="AG95" s="63"/>
      <c r="AH95" s="63"/>
      <c r="AJ95" s="63"/>
      <c r="AK95" s="63"/>
      <c r="AL95" s="63"/>
    </row>
    <row r="96" spans="2:38" outlineLevel="1" x14ac:dyDescent="0.25">
      <c r="B96" s="42">
        <v>45415</v>
      </c>
      <c r="C96" s="38"/>
      <c r="D96" s="38">
        <f t="shared" si="17"/>
        <v>135642.04000000004</v>
      </c>
      <c r="E96" s="38"/>
      <c r="F96" s="38"/>
      <c r="G96" s="38">
        <f t="shared" si="18"/>
        <v>135642.04000000004</v>
      </c>
      <c r="H96" s="38">
        <f t="shared" si="19"/>
        <v>173700000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78">
        <v>45415</v>
      </c>
      <c r="T96" s="63"/>
      <c r="U96" s="63">
        <f t="shared" si="15"/>
        <v>111594.37999999977</v>
      </c>
      <c r="V96" s="63"/>
      <c r="W96" s="63"/>
      <c r="X96" s="63">
        <f t="shared" si="20"/>
        <v>111594.37999999977</v>
      </c>
      <c r="Y96" s="63">
        <f t="shared" si="16"/>
        <v>27100000</v>
      </c>
      <c r="Z96" s="63"/>
      <c r="AA96" s="63"/>
      <c r="AB96" s="63"/>
      <c r="AC96" s="302"/>
      <c r="AD96" s="302"/>
      <c r="AE96" s="63"/>
      <c r="AF96" s="63"/>
      <c r="AG96" s="63"/>
      <c r="AH96" s="63"/>
      <c r="AJ96" s="63"/>
      <c r="AK96" s="63"/>
      <c r="AL96" s="63"/>
    </row>
    <row r="97" spans="2:38" outlineLevel="1" x14ac:dyDescent="0.25">
      <c r="B97" s="42">
        <v>45416</v>
      </c>
      <c r="C97" s="38"/>
      <c r="D97" s="38">
        <f t="shared" si="17"/>
        <v>135642.04000000004</v>
      </c>
      <c r="E97" s="38"/>
      <c r="F97" s="38"/>
      <c r="G97" s="38">
        <f t="shared" si="18"/>
        <v>135642.04000000004</v>
      </c>
      <c r="H97" s="38">
        <f t="shared" si="19"/>
        <v>173700000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78">
        <v>45416</v>
      </c>
      <c r="T97" s="63"/>
      <c r="U97" s="63">
        <f t="shared" si="15"/>
        <v>111594.37999999977</v>
      </c>
      <c r="V97" s="63"/>
      <c r="W97" s="63"/>
      <c r="X97" s="63">
        <f t="shared" si="20"/>
        <v>111594.37999999977</v>
      </c>
      <c r="Y97" s="63">
        <f t="shared" si="16"/>
        <v>27100000</v>
      </c>
      <c r="Z97" s="63"/>
      <c r="AA97" s="63"/>
      <c r="AB97" s="63"/>
      <c r="AC97" s="302"/>
      <c r="AD97" s="302"/>
      <c r="AE97" s="63"/>
      <c r="AF97" s="63"/>
      <c r="AG97" s="63"/>
      <c r="AH97" s="63"/>
      <c r="AJ97" s="63"/>
      <c r="AK97" s="63"/>
      <c r="AL97" s="63"/>
    </row>
    <row r="98" spans="2:38" outlineLevel="1" x14ac:dyDescent="0.25">
      <c r="B98" s="42">
        <v>45417</v>
      </c>
      <c r="C98" s="38"/>
      <c r="D98" s="38">
        <f t="shared" si="17"/>
        <v>135642.04000000004</v>
      </c>
      <c r="E98" s="38"/>
      <c r="F98" s="38"/>
      <c r="G98" s="38">
        <f t="shared" si="18"/>
        <v>135642.04000000004</v>
      </c>
      <c r="H98" s="38">
        <f t="shared" si="19"/>
        <v>173700000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78">
        <v>45417</v>
      </c>
      <c r="T98" s="63"/>
      <c r="U98" s="63">
        <f t="shared" si="15"/>
        <v>111594.37999999977</v>
      </c>
      <c r="V98" s="63"/>
      <c r="W98" s="63"/>
      <c r="X98" s="63">
        <f t="shared" si="20"/>
        <v>111594.37999999977</v>
      </c>
      <c r="Y98" s="63">
        <f t="shared" si="16"/>
        <v>27100000</v>
      </c>
      <c r="Z98" s="63"/>
      <c r="AA98" s="63"/>
      <c r="AB98" s="63"/>
      <c r="AC98" s="302"/>
      <c r="AD98" s="302"/>
      <c r="AE98" s="63"/>
      <c r="AF98" s="63"/>
      <c r="AG98" s="63"/>
      <c r="AH98" s="63"/>
      <c r="AJ98" s="63"/>
      <c r="AK98" s="63"/>
      <c r="AL98" s="63"/>
    </row>
    <row r="99" spans="2:38" outlineLevel="1" x14ac:dyDescent="0.25">
      <c r="B99" s="42">
        <v>45418</v>
      </c>
      <c r="C99" s="38"/>
      <c r="D99" s="38">
        <f t="shared" si="17"/>
        <v>135642.04000000004</v>
      </c>
      <c r="E99" s="38"/>
      <c r="F99" s="38"/>
      <c r="G99" s="38">
        <f t="shared" si="18"/>
        <v>135642.04000000004</v>
      </c>
      <c r="H99" s="38">
        <f t="shared" si="19"/>
        <v>173700000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78">
        <v>45418</v>
      </c>
      <c r="T99" s="63"/>
      <c r="U99" s="63">
        <f t="shared" si="15"/>
        <v>111594.37999999977</v>
      </c>
      <c r="V99" s="63"/>
      <c r="W99" s="63"/>
      <c r="X99" s="63">
        <f t="shared" si="20"/>
        <v>111594.37999999977</v>
      </c>
      <c r="Y99" s="63">
        <f t="shared" si="16"/>
        <v>27100000</v>
      </c>
      <c r="Z99" s="63"/>
      <c r="AA99" s="63"/>
      <c r="AB99" s="63"/>
      <c r="AC99" s="302"/>
      <c r="AD99" s="302"/>
      <c r="AE99" s="63"/>
      <c r="AF99" s="63"/>
      <c r="AG99" s="63"/>
      <c r="AH99" s="63"/>
      <c r="AJ99" s="63"/>
      <c r="AK99" s="63"/>
      <c r="AL99" s="63"/>
    </row>
    <row r="100" spans="2:38" outlineLevel="1" x14ac:dyDescent="0.25">
      <c r="B100" s="42">
        <v>45419</v>
      </c>
      <c r="C100" s="38"/>
      <c r="D100" s="38">
        <f t="shared" si="17"/>
        <v>135642.04000000004</v>
      </c>
      <c r="E100" s="38"/>
      <c r="F100" s="38"/>
      <c r="G100" s="38">
        <f t="shared" si="18"/>
        <v>135642.04000000004</v>
      </c>
      <c r="H100" s="38">
        <f t="shared" si="19"/>
        <v>173700000</v>
      </c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78">
        <v>45419</v>
      </c>
      <c r="T100" s="63"/>
      <c r="U100" s="63">
        <f t="shared" si="15"/>
        <v>111594.37999999977</v>
      </c>
      <c r="V100" s="63"/>
      <c r="W100" s="63"/>
      <c r="X100" s="63">
        <f t="shared" si="20"/>
        <v>111594.37999999977</v>
      </c>
      <c r="Y100" s="63">
        <f t="shared" si="16"/>
        <v>27100000</v>
      </c>
      <c r="Z100" s="63"/>
      <c r="AA100" s="63"/>
      <c r="AB100" s="63"/>
      <c r="AC100" s="302"/>
      <c r="AD100" s="302"/>
      <c r="AE100" s="63"/>
      <c r="AF100" s="63"/>
      <c r="AG100" s="63"/>
      <c r="AH100" s="63"/>
      <c r="AJ100" s="63"/>
      <c r="AK100" s="63"/>
      <c r="AL100" s="63"/>
    </row>
    <row r="101" spans="2:38" outlineLevel="1" x14ac:dyDescent="0.25">
      <c r="B101" s="42">
        <v>45420</v>
      </c>
      <c r="C101" s="38"/>
      <c r="D101" s="38">
        <f t="shared" si="17"/>
        <v>135642.04000000004</v>
      </c>
      <c r="E101" s="38"/>
      <c r="F101" s="38"/>
      <c r="G101" s="38">
        <f t="shared" si="18"/>
        <v>135642.04000000004</v>
      </c>
      <c r="H101" s="38">
        <f t="shared" si="19"/>
        <v>173700000</v>
      </c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78">
        <v>45420</v>
      </c>
      <c r="T101" s="63"/>
      <c r="U101" s="63">
        <f t="shared" ref="U101:U116" si="21">T101+X100</f>
        <v>111594.37999999977</v>
      </c>
      <c r="V101" s="63"/>
      <c r="W101" s="63"/>
      <c r="X101" s="63">
        <f t="shared" si="20"/>
        <v>111594.37999999977</v>
      </c>
      <c r="Y101" s="63">
        <f t="shared" si="16"/>
        <v>27100000</v>
      </c>
      <c r="Z101" s="63"/>
      <c r="AA101" s="63"/>
      <c r="AB101" s="63"/>
      <c r="AC101" s="302"/>
      <c r="AD101" s="302"/>
      <c r="AE101" s="63"/>
      <c r="AF101" s="63"/>
      <c r="AG101" s="63"/>
      <c r="AH101" s="63"/>
      <c r="AJ101" s="63"/>
      <c r="AK101" s="63"/>
      <c r="AL101" s="63"/>
    </row>
    <row r="102" spans="2:38" outlineLevel="1" x14ac:dyDescent="0.25">
      <c r="B102" s="42">
        <v>45421</v>
      </c>
      <c r="C102" s="38"/>
      <c r="D102" s="38">
        <f t="shared" si="17"/>
        <v>135642.04000000004</v>
      </c>
      <c r="E102" s="38"/>
      <c r="F102" s="38"/>
      <c r="G102" s="38">
        <f t="shared" si="18"/>
        <v>135642.04000000004</v>
      </c>
      <c r="H102" s="38">
        <f t="shared" si="19"/>
        <v>173700000</v>
      </c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78">
        <v>45421</v>
      </c>
      <c r="T102" s="63"/>
      <c r="U102" s="63">
        <f t="shared" si="21"/>
        <v>111594.37999999977</v>
      </c>
      <c r="V102" s="63"/>
      <c r="W102" s="63"/>
      <c r="X102" s="63">
        <f t="shared" si="20"/>
        <v>111594.37999999977</v>
      </c>
      <c r="Y102" s="63">
        <f t="shared" si="16"/>
        <v>27100000</v>
      </c>
      <c r="Z102" s="63"/>
      <c r="AA102" s="63"/>
      <c r="AB102" s="63"/>
      <c r="AC102" s="302"/>
      <c r="AD102" s="302"/>
      <c r="AE102" s="63"/>
      <c r="AF102" s="63"/>
      <c r="AG102" s="63"/>
      <c r="AH102" s="63"/>
      <c r="AJ102" s="63"/>
      <c r="AK102" s="63"/>
      <c r="AL102" s="63"/>
    </row>
    <row r="103" spans="2:38" outlineLevel="1" x14ac:dyDescent="0.25">
      <c r="B103" s="42">
        <v>45422</v>
      </c>
      <c r="C103" s="38"/>
      <c r="D103" s="38">
        <f t="shared" si="17"/>
        <v>135642.04000000004</v>
      </c>
      <c r="E103" s="38"/>
      <c r="F103" s="38"/>
      <c r="G103" s="38">
        <f t="shared" si="18"/>
        <v>135642.04000000004</v>
      </c>
      <c r="H103" s="38">
        <f t="shared" si="19"/>
        <v>173700000</v>
      </c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78">
        <v>45422</v>
      </c>
      <c r="T103" s="63"/>
      <c r="U103" s="63">
        <f t="shared" si="21"/>
        <v>111594.37999999977</v>
      </c>
      <c r="V103" s="63"/>
      <c r="W103" s="63"/>
      <c r="X103" s="63">
        <f t="shared" si="20"/>
        <v>111594.37999999977</v>
      </c>
      <c r="Y103" s="63">
        <f t="shared" si="16"/>
        <v>27100000</v>
      </c>
      <c r="Z103" s="63"/>
      <c r="AA103" s="63"/>
      <c r="AB103" s="63"/>
      <c r="AC103" s="302"/>
      <c r="AD103" s="302"/>
      <c r="AE103" s="63"/>
      <c r="AF103" s="63"/>
      <c r="AG103" s="63"/>
      <c r="AH103" s="63"/>
      <c r="AJ103" s="63"/>
      <c r="AK103" s="63"/>
      <c r="AL103" s="63"/>
    </row>
    <row r="104" spans="2:38" outlineLevel="1" x14ac:dyDescent="0.25">
      <c r="B104" s="42">
        <v>45423</v>
      </c>
      <c r="C104" s="38"/>
      <c r="D104" s="38">
        <f t="shared" si="17"/>
        <v>135642.04000000004</v>
      </c>
      <c r="E104" s="38"/>
      <c r="F104" s="38"/>
      <c r="G104" s="38">
        <f t="shared" si="18"/>
        <v>135642.04000000004</v>
      </c>
      <c r="H104" s="38">
        <f t="shared" si="19"/>
        <v>173700000</v>
      </c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78">
        <v>45423</v>
      </c>
      <c r="T104" s="63"/>
      <c r="U104" s="63">
        <f t="shared" si="21"/>
        <v>111594.37999999977</v>
      </c>
      <c r="V104" s="63"/>
      <c r="W104" s="63"/>
      <c r="X104" s="63">
        <f t="shared" si="20"/>
        <v>111594.37999999977</v>
      </c>
      <c r="Y104" s="63">
        <f t="shared" si="16"/>
        <v>27100000</v>
      </c>
      <c r="Z104" s="63"/>
      <c r="AA104" s="63"/>
      <c r="AB104" s="63"/>
      <c r="AC104" s="302"/>
      <c r="AD104" s="302"/>
      <c r="AE104" s="63"/>
      <c r="AF104" s="63"/>
      <c r="AG104" s="63"/>
      <c r="AH104" s="63"/>
      <c r="AJ104" s="63"/>
      <c r="AK104" s="63"/>
      <c r="AL104" s="63"/>
    </row>
    <row r="105" spans="2:38" outlineLevel="1" x14ac:dyDescent="0.25">
      <c r="B105" s="42">
        <v>45424</v>
      </c>
      <c r="C105" s="38"/>
      <c r="D105" s="38">
        <f t="shared" si="17"/>
        <v>135642.04000000004</v>
      </c>
      <c r="E105" s="38"/>
      <c r="F105" s="38"/>
      <c r="G105" s="38">
        <f t="shared" si="18"/>
        <v>135642.04000000004</v>
      </c>
      <c r="H105" s="38">
        <f t="shared" si="19"/>
        <v>173700000</v>
      </c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78">
        <v>45424</v>
      </c>
      <c r="T105" s="63"/>
      <c r="U105" s="63">
        <f t="shared" si="21"/>
        <v>111594.37999999977</v>
      </c>
      <c r="V105" s="63"/>
      <c r="W105" s="63"/>
      <c r="X105" s="63">
        <f t="shared" si="20"/>
        <v>111594.37999999977</v>
      </c>
      <c r="Y105" s="63">
        <f t="shared" si="16"/>
        <v>27100000</v>
      </c>
      <c r="Z105" s="63"/>
      <c r="AA105" s="63"/>
      <c r="AB105" s="63"/>
      <c r="AC105" s="302"/>
      <c r="AD105" s="302"/>
      <c r="AE105" s="63"/>
      <c r="AF105" s="63"/>
      <c r="AG105" s="63"/>
      <c r="AH105" s="63"/>
      <c r="AJ105" s="63"/>
      <c r="AK105" s="63"/>
      <c r="AL105" s="63"/>
    </row>
    <row r="106" spans="2:38" outlineLevel="1" x14ac:dyDescent="0.25">
      <c r="B106" s="42">
        <v>45425</v>
      </c>
      <c r="C106" s="38"/>
      <c r="D106" s="38">
        <f t="shared" si="17"/>
        <v>135642.04000000004</v>
      </c>
      <c r="E106" s="38"/>
      <c r="F106" s="38"/>
      <c r="G106" s="38">
        <f t="shared" si="18"/>
        <v>135642.04000000004</v>
      </c>
      <c r="H106" s="38">
        <f t="shared" si="19"/>
        <v>173700000</v>
      </c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78">
        <v>45425</v>
      </c>
      <c r="T106" s="63"/>
      <c r="U106" s="63">
        <f t="shared" si="21"/>
        <v>111594.37999999977</v>
      </c>
      <c r="V106" s="63"/>
      <c r="W106" s="63"/>
      <c r="X106" s="63">
        <f t="shared" si="20"/>
        <v>111594.37999999977</v>
      </c>
      <c r="Y106" s="63">
        <f>Y105-V106-1000000</f>
        <v>26100000</v>
      </c>
      <c r="Z106" s="63"/>
      <c r="AA106" s="63"/>
      <c r="AB106" s="63"/>
      <c r="AC106" s="302"/>
      <c r="AD106" s="302"/>
      <c r="AE106" s="63"/>
      <c r="AF106" s="63"/>
      <c r="AG106" s="63"/>
      <c r="AH106" s="63"/>
      <c r="AJ106" s="63"/>
      <c r="AK106" s="63"/>
      <c r="AL106" s="63"/>
    </row>
    <row r="107" spans="2:38" outlineLevel="1" x14ac:dyDescent="0.25">
      <c r="B107" s="42">
        <v>45426</v>
      </c>
      <c r="C107" s="38"/>
      <c r="D107" s="38">
        <f t="shared" si="17"/>
        <v>135642.04000000004</v>
      </c>
      <c r="E107" s="38"/>
      <c r="F107" s="38"/>
      <c r="G107" s="38">
        <f t="shared" si="18"/>
        <v>135642.04000000004</v>
      </c>
      <c r="H107" s="38">
        <f t="shared" si="19"/>
        <v>173700000</v>
      </c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78">
        <v>45426</v>
      </c>
      <c r="T107" s="63"/>
      <c r="U107" s="63">
        <f t="shared" si="21"/>
        <v>111594.37999999977</v>
      </c>
      <c r="V107" s="63"/>
      <c r="W107" s="63"/>
      <c r="X107" s="63">
        <f t="shared" si="20"/>
        <v>111594.37999999977</v>
      </c>
      <c r="Y107" s="63">
        <f t="shared" ref="Y107:Y134" si="22">Y106-V107</f>
        <v>26100000</v>
      </c>
      <c r="Z107" s="63"/>
      <c r="AA107" s="63"/>
      <c r="AB107" s="63"/>
      <c r="AC107" s="302"/>
      <c r="AD107" s="302"/>
      <c r="AE107" s="63"/>
      <c r="AF107" s="63"/>
      <c r="AG107" s="63"/>
      <c r="AH107" s="63"/>
      <c r="AJ107" s="63"/>
      <c r="AK107" s="63"/>
      <c r="AL107" s="63"/>
    </row>
    <row r="108" spans="2:38" outlineLevel="1" x14ac:dyDescent="0.25">
      <c r="B108" s="42">
        <v>45427</v>
      </c>
      <c r="C108" s="38"/>
      <c r="D108" s="38">
        <f t="shared" si="17"/>
        <v>135642.04000000004</v>
      </c>
      <c r="E108" s="38"/>
      <c r="F108" s="38"/>
      <c r="G108" s="38">
        <f t="shared" si="18"/>
        <v>135642.04000000004</v>
      </c>
      <c r="H108" s="38">
        <f t="shared" si="19"/>
        <v>173700000</v>
      </c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78">
        <v>45427</v>
      </c>
      <c r="T108" s="63"/>
      <c r="U108" s="63">
        <f t="shared" si="21"/>
        <v>111594.37999999977</v>
      </c>
      <c r="V108" s="63"/>
      <c r="W108" s="63"/>
      <c r="X108" s="63">
        <f t="shared" si="20"/>
        <v>111594.37999999977</v>
      </c>
      <c r="Y108" s="63">
        <f t="shared" si="22"/>
        <v>26100000</v>
      </c>
      <c r="Z108" s="63"/>
      <c r="AA108" s="63"/>
      <c r="AB108" s="63"/>
      <c r="AC108" s="302"/>
      <c r="AD108" s="302"/>
      <c r="AE108" s="63"/>
      <c r="AF108" s="63"/>
      <c r="AG108" s="63"/>
      <c r="AH108" s="63"/>
      <c r="AJ108" s="63"/>
      <c r="AK108" s="63"/>
      <c r="AL108" s="63"/>
    </row>
    <row r="109" spans="2:38" outlineLevel="1" x14ac:dyDescent="0.25">
      <c r="B109" s="42">
        <v>45428</v>
      </c>
      <c r="C109" s="38"/>
      <c r="D109" s="38">
        <f t="shared" si="17"/>
        <v>135642.04000000004</v>
      </c>
      <c r="E109" s="38"/>
      <c r="F109" s="38"/>
      <c r="G109" s="38">
        <f t="shared" si="18"/>
        <v>135642.04000000004</v>
      </c>
      <c r="H109" s="38">
        <f t="shared" si="19"/>
        <v>173700000</v>
      </c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78">
        <v>45428</v>
      </c>
      <c r="T109" s="63"/>
      <c r="U109" s="63">
        <f t="shared" si="21"/>
        <v>111594.37999999977</v>
      </c>
      <c r="V109" s="63"/>
      <c r="W109" s="63"/>
      <c r="X109" s="63">
        <f t="shared" si="20"/>
        <v>111594.37999999977</v>
      </c>
      <c r="Y109" s="63">
        <f t="shared" si="22"/>
        <v>26100000</v>
      </c>
      <c r="Z109" s="63"/>
      <c r="AA109" s="63"/>
      <c r="AB109" s="63"/>
      <c r="AC109" s="302"/>
      <c r="AD109" s="302"/>
      <c r="AE109" s="63"/>
      <c r="AF109" s="63"/>
      <c r="AG109" s="63"/>
      <c r="AH109" s="63"/>
      <c r="AJ109" s="63"/>
      <c r="AK109" s="63"/>
      <c r="AL109" s="63"/>
    </row>
    <row r="110" spans="2:38" outlineLevel="1" x14ac:dyDescent="0.25">
      <c r="B110" s="42">
        <v>45429</v>
      </c>
      <c r="C110" s="38"/>
      <c r="D110" s="38">
        <f t="shared" si="17"/>
        <v>135642.04000000004</v>
      </c>
      <c r="E110" s="38"/>
      <c r="F110" s="38"/>
      <c r="G110" s="38">
        <f t="shared" si="18"/>
        <v>135642.04000000004</v>
      </c>
      <c r="H110" s="38">
        <f t="shared" si="19"/>
        <v>173700000</v>
      </c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78">
        <v>45429</v>
      </c>
      <c r="T110" s="63"/>
      <c r="U110" s="63">
        <f t="shared" si="21"/>
        <v>111594.37999999977</v>
      </c>
      <c r="V110" s="63"/>
      <c r="W110" s="63"/>
      <c r="X110" s="63">
        <f t="shared" si="20"/>
        <v>111594.37999999977</v>
      </c>
      <c r="Y110" s="63">
        <f t="shared" si="22"/>
        <v>26100000</v>
      </c>
      <c r="Z110" s="63"/>
      <c r="AA110" s="63"/>
      <c r="AB110" s="63"/>
      <c r="AC110" s="302"/>
      <c r="AD110" s="302"/>
      <c r="AE110" s="63"/>
      <c r="AF110" s="63"/>
      <c r="AG110" s="63"/>
      <c r="AH110" s="63"/>
      <c r="AJ110" s="63"/>
      <c r="AK110" s="63"/>
      <c r="AL110" s="63"/>
    </row>
    <row r="111" spans="2:38" outlineLevel="1" x14ac:dyDescent="0.25">
      <c r="B111" s="42">
        <v>45430</v>
      </c>
      <c r="C111" s="38"/>
      <c r="D111" s="38">
        <f t="shared" si="17"/>
        <v>135642.04000000004</v>
      </c>
      <c r="E111" s="38"/>
      <c r="F111" s="38"/>
      <c r="G111" s="38">
        <f t="shared" si="18"/>
        <v>135642.04000000004</v>
      </c>
      <c r="H111" s="38">
        <f t="shared" si="19"/>
        <v>173700000</v>
      </c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78">
        <v>45430</v>
      </c>
      <c r="T111" s="63"/>
      <c r="U111" s="63">
        <f t="shared" si="21"/>
        <v>111594.37999999977</v>
      </c>
      <c r="V111" s="63"/>
      <c r="W111" s="63"/>
      <c r="X111" s="63">
        <f t="shared" si="20"/>
        <v>111594.37999999977</v>
      </c>
      <c r="Y111" s="63">
        <f t="shared" si="22"/>
        <v>26100000</v>
      </c>
      <c r="Z111" s="63"/>
      <c r="AA111" s="63"/>
      <c r="AB111" s="63"/>
      <c r="AC111" s="302"/>
      <c r="AD111" s="302"/>
      <c r="AE111" s="63"/>
      <c r="AF111" s="63"/>
      <c r="AG111" s="63"/>
      <c r="AH111" s="63"/>
      <c r="AJ111" s="63"/>
      <c r="AK111" s="63"/>
      <c r="AL111" s="63"/>
    </row>
    <row r="112" spans="2:38" outlineLevel="1" x14ac:dyDescent="0.25">
      <c r="B112" s="42">
        <v>45431</v>
      </c>
      <c r="C112" s="38"/>
      <c r="D112" s="38">
        <f t="shared" si="17"/>
        <v>135642.04000000004</v>
      </c>
      <c r="E112" s="38"/>
      <c r="F112" s="38"/>
      <c r="G112" s="38">
        <f t="shared" si="18"/>
        <v>135642.04000000004</v>
      </c>
      <c r="H112" s="38">
        <f t="shared" si="19"/>
        <v>173700000</v>
      </c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78">
        <v>45431</v>
      </c>
      <c r="T112" s="63"/>
      <c r="U112" s="63">
        <f t="shared" si="21"/>
        <v>111594.37999999977</v>
      </c>
      <c r="V112" s="63"/>
      <c r="W112" s="63"/>
      <c r="X112" s="63">
        <f t="shared" si="20"/>
        <v>111594.37999999977</v>
      </c>
      <c r="Y112" s="63">
        <f t="shared" si="22"/>
        <v>26100000</v>
      </c>
      <c r="Z112" s="63"/>
      <c r="AA112" s="63"/>
      <c r="AB112" s="63"/>
      <c r="AC112" s="302"/>
      <c r="AD112" s="302"/>
      <c r="AE112" s="63"/>
      <c r="AF112" s="63"/>
      <c r="AG112" s="63"/>
      <c r="AH112" s="63"/>
      <c r="AJ112" s="63"/>
      <c r="AK112" s="63"/>
      <c r="AL112" s="63"/>
    </row>
    <row r="113" spans="2:38" outlineLevel="1" x14ac:dyDescent="0.25">
      <c r="B113" s="42">
        <v>45432</v>
      </c>
      <c r="C113" s="38"/>
      <c r="D113" s="38">
        <f t="shared" si="17"/>
        <v>135642.04000000004</v>
      </c>
      <c r="E113" s="38"/>
      <c r="F113" s="38"/>
      <c r="G113" s="38">
        <f t="shared" si="18"/>
        <v>135642.04000000004</v>
      </c>
      <c r="H113" s="38">
        <f t="shared" si="19"/>
        <v>173700000</v>
      </c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78">
        <v>45432</v>
      </c>
      <c r="T113" s="63"/>
      <c r="U113" s="63">
        <f t="shared" si="21"/>
        <v>111594.37999999977</v>
      </c>
      <c r="V113" s="63"/>
      <c r="W113" s="63"/>
      <c r="X113" s="63">
        <f t="shared" si="20"/>
        <v>111594.37999999977</v>
      </c>
      <c r="Y113" s="63">
        <f t="shared" si="22"/>
        <v>26100000</v>
      </c>
      <c r="Z113" s="63"/>
      <c r="AA113" s="63"/>
      <c r="AB113" s="63"/>
      <c r="AC113" s="302"/>
      <c r="AD113" s="302"/>
      <c r="AE113" s="63"/>
      <c r="AF113" s="63"/>
      <c r="AG113" s="63"/>
      <c r="AH113" s="63"/>
      <c r="AJ113" s="63"/>
      <c r="AK113" s="63"/>
      <c r="AL113" s="63"/>
    </row>
    <row r="114" spans="2:38" outlineLevel="1" x14ac:dyDescent="0.25">
      <c r="B114" s="42">
        <v>45433</v>
      </c>
      <c r="C114" s="38"/>
      <c r="D114" s="38">
        <f t="shared" si="17"/>
        <v>135642.04000000004</v>
      </c>
      <c r="E114" s="38"/>
      <c r="F114" s="38"/>
      <c r="G114" s="38">
        <f t="shared" si="18"/>
        <v>135642.04000000004</v>
      </c>
      <c r="H114" s="38">
        <f t="shared" si="19"/>
        <v>173700000</v>
      </c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78">
        <v>45433</v>
      </c>
      <c r="T114" s="63"/>
      <c r="U114" s="63">
        <f t="shared" si="21"/>
        <v>111594.37999999977</v>
      </c>
      <c r="V114" s="63"/>
      <c r="W114" s="63"/>
      <c r="X114" s="63">
        <f t="shared" si="20"/>
        <v>111594.37999999977</v>
      </c>
      <c r="Y114" s="63">
        <f t="shared" si="22"/>
        <v>26100000</v>
      </c>
      <c r="Z114" s="63"/>
      <c r="AA114" s="63"/>
      <c r="AB114" s="63"/>
      <c r="AC114" s="302"/>
      <c r="AD114" s="302"/>
      <c r="AE114" s="63"/>
      <c r="AF114" s="63"/>
      <c r="AG114" s="63"/>
      <c r="AH114" s="63"/>
      <c r="AJ114" s="63"/>
      <c r="AK114" s="63"/>
      <c r="AL114" s="63"/>
    </row>
    <row r="115" spans="2:38" outlineLevel="1" x14ac:dyDescent="0.25">
      <c r="B115" s="42">
        <v>45434</v>
      </c>
      <c r="C115" s="38"/>
      <c r="D115" s="38">
        <f t="shared" si="17"/>
        <v>135642.04000000004</v>
      </c>
      <c r="E115" s="38"/>
      <c r="F115" s="38"/>
      <c r="G115" s="38">
        <f t="shared" si="18"/>
        <v>135642.04000000004</v>
      </c>
      <c r="H115" s="38">
        <f t="shared" si="19"/>
        <v>173700000</v>
      </c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78">
        <v>45434</v>
      </c>
      <c r="T115" s="63"/>
      <c r="U115" s="63">
        <f t="shared" si="21"/>
        <v>111594.37999999977</v>
      </c>
      <c r="V115" s="63"/>
      <c r="W115" s="63"/>
      <c r="X115" s="63">
        <f t="shared" si="20"/>
        <v>111594.37999999977</v>
      </c>
      <c r="Y115" s="63">
        <f t="shared" si="22"/>
        <v>26100000</v>
      </c>
      <c r="Z115" s="63"/>
      <c r="AA115" s="63"/>
      <c r="AB115" s="63"/>
      <c r="AC115" s="302"/>
      <c r="AD115" s="302"/>
      <c r="AE115" s="63"/>
      <c r="AF115" s="63"/>
      <c r="AG115" s="63"/>
      <c r="AH115" s="63"/>
      <c r="AJ115" s="63"/>
      <c r="AK115" s="63"/>
      <c r="AL115" s="63"/>
    </row>
    <row r="116" spans="2:38" outlineLevel="1" x14ac:dyDescent="0.25">
      <c r="B116" s="42">
        <v>45435</v>
      </c>
      <c r="C116" s="38"/>
      <c r="D116" s="38">
        <f t="shared" si="17"/>
        <v>135642.04000000004</v>
      </c>
      <c r="E116" s="38"/>
      <c r="F116" s="38"/>
      <c r="G116" s="38">
        <f t="shared" si="18"/>
        <v>135642.04000000004</v>
      </c>
      <c r="H116" s="38">
        <f t="shared" si="19"/>
        <v>173700000</v>
      </c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78">
        <v>45435</v>
      </c>
      <c r="T116" s="63"/>
      <c r="U116" s="63">
        <f t="shared" si="21"/>
        <v>111594.37999999977</v>
      </c>
      <c r="V116" s="63"/>
      <c r="W116" s="63"/>
      <c r="X116" s="63">
        <f t="shared" si="20"/>
        <v>111594.37999999977</v>
      </c>
      <c r="Y116" s="63">
        <f t="shared" si="22"/>
        <v>26100000</v>
      </c>
      <c r="Z116" s="63"/>
      <c r="AA116" s="63"/>
      <c r="AB116" s="63"/>
      <c r="AC116" s="302"/>
      <c r="AD116" s="302"/>
      <c r="AE116" s="63"/>
      <c r="AF116" s="63"/>
      <c r="AG116" s="63"/>
      <c r="AH116" s="63"/>
      <c r="AJ116" s="63"/>
      <c r="AK116" s="63"/>
      <c r="AL116" s="63"/>
    </row>
    <row r="117" spans="2:38" outlineLevel="1" x14ac:dyDescent="0.25">
      <c r="B117" s="42">
        <v>45436</v>
      </c>
      <c r="C117" s="38"/>
      <c r="D117" s="38">
        <f t="shared" si="17"/>
        <v>135642.04000000004</v>
      </c>
      <c r="E117" s="38"/>
      <c r="F117" s="38"/>
      <c r="G117" s="38">
        <v>634012.51</v>
      </c>
      <c r="H117" s="38">
        <f t="shared" si="19"/>
        <v>173700000</v>
      </c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78">
        <v>45436</v>
      </c>
      <c r="T117" s="63"/>
      <c r="U117" s="63">
        <v>1218832.55</v>
      </c>
      <c r="V117" s="80"/>
      <c r="W117" s="63"/>
      <c r="X117" s="63">
        <f t="shared" si="20"/>
        <v>1218832.55</v>
      </c>
      <c r="Y117" s="63">
        <f t="shared" si="22"/>
        <v>26100000</v>
      </c>
      <c r="Z117" s="63"/>
      <c r="AA117" s="63"/>
      <c r="AB117" s="63"/>
      <c r="AC117" s="302"/>
      <c r="AD117" s="302"/>
      <c r="AE117" s="63"/>
      <c r="AF117" s="63"/>
      <c r="AG117" s="63"/>
      <c r="AH117" s="63"/>
      <c r="AJ117" s="63"/>
      <c r="AK117" s="63"/>
      <c r="AL117" s="63"/>
    </row>
    <row r="118" spans="2:38" outlineLevel="1" x14ac:dyDescent="0.25">
      <c r="B118" s="42">
        <v>45437</v>
      </c>
      <c r="C118" s="38"/>
      <c r="D118" s="38">
        <f t="shared" ref="D118:D169" si="23">C118+G117</f>
        <v>634012.51</v>
      </c>
      <c r="E118" s="38"/>
      <c r="F118" s="38"/>
      <c r="G118" s="38">
        <f t="shared" ref="G118:G168" si="24">D118+E118+F118</f>
        <v>634012.51</v>
      </c>
      <c r="H118" s="38">
        <f>H117-E118-19700000</f>
        <v>154000000</v>
      </c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78">
        <v>45437</v>
      </c>
      <c r="T118" s="63"/>
      <c r="U118" s="63">
        <f t="shared" ref="U118:U126" si="25">T118+X117</f>
        <v>1218832.55</v>
      </c>
      <c r="V118" s="63"/>
      <c r="W118" s="63"/>
      <c r="X118" s="63">
        <f t="shared" si="20"/>
        <v>1218832.55</v>
      </c>
      <c r="Y118" s="63">
        <f t="shared" si="22"/>
        <v>26100000</v>
      </c>
      <c r="Z118" s="63"/>
      <c r="AA118" s="63"/>
      <c r="AB118" s="63"/>
      <c r="AC118" s="302"/>
      <c r="AD118" s="302"/>
      <c r="AE118" s="63"/>
      <c r="AF118" s="63"/>
      <c r="AG118" s="63"/>
      <c r="AH118" s="63"/>
      <c r="AJ118" s="63"/>
      <c r="AK118" s="63"/>
      <c r="AL118" s="63"/>
    </row>
    <row r="119" spans="2:38" outlineLevel="1" x14ac:dyDescent="0.25">
      <c r="B119" s="42">
        <v>45438</v>
      </c>
      <c r="C119" s="38"/>
      <c r="D119" s="38">
        <f t="shared" si="23"/>
        <v>634012.51</v>
      </c>
      <c r="E119" s="38"/>
      <c r="F119" s="38"/>
      <c r="G119" s="38">
        <f t="shared" si="24"/>
        <v>634012.51</v>
      </c>
      <c r="H119" s="38">
        <f t="shared" ref="H119:H168" si="26">H118-E119</f>
        <v>154000000</v>
      </c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78">
        <v>45438</v>
      </c>
      <c r="T119" s="63"/>
      <c r="U119" s="63">
        <f t="shared" si="25"/>
        <v>1218832.55</v>
      </c>
      <c r="V119" s="63"/>
      <c r="W119" s="63"/>
      <c r="X119" s="63">
        <f t="shared" si="20"/>
        <v>1218832.55</v>
      </c>
      <c r="Y119" s="63">
        <f t="shared" si="22"/>
        <v>26100000</v>
      </c>
      <c r="Z119" s="63"/>
      <c r="AA119" s="63"/>
      <c r="AB119" s="63"/>
      <c r="AC119" s="302"/>
      <c r="AD119" s="302"/>
      <c r="AE119" s="63"/>
      <c r="AF119" s="63"/>
      <c r="AG119" s="63"/>
      <c r="AH119" s="63"/>
      <c r="AJ119" s="63"/>
      <c r="AK119" s="63"/>
      <c r="AL119" s="63"/>
    </row>
    <row r="120" spans="2:38" outlineLevel="1" x14ac:dyDescent="0.25">
      <c r="B120" s="42">
        <v>45439</v>
      </c>
      <c r="C120" s="38">
        <v>-935563.12</v>
      </c>
      <c r="D120" s="38">
        <f t="shared" si="23"/>
        <v>-301550.61</v>
      </c>
      <c r="E120" s="38">
        <v>600000</v>
      </c>
      <c r="F120" s="38"/>
      <c r="G120" s="38">
        <f t="shared" si="24"/>
        <v>298449.39</v>
      </c>
      <c r="H120" s="38">
        <f>H119-E120</f>
        <v>153400000</v>
      </c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78">
        <v>45439</v>
      </c>
      <c r="T120" s="63">
        <v>-934741.43</v>
      </c>
      <c r="U120" s="63">
        <f t="shared" si="25"/>
        <v>284091.12</v>
      </c>
      <c r="V120" s="63"/>
      <c r="W120" s="63"/>
      <c r="X120" s="63">
        <f t="shared" si="20"/>
        <v>284091.12</v>
      </c>
      <c r="Y120" s="63">
        <f t="shared" si="22"/>
        <v>26100000</v>
      </c>
      <c r="Z120" s="63"/>
      <c r="AA120" s="63"/>
      <c r="AB120" s="63"/>
      <c r="AC120" s="302"/>
      <c r="AD120" s="302"/>
      <c r="AE120" s="63"/>
      <c r="AF120" s="63"/>
      <c r="AG120" s="63"/>
      <c r="AH120" s="63"/>
      <c r="AJ120" s="63"/>
      <c r="AK120" s="63"/>
      <c r="AL120" s="63"/>
    </row>
    <row r="121" spans="2:38" outlineLevel="1" x14ac:dyDescent="0.25">
      <c r="B121" s="42">
        <v>45440</v>
      </c>
      <c r="C121" s="38"/>
      <c r="D121" s="38">
        <f t="shared" si="23"/>
        <v>298449.39</v>
      </c>
      <c r="E121" s="38"/>
      <c r="F121" s="38"/>
      <c r="G121" s="38">
        <f t="shared" si="24"/>
        <v>298449.39</v>
      </c>
      <c r="H121" s="38">
        <f t="shared" si="26"/>
        <v>153400000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78">
        <v>45440</v>
      </c>
      <c r="T121" s="63"/>
      <c r="U121" s="63">
        <f t="shared" si="25"/>
        <v>284091.12</v>
      </c>
      <c r="V121" s="63"/>
      <c r="W121" s="63"/>
      <c r="X121" s="63">
        <f t="shared" si="20"/>
        <v>284091.12</v>
      </c>
      <c r="Y121" s="63">
        <f t="shared" si="22"/>
        <v>26100000</v>
      </c>
      <c r="Z121" s="63"/>
      <c r="AA121" s="63"/>
      <c r="AB121" s="63"/>
      <c r="AC121" s="302"/>
      <c r="AD121" s="302"/>
      <c r="AE121" s="63"/>
      <c r="AF121" s="63"/>
      <c r="AG121" s="63"/>
      <c r="AH121" s="63"/>
      <c r="AJ121" s="63"/>
      <c r="AK121" s="63"/>
      <c r="AL121" s="63"/>
    </row>
    <row r="122" spans="2:38" outlineLevel="1" x14ac:dyDescent="0.25">
      <c r="B122" s="42">
        <v>45441</v>
      </c>
      <c r="C122" s="38"/>
      <c r="D122" s="38">
        <f t="shared" si="23"/>
        <v>298449.39</v>
      </c>
      <c r="E122" s="38"/>
      <c r="F122" s="38"/>
      <c r="G122" s="38">
        <f t="shared" si="24"/>
        <v>298449.39</v>
      </c>
      <c r="H122" s="38">
        <f t="shared" si="26"/>
        <v>153400000</v>
      </c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78">
        <v>45441</v>
      </c>
      <c r="T122" s="63"/>
      <c r="U122" s="63">
        <f t="shared" si="25"/>
        <v>284091.12</v>
      </c>
      <c r="V122" s="63"/>
      <c r="W122" s="63"/>
      <c r="X122" s="63">
        <f t="shared" si="20"/>
        <v>284091.12</v>
      </c>
      <c r="Y122" s="63">
        <f t="shared" si="22"/>
        <v>26100000</v>
      </c>
      <c r="Z122" s="63"/>
      <c r="AA122" s="63"/>
      <c r="AB122" s="63"/>
      <c r="AC122" s="302"/>
      <c r="AD122" s="302"/>
      <c r="AE122" s="63"/>
      <c r="AF122" s="63"/>
      <c r="AG122" s="63"/>
      <c r="AH122" s="63"/>
      <c r="AJ122" s="63"/>
      <c r="AK122" s="63"/>
      <c r="AL122" s="63"/>
    </row>
    <row r="123" spans="2:38" outlineLevel="1" x14ac:dyDescent="0.25">
      <c r="B123" s="42">
        <v>45442</v>
      </c>
      <c r="C123" s="38"/>
      <c r="D123" s="38">
        <f t="shared" si="23"/>
        <v>298449.39</v>
      </c>
      <c r="E123" s="38"/>
      <c r="F123" s="38"/>
      <c r="G123" s="38">
        <f t="shared" si="24"/>
        <v>298449.39</v>
      </c>
      <c r="H123" s="38">
        <f t="shared" si="26"/>
        <v>153400000</v>
      </c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78">
        <v>45442</v>
      </c>
      <c r="T123" s="63"/>
      <c r="U123" s="63">
        <f t="shared" si="25"/>
        <v>284091.12</v>
      </c>
      <c r="V123" s="63"/>
      <c r="W123" s="63"/>
      <c r="X123" s="63">
        <f t="shared" si="20"/>
        <v>284091.12</v>
      </c>
      <c r="Y123" s="63">
        <f t="shared" si="22"/>
        <v>26100000</v>
      </c>
      <c r="Z123" s="63"/>
      <c r="AA123" s="63"/>
      <c r="AB123" s="63"/>
      <c r="AC123" s="302"/>
      <c r="AD123" s="302"/>
      <c r="AE123" s="63"/>
      <c r="AF123" s="63"/>
      <c r="AG123" s="63"/>
      <c r="AH123" s="63"/>
      <c r="AJ123" s="63"/>
      <c r="AK123" s="63"/>
      <c r="AL123" s="63"/>
    </row>
    <row r="124" spans="2:38" outlineLevel="1" x14ac:dyDescent="0.25">
      <c r="B124" s="42">
        <v>45443</v>
      </c>
      <c r="C124" s="38"/>
      <c r="D124" s="38">
        <f t="shared" si="23"/>
        <v>298449.39</v>
      </c>
      <c r="E124" s="38"/>
      <c r="F124" s="38"/>
      <c r="G124" s="38">
        <f t="shared" si="24"/>
        <v>298449.39</v>
      </c>
      <c r="H124" s="38">
        <f t="shared" si="26"/>
        <v>153400000</v>
      </c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78">
        <v>45443</v>
      </c>
      <c r="T124" s="63"/>
      <c r="U124" s="63">
        <f t="shared" si="25"/>
        <v>284091.12</v>
      </c>
      <c r="V124" s="63"/>
      <c r="W124" s="63"/>
      <c r="X124" s="63">
        <f t="shared" si="20"/>
        <v>284091.12</v>
      </c>
      <c r="Y124" s="63">
        <f t="shared" si="22"/>
        <v>26100000</v>
      </c>
      <c r="Z124" s="63"/>
      <c r="AA124" s="63"/>
      <c r="AB124" s="63"/>
      <c r="AC124" s="302"/>
      <c r="AD124" s="302"/>
      <c r="AE124" s="63"/>
      <c r="AF124" s="63"/>
      <c r="AG124" s="63"/>
      <c r="AH124" s="63"/>
      <c r="AJ124" s="63"/>
      <c r="AK124" s="63"/>
      <c r="AL124" s="63"/>
    </row>
    <row r="125" spans="2:38" outlineLevel="1" x14ac:dyDescent="0.25">
      <c r="B125" s="42">
        <v>45444</v>
      </c>
      <c r="C125" s="38"/>
      <c r="D125" s="38">
        <f t="shared" si="23"/>
        <v>298449.39</v>
      </c>
      <c r="E125" s="38"/>
      <c r="F125" s="38"/>
      <c r="G125" s="38">
        <f t="shared" si="24"/>
        <v>298449.39</v>
      </c>
      <c r="H125" s="38">
        <f t="shared" si="26"/>
        <v>153400000</v>
      </c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78">
        <v>45444</v>
      </c>
      <c r="T125" s="63"/>
      <c r="U125" s="63">
        <f t="shared" si="25"/>
        <v>284091.12</v>
      </c>
      <c r="V125" s="63"/>
      <c r="W125" s="63"/>
      <c r="X125" s="63">
        <f t="shared" si="20"/>
        <v>284091.12</v>
      </c>
      <c r="Y125" s="63">
        <f t="shared" si="22"/>
        <v>26100000</v>
      </c>
      <c r="Z125" s="63"/>
      <c r="AA125" s="63"/>
      <c r="AB125" s="63"/>
      <c r="AC125" s="302"/>
      <c r="AD125" s="302"/>
      <c r="AE125" s="63"/>
      <c r="AF125" s="63"/>
      <c r="AG125" s="63"/>
      <c r="AH125" s="63"/>
      <c r="AJ125" s="63"/>
      <c r="AK125" s="63"/>
      <c r="AL125" s="63"/>
    </row>
    <row r="126" spans="2:38" outlineLevel="1" x14ac:dyDescent="0.25">
      <c r="B126" s="42">
        <v>45445</v>
      </c>
      <c r="C126" s="38"/>
      <c r="D126" s="38">
        <f t="shared" si="23"/>
        <v>298449.39</v>
      </c>
      <c r="E126" s="38"/>
      <c r="F126" s="38"/>
      <c r="G126" s="38">
        <f t="shared" si="24"/>
        <v>298449.39</v>
      </c>
      <c r="H126" s="38">
        <f t="shared" si="26"/>
        <v>153400000</v>
      </c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78">
        <v>45445</v>
      </c>
      <c r="T126" s="63"/>
      <c r="U126" s="63">
        <f t="shared" si="25"/>
        <v>284091.12</v>
      </c>
      <c r="V126" s="63"/>
      <c r="W126" s="63"/>
      <c r="X126" s="63">
        <f t="shared" si="20"/>
        <v>284091.12</v>
      </c>
      <c r="Y126" s="63">
        <f t="shared" si="22"/>
        <v>26100000</v>
      </c>
      <c r="Z126" s="63"/>
      <c r="AA126" s="63"/>
      <c r="AB126" s="63"/>
      <c r="AC126" s="302"/>
      <c r="AD126" s="302"/>
      <c r="AE126" s="63"/>
      <c r="AF126" s="63"/>
      <c r="AG126" s="63"/>
      <c r="AH126" s="63"/>
      <c r="AJ126" s="63"/>
      <c r="AK126" s="63"/>
      <c r="AL126" s="63"/>
    </row>
    <row r="127" spans="2:38" outlineLevel="1" x14ac:dyDescent="0.25">
      <c r="B127" s="42">
        <v>45446</v>
      </c>
      <c r="C127" s="38"/>
      <c r="D127" s="38">
        <f t="shared" si="23"/>
        <v>298449.39</v>
      </c>
      <c r="E127" s="38"/>
      <c r="F127" s="38"/>
      <c r="G127" s="38">
        <f t="shared" si="24"/>
        <v>298449.39</v>
      </c>
      <c r="H127" s="38">
        <f t="shared" si="26"/>
        <v>153400000</v>
      </c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78">
        <v>45446</v>
      </c>
      <c r="T127" s="63"/>
      <c r="U127" s="63">
        <f t="shared" ref="U127:U190" si="27">T127+X126+W127</f>
        <v>284091.12</v>
      </c>
      <c r="V127" s="63"/>
      <c r="W127" s="63"/>
      <c r="X127" s="63">
        <f t="shared" si="20"/>
        <v>284091.12</v>
      </c>
      <c r="Y127" s="63">
        <f t="shared" si="22"/>
        <v>26100000</v>
      </c>
      <c r="Z127" s="63"/>
      <c r="AA127" s="63"/>
      <c r="AB127" s="63"/>
      <c r="AC127" s="302"/>
      <c r="AD127" s="302"/>
      <c r="AE127" s="63"/>
      <c r="AF127" s="63"/>
      <c r="AG127" s="63"/>
      <c r="AH127" s="63"/>
      <c r="AJ127" s="63"/>
      <c r="AK127" s="63"/>
      <c r="AL127" s="63"/>
    </row>
    <row r="128" spans="2:38" outlineLevel="1" x14ac:dyDescent="0.25">
      <c r="B128" s="42">
        <v>45447</v>
      </c>
      <c r="C128" s="38"/>
      <c r="D128" s="38">
        <f t="shared" si="23"/>
        <v>298449.39</v>
      </c>
      <c r="E128" s="38"/>
      <c r="F128" s="38">
        <v>194950.39</v>
      </c>
      <c r="G128" s="38">
        <f t="shared" si="24"/>
        <v>493399.78</v>
      </c>
      <c r="H128" s="38">
        <f t="shared" si="26"/>
        <v>153400000</v>
      </c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78">
        <v>45447</v>
      </c>
      <c r="T128" s="63"/>
      <c r="U128" s="63">
        <f t="shared" si="27"/>
        <v>284091.12</v>
      </c>
      <c r="V128" s="63"/>
      <c r="W128" s="63"/>
      <c r="X128" s="63">
        <f t="shared" si="20"/>
        <v>284091.12</v>
      </c>
      <c r="Y128" s="63">
        <f t="shared" si="22"/>
        <v>26100000</v>
      </c>
      <c r="Z128" s="63"/>
      <c r="AA128" s="63"/>
      <c r="AB128" s="63"/>
      <c r="AC128" s="302"/>
      <c r="AD128" s="302"/>
      <c r="AE128" s="63"/>
      <c r="AF128" s="63"/>
      <c r="AG128" s="63"/>
      <c r="AH128" s="63"/>
      <c r="AJ128" s="63"/>
      <c r="AK128" s="63"/>
      <c r="AL128" s="63"/>
    </row>
    <row r="129" spans="2:38" outlineLevel="1" x14ac:dyDescent="0.25">
      <c r="B129" s="42">
        <v>45448</v>
      </c>
      <c r="C129" s="38"/>
      <c r="D129" s="38">
        <f t="shared" si="23"/>
        <v>493399.78</v>
      </c>
      <c r="E129" s="38"/>
      <c r="F129" s="38"/>
      <c r="G129" s="38">
        <f t="shared" si="24"/>
        <v>493399.78</v>
      </c>
      <c r="H129" s="38">
        <f t="shared" si="26"/>
        <v>153400000</v>
      </c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78">
        <v>45448</v>
      </c>
      <c r="T129" s="63"/>
      <c r="U129" s="63">
        <f t="shared" si="27"/>
        <v>398140.13</v>
      </c>
      <c r="V129" s="63"/>
      <c r="W129" s="63">
        <v>114049.01</v>
      </c>
      <c r="X129" s="63">
        <f t="shared" si="20"/>
        <v>398140.13</v>
      </c>
      <c r="Y129" s="63">
        <f t="shared" si="22"/>
        <v>26100000</v>
      </c>
      <c r="Z129" s="63"/>
      <c r="AA129" s="63"/>
      <c r="AB129" s="63"/>
      <c r="AC129" s="302"/>
      <c r="AD129" s="302"/>
      <c r="AE129" s="63"/>
      <c r="AF129" s="63"/>
      <c r="AG129" s="63"/>
      <c r="AH129" s="63"/>
      <c r="AJ129" s="63"/>
      <c r="AK129" s="63"/>
      <c r="AL129" s="63"/>
    </row>
    <row r="130" spans="2:38" outlineLevel="1" x14ac:dyDescent="0.25">
      <c r="B130" s="42">
        <v>45449</v>
      </c>
      <c r="C130" s="38">
        <v>-2675399.67</v>
      </c>
      <c r="D130" s="38">
        <f t="shared" si="23"/>
        <v>-2181999.8899999997</v>
      </c>
      <c r="E130" s="38">
        <v>2400000</v>
      </c>
      <c r="F130" s="38"/>
      <c r="G130" s="38">
        <f t="shared" si="24"/>
        <v>218000.11000000034</v>
      </c>
      <c r="H130" s="38">
        <f t="shared" si="26"/>
        <v>151000000</v>
      </c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78">
        <v>45449</v>
      </c>
      <c r="T130" s="63">
        <v>-236288.52</v>
      </c>
      <c r="U130" s="63">
        <f t="shared" si="27"/>
        <v>161851.61000000002</v>
      </c>
      <c r="V130" s="63"/>
      <c r="W130" s="63"/>
      <c r="X130" s="63">
        <f t="shared" si="20"/>
        <v>161851.61000000002</v>
      </c>
      <c r="Y130" s="63">
        <f t="shared" si="22"/>
        <v>26100000</v>
      </c>
      <c r="Z130" s="63"/>
      <c r="AA130" s="63"/>
      <c r="AB130" s="63"/>
      <c r="AC130" s="302"/>
      <c r="AD130" s="302"/>
      <c r="AE130" s="63"/>
      <c r="AF130" s="63"/>
      <c r="AG130" s="63"/>
      <c r="AH130" s="63"/>
      <c r="AJ130" s="63"/>
      <c r="AK130" s="63"/>
      <c r="AL130" s="63"/>
    </row>
    <row r="131" spans="2:38" outlineLevel="1" x14ac:dyDescent="0.25">
      <c r="B131" s="42">
        <v>45450</v>
      </c>
      <c r="C131" s="38"/>
      <c r="D131" s="38">
        <f t="shared" si="23"/>
        <v>218000.11000000034</v>
      </c>
      <c r="E131" s="38"/>
      <c r="F131" s="38"/>
      <c r="G131" s="38">
        <f t="shared" si="24"/>
        <v>218000.11000000034</v>
      </c>
      <c r="H131" s="38">
        <f t="shared" si="26"/>
        <v>151000000</v>
      </c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78">
        <v>45450</v>
      </c>
      <c r="T131" s="63"/>
      <c r="U131" s="63">
        <f t="shared" si="27"/>
        <v>161851.61000000002</v>
      </c>
      <c r="V131" s="63"/>
      <c r="W131" s="63"/>
      <c r="X131" s="63">
        <f t="shared" si="20"/>
        <v>161851.61000000002</v>
      </c>
      <c r="Y131" s="63">
        <f t="shared" si="22"/>
        <v>26100000</v>
      </c>
      <c r="Z131" s="63"/>
      <c r="AA131" s="63"/>
      <c r="AB131" s="63"/>
      <c r="AC131" s="302"/>
      <c r="AD131" s="302"/>
      <c r="AE131" s="63"/>
      <c r="AF131" s="63"/>
      <c r="AG131" s="63"/>
      <c r="AH131" s="63"/>
      <c r="AJ131" s="63"/>
      <c r="AK131" s="63"/>
      <c r="AL131" s="63"/>
    </row>
    <row r="132" spans="2:38" outlineLevel="1" x14ac:dyDescent="0.25">
      <c r="B132" s="42">
        <v>45451</v>
      </c>
      <c r="C132" s="38"/>
      <c r="D132" s="38">
        <f t="shared" si="23"/>
        <v>218000.11000000034</v>
      </c>
      <c r="E132" s="38"/>
      <c r="F132" s="38"/>
      <c r="G132" s="38">
        <f t="shared" si="24"/>
        <v>218000.11000000034</v>
      </c>
      <c r="H132" s="38">
        <f t="shared" si="26"/>
        <v>151000000</v>
      </c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78">
        <v>45451</v>
      </c>
      <c r="T132" s="63"/>
      <c r="U132" s="63">
        <f t="shared" si="27"/>
        <v>161851.61000000002</v>
      </c>
      <c r="V132" s="63"/>
      <c r="W132" s="63"/>
      <c r="X132" s="63">
        <f t="shared" si="20"/>
        <v>161851.61000000002</v>
      </c>
      <c r="Y132" s="63">
        <f t="shared" si="22"/>
        <v>26100000</v>
      </c>
      <c r="Z132" s="63"/>
      <c r="AA132" s="63"/>
      <c r="AB132" s="63"/>
      <c r="AC132" s="302"/>
      <c r="AD132" s="302"/>
      <c r="AE132" s="63"/>
      <c r="AF132" s="63"/>
      <c r="AG132" s="63"/>
      <c r="AH132" s="63"/>
      <c r="AJ132" s="63"/>
      <c r="AK132" s="63"/>
      <c r="AL132" s="63"/>
    </row>
    <row r="133" spans="2:38" outlineLevel="1" x14ac:dyDescent="0.25">
      <c r="B133" s="42">
        <v>45452</v>
      </c>
      <c r="C133" s="38"/>
      <c r="D133" s="38">
        <f t="shared" si="23"/>
        <v>218000.11000000034</v>
      </c>
      <c r="E133" s="38"/>
      <c r="F133" s="38"/>
      <c r="G133" s="38">
        <f t="shared" si="24"/>
        <v>218000.11000000034</v>
      </c>
      <c r="H133" s="38">
        <f t="shared" si="26"/>
        <v>151000000</v>
      </c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78">
        <v>45452</v>
      </c>
      <c r="T133" s="63"/>
      <c r="U133" s="63">
        <f t="shared" si="27"/>
        <v>161851.61000000002</v>
      </c>
      <c r="V133" s="63"/>
      <c r="W133" s="63"/>
      <c r="X133" s="63">
        <f t="shared" si="20"/>
        <v>161851.61000000002</v>
      </c>
      <c r="Y133" s="63">
        <f t="shared" si="22"/>
        <v>26100000</v>
      </c>
      <c r="Z133" s="63"/>
      <c r="AA133" s="63"/>
      <c r="AB133" s="63"/>
      <c r="AC133" s="302"/>
      <c r="AD133" s="302"/>
      <c r="AE133" s="63"/>
      <c r="AF133" s="63"/>
      <c r="AG133" s="63"/>
      <c r="AH133" s="63"/>
      <c r="AJ133" s="63"/>
      <c r="AK133" s="63"/>
      <c r="AL133" s="63"/>
    </row>
    <row r="134" spans="2:38" outlineLevel="1" x14ac:dyDescent="0.25">
      <c r="B134" s="42">
        <v>45453</v>
      </c>
      <c r="C134" s="38"/>
      <c r="D134" s="38">
        <f t="shared" si="23"/>
        <v>218000.11000000034</v>
      </c>
      <c r="E134" s="38"/>
      <c r="F134" s="38"/>
      <c r="G134" s="38">
        <f t="shared" si="24"/>
        <v>218000.11000000034</v>
      </c>
      <c r="H134" s="38">
        <f t="shared" si="26"/>
        <v>151000000</v>
      </c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78">
        <v>45453</v>
      </c>
      <c r="T134" s="63"/>
      <c r="U134" s="63">
        <f t="shared" si="27"/>
        <v>161851.61000000002</v>
      </c>
      <c r="V134" s="63"/>
      <c r="W134" s="63"/>
      <c r="X134" s="63">
        <f t="shared" si="20"/>
        <v>161851.61000000002</v>
      </c>
      <c r="Y134" s="63">
        <f t="shared" si="22"/>
        <v>26100000</v>
      </c>
      <c r="Z134" s="63"/>
      <c r="AA134" s="63"/>
      <c r="AB134" s="63"/>
      <c r="AC134" s="302"/>
      <c r="AD134" s="302"/>
      <c r="AE134" s="63"/>
      <c r="AF134" s="63"/>
      <c r="AG134" s="63"/>
      <c r="AH134" s="63"/>
      <c r="AJ134" s="63"/>
      <c r="AK134" s="63"/>
      <c r="AL134" s="63"/>
    </row>
    <row r="135" spans="2:38" outlineLevel="1" x14ac:dyDescent="0.25">
      <c r="B135" s="42">
        <v>45454</v>
      </c>
      <c r="C135" s="38"/>
      <c r="D135" s="38">
        <f t="shared" si="23"/>
        <v>218000.11000000034</v>
      </c>
      <c r="E135" s="38"/>
      <c r="F135" s="38">
        <f>253767.72-D135</f>
        <v>35767.609999999666</v>
      </c>
      <c r="G135" s="38">
        <f t="shared" si="24"/>
        <v>253767.72</v>
      </c>
      <c r="H135" s="38">
        <f t="shared" si="26"/>
        <v>151000000</v>
      </c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78">
        <v>45454</v>
      </c>
      <c r="T135" s="63"/>
      <c r="U135" s="63">
        <f t="shared" si="27"/>
        <v>161851.61000000002</v>
      </c>
      <c r="V135" s="63"/>
      <c r="W135" s="63"/>
      <c r="X135" s="63">
        <f t="shared" si="20"/>
        <v>161851.61000000002</v>
      </c>
      <c r="Y135" s="63">
        <v>36500000</v>
      </c>
      <c r="Z135" s="63"/>
      <c r="AA135" s="63"/>
      <c r="AB135" s="63"/>
      <c r="AC135" s="302"/>
      <c r="AD135" s="302"/>
      <c r="AE135" s="63"/>
      <c r="AF135" s="63"/>
      <c r="AG135" s="63"/>
      <c r="AH135" s="63"/>
      <c r="AJ135" s="63"/>
      <c r="AK135" s="63"/>
      <c r="AL135" s="63"/>
    </row>
    <row r="136" spans="2:38" outlineLevel="1" x14ac:dyDescent="0.25">
      <c r="B136" s="42">
        <v>45455</v>
      </c>
      <c r="C136" s="38">
        <v>-1268177.4099999999</v>
      </c>
      <c r="D136" s="38">
        <f t="shared" si="23"/>
        <v>-1014409.69</v>
      </c>
      <c r="E136" s="38">
        <v>1200000</v>
      </c>
      <c r="F136" s="38"/>
      <c r="G136" s="38">
        <f t="shared" si="24"/>
        <v>185590.31000000006</v>
      </c>
      <c r="H136" s="38">
        <f t="shared" si="26"/>
        <v>149800000</v>
      </c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78">
        <v>45455</v>
      </c>
      <c r="T136" s="63"/>
      <c r="U136" s="63">
        <f t="shared" si="27"/>
        <v>161851.61000000002</v>
      </c>
      <c r="V136" s="63"/>
      <c r="W136" s="63"/>
      <c r="X136" s="63">
        <f t="shared" si="20"/>
        <v>161851.61000000002</v>
      </c>
      <c r="Y136" s="63">
        <f t="shared" ref="Y136:Y199" si="28">Y135-V136</f>
        <v>36500000</v>
      </c>
      <c r="Z136" s="63"/>
      <c r="AA136" s="63"/>
      <c r="AB136" s="63"/>
      <c r="AC136" s="302"/>
      <c r="AD136" s="302"/>
      <c r="AE136" s="63"/>
      <c r="AF136" s="63"/>
      <c r="AG136" s="63"/>
      <c r="AH136" s="63"/>
      <c r="AJ136" s="63"/>
      <c r="AK136" s="63"/>
      <c r="AL136" s="63"/>
    </row>
    <row r="137" spans="2:38" outlineLevel="1" x14ac:dyDescent="0.25">
      <c r="B137" s="42">
        <v>45456</v>
      </c>
      <c r="C137" s="38">
        <v>-130631.16</v>
      </c>
      <c r="D137" s="38">
        <f t="shared" si="23"/>
        <v>54959.150000000052</v>
      </c>
      <c r="E137" s="38">
        <v>200000</v>
      </c>
      <c r="F137" s="38">
        <v>-31408.9</v>
      </c>
      <c r="G137" s="38">
        <f t="shared" si="24"/>
        <v>223550.25000000006</v>
      </c>
      <c r="H137" s="38">
        <f t="shared" si="26"/>
        <v>149600000</v>
      </c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78">
        <v>45456</v>
      </c>
      <c r="T137" s="63"/>
      <c r="U137" s="63">
        <f t="shared" si="27"/>
        <v>104229.27000000002</v>
      </c>
      <c r="V137" s="63"/>
      <c r="W137" s="63">
        <v>-57622.34</v>
      </c>
      <c r="X137" s="63">
        <f t="shared" si="20"/>
        <v>104229.27000000002</v>
      </c>
      <c r="Y137" s="63">
        <f t="shared" si="28"/>
        <v>36500000</v>
      </c>
      <c r="Z137" s="63"/>
      <c r="AA137" s="63"/>
      <c r="AB137" s="63"/>
      <c r="AC137" s="302"/>
      <c r="AD137" s="302"/>
      <c r="AE137" s="63"/>
      <c r="AF137" s="63"/>
      <c r="AG137" s="63"/>
      <c r="AH137" s="63"/>
      <c r="AJ137" s="63"/>
      <c r="AK137" s="63"/>
      <c r="AL137" s="63"/>
    </row>
    <row r="138" spans="2:38" outlineLevel="1" x14ac:dyDescent="0.25">
      <c r="B138" s="42">
        <v>45457</v>
      </c>
      <c r="C138" s="38">
        <v>-917929.51</v>
      </c>
      <c r="D138" s="38">
        <f t="shared" si="23"/>
        <v>-694379.26</v>
      </c>
      <c r="E138" s="38">
        <v>900000</v>
      </c>
      <c r="F138" s="38"/>
      <c r="G138" s="38">
        <f t="shared" si="24"/>
        <v>205620.74</v>
      </c>
      <c r="H138" s="38">
        <f t="shared" si="26"/>
        <v>148700000</v>
      </c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78">
        <v>45457</v>
      </c>
      <c r="T138" s="63">
        <v>-49502</v>
      </c>
      <c r="U138" s="63">
        <f t="shared" si="27"/>
        <v>54727.270000000019</v>
      </c>
      <c r="V138" s="63">
        <v>50000</v>
      </c>
      <c r="W138" s="63"/>
      <c r="X138" s="63">
        <f t="shared" si="20"/>
        <v>104727.27000000002</v>
      </c>
      <c r="Y138" s="63">
        <f t="shared" si="28"/>
        <v>36450000</v>
      </c>
      <c r="Z138" s="63"/>
      <c r="AA138" s="63"/>
      <c r="AB138" s="63"/>
      <c r="AC138" s="302"/>
      <c r="AD138" s="302"/>
      <c r="AE138" s="63"/>
      <c r="AF138" s="63"/>
      <c r="AG138" s="63"/>
      <c r="AH138" s="63"/>
      <c r="AJ138" s="63"/>
      <c r="AK138" s="63"/>
      <c r="AL138" s="63"/>
    </row>
    <row r="139" spans="2:38" outlineLevel="1" x14ac:dyDescent="0.25">
      <c r="B139" s="42">
        <v>45458</v>
      </c>
      <c r="C139" s="38"/>
      <c r="D139" s="38">
        <f t="shared" si="23"/>
        <v>205620.74</v>
      </c>
      <c r="E139" s="38"/>
      <c r="F139" s="38"/>
      <c r="G139" s="38">
        <f t="shared" si="24"/>
        <v>205620.74</v>
      </c>
      <c r="H139" s="38">
        <f t="shared" si="26"/>
        <v>148700000</v>
      </c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78">
        <v>45458</v>
      </c>
      <c r="T139" s="63"/>
      <c r="U139" s="63">
        <f t="shared" si="27"/>
        <v>104727.27000000002</v>
      </c>
      <c r="V139" s="63"/>
      <c r="W139" s="63"/>
      <c r="X139" s="63">
        <f t="shared" si="20"/>
        <v>104727.27000000002</v>
      </c>
      <c r="Y139" s="63">
        <f t="shared" si="28"/>
        <v>36450000</v>
      </c>
      <c r="Z139" s="63"/>
      <c r="AA139" s="63"/>
      <c r="AB139" s="63"/>
      <c r="AC139" s="302"/>
      <c r="AD139" s="302"/>
      <c r="AE139" s="63"/>
      <c r="AF139" s="63"/>
      <c r="AG139" s="63"/>
      <c r="AH139" s="63"/>
      <c r="AJ139" s="63"/>
      <c r="AK139" s="63"/>
      <c r="AL139" s="63"/>
    </row>
    <row r="140" spans="2:38" outlineLevel="1" x14ac:dyDescent="0.25">
      <c r="B140" s="42">
        <v>45459</v>
      </c>
      <c r="C140" s="38"/>
      <c r="D140" s="38">
        <f t="shared" si="23"/>
        <v>205620.74</v>
      </c>
      <c r="E140" s="38"/>
      <c r="F140" s="38"/>
      <c r="G140" s="38">
        <f t="shared" si="24"/>
        <v>205620.74</v>
      </c>
      <c r="H140" s="38">
        <f t="shared" si="26"/>
        <v>148700000</v>
      </c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78">
        <v>45459</v>
      </c>
      <c r="T140" s="63"/>
      <c r="U140" s="63">
        <f t="shared" si="27"/>
        <v>104727.27000000002</v>
      </c>
      <c r="V140" s="63"/>
      <c r="W140" s="63"/>
      <c r="X140" s="63">
        <f t="shared" si="20"/>
        <v>104727.27000000002</v>
      </c>
      <c r="Y140" s="63">
        <f t="shared" si="28"/>
        <v>36450000</v>
      </c>
      <c r="Z140" s="63"/>
      <c r="AA140" s="63"/>
      <c r="AB140" s="63"/>
      <c r="AC140" s="302"/>
      <c r="AD140" s="302"/>
      <c r="AE140" s="63"/>
      <c r="AF140" s="63"/>
      <c r="AG140" s="63"/>
      <c r="AH140" s="63"/>
      <c r="AJ140" s="63"/>
      <c r="AK140" s="63"/>
      <c r="AL140" s="63"/>
    </row>
    <row r="141" spans="2:38" outlineLevel="1" x14ac:dyDescent="0.25">
      <c r="B141" s="42">
        <v>45460</v>
      </c>
      <c r="C141" s="38"/>
      <c r="D141" s="38">
        <f t="shared" si="23"/>
        <v>205620.74</v>
      </c>
      <c r="E141" s="38"/>
      <c r="F141" s="38"/>
      <c r="G141" s="38">
        <f t="shared" si="24"/>
        <v>205620.74</v>
      </c>
      <c r="H141" s="38">
        <f t="shared" si="26"/>
        <v>148700000</v>
      </c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78">
        <v>45460</v>
      </c>
      <c r="T141" s="63"/>
      <c r="U141" s="63">
        <f t="shared" si="27"/>
        <v>104727.27000000002</v>
      </c>
      <c r="V141" s="63"/>
      <c r="W141" s="63"/>
      <c r="X141" s="63">
        <f t="shared" si="20"/>
        <v>104727.27000000002</v>
      </c>
      <c r="Y141" s="63">
        <f t="shared" si="28"/>
        <v>36450000</v>
      </c>
      <c r="Z141" s="63"/>
      <c r="AA141" s="63"/>
      <c r="AB141" s="63"/>
      <c r="AC141" s="302"/>
      <c r="AD141" s="302"/>
      <c r="AE141" s="63"/>
      <c r="AF141" s="63"/>
      <c r="AG141" s="63"/>
      <c r="AH141" s="63"/>
      <c r="AJ141" s="63"/>
      <c r="AK141" s="63"/>
      <c r="AL141" s="63"/>
    </row>
    <row r="142" spans="2:38" outlineLevel="1" x14ac:dyDescent="0.25">
      <c r="B142" s="42">
        <v>45461</v>
      </c>
      <c r="C142" s="38"/>
      <c r="D142" s="38">
        <f t="shared" si="23"/>
        <v>205620.74</v>
      </c>
      <c r="E142" s="38"/>
      <c r="F142" s="38">
        <v>86658.45</v>
      </c>
      <c r="G142" s="38">
        <f t="shared" si="24"/>
        <v>292279.19</v>
      </c>
      <c r="H142" s="38">
        <f t="shared" si="26"/>
        <v>148700000</v>
      </c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78">
        <v>45461</v>
      </c>
      <c r="T142" s="63"/>
      <c r="U142" s="63">
        <f t="shared" si="27"/>
        <v>108240.37000000002</v>
      </c>
      <c r="V142" s="63"/>
      <c r="W142" s="63">
        <v>3513.1</v>
      </c>
      <c r="X142" s="63">
        <f t="shared" si="20"/>
        <v>108240.37000000002</v>
      </c>
      <c r="Y142" s="63">
        <f t="shared" si="28"/>
        <v>36450000</v>
      </c>
      <c r="Z142" s="63"/>
      <c r="AA142" s="63"/>
      <c r="AB142" s="63"/>
      <c r="AC142" s="302"/>
      <c r="AD142" s="302"/>
      <c r="AE142" s="63"/>
      <c r="AF142" s="63"/>
      <c r="AG142" s="63"/>
      <c r="AH142" s="63"/>
      <c r="AJ142" s="63"/>
      <c r="AK142" s="63"/>
      <c r="AL142" s="63"/>
    </row>
    <row r="143" spans="2:38" outlineLevel="1" x14ac:dyDescent="0.25">
      <c r="B143" s="42">
        <v>45462</v>
      </c>
      <c r="C143" s="38">
        <v>-859583.89</v>
      </c>
      <c r="D143" s="38">
        <f t="shared" si="23"/>
        <v>-567304.69999999995</v>
      </c>
      <c r="E143" s="38">
        <v>800000</v>
      </c>
      <c r="F143" s="38"/>
      <c r="G143" s="38">
        <f t="shared" si="24"/>
        <v>232695.30000000005</v>
      </c>
      <c r="H143" s="38">
        <f t="shared" si="26"/>
        <v>147900000</v>
      </c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78">
        <v>45462</v>
      </c>
      <c r="T143" s="63">
        <v>-57367.39</v>
      </c>
      <c r="U143" s="63">
        <f t="shared" si="27"/>
        <v>50872.980000000025</v>
      </c>
      <c r="V143" s="63">
        <v>50000</v>
      </c>
      <c r="W143" s="63"/>
      <c r="X143" s="63">
        <f t="shared" si="20"/>
        <v>100872.98000000003</v>
      </c>
      <c r="Y143" s="63">
        <f t="shared" si="28"/>
        <v>36400000</v>
      </c>
      <c r="Z143" s="63"/>
      <c r="AA143" s="63"/>
      <c r="AB143" s="63"/>
      <c r="AC143" s="302"/>
      <c r="AD143" s="302"/>
      <c r="AE143" s="63"/>
      <c r="AF143" s="63"/>
      <c r="AG143" s="63"/>
      <c r="AH143" s="63"/>
      <c r="AJ143" s="63"/>
      <c r="AK143" s="63"/>
      <c r="AL143" s="63"/>
    </row>
    <row r="144" spans="2:38" outlineLevel="1" x14ac:dyDescent="0.25">
      <c r="B144" s="42">
        <v>45463</v>
      </c>
      <c r="C144" s="38"/>
      <c r="D144" s="38">
        <f t="shared" si="23"/>
        <v>232695.30000000005</v>
      </c>
      <c r="E144" s="38"/>
      <c r="F144" s="38"/>
      <c r="G144" s="38">
        <f t="shared" si="24"/>
        <v>232695.30000000005</v>
      </c>
      <c r="H144" s="38">
        <f t="shared" si="26"/>
        <v>147900000</v>
      </c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78">
        <v>45463</v>
      </c>
      <c r="T144" s="63"/>
      <c r="U144" s="63">
        <f t="shared" si="27"/>
        <v>100872.98000000003</v>
      </c>
      <c r="V144" s="63">
        <v>50000</v>
      </c>
      <c r="W144" s="63"/>
      <c r="X144" s="63">
        <f t="shared" si="20"/>
        <v>150872.98000000004</v>
      </c>
      <c r="Y144" s="63">
        <f t="shared" si="28"/>
        <v>36350000</v>
      </c>
      <c r="Z144" s="63"/>
      <c r="AA144" s="63"/>
      <c r="AB144" s="63"/>
      <c r="AC144" s="302"/>
      <c r="AD144" s="302"/>
      <c r="AE144" s="63"/>
      <c r="AF144" s="63"/>
      <c r="AG144" s="63"/>
      <c r="AH144" s="63"/>
      <c r="AJ144" s="63"/>
      <c r="AK144" s="63"/>
      <c r="AL144" s="63"/>
    </row>
    <row r="145" spans="2:38" outlineLevel="1" x14ac:dyDescent="0.25">
      <c r="B145" s="42">
        <v>45464</v>
      </c>
      <c r="C145" s="38">
        <v>24323491.710000001</v>
      </c>
      <c r="D145" s="38">
        <f t="shared" si="23"/>
        <v>24556187.010000002</v>
      </c>
      <c r="E145" s="38"/>
      <c r="F145" s="38"/>
      <c r="G145" s="38">
        <f t="shared" si="24"/>
        <v>24556187.010000002</v>
      </c>
      <c r="H145" s="38">
        <f t="shared" si="26"/>
        <v>147900000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78">
        <v>45464</v>
      </c>
      <c r="T145" s="63"/>
      <c r="U145" s="63">
        <f t="shared" si="27"/>
        <v>150872.98000000004</v>
      </c>
      <c r="V145" s="63"/>
      <c r="W145" s="63"/>
      <c r="X145" s="63">
        <f t="shared" si="20"/>
        <v>150872.98000000004</v>
      </c>
      <c r="Y145" s="63">
        <f t="shared" si="28"/>
        <v>36350000</v>
      </c>
      <c r="Z145" s="63"/>
      <c r="AA145" s="63"/>
      <c r="AB145" s="63"/>
      <c r="AC145" s="302"/>
      <c r="AD145" s="302"/>
      <c r="AE145" s="63"/>
      <c r="AF145" s="63"/>
      <c r="AG145" s="63"/>
      <c r="AH145" s="63"/>
      <c r="AJ145" s="63"/>
      <c r="AK145" s="63"/>
      <c r="AL145" s="63"/>
    </row>
    <row r="146" spans="2:38" outlineLevel="1" x14ac:dyDescent="0.25">
      <c r="B146" s="42">
        <v>45465</v>
      </c>
      <c r="C146" s="38"/>
      <c r="D146" s="38">
        <f t="shared" si="23"/>
        <v>24556187.010000002</v>
      </c>
      <c r="E146" s="38"/>
      <c r="F146" s="38"/>
      <c r="G146" s="38">
        <f t="shared" si="24"/>
        <v>24556187.010000002</v>
      </c>
      <c r="H146" s="38">
        <f t="shared" si="26"/>
        <v>147900000</v>
      </c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78">
        <v>45465</v>
      </c>
      <c r="T146" s="63"/>
      <c r="U146" s="63">
        <f t="shared" si="27"/>
        <v>150872.98000000004</v>
      </c>
      <c r="V146" s="63"/>
      <c r="W146" s="63"/>
      <c r="X146" s="63">
        <f t="shared" si="20"/>
        <v>150872.98000000004</v>
      </c>
      <c r="Y146" s="63">
        <f t="shared" si="28"/>
        <v>36350000</v>
      </c>
      <c r="Z146" s="63"/>
      <c r="AA146" s="63"/>
      <c r="AB146" s="63"/>
      <c r="AC146" s="302"/>
      <c r="AD146" s="302"/>
      <c r="AE146" s="63"/>
      <c r="AF146" s="63"/>
      <c r="AG146" s="63"/>
      <c r="AH146" s="63"/>
      <c r="AJ146" s="63"/>
      <c r="AK146" s="63"/>
      <c r="AL146" s="63"/>
    </row>
    <row r="147" spans="2:38" outlineLevel="1" x14ac:dyDescent="0.25">
      <c r="B147" s="42">
        <v>45466</v>
      </c>
      <c r="C147" s="38"/>
      <c r="D147" s="38">
        <f t="shared" si="23"/>
        <v>24556187.010000002</v>
      </c>
      <c r="E147" s="38"/>
      <c r="F147" s="38"/>
      <c r="G147" s="38">
        <f t="shared" si="24"/>
        <v>24556187.010000002</v>
      </c>
      <c r="H147" s="38">
        <f t="shared" si="26"/>
        <v>147900000</v>
      </c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78">
        <v>45466</v>
      </c>
      <c r="T147" s="63"/>
      <c r="U147" s="63">
        <f t="shared" si="27"/>
        <v>150872.98000000004</v>
      </c>
      <c r="V147" s="63"/>
      <c r="W147" s="63"/>
      <c r="X147" s="63">
        <f t="shared" si="20"/>
        <v>150872.98000000004</v>
      </c>
      <c r="Y147" s="63">
        <f t="shared" si="28"/>
        <v>36350000</v>
      </c>
      <c r="Z147" s="63"/>
      <c r="AA147" s="63"/>
      <c r="AB147" s="63"/>
      <c r="AC147" s="302"/>
      <c r="AD147" s="302"/>
      <c r="AE147" s="63"/>
      <c r="AF147" s="63"/>
      <c r="AG147" s="63"/>
      <c r="AH147" s="63"/>
      <c r="AJ147" s="63"/>
      <c r="AK147" s="63"/>
      <c r="AL147" s="63"/>
    </row>
    <row r="148" spans="2:38" outlineLevel="1" x14ac:dyDescent="0.25">
      <c r="B148" s="42">
        <v>45467</v>
      </c>
      <c r="C148" s="38"/>
      <c r="D148" s="38">
        <f t="shared" si="23"/>
        <v>24556187.010000002</v>
      </c>
      <c r="E148" s="38">
        <v>-24600000</v>
      </c>
      <c r="F148" s="38"/>
      <c r="G148" s="38">
        <f t="shared" si="24"/>
        <v>-43812.989999998361</v>
      </c>
      <c r="H148" s="38">
        <f t="shared" si="26"/>
        <v>172500000</v>
      </c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78">
        <v>45467</v>
      </c>
      <c r="T148" s="63"/>
      <c r="U148" s="63">
        <f t="shared" si="27"/>
        <v>150872.98000000004</v>
      </c>
      <c r="V148" s="63"/>
      <c r="W148" s="63"/>
      <c r="X148" s="63">
        <f t="shared" si="20"/>
        <v>150872.98000000004</v>
      </c>
      <c r="Y148" s="63">
        <f t="shared" si="28"/>
        <v>36350000</v>
      </c>
      <c r="Z148" s="63"/>
      <c r="AA148" s="63"/>
      <c r="AB148" s="63"/>
      <c r="AC148" s="302"/>
      <c r="AD148" s="302"/>
      <c r="AE148" s="63"/>
      <c r="AF148" s="63"/>
      <c r="AG148" s="63"/>
      <c r="AH148" s="63"/>
      <c r="AJ148" s="63"/>
      <c r="AK148" s="63"/>
      <c r="AL148" s="63"/>
    </row>
    <row r="149" spans="2:38" outlineLevel="1" x14ac:dyDescent="0.25">
      <c r="B149" s="42">
        <v>45468</v>
      </c>
      <c r="C149" s="38">
        <f>-80000-227810-1447088.09</f>
        <v>-1754898.09</v>
      </c>
      <c r="D149" s="38">
        <f t="shared" si="23"/>
        <v>-1798711.0799999984</v>
      </c>
      <c r="E149" s="38">
        <v>1800000</v>
      </c>
      <c r="F149" s="38"/>
      <c r="G149" s="38">
        <f t="shared" si="24"/>
        <v>1288.9200000015553</v>
      </c>
      <c r="H149" s="38">
        <f t="shared" si="26"/>
        <v>170700000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78">
        <v>45468</v>
      </c>
      <c r="T149" s="63"/>
      <c r="U149" s="63">
        <f t="shared" si="27"/>
        <v>150872.98000000004</v>
      </c>
      <c r="V149" s="63"/>
      <c r="W149" s="63"/>
      <c r="X149" s="63">
        <f t="shared" si="20"/>
        <v>150872.98000000004</v>
      </c>
      <c r="Y149" s="63">
        <f t="shared" si="28"/>
        <v>36350000</v>
      </c>
      <c r="Z149" s="63"/>
      <c r="AA149" s="63"/>
      <c r="AB149" s="63"/>
      <c r="AC149" s="302"/>
      <c r="AD149" s="302"/>
      <c r="AE149" s="63"/>
      <c r="AF149" s="63"/>
      <c r="AG149" s="63"/>
      <c r="AH149" s="63"/>
      <c r="AJ149" s="63"/>
      <c r="AK149" s="63"/>
      <c r="AL149" s="63"/>
    </row>
    <row r="150" spans="2:38" outlineLevel="1" x14ac:dyDescent="0.25">
      <c r="B150" s="42">
        <v>45469</v>
      </c>
      <c r="C150" s="38"/>
      <c r="D150" s="38">
        <f t="shared" si="23"/>
        <v>1288.9200000015553</v>
      </c>
      <c r="E150" s="38"/>
      <c r="F150" s="38"/>
      <c r="G150" s="38">
        <f t="shared" si="24"/>
        <v>1288.9200000015553</v>
      </c>
      <c r="H150" s="38">
        <f t="shared" si="26"/>
        <v>170700000</v>
      </c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78">
        <v>45469</v>
      </c>
      <c r="T150" s="63"/>
      <c r="U150" s="63">
        <f t="shared" si="27"/>
        <v>150872.98000000004</v>
      </c>
      <c r="V150" s="63"/>
      <c r="W150" s="63"/>
      <c r="X150" s="63">
        <f t="shared" si="20"/>
        <v>150872.98000000004</v>
      </c>
      <c r="Y150" s="63">
        <f t="shared" si="28"/>
        <v>36350000</v>
      </c>
      <c r="Z150" s="63"/>
      <c r="AA150" s="63"/>
      <c r="AB150" s="63"/>
      <c r="AC150" s="302"/>
      <c r="AD150" s="302"/>
      <c r="AE150" s="63"/>
      <c r="AF150" s="63"/>
      <c r="AG150" s="63"/>
      <c r="AH150" s="63"/>
      <c r="AJ150" s="63"/>
      <c r="AK150" s="63"/>
      <c r="AL150" s="63"/>
    </row>
    <row r="151" spans="2:38" outlineLevel="1" x14ac:dyDescent="0.25">
      <c r="B151" s="42">
        <v>45470</v>
      </c>
      <c r="C151" s="38"/>
      <c r="D151" s="38">
        <f t="shared" si="23"/>
        <v>1288.9200000015553</v>
      </c>
      <c r="E151" s="38"/>
      <c r="F151" s="38">
        <v>335547.47</v>
      </c>
      <c r="G151" s="38">
        <f t="shared" si="24"/>
        <v>336836.39000000153</v>
      </c>
      <c r="H151" s="38">
        <f t="shared" si="26"/>
        <v>170700000</v>
      </c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78">
        <v>45470</v>
      </c>
      <c r="T151" s="63"/>
      <c r="U151" s="63">
        <f t="shared" si="27"/>
        <v>140755.11000000004</v>
      </c>
      <c r="V151" s="63"/>
      <c r="W151" s="63">
        <v>-10117.870000000001</v>
      </c>
      <c r="X151" s="63">
        <f t="shared" si="20"/>
        <v>140755.11000000004</v>
      </c>
      <c r="Y151" s="63">
        <f t="shared" si="28"/>
        <v>36350000</v>
      </c>
      <c r="Z151" s="63"/>
      <c r="AA151" s="63"/>
      <c r="AB151" s="63"/>
      <c r="AC151" s="302"/>
      <c r="AD151" s="302"/>
      <c r="AE151" s="63"/>
      <c r="AF151" s="63"/>
      <c r="AG151" s="63"/>
      <c r="AH151" s="63"/>
      <c r="AJ151" s="63"/>
      <c r="AK151" s="63"/>
      <c r="AL151" s="63"/>
    </row>
    <row r="152" spans="2:38" outlineLevel="1" x14ac:dyDescent="0.25">
      <c r="B152" s="42">
        <v>45471</v>
      </c>
      <c r="C152" s="38">
        <v>-1582051.43</v>
      </c>
      <c r="D152" s="38">
        <f t="shared" si="23"/>
        <v>-1245215.0399999984</v>
      </c>
      <c r="E152" s="38">
        <v>1200000</v>
      </c>
      <c r="F152" s="38">
        <f>187.26+438295.27</f>
        <v>438482.53</v>
      </c>
      <c r="G152" s="38">
        <f t="shared" si="24"/>
        <v>393267.49000000162</v>
      </c>
      <c r="H152" s="38">
        <f t="shared" si="26"/>
        <v>169500000</v>
      </c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78">
        <v>45471</v>
      </c>
      <c r="T152" s="63">
        <v>-629704.44999999995</v>
      </c>
      <c r="U152" s="63">
        <f t="shared" si="27"/>
        <v>-488949.33999999991</v>
      </c>
      <c r="V152" s="63">
        <v>650000</v>
      </c>
      <c r="W152" s="63"/>
      <c r="X152" s="63">
        <f t="shared" si="20"/>
        <v>161050.66000000009</v>
      </c>
      <c r="Y152" s="63">
        <f t="shared" si="28"/>
        <v>35700000</v>
      </c>
      <c r="Z152" s="63"/>
      <c r="AA152" s="63"/>
      <c r="AB152" s="63"/>
      <c r="AC152" s="302"/>
      <c r="AD152" s="302"/>
      <c r="AE152" s="63"/>
      <c r="AF152" s="63"/>
      <c r="AG152" s="63"/>
      <c r="AH152" s="63"/>
      <c r="AJ152" s="63"/>
      <c r="AK152" s="63"/>
      <c r="AL152" s="63"/>
    </row>
    <row r="153" spans="2:38" outlineLevel="1" x14ac:dyDescent="0.25">
      <c r="B153" s="42">
        <v>45472</v>
      </c>
      <c r="C153" s="38"/>
      <c r="D153" s="38">
        <f t="shared" si="23"/>
        <v>393267.49000000162</v>
      </c>
      <c r="E153" s="38"/>
      <c r="F153" s="38"/>
      <c r="G153" s="38">
        <f t="shared" si="24"/>
        <v>393267.49000000162</v>
      </c>
      <c r="H153" s="38">
        <f t="shared" si="26"/>
        <v>169500000</v>
      </c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78">
        <v>45472</v>
      </c>
      <c r="T153" s="63"/>
      <c r="U153" s="63">
        <f t="shared" si="27"/>
        <v>161050.66000000009</v>
      </c>
      <c r="V153" s="63"/>
      <c r="W153" s="63"/>
      <c r="X153" s="63">
        <f t="shared" si="20"/>
        <v>161050.66000000009</v>
      </c>
      <c r="Y153" s="63">
        <f t="shared" si="28"/>
        <v>35700000</v>
      </c>
      <c r="Z153" s="63"/>
      <c r="AA153" s="63"/>
      <c r="AB153" s="63"/>
      <c r="AC153" s="302"/>
      <c r="AD153" s="302"/>
      <c r="AE153" s="63"/>
      <c r="AF153" s="63"/>
      <c r="AG153" s="63"/>
      <c r="AH153" s="63"/>
      <c r="AJ153" s="63"/>
      <c r="AK153" s="63"/>
      <c r="AL153" s="63"/>
    </row>
    <row r="154" spans="2:38" outlineLevel="1" x14ac:dyDescent="0.25">
      <c r="B154" s="42">
        <v>45473</v>
      </c>
      <c r="C154" s="38"/>
      <c r="D154" s="38">
        <f t="shared" si="23"/>
        <v>393267.49000000162</v>
      </c>
      <c r="E154" s="38"/>
      <c r="F154" s="38"/>
      <c r="G154" s="38">
        <f t="shared" si="24"/>
        <v>393267.49000000162</v>
      </c>
      <c r="H154" s="38">
        <f t="shared" si="26"/>
        <v>169500000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78">
        <v>45473</v>
      </c>
      <c r="T154" s="63"/>
      <c r="U154" s="63">
        <f t="shared" si="27"/>
        <v>161050.66000000009</v>
      </c>
      <c r="V154" s="63"/>
      <c r="W154" s="63"/>
      <c r="X154" s="63">
        <f t="shared" si="20"/>
        <v>161050.66000000009</v>
      </c>
      <c r="Y154" s="63">
        <f t="shared" si="28"/>
        <v>35700000</v>
      </c>
      <c r="Z154" s="63"/>
      <c r="AA154" s="63"/>
      <c r="AB154" s="63"/>
      <c r="AC154" s="302"/>
      <c r="AD154" s="302"/>
      <c r="AE154" s="63"/>
      <c r="AF154" s="63"/>
      <c r="AG154" s="63"/>
      <c r="AH154" s="63"/>
      <c r="AJ154" s="63"/>
      <c r="AK154" s="63"/>
      <c r="AL154" s="63"/>
    </row>
    <row r="155" spans="2:38" outlineLevel="1" x14ac:dyDescent="0.25">
      <c r="B155" s="42">
        <v>45474</v>
      </c>
      <c r="C155" s="38">
        <v>-802083.34</v>
      </c>
      <c r="D155" s="38">
        <f t="shared" si="23"/>
        <v>-408815.84999999835</v>
      </c>
      <c r="E155" s="38">
        <v>200000</v>
      </c>
      <c r="F155" s="38"/>
      <c r="G155" s="38">
        <f t="shared" si="24"/>
        <v>-208815.84999999835</v>
      </c>
      <c r="H155" s="38">
        <f t="shared" si="26"/>
        <v>169300000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78">
        <v>45474</v>
      </c>
      <c r="T155" s="63">
        <v>-424671.95</v>
      </c>
      <c r="U155" s="63">
        <f t="shared" si="27"/>
        <v>522595.95000000007</v>
      </c>
      <c r="V155" s="63"/>
      <c r="W155" s="63">
        <v>786217.24</v>
      </c>
      <c r="X155" s="63">
        <f t="shared" si="20"/>
        <v>522595.95000000007</v>
      </c>
      <c r="Y155" s="63">
        <f t="shared" si="28"/>
        <v>35700000</v>
      </c>
      <c r="Z155" s="63"/>
      <c r="AA155" s="63"/>
      <c r="AB155" s="63"/>
      <c r="AC155" s="302"/>
      <c r="AD155" s="302"/>
      <c r="AE155" s="63"/>
      <c r="AF155" s="63"/>
      <c r="AG155" s="63"/>
      <c r="AH155" s="63"/>
      <c r="AJ155" s="63"/>
      <c r="AK155" s="63"/>
      <c r="AL155" s="63"/>
    </row>
    <row r="156" spans="2:38" outlineLevel="1" x14ac:dyDescent="0.25">
      <c r="B156" s="42">
        <v>45475</v>
      </c>
      <c r="C156" s="38"/>
      <c r="D156" s="38">
        <f t="shared" si="23"/>
        <v>-208815.84999999835</v>
      </c>
      <c r="E156" s="38">
        <v>200000</v>
      </c>
      <c r="F156" s="38"/>
      <c r="G156" s="38">
        <f t="shared" si="24"/>
        <v>-8815.8499999983469</v>
      </c>
      <c r="H156" s="38">
        <f t="shared" si="26"/>
        <v>169100000</v>
      </c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78">
        <v>45475</v>
      </c>
      <c r="T156" s="63">
        <v>-586889.88</v>
      </c>
      <c r="U156" s="63">
        <f t="shared" si="27"/>
        <v>-64293.929999999935</v>
      </c>
      <c r="V156" s="63">
        <v>200000</v>
      </c>
      <c r="W156" s="63"/>
      <c r="X156" s="63">
        <f t="shared" ref="X156:X219" si="29">V156+U156</f>
        <v>135706.07000000007</v>
      </c>
      <c r="Y156" s="63">
        <f t="shared" si="28"/>
        <v>35500000</v>
      </c>
      <c r="Z156" s="63"/>
      <c r="AA156" s="63"/>
      <c r="AB156" s="63"/>
      <c r="AC156" s="302"/>
      <c r="AD156" s="302"/>
      <c r="AE156" s="63"/>
      <c r="AF156" s="63"/>
      <c r="AG156" s="63"/>
      <c r="AH156" s="63"/>
      <c r="AJ156" s="63"/>
      <c r="AK156" s="63"/>
      <c r="AL156" s="63"/>
    </row>
    <row r="157" spans="2:38" outlineLevel="1" x14ac:dyDescent="0.25">
      <c r="B157" s="42">
        <v>45476</v>
      </c>
      <c r="C157" s="38"/>
      <c r="D157" s="38">
        <f t="shared" si="23"/>
        <v>-8815.8499999983469</v>
      </c>
      <c r="E157" s="38"/>
      <c r="F157" s="38"/>
      <c r="G157" s="38">
        <f t="shared" si="24"/>
        <v>-8815.8499999983469</v>
      </c>
      <c r="H157" s="38">
        <f t="shared" si="26"/>
        <v>169100000</v>
      </c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78">
        <v>45476</v>
      </c>
      <c r="T157" s="63"/>
      <c r="U157" s="63">
        <f t="shared" si="27"/>
        <v>135706.07000000007</v>
      </c>
      <c r="V157" s="63"/>
      <c r="W157" s="63"/>
      <c r="X157" s="63">
        <f t="shared" si="29"/>
        <v>135706.07000000007</v>
      </c>
      <c r="Y157" s="63">
        <f t="shared" si="28"/>
        <v>35500000</v>
      </c>
      <c r="Z157" s="63"/>
      <c r="AA157" s="63"/>
      <c r="AB157" s="63"/>
      <c r="AC157" s="302"/>
      <c r="AD157" s="302"/>
      <c r="AE157" s="63"/>
      <c r="AF157" s="63"/>
      <c r="AG157" s="63"/>
      <c r="AH157" s="63"/>
      <c r="AJ157" s="63"/>
      <c r="AK157" s="63"/>
      <c r="AL157" s="63"/>
    </row>
    <row r="158" spans="2:38" outlineLevel="1" x14ac:dyDescent="0.25">
      <c r="B158" s="42">
        <v>45477</v>
      </c>
      <c r="C158" s="38"/>
      <c r="D158" s="38">
        <f t="shared" si="23"/>
        <v>-8815.8499999983469</v>
      </c>
      <c r="E158" s="38"/>
      <c r="F158" s="38"/>
      <c r="G158" s="38">
        <f t="shared" si="24"/>
        <v>-8815.8499999983469</v>
      </c>
      <c r="H158" s="38">
        <f t="shared" si="26"/>
        <v>169100000</v>
      </c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78">
        <v>45477</v>
      </c>
      <c r="T158" s="63"/>
      <c r="U158" s="63">
        <f t="shared" si="27"/>
        <v>135706.07000000007</v>
      </c>
      <c r="V158" s="63"/>
      <c r="W158" s="63"/>
      <c r="X158" s="63">
        <f t="shared" si="29"/>
        <v>135706.07000000007</v>
      </c>
      <c r="Y158" s="63">
        <f t="shared" si="28"/>
        <v>35500000</v>
      </c>
      <c r="Z158" s="63"/>
      <c r="AA158" s="63"/>
      <c r="AB158" s="63"/>
      <c r="AC158" s="302"/>
      <c r="AD158" s="302"/>
      <c r="AE158" s="63"/>
      <c r="AF158" s="63"/>
      <c r="AG158" s="63"/>
      <c r="AH158" s="63"/>
      <c r="AJ158" s="63"/>
      <c r="AK158" s="63"/>
      <c r="AL158" s="63"/>
    </row>
    <row r="159" spans="2:38" outlineLevel="1" x14ac:dyDescent="0.25">
      <c r="B159" s="42">
        <v>45478</v>
      </c>
      <c r="C159" s="38"/>
      <c r="D159" s="38">
        <f t="shared" si="23"/>
        <v>-8815.8499999983469</v>
      </c>
      <c r="E159" s="38"/>
      <c r="F159" s="38"/>
      <c r="G159" s="38">
        <f t="shared" si="24"/>
        <v>-8815.8499999983469</v>
      </c>
      <c r="H159" s="38">
        <f t="shared" si="26"/>
        <v>169100000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78">
        <v>45478</v>
      </c>
      <c r="T159" s="63"/>
      <c r="U159" s="63">
        <f t="shared" si="27"/>
        <v>135706.07000000007</v>
      </c>
      <c r="V159" s="63"/>
      <c r="W159" s="63"/>
      <c r="X159" s="63">
        <f t="shared" si="29"/>
        <v>135706.07000000007</v>
      </c>
      <c r="Y159" s="63">
        <f t="shared" si="28"/>
        <v>35500000</v>
      </c>
      <c r="Z159" s="63"/>
      <c r="AA159" s="63"/>
      <c r="AB159" s="63"/>
      <c r="AC159" s="302"/>
      <c r="AD159" s="302"/>
      <c r="AE159" s="63"/>
      <c r="AF159" s="63"/>
      <c r="AG159" s="63"/>
      <c r="AH159" s="63"/>
      <c r="AJ159" s="63"/>
      <c r="AK159" s="63"/>
      <c r="AL159" s="63"/>
    </row>
    <row r="160" spans="2:38" outlineLevel="1" x14ac:dyDescent="0.25">
      <c r="B160" s="42">
        <v>45479</v>
      </c>
      <c r="C160" s="38"/>
      <c r="D160" s="38">
        <f t="shared" si="23"/>
        <v>-8815.8499999983469</v>
      </c>
      <c r="E160" s="38"/>
      <c r="F160" s="38"/>
      <c r="G160" s="38">
        <f t="shared" si="24"/>
        <v>-8815.8499999983469</v>
      </c>
      <c r="H160" s="38">
        <f t="shared" si="26"/>
        <v>169100000</v>
      </c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78">
        <v>45479</v>
      </c>
      <c r="T160" s="63"/>
      <c r="U160" s="63">
        <f t="shared" si="27"/>
        <v>135706.07000000007</v>
      </c>
      <c r="V160" s="63"/>
      <c r="W160" s="63"/>
      <c r="X160" s="63">
        <f t="shared" si="29"/>
        <v>135706.07000000007</v>
      </c>
      <c r="Y160" s="63">
        <f t="shared" si="28"/>
        <v>35500000</v>
      </c>
      <c r="Z160" s="63"/>
      <c r="AA160" s="63"/>
      <c r="AB160" s="63"/>
      <c r="AC160" s="302"/>
      <c r="AD160" s="302"/>
      <c r="AE160" s="63"/>
      <c r="AF160" s="63"/>
      <c r="AG160" s="63"/>
      <c r="AH160" s="63"/>
      <c r="AJ160" s="63"/>
      <c r="AK160" s="63"/>
      <c r="AL160" s="63"/>
    </row>
    <row r="161" spans="2:38" outlineLevel="1" x14ac:dyDescent="0.25">
      <c r="B161" s="42">
        <v>45480</v>
      </c>
      <c r="C161" s="38"/>
      <c r="D161" s="38">
        <f t="shared" si="23"/>
        <v>-8815.8499999983469</v>
      </c>
      <c r="E161" s="38"/>
      <c r="F161" s="38"/>
      <c r="G161" s="38">
        <f t="shared" si="24"/>
        <v>-8815.8499999983469</v>
      </c>
      <c r="H161" s="38">
        <f t="shared" si="26"/>
        <v>169100000</v>
      </c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78">
        <v>45480</v>
      </c>
      <c r="T161" s="63"/>
      <c r="U161" s="63">
        <f t="shared" si="27"/>
        <v>135706.07000000007</v>
      </c>
      <c r="V161" s="63"/>
      <c r="W161" s="63"/>
      <c r="X161" s="63">
        <f t="shared" si="29"/>
        <v>135706.07000000007</v>
      </c>
      <c r="Y161" s="63">
        <f t="shared" si="28"/>
        <v>35500000</v>
      </c>
      <c r="Z161" s="63"/>
      <c r="AA161" s="63"/>
      <c r="AB161" s="63"/>
      <c r="AC161" s="302"/>
      <c r="AD161" s="302"/>
      <c r="AE161" s="63"/>
      <c r="AF161" s="63"/>
      <c r="AG161" s="63"/>
      <c r="AH161" s="63"/>
      <c r="AJ161" s="63"/>
      <c r="AK161" s="63"/>
      <c r="AL161" s="63"/>
    </row>
    <row r="162" spans="2:38" outlineLevel="1" x14ac:dyDescent="0.25">
      <c r="B162" s="42">
        <v>45481</v>
      </c>
      <c r="C162" s="38"/>
      <c r="D162" s="38">
        <f t="shared" si="23"/>
        <v>-8815.8499999983469</v>
      </c>
      <c r="E162" s="38">
        <v>200000</v>
      </c>
      <c r="F162" s="38">
        <v>3697289</v>
      </c>
      <c r="G162" s="38">
        <f t="shared" si="24"/>
        <v>3888473.1500000018</v>
      </c>
      <c r="H162" s="38">
        <f t="shared" si="26"/>
        <v>168900000</v>
      </c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78">
        <v>45481</v>
      </c>
      <c r="T162" s="63"/>
      <c r="U162" s="63">
        <f t="shared" si="27"/>
        <v>135706.07000000007</v>
      </c>
      <c r="V162" s="63"/>
      <c r="W162" s="63"/>
      <c r="X162" s="63">
        <f t="shared" si="29"/>
        <v>135706.07000000007</v>
      </c>
      <c r="Y162" s="63">
        <f t="shared" si="28"/>
        <v>35500000</v>
      </c>
      <c r="Z162" s="63"/>
      <c r="AA162" s="63"/>
      <c r="AB162" s="63"/>
      <c r="AC162" s="302"/>
      <c r="AD162" s="302"/>
      <c r="AE162" s="63"/>
      <c r="AF162" s="63"/>
      <c r="AG162" s="63"/>
      <c r="AH162" s="63"/>
      <c r="AJ162" s="63"/>
      <c r="AK162" s="63"/>
      <c r="AL162" s="63"/>
    </row>
    <row r="163" spans="2:38" outlineLevel="1" x14ac:dyDescent="0.25">
      <c r="B163" s="42">
        <v>45482</v>
      </c>
      <c r="C163" s="38"/>
      <c r="D163" s="38">
        <f t="shared" si="23"/>
        <v>3888473.1500000018</v>
      </c>
      <c r="E163" s="38"/>
      <c r="F163" s="38"/>
      <c r="G163" s="38">
        <f t="shared" si="24"/>
        <v>3888473.1500000018</v>
      </c>
      <c r="H163" s="38">
        <f t="shared" si="26"/>
        <v>168900000</v>
      </c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78">
        <v>45482</v>
      </c>
      <c r="T163" s="63"/>
      <c r="U163" s="63">
        <f t="shared" si="27"/>
        <v>135706.07000000007</v>
      </c>
      <c r="V163" s="63"/>
      <c r="W163" s="63"/>
      <c r="X163" s="63">
        <f t="shared" si="29"/>
        <v>135706.07000000007</v>
      </c>
      <c r="Y163" s="63">
        <f t="shared" si="28"/>
        <v>35500000</v>
      </c>
      <c r="Z163" s="63"/>
      <c r="AA163" s="63"/>
      <c r="AB163" s="63"/>
      <c r="AC163" s="302"/>
      <c r="AD163" s="302"/>
      <c r="AE163" s="63"/>
      <c r="AF163" s="63"/>
      <c r="AG163" s="63"/>
      <c r="AH163" s="63"/>
      <c r="AJ163" s="63"/>
      <c r="AK163" s="63"/>
      <c r="AL163" s="63"/>
    </row>
    <row r="164" spans="2:38" outlineLevel="1" x14ac:dyDescent="0.25">
      <c r="B164" s="42">
        <v>45483</v>
      </c>
      <c r="C164" s="38"/>
      <c r="D164" s="38">
        <f t="shared" si="23"/>
        <v>3888473.1500000018</v>
      </c>
      <c r="E164" s="38"/>
      <c r="F164" s="38">
        <v>-1416838.29</v>
      </c>
      <c r="G164" s="38">
        <f t="shared" si="24"/>
        <v>2471634.8600000017</v>
      </c>
      <c r="H164" s="38">
        <f t="shared" si="26"/>
        <v>168900000</v>
      </c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78">
        <v>45483</v>
      </c>
      <c r="T164" s="63"/>
      <c r="U164" s="63">
        <f t="shared" si="27"/>
        <v>135706.07000000007</v>
      </c>
      <c r="V164" s="63"/>
      <c r="W164" s="63"/>
      <c r="X164" s="63">
        <f t="shared" si="29"/>
        <v>135706.07000000007</v>
      </c>
      <c r="Y164" s="63">
        <f t="shared" si="28"/>
        <v>35500000</v>
      </c>
      <c r="Z164" s="63"/>
      <c r="AA164" s="63"/>
      <c r="AB164" s="63"/>
      <c r="AC164" s="302"/>
      <c r="AD164" s="302"/>
      <c r="AE164" s="63"/>
      <c r="AF164" s="63"/>
      <c r="AG164" s="63"/>
      <c r="AH164" s="63"/>
      <c r="AJ164" s="63"/>
      <c r="AK164" s="63"/>
      <c r="AL164" s="63"/>
    </row>
    <row r="165" spans="2:38" outlineLevel="1" x14ac:dyDescent="0.25">
      <c r="B165" s="42">
        <v>45484</v>
      </c>
      <c r="C165" s="38"/>
      <c r="D165" s="38">
        <f t="shared" si="23"/>
        <v>2471634.8600000017</v>
      </c>
      <c r="E165" s="38"/>
      <c r="F165" s="38">
        <v>38983.879999999997</v>
      </c>
      <c r="G165" s="38">
        <f t="shared" si="24"/>
        <v>2510618.7400000016</v>
      </c>
      <c r="H165" s="38">
        <f t="shared" si="26"/>
        <v>168900000</v>
      </c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78">
        <v>45484</v>
      </c>
      <c r="T165" s="63"/>
      <c r="U165" s="63">
        <f t="shared" si="27"/>
        <v>135706.07000000007</v>
      </c>
      <c r="V165" s="63"/>
      <c r="W165" s="63"/>
      <c r="X165" s="63">
        <f t="shared" si="29"/>
        <v>135706.07000000007</v>
      </c>
      <c r="Y165" s="63">
        <f t="shared" si="28"/>
        <v>35500000</v>
      </c>
      <c r="Z165" s="63"/>
      <c r="AA165" s="63"/>
      <c r="AB165" s="63"/>
      <c r="AC165" s="302"/>
      <c r="AD165" s="302"/>
      <c r="AE165" s="63"/>
      <c r="AF165" s="63"/>
      <c r="AG165" s="63"/>
      <c r="AH165" s="63"/>
      <c r="AJ165" s="63"/>
      <c r="AK165" s="63"/>
      <c r="AL165" s="63"/>
    </row>
    <row r="166" spans="2:38" outlineLevel="1" x14ac:dyDescent="0.25">
      <c r="B166" s="42">
        <v>45485</v>
      </c>
      <c r="C166" s="38"/>
      <c r="D166" s="38">
        <f t="shared" si="23"/>
        <v>2510618.7400000016</v>
      </c>
      <c r="E166" s="38"/>
      <c r="F166" s="38">
        <f>-228228-913.02</f>
        <v>-229141.02</v>
      </c>
      <c r="G166" s="38">
        <f t="shared" si="24"/>
        <v>2281477.7200000016</v>
      </c>
      <c r="H166" s="38">
        <f t="shared" si="26"/>
        <v>168900000</v>
      </c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78">
        <v>45485</v>
      </c>
      <c r="T166" s="63"/>
      <c r="U166" s="63">
        <f t="shared" si="27"/>
        <v>135706.07000000007</v>
      </c>
      <c r="V166" s="63"/>
      <c r="W166" s="63"/>
      <c r="X166" s="63">
        <f t="shared" si="29"/>
        <v>135706.07000000007</v>
      </c>
      <c r="Y166" s="63">
        <f t="shared" si="28"/>
        <v>35500000</v>
      </c>
      <c r="Z166" s="63"/>
      <c r="AA166" s="63"/>
      <c r="AB166" s="63"/>
      <c r="AC166" s="302"/>
      <c r="AD166" s="302"/>
      <c r="AE166" s="63"/>
      <c r="AF166" s="63"/>
      <c r="AG166" s="63"/>
      <c r="AH166" s="63"/>
      <c r="AJ166" s="63"/>
      <c r="AK166" s="63"/>
      <c r="AL166" s="63"/>
    </row>
    <row r="167" spans="2:38" outlineLevel="1" x14ac:dyDescent="0.25">
      <c r="B167" s="42">
        <v>45486</v>
      </c>
      <c r="C167" s="38"/>
      <c r="D167" s="38">
        <f t="shared" si="23"/>
        <v>2281477.7200000016</v>
      </c>
      <c r="E167" s="38"/>
      <c r="F167" s="38"/>
      <c r="G167" s="38">
        <f t="shared" si="24"/>
        <v>2281477.7200000016</v>
      </c>
      <c r="H167" s="38">
        <f t="shared" si="26"/>
        <v>168900000</v>
      </c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78">
        <v>45486</v>
      </c>
      <c r="T167" s="63"/>
      <c r="U167" s="63">
        <f t="shared" si="27"/>
        <v>135706.07000000007</v>
      </c>
      <c r="V167" s="63"/>
      <c r="W167" s="63"/>
      <c r="X167" s="63">
        <f t="shared" si="29"/>
        <v>135706.07000000007</v>
      </c>
      <c r="Y167" s="63">
        <f t="shared" si="28"/>
        <v>35500000</v>
      </c>
      <c r="Z167" s="63"/>
      <c r="AA167" s="63"/>
      <c r="AB167" s="63"/>
      <c r="AC167" s="302"/>
      <c r="AD167" s="302"/>
      <c r="AE167" s="63"/>
      <c r="AF167" s="63"/>
      <c r="AG167" s="63"/>
      <c r="AH167" s="63"/>
      <c r="AJ167" s="63"/>
      <c r="AK167" s="63"/>
      <c r="AL167" s="63"/>
    </row>
    <row r="168" spans="2:38" outlineLevel="1" x14ac:dyDescent="0.25">
      <c r="B168" s="42">
        <v>45487</v>
      </c>
      <c r="C168" s="38"/>
      <c r="D168" s="38">
        <f t="shared" si="23"/>
        <v>2281477.7200000016</v>
      </c>
      <c r="E168" s="38"/>
      <c r="F168" s="38"/>
      <c r="G168" s="38">
        <f t="shared" si="24"/>
        <v>2281477.7200000016</v>
      </c>
      <c r="H168" s="38">
        <f t="shared" si="26"/>
        <v>168900000</v>
      </c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78">
        <v>45487</v>
      </c>
      <c r="T168" s="63"/>
      <c r="U168" s="63">
        <f t="shared" si="27"/>
        <v>135706.07000000007</v>
      </c>
      <c r="V168" s="63"/>
      <c r="W168" s="63"/>
      <c r="X168" s="63">
        <f t="shared" si="29"/>
        <v>135706.07000000007</v>
      </c>
      <c r="Y168" s="63">
        <f t="shared" si="28"/>
        <v>35500000</v>
      </c>
      <c r="Z168" s="63"/>
      <c r="AA168" s="63"/>
      <c r="AB168" s="63"/>
      <c r="AC168" s="302"/>
      <c r="AD168" s="302"/>
      <c r="AE168" s="63"/>
      <c r="AF168" s="63"/>
      <c r="AG168" s="63"/>
      <c r="AH168" s="63"/>
      <c r="AJ168" s="63"/>
      <c r="AK168" s="63"/>
      <c r="AL168" s="63"/>
    </row>
    <row r="169" spans="2:38" outlineLevel="1" x14ac:dyDescent="0.25">
      <c r="B169" s="42">
        <v>45488</v>
      </c>
      <c r="C169" s="38"/>
      <c r="D169" s="38">
        <f t="shared" si="23"/>
        <v>2281477.7200000016</v>
      </c>
      <c r="E169" s="34">
        <v>1050000</v>
      </c>
      <c r="F169" s="38">
        <v>-3152094</v>
      </c>
      <c r="G169" s="38">
        <f>D169+E169+F169</f>
        <v>179383.7200000016</v>
      </c>
      <c r="H169" s="38">
        <f>H168-E169</f>
        <v>167850000</v>
      </c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78">
        <v>45488</v>
      </c>
      <c r="T169" s="63"/>
      <c r="U169" s="63">
        <f t="shared" si="27"/>
        <v>135706.07000000007</v>
      </c>
      <c r="V169" s="63"/>
      <c r="W169" s="63"/>
      <c r="X169" s="63">
        <f t="shared" si="29"/>
        <v>135706.07000000007</v>
      </c>
      <c r="Y169" s="63">
        <f t="shared" si="28"/>
        <v>35500000</v>
      </c>
      <c r="Z169" s="63"/>
      <c r="AA169" s="63"/>
      <c r="AB169" s="63"/>
      <c r="AC169" s="302"/>
      <c r="AD169" s="302"/>
      <c r="AE169" s="63"/>
      <c r="AF169" s="63"/>
      <c r="AG169" s="63"/>
      <c r="AH169" s="63"/>
      <c r="AJ169" s="63"/>
      <c r="AK169" s="63"/>
      <c r="AL169" s="63"/>
    </row>
    <row r="170" spans="2:38" outlineLevel="1" x14ac:dyDescent="0.25">
      <c r="B170" s="42">
        <v>45489</v>
      </c>
      <c r="C170" s="38"/>
      <c r="D170" s="38">
        <f t="shared" ref="D170:D209" si="30">C170+G169</f>
        <v>179383.7200000016</v>
      </c>
      <c r="E170" s="34">
        <v>1900000</v>
      </c>
      <c r="F170" s="38">
        <v>-1452436.26</v>
      </c>
      <c r="G170" s="38">
        <f t="shared" ref="G170:G209" si="31">D170+E170+F170</f>
        <v>626947.46000000159</v>
      </c>
      <c r="H170" s="38">
        <f t="shared" ref="H170:H209" si="32">H169-E170</f>
        <v>165950000</v>
      </c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78">
        <v>45489</v>
      </c>
      <c r="T170" s="63"/>
      <c r="U170" s="63">
        <f t="shared" si="27"/>
        <v>135706.07000000007</v>
      </c>
      <c r="V170" s="63"/>
      <c r="W170" s="63"/>
      <c r="X170" s="63">
        <f t="shared" si="29"/>
        <v>135706.07000000007</v>
      </c>
      <c r="Y170" s="63">
        <f t="shared" si="28"/>
        <v>35500000</v>
      </c>
      <c r="Z170" s="63"/>
      <c r="AA170" s="63"/>
      <c r="AB170" s="63"/>
      <c r="AC170" s="302"/>
      <c r="AD170" s="302"/>
      <c r="AE170" s="63"/>
      <c r="AF170" s="63"/>
      <c r="AG170" s="63"/>
      <c r="AH170" s="63"/>
      <c r="AJ170" s="63"/>
      <c r="AK170" s="63"/>
      <c r="AL170" s="63"/>
    </row>
    <row r="171" spans="2:38" outlineLevel="1" x14ac:dyDescent="0.25">
      <c r="B171" s="42">
        <v>45490</v>
      </c>
      <c r="C171" s="38"/>
      <c r="D171" s="38">
        <f t="shared" si="30"/>
        <v>626947.46000000159</v>
      </c>
      <c r="E171" s="38"/>
      <c r="F171" s="38"/>
      <c r="G171" s="38">
        <f t="shared" si="31"/>
        <v>626947.46000000159</v>
      </c>
      <c r="H171" s="38">
        <f t="shared" si="32"/>
        <v>165950000</v>
      </c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78">
        <v>45490</v>
      </c>
      <c r="T171" s="63"/>
      <c r="U171" s="63">
        <f t="shared" si="27"/>
        <v>135706.07000000007</v>
      </c>
      <c r="V171" s="63"/>
      <c r="W171" s="63"/>
      <c r="X171" s="63">
        <f t="shared" si="29"/>
        <v>135706.07000000007</v>
      </c>
      <c r="Y171" s="63">
        <f t="shared" si="28"/>
        <v>35500000</v>
      </c>
      <c r="Z171" s="63"/>
      <c r="AA171" s="63"/>
      <c r="AB171" s="63"/>
      <c r="AC171" s="302"/>
      <c r="AD171" s="302"/>
      <c r="AE171" s="63"/>
      <c r="AF171" s="63"/>
      <c r="AG171" s="63"/>
      <c r="AH171" s="63"/>
      <c r="AJ171" s="63"/>
      <c r="AK171" s="63"/>
      <c r="AL171" s="63"/>
    </row>
    <row r="172" spans="2:38" outlineLevel="1" x14ac:dyDescent="0.25">
      <c r="B172" s="42">
        <v>45491</v>
      </c>
      <c r="C172" s="38"/>
      <c r="D172" s="38">
        <f t="shared" si="30"/>
        <v>626947.46000000159</v>
      </c>
      <c r="E172" s="38"/>
      <c r="F172" s="38"/>
      <c r="G172" s="38">
        <f t="shared" si="31"/>
        <v>626947.46000000159</v>
      </c>
      <c r="H172" s="38">
        <f t="shared" si="32"/>
        <v>165950000</v>
      </c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78">
        <v>45491</v>
      </c>
      <c r="T172" s="63"/>
      <c r="U172" s="63">
        <f t="shared" si="27"/>
        <v>135706.07000000007</v>
      </c>
      <c r="V172" s="63"/>
      <c r="W172" s="63"/>
      <c r="X172" s="63">
        <f t="shared" si="29"/>
        <v>135706.07000000007</v>
      </c>
      <c r="Y172" s="63">
        <f t="shared" si="28"/>
        <v>35500000</v>
      </c>
      <c r="Z172" s="63"/>
      <c r="AA172" s="63"/>
      <c r="AB172" s="63"/>
      <c r="AC172" s="302"/>
      <c r="AD172" s="302"/>
      <c r="AE172" s="63"/>
      <c r="AF172" s="63"/>
      <c r="AG172" s="63"/>
      <c r="AH172" s="63"/>
      <c r="AJ172" s="63"/>
      <c r="AK172" s="63"/>
      <c r="AL172" s="63"/>
    </row>
    <row r="173" spans="2:38" outlineLevel="1" x14ac:dyDescent="0.25">
      <c r="B173" s="42">
        <v>45492</v>
      </c>
      <c r="C173" s="38"/>
      <c r="D173" s="38">
        <f t="shared" si="30"/>
        <v>626947.46000000159</v>
      </c>
      <c r="E173" s="38"/>
      <c r="F173" s="38"/>
      <c r="G173" s="38">
        <f t="shared" si="31"/>
        <v>626947.46000000159</v>
      </c>
      <c r="H173" s="38">
        <f t="shared" si="32"/>
        <v>165950000</v>
      </c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78">
        <v>45492</v>
      </c>
      <c r="T173" s="63"/>
      <c r="U173" s="63">
        <f t="shared" si="27"/>
        <v>135706.07000000007</v>
      </c>
      <c r="V173" s="63"/>
      <c r="W173" s="63"/>
      <c r="X173" s="63">
        <f t="shared" si="29"/>
        <v>135706.07000000007</v>
      </c>
      <c r="Y173" s="63">
        <f t="shared" si="28"/>
        <v>35500000</v>
      </c>
      <c r="Z173" s="63"/>
      <c r="AA173" s="63"/>
      <c r="AB173" s="63"/>
      <c r="AC173" s="302"/>
      <c r="AD173" s="302"/>
      <c r="AE173" s="63"/>
      <c r="AF173" s="63"/>
      <c r="AG173" s="63"/>
      <c r="AH173" s="63"/>
      <c r="AJ173" s="63"/>
      <c r="AK173" s="63"/>
      <c r="AL173" s="63"/>
    </row>
    <row r="174" spans="2:38" outlineLevel="1" x14ac:dyDescent="0.25">
      <c r="B174" s="42">
        <v>45493</v>
      </c>
      <c r="C174" s="38"/>
      <c r="D174" s="38">
        <f t="shared" si="30"/>
        <v>626947.46000000159</v>
      </c>
      <c r="E174" s="38"/>
      <c r="F174" s="38"/>
      <c r="G174" s="38">
        <f t="shared" si="31"/>
        <v>626947.46000000159</v>
      </c>
      <c r="H174" s="38">
        <f t="shared" si="32"/>
        <v>165950000</v>
      </c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78">
        <v>45493</v>
      </c>
      <c r="T174" s="63"/>
      <c r="U174" s="63">
        <f t="shared" si="27"/>
        <v>135706.07000000007</v>
      </c>
      <c r="V174" s="63"/>
      <c r="W174" s="63"/>
      <c r="X174" s="63">
        <f t="shared" si="29"/>
        <v>135706.07000000007</v>
      </c>
      <c r="Y174" s="63">
        <f t="shared" si="28"/>
        <v>35500000</v>
      </c>
      <c r="Z174" s="63"/>
      <c r="AA174" s="63"/>
      <c r="AB174" s="63"/>
      <c r="AC174" s="302"/>
      <c r="AD174" s="302"/>
      <c r="AE174" s="63"/>
      <c r="AF174" s="63"/>
      <c r="AG174" s="63"/>
      <c r="AH174" s="63"/>
      <c r="AJ174" s="63"/>
      <c r="AK174" s="63"/>
      <c r="AL174" s="63"/>
    </row>
    <row r="175" spans="2:38" outlineLevel="1" x14ac:dyDescent="0.25">
      <c r="B175" s="42">
        <v>45494</v>
      </c>
      <c r="C175" s="38"/>
      <c r="D175" s="38">
        <f t="shared" si="30"/>
        <v>626947.46000000159</v>
      </c>
      <c r="E175" s="38"/>
      <c r="F175" s="38"/>
      <c r="G175" s="38">
        <f t="shared" si="31"/>
        <v>626947.46000000159</v>
      </c>
      <c r="H175" s="38">
        <f t="shared" si="32"/>
        <v>165950000</v>
      </c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78">
        <v>45494</v>
      </c>
      <c r="T175" s="63"/>
      <c r="U175" s="63">
        <f t="shared" si="27"/>
        <v>135706.07000000007</v>
      </c>
      <c r="V175" s="63"/>
      <c r="W175" s="63"/>
      <c r="X175" s="63">
        <f t="shared" si="29"/>
        <v>135706.07000000007</v>
      </c>
      <c r="Y175" s="63">
        <f t="shared" si="28"/>
        <v>35500000</v>
      </c>
      <c r="Z175" s="63"/>
      <c r="AA175" s="63"/>
      <c r="AB175" s="63"/>
      <c r="AC175" s="302"/>
      <c r="AD175" s="302"/>
      <c r="AE175" s="63"/>
      <c r="AF175" s="63"/>
      <c r="AG175" s="63"/>
      <c r="AH175" s="63"/>
      <c r="AJ175" s="63"/>
      <c r="AK175" s="63"/>
      <c r="AL175" s="63"/>
    </row>
    <row r="176" spans="2:38" outlineLevel="1" x14ac:dyDescent="0.25">
      <c r="B176" s="42">
        <v>45495</v>
      </c>
      <c r="C176" s="38"/>
      <c r="D176" s="38">
        <f t="shared" si="30"/>
        <v>626947.46000000159</v>
      </c>
      <c r="E176" s="38"/>
      <c r="F176" s="38"/>
      <c r="G176" s="38">
        <f t="shared" si="31"/>
        <v>626947.46000000159</v>
      </c>
      <c r="H176" s="38">
        <f t="shared" si="32"/>
        <v>165950000</v>
      </c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78">
        <v>45495</v>
      </c>
      <c r="T176" s="63"/>
      <c r="U176" s="63">
        <f t="shared" si="27"/>
        <v>135706.07000000007</v>
      </c>
      <c r="V176" s="63"/>
      <c r="W176" s="63"/>
      <c r="X176" s="63">
        <f t="shared" si="29"/>
        <v>135706.07000000007</v>
      </c>
      <c r="Y176" s="63">
        <f t="shared" si="28"/>
        <v>35500000</v>
      </c>
      <c r="Z176" s="63"/>
      <c r="AA176" s="63"/>
      <c r="AB176" s="63"/>
      <c r="AC176" s="302"/>
      <c r="AD176" s="302"/>
      <c r="AE176" s="63"/>
      <c r="AF176" s="63"/>
      <c r="AG176" s="63"/>
      <c r="AH176" s="63"/>
      <c r="AJ176" s="63"/>
      <c r="AK176" s="63"/>
      <c r="AL176" s="63"/>
    </row>
    <row r="177" spans="2:38" outlineLevel="1" x14ac:dyDescent="0.25">
      <c r="B177" s="42">
        <v>45496</v>
      </c>
      <c r="C177" s="38"/>
      <c r="D177" s="38">
        <f t="shared" si="30"/>
        <v>626947.46000000159</v>
      </c>
      <c r="E177" s="38"/>
      <c r="F177" s="38">
        <v>-518755.18</v>
      </c>
      <c r="G177" s="38">
        <f t="shared" si="31"/>
        <v>108192.2800000016</v>
      </c>
      <c r="H177" s="38">
        <f t="shared" si="32"/>
        <v>165950000</v>
      </c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78">
        <v>45496</v>
      </c>
      <c r="T177" s="63"/>
      <c r="U177" s="63">
        <f t="shared" si="27"/>
        <v>202008.71000000008</v>
      </c>
      <c r="V177" s="63"/>
      <c r="W177" s="63">
        <v>66302.64</v>
      </c>
      <c r="X177" s="63">
        <f t="shared" si="29"/>
        <v>202008.71000000008</v>
      </c>
      <c r="Y177" s="63">
        <f t="shared" si="28"/>
        <v>35500000</v>
      </c>
      <c r="Z177" s="63"/>
      <c r="AA177" s="63"/>
      <c r="AB177" s="63"/>
      <c r="AC177" s="302"/>
      <c r="AD177" s="302"/>
      <c r="AE177" s="63"/>
      <c r="AF177" s="63"/>
      <c r="AG177" s="63"/>
      <c r="AH177" s="63"/>
      <c r="AJ177" s="63"/>
      <c r="AK177" s="63"/>
      <c r="AL177" s="63"/>
    </row>
    <row r="178" spans="2:38" outlineLevel="1" x14ac:dyDescent="0.25">
      <c r="B178" s="42">
        <v>45497</v>
      </c>
      <c r="C178" s="38"/>
      <c r="D178" s="38">
        <f t="shared" si="30"/>
        <v>108192.2800000016</v>
      </c>
      <c r="E178" s="38"/>
      <c r="F178" s="38"/>
      <c r="G178" s="38">
        <f t="shared" si="31"/>
        <v>108192.2800000016</v>
      </c>
      <c r="H178" s="38">
        <f t="shared" si="32"/>
        <v>165950000</v>
      </c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78">
        <v>45497</v>
      </c>
      <c r="T178" s="63"/>
      <c r="U178" s="63">
        <f t="shared" si="27"/>
        <v>202008.71000000008</v>
      </c>
      <c r="V178" s="63"/>
      <c r="W178" s="63"/>
      <c r="X178" s="63">
        <f t="shared" si="29"/>
        <v>202008.71000000008</v>
      </c>
      <c r="Y178" s="63">
        <f t="shared" si="28"/>
        <v>35500000</v>
      </c>
      <c r="Z178" s="63"/>
      <c r="AA178" s="63"/>
      <c r="AB178" s="63"/>
      <c r="AC178" s="302"/>
      <c r="AD178" s="302"/>
      <c r="AE178" s="63"/>
      <c r="AF178" s="63"/>
      <c r="AG178" s="63"/>
      <c r="AH178" s="63"/>
      <c r="AJ178" s="63"/>
      <c r="AK178" s="63"/>
      <c r="AL178" s="63"/>
    </row>
    <row r="179" spans="2:38" outlineLevel="1" x14ac:dyDescent="0.25">
      <c r="B179" s="42">
        <v>45498</v>
      </c>
      <c r="C179" s="38">
        <f>-1374744.45 -75200</f>
        <v>-1449944.45</v>
      </c>
      <c r="D179" s="38">
        <f t="shared" si="30"/>
        <v>-1341752.1699999983</v>
      </c>
      <c r="E179" s="53">
        <v>3400000</v>
      </c>
      <c r="F179" s="38">
        <v>-1568.96</v>
      </c>
      <c r="G179" s="38">
        <f t="shared" si="31"/>
        <v>2056678.8700000017</v>
      </c>
      <c r="H179" s="38">
        <f t="shared" si="32"/>
        <v>162550000</v>
      </c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78">
        <v>45498</v>
      </c>
      <c r="T179" s="63">
        <v>-343596.32</v>
      </c>
      <c r="U179" s="63">
        <f t="shared" si="27"/>
        <v>185326.39000000007</v>
      </c>
      <c r="V179" s="63">
        <v>300000</v>
      </c>
      <c r="W179" s="63">
        <v>326914</v>
      </c>
      <c r="X179" s="63">
        <f t="shared" si="29"/>
        <v>485326.39000000007</v>
      </c>
      <c r="Y179" s="63">
        <f t="shared" si="28"/>
        <v>35200000</v>
      </c>
      <c r="Z179" s="63"/>
      <c r="AA179" s="63"/>
      <c r="AB179" s="63"/>
      <c r="AC179" s="302"/>
      <c r="AD179" s="302"/>
      <c r="AE179" s="63"/>
      <c r="AF179" s="63"/>
      <c r="AG179" s="63"/>
      <c r="AH179" s="63"/>
      <c r="AJ179" s="63"/>
      <c r="AK179" s="63"/>
      <c r="AL179" s="63"/>
    </row>
    <row r="180" spans="2:38" outlineLevel="1" x14ac:dyDescent="0.25">
      <c r="B180" s="42">
        <v>45499</v>
      </c>
      <c r="C180" s="38">
        <f>-1847418.64-792241.52</f>
        <v>-2639660.16</v>
      </c>
      <c r="D180" s="38">
        <f t="shared" si="30"/>
        <v>-582981.28999999841</v>
      </c>
      <c r="E180" s="53">
        <v>800000</v>
      </c>
      <c r="F180" s="38">
        <v>-23356.89</v>
      </c>
      <c r="G180" s="38">
        <f t="shared" si="31"/>
        <v>193661.82000000158</v>
      </c>
      <c r="H180" s="38">
        <f t="shared" si="32"/>
        <v>161750000</v>
      </c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78">
        <v>45499</v>
      </c>
      <c r="T180" s="63">
        <v>-291571.32</v>
      </c>
      <c r="U180" s="63">
        <f t="shared" si="27"/>
        <v>210273.55000000008</v>
      </c>
      <c r="V180" s="63"/>
      <c r="W180" s="63">
        <v>16518.48</v>
      </c>
      <c r="X180" s="63">
        <f t="shared" si="29"/>
        <v>210273.55000000008</v>
      </c>
      <c r="Y180" s="63">
        <f t="shared" si="28"/>
        <v>35200000</v>
      </c>
      <c r="Z180" s="63"/>
      <c r="AA180" s="63"/>
      <c r="AB180" s="63"/>
      <c r="AC180" s="302"/>
      <c r="AD180" s="302"/>
      <c r="AE180" s="63"/>
      <c r="AF180" s="63"/>
      <c r="AG180" s="63"/>
      <c r="AH180" s="63"/>
      <c r="AJ180" s="63"/>
      <c r="AK180" s="63"/>
      <c r="AL180" s="63"/>
    </row>
    <row r="181" spans="2:38" outlineLevel="1" x14ac:dyDescent="0.25">
      <c r="B181" s="42">
        <v>45500</v>
      </c>
      <c r="C181" s="38"/>
      <c r="D181" s="38">
        <f t="shared" si="30"/>
        <v>193661.82000000158</v>
      </c>
      <c r="E181" s="38"/>
      <c r="F181" s="38"/>
      <c r="G181" s="38">
        <f t="shared" si="31"/>
        <v>193661.82000000158</v>
      </c>
      <c r="H181" s="38">
        <f t="shared" si="32"/>
        <v>161750000</v>
      </c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78">
        <v>45500</v>
      </c>
      <c r="T181" s="63"/>
      <c r="U181" s="63">
        <f t="shared" si="27"/>
        <v>210273.55000000008</v>
      </c>
      <c r="V181" s="63"/>
      <c r="W181" s="63"/>
      <c r="X181" s="63">
        <f t="shared" si="29"/>
        <v>210273.55000000008</v>
      </c>
      <c r="Y181" s="63">
        <f t="shared" si="28"/>
        <v>35200000</v>
      </c>
      <c r="Z181" s="63"/>
      <c r="AA181" s="63"/>
      <c r="AB181" s="63"/>
      <c r="AC181" s="302"/>
      <c r="AD181" s="302"/>
      <c r="AE181" s="63"/>
      <c r="AF181" s="63"/>
      <c r="AG181" s="63"/>
      <c r="AH181" s="63"/>
      <c r="AJ181" s="63"/>
      <c r="AK181" s="63"/>
      <c r="AL181" s="63"/>
    </row>
    <row r="182" spans="2:38" outlineLevel="1" x14ac:dyDescent="0.25">
      <c r="B182" s="42">
        <v>45501</v>
      </c>
      <c r="C182" s="38"/>
      <c r="D182" s="38">
        <f t="shared" si="30"/>
        <v>193661.82000000158</v>
      </c>
      <c r="E182" s="38"/>
      <c r="F182" s="38"/>
      <c r="G182" s="38">
        <f t="shared" si="31"/>
        <v>193661.82000000158</v>
      </c>
      <c r="H182" s="38">
        <f t="shared" si="32"/>
        <v>161750000</v>
      </c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78">
        <v>45501</v>
      </c>
      <c r="T182" s="63"/>
      <c r="U182" s="63">
        <f t="shared" si="27"/>
        <v>210273.55000000008</v>
      </c>
      <c r="V182" s="63"/>
      <c r="W182" s="63"/>
      <c r="X182" s="63">
        <f t="shared" si="29"/>
        <v>210273.55000000008</v>
      </c>
      <c r="Y182" s="63">
        <f t="shared" si="28"/>
        <v>35200000</v>
      </c>
      <c r="Z182" s="63"/>
      <c r="AA182" s="63"/>
      <c r="AB182" s="63"/>
      <c r="AC182" s="302"/>
      <c r="AD182" s="302"/>
      <c r="AE182" s="63"/>
      <c r="AF182" s="63"/>
      <c r="AG182" s="63"/>
      <c r="AH182" s="63"/>
      <c r="AJ182" s="63"/>
      <c r="AK182" s="63"/>
      <c r="AL182" s="63"/>
    </row>
    <row r="183" spans="2:38" outlineLevel="1" x14ac:dyDescent="0.25">
      <c r="B183" s="42">
        <v>45502</v>
      </c>
      <c r="C183" s="38">
        <f>-1241408.5</f>
        <v>-1241408.5</v>
      </c>
      <c r="D183" s="38">
        <f t="shared" si="30"/>
        <v>-1047746.6799999984</v>
      </c>
      <c r="E183" s="53">
        <v>1800000</v>
      </c>
      <c r="F183" s="38">
        <v>-99.2</v>
      </c>
      <c r="G183" s="38">
        <f t="shared" si="31"/>
        <v>752154.12000000163</v>
      </c>
      <c r="H183" s="38">
        <f t="shared" si="32"/>
        <v>159950000</v>
      </c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78">
        <v>45502</v>
      </c>
      <c r="T183" s="63"/>
      <c r="U183" s="63">
        <f t="shared" si="27"/>
        <v>210273.55000000008</v>
      </c>
      <c r="V183" s="63"/>
      <c r="W183" s="63"/>
      <c r="X183" s="63">
        <f t="shared" si="29"/>
        <v>210273.55000000008</v>
      </c>
      <c r="Y183" s="63">
        <f t="shared" si="28"/>
        <v>35200000</v>
      </c>
      <c r="Z183" s="63"/>
      <c r="AA183" s="63"/>
      <c r="AB183" s="63"/>
      <c r="AC183" s="302"/>
      <c r="AD183" s="302"/>
      <c r="AE183" s="63"/>
      <c r="AF183" s="63"/>
      <c r="AG183" s="63"/>
      <c r="AH183" s="63"/>
      <c r="AJ183" s="63"/>
      <c r="AK183" s="63"/>
      <c r="AL183" s="63"/>
    </row>
    <row r="184" spans="2:38" outlineLevel="1" x14ac:dyDescent="0.25">
      <c r="B184" s="42">
        <v>45503</v>
      </c>
      <c r="C184" s="38">
        <v>-313492.23</v>
      </c>
      <c r="D184" s="38">
        <f t="shared" si="30"/>
        <v>438661.89000000164</v>
      </c>
      <c r="E184" s="38"/>
      <c r="F184" s="38">
        <f>439598.19-438661.89</f>
        <v>936.29999999998836</v>
      </c>
      <c r="G184" s="38">
        <f t="shared" si="31"/>
        <v>439598.19000000163</v>
      </c>
      <c r="H184" s="38">
        <f t="shared" si="32"/>
        <v>159950000</v>
      </c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78">
        <v>45503</v>
      </c>
      <c r="T184" s="63"/>
      <c r="U184" s="63">
        <f t="shared" si="27"/>
        <v>210273.55000000008</v>
      </c>
      <c r="V184" s="63"/>
      <c r="W184" s="63"/>
      <c r="X184" s="63">
        <f t="shared" si="29"/>
        <v>210273.55000000008</v>
      </c>
      <c r="Y184" s="65">
        <f t="shared" si="28"/>
        <v>35200000</v>
      </c>
      <c r="Z184" s="65"/>
      <c r="AA184" s="65"/>
      <c r="AB184" s="65"/>
      <c r="AC184" s="303"/>
      <c r="AD184" s="303"/>
      <c r="AE184" s="65"/>
      <c r="AF184" s="65"/>
      <c r="AG184" s="65"/>
      <c r="AH184" s="65"/>
      <c r="AJ184" s="65"/>
      <c r="AK184" s="65"/>
      <c r="AL184" s="65"/>
    </row>
    <row r="185" spans="2:38" outlineLevel="1" x14ac:dyDescent="0.25">
      <c r="B185" s="42">
        <v>45504</v>
      </c>
      <c r="C185" s="38">
        <v>542735.84</v>
      </c>
      <c r="D185" s="38">
        <f t="shared" si="30"/>
        <v>982334.03000000166</v>
      </c>
      <c r="E185" s="38"/>
      <c r="F185" s="38"/>
      <c r="G185" s="38">
        <f t="shared" si="31"/>
        <v>982334.03000000166</v>
      </c>
      <c r="H185" s="49">
        <f t="shared" si="32"/>
        <v>159950000</v>
      </c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78">
        <v>45504</v>
      </c>
      <c r="T185" s="63">
        <v>162791.66</v>
      </c>
      <c r="U185" s="63">
        <f t="shared" si="27"/>
        <v>373065.21000000008</v>
      </c>
      <c r="V185" s="81"/>
      <c r="W185" s="63"/>
      <c r="X185" s="63">
        <f t="shared" si="29"/>
        <v>373065.21000000008</v>
      </c>
      <c r="Y185" s="63">
        <f t="shared" si="28"/>
        <v>35200000</v>
      </c>
      <c r="Z185" s="63"/>
      <c r="AA185" s="63"/>
      <c r="AB185" s="63"/>
      <c r="AC185" s="302"/>
      <c r="AD185" s="302"/>
      <c r="AE185" s="63"/>
      <c r="AF185" s="63"/>
      <c r="AG185" s="63"/>
      <c r="AH185" s="63"/>
      <c r="AJ185" s="63"/>
      <c r="AK185" s="63"/>
      <c r="AL185" s="63"/>
    </row>
    <row r="186" spans="2:38" outlineLevel="1" x14ac:dyDescent="0.25">
      <c r="B186" s="42">
        <v>45505</v>
      </c>
      <c r="C186" s="38">
        <v>-497166</v>
      </c>
      <c r="D186" s="38">
        <f t="shared" si="30"/>
        <v>485168.03000000166</v>
      </c>
      <c r="E186" s="56"/>
      <c r="F186" s="38"/>
      <c r="G186" s="38">
        <f t="shared" si="31"/>
        <v>485168.03000000166</v>
      </c>
      <c r="H186" s="38">
        <f t="shared" si="32"/>
        <v>159950000</v>
      </c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78">
        <v>45505</v>
      </c>
      <c r="T186" s="63"/>
      <c r="U186" s="63">
        <f t="shared" si="27"/>
        <v>373065.21000000008</v>
      </c>
      <c r="V186" s="81"/>
      <c r="W186" s="63"/>
      <c r="X186" s="63">
        <f t="shared" si="29"/>
        <v>373065.21000000008</v>
      </c>
      <c r="Y186" s="63">
        <f t="shared" si="28"/>
        <v>35200000</v>
      </c>
      <c r="Z186" s="63"/>
      <c r="AA186" s="63"/>
      <c r="AB186" s="63"/>
      <c r="AC186" s="302"/>
      <c r="AD186" s="302"/>
      <c r="AE186" s="63"/>
      <c r="AF186" s="63"/>
      <c r="AG186" s="63"/>
      <c r="AH186" s="63"/>
      <c r="AJ186" s="63"/>
      <c r="AK186" s="63"/>
      <c r="AL186" s="63"/>
    </row>
    <row r="187" spans="2:38" outlineLevel="1" x14ac:dyDescent="0.25">
      <c r="B187" s="42">
        <v>45506</v>
      </c>
      <c r="C187" s="38"/>
      <c r="D187" s="38">
        <f t="shared" si="30"/>
        <v>485168.03000000166</v>
      </c>
      <c r="E187" s="38"/>
      <c r="F187" s="38">
        <v>-39613.67</v>
      </c>
      <c r="G187" s="38">
        <f t="shared" si="31"/>
        <v>445554.36000000167</v>
      </c>
      <c r="H187" s="38">
        <f t="shared" si="32"/>
        <v>159950000</v>
      </c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78">
        <v>45506</v>
      </c>
      <c r="T187" s="63"/>
      <c r="U187" s="63">
        <f t="shared" si="27"/>
        <v>373065.21000000008</v>
      </c>
      <c r="V187" s="81"/>
      <c r="W187" s="63"/>
      <c r="X187" s="63">
        <f t="shared" si="29"/>
        <v>373065.21000000008</v>
      </c>
      <c r="Y187" s="63">
        <f t="shared" si="28"/>
        <v>35200000</v>
      </c>
      <c r="Z187" s="63"/>
      <c r="AA187" s="63"/>
      <c r="AB187" s="63"/>
      <c r="AC187" s="302"/>
      <c r="AD187" s="302"/>
      <c r="AE187" s="63"/>
      <c r="AF187" s="63"/>
      <c r="AG187" s="63"/>
      <c r="AH187" s="63"/>
      <c r="AJ187" s="63"/>
      <c r="AK187" s="63"/>
      <c r="AL187" s="63"/>
    </row>
    <row r="188" spans="2:38" outlineLevel="1" x14ac:dyDescent="0.25">
      <c r="B188" s="42">
        <v>45507</v>
      </c>
      <c r="C188" s="38"/>
      <c r="D188" s="38">
        <f t="shared" si="30"/>
        <v>445554.36000000167</v>
      </c>
      <c r="E188" s="38"/>
      <c r="F188" s="38"/>
      <c r="G188" s="38">
        <f t="shared" si="31"/>
        <v>445554.36000000167</v>
      </c>
      <c r="H188" s="38">
        <f t="shared" si="32"/>
        <v>159950000</v>
      </c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78">
        <v>45507</v>
      </c>
      <c r="T188" s="63"/>
      <c r="U188" s="63">
        <f t="shared" si="27"/>
        <v>373065.21000000008</v>
      </c>
      <c r="V188" s="81"/>
      <c r="W188" s="63"/>
      <c r="X188" s="63">
        <f t="shared" si="29"/>
        <v>373065.21000000008</v>
      </c>
      <c r="Y188" s="63">
        <f t="shared" si="28"/>
        <v>35200000</v>
      </c>
      <c r="Z188" s="63"/>
      <c r="AA188" s="63"/>
      <c r="AB188" s="63"/>
      <c r="AC188" s="302"/>
      <c r="AD188" s="302"/>
      <c r="AE188" s="63"/>
      <c r="AF188" s="63"/>
      <c r="AG188" s="63"/>
      <c r="AH188" s="63"/>
      <c r="AJ188" s="63"/>
      <c r="AK188" s="63"/>
      <c r="AL188" s="63"/>
    </row>
    <row r="189" spans="2:38" outlineLevel="1" x14ac:dyDescent="0.25">
      <c r="B189" s="42">
        <v>45508</v>
      </c>
      <c r="C189" s="38"/>
      <c r="D189" s="38">
        <f t="shared" si="30"/>
        <v>445554.36000000167</v>
      </c>
      <c r="E189" s="38"/>
      <c r="F189" s="38"/>
      <c r="G189" s="38">
        <f t="shared" si="31"/>
        <v>445554.36000000167</v>
      </c>
      <c r="H189" s="38">
        <f t="shared" si="32"/>
        <v>159950000</v>
      </c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78">
        <v>45508</v>
      </c>
      <c r="T189" s="63"/>
      <c r="U189" s="63">
        <f t="shared" si="27"/>
        <v>373065.21000000008</v>
      </c>
      <c r="V189" s="81"/>
      <c r="W189" s="63"/>
      <c r="X189" s="63">
        <f t="shared" si="29"/>
        <v>373065.21000000008</v>
      </c>
      <c r="Y189" s="63">
        <f t="shared" si="28"/>
        <v>35200000</v>
      </c>
      <c r="Z189" s="63"/>
      <c r="AA189" s="63"/>
      <c r="AB189" s="63"/>
      <c r="AC189" s="302"/>
      <c r="AD189" s="302"/>
      <c r="AE189" s="63"/>
      <c r="AF189" s="63"/>
      <c r="AG189" s="63"/>
      <c r="AH189" s="63"/>
      <c r="AJ189" s="63"/>
      <c r="AK189" s="63"/>
      <c r="AL189" s="63"/>
    </row>
    <row r="190" spans="2:38" outlineLevel="1" x14ac:dyDescent="0.25">
      <c r="B190" s="42">
        <v>45509</v>
      </c>
      <c r="C190" s="38">
        <v>-7684696.1900000004</v>
      </c>
      <c r="D190" s="38">
        <f t="shared" si="30"/>
        <v>-7239141.8299999991</v>
      </c>
      <c r="E190" s="53">
        <v>7750000</v>
      </c>
      <c r="F190" s="38"/>
      <c r="G190" s="38">
        <f t="shared" si="31"/>
        <v>510858.17000000086</v>
      </c>
      <c r="H190" s="38">
        <f t="shared" si="32"/>
        <v>152200000</v>
      </c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78">
        <v>45509</v>
      </c>
      <c r="T190" s="63"/>
      <c r="U190" s="63">
        <f t="shared" si="27"/>
        <v>371783.55000000005</v>
      </c>
      <c r="V190" s="81"/>
      <c r="W190" s="63">
        <f>371783.55-373065.21</f>
        <v>-1281.6600000000326</v>
      </c>
      <c r="X190" s="63">
        <f t="shared" si="29"/>
        <v>371783.55000000005</v>
      </c>
      <c r="Y190" s="63">
        <f t="shared" si="28"/>
        <v>35200000</v>
      </c>
      <c r="Z190" s="63"/>
      <c r="AA190" s="63"/>
      <c r="AB190" s="63"/>
      <c r="AC190" s="302"/>
      <c r="AD190" s="302"/>
      <c r="AE190" s="63"/>
      <c r="AF190" s="63"/>
      <c r="AG190" s="63"/>
      <c r="AH190" s="63"/>
      <c r="AJ190" s="63"/>
      <c r="AK190" s="63"/>
      <c r="AL190" s="63"/>
    </row>
    <row r="191" spans="2:38" outlineLevel="1" x14ac:dyDescent="0.25">
      <c r="B191" s="42">
        <v>45510</v>
      </c>
      <c r="C191" s="38"/>
      <c r="D191" s="38">
        <f t="shared" si="30"/>
        <v>510858.17000000086</v>
      </c>
      <c r="E191" s="38"/>
      <c r="F191" s="38"/>
      <c r="G191" s="38">
        <f t="shared" si="31"/>
        <v>510858.17000000086</v>
      </c>
      <c r="H191" s="38">
        <f t="shared" si="32"/>
        <v>152200000</v>
      </c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78">
        <v>45510</v>
      </c>
      <c r="T191" s="63"/>
      <c r="U191" s="63">
        <f t="shared" ref="U191:U254" si="33">T191+X190+W191</f>
        <v>371783.55000000005</v>
      </c>
      <c r="V191" s="81"/>
      <c r="W191" s="63"/>
      <c r="X191" s="63">
        <f t="shared" si="29"/>
        <v>371783.55000000005</v>
      </c>
      <c r="Y191" s="63">
        <f t="shared" si="28"/>
        <v>35200000</v>
      </c>
      <c r="Z191" s="63"/>
      <c r="AA191" s="63"/>
      <c r="AB191" s="63"/>
      <c r="AC191" s="302"/>
      <c r="AD191" s="302"/>
      <c r="AE191" s="63"/>
      <c r="AF191" s="63"/>
      <c r="AG191" s="63"/>
      <c r="AH191" s="63"/>
      <c r="AJ191" s="63"/>
      <c r="AK191" s="63"/>
      <c r="AL191" s="63"/>
    </row>
    <row r="192" spans="2:38" outlineLevel="1" x14ac:dyDescent="0.25">
      <c r="B192" s="42">
        <v>45511</v>
      </c>
      <c r="C192" s="38"/>
      <c r="D192" s="38">
        <f t="shared" si="30"/>
        <v>510858.17000000086</v>
      </c>
      <c r="E192" s="38"/>
      <c r="F192" s="38"/>
      <c r="G192" s="38">
        <f t="shared" si="31"/>
        <v>510858.17000000086</v>
      </c>
      <c r="H192" s="38">
        <f t="shared" si="32"/>
        <v>152200000</v>
      </c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78">
        <v>45511</v>
      </c>
      <c r="T192" s="63"/>
      <c r="U192" s="63">
        <f t="shared" si="33"/>
        <v>371783.55000000005</v>
      </c>
      <c r="V192" s="81"/>
      <c r="W192" s="63"/>
      <c r="X192" s="63">
        <f t="shared" si="29"/>
        <v>371783.55000000005</v>
      </c>
      <c r="Y192" s="63">
        <f t="shared" si="28"/>
        <v>35200000</v>
      </c>
      <c r="Z192" s="63"/>
      <c r="AA192" s="63"/>
      <c r="AB192" s="63"/>
      <c r="AC192" s="302"/>
      <c r="AD192" s="302"/>
      <c r="AE192" s="63"/>
      <c r="AF192" s="63"/>
      <c r="AG192" s="63"/>
      <c r="AH192" s="63"/>
      <c r="AJ192" s="63"/>
      <c r="AK192" s="63"/>
      <c r="AL192" s="63"/>
    </row>
    <row r="193" spans="2:38" outlineLevel="1" x14ac:dyDescent="0.25">
      <c r="B193" s="42">
        <v>45512</v>
      </c>
      <c r="C193" s="38"/>
      <c r="D193" s="38">
        <f t="shared" si="30"/>
        <v>510858.17000000086</v>
      </c>
      <c r="E193" s="38"/>
      <c r="F193" s="38">
        <v>-12245.5</v>
      </c>
      <c r="G193" s="38">
        <f t="shared" si="31"/>
        <v>498612.67000000086</v>
      </c>
      <c r="H193" s="38">
        <f t="shared" si="32"/>
        <v>152200000</v>
      </c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78">
        <v>45512</v>
      </c>
      <c r="T193" s="63"/>
      <c r="U193" s="63">
        <f t="shared" si="33"/>
        <v>371783.55000000005</v>
      </c>
      <c r="V193" s="81"/>
      <c r="W193" s="63"/>
      <c r="X193" s="63">
        <f t="shared" si="29"/>
        <v>371783.55000000005</v>
      </c>
      <c r="Y193" s="63">
        <f t="shared" si="28"/>
        <v>35200000</v>
      </c>
      <c r="Z193" s="63"/>
      <c r="AA193" s="63"/>
      <c r="AB193" s="63"/>
      <c r="AC193" s="302"/>
      <c r="AD193" s="302"/>
      <c r="AE193" s="63"/>
      <c r="AF193" s="63"/>
      <c r="AG193" s="63"/>
      <c r="AH193" s="63"/>
      <c r="AJ193" s="63"/>
      <c r="AK193" s="63"/>
      <c r="AL193" s="63"/>
    </row>
    <row r="194" spans="2:38" outlineLevel="1" x14ac:dyDescent="0.25">
      <c r="B194" s="42">
        <v>45513</v>
      </c>
      <c r="C194" s="38">
        <f>-1674659.66+200136.81</f>
        <v>-1474522.8499999999</v>
      </c>
      <c r="D194" s="38">
        <f t="shared" si="30"/>
        <v>-975910.179999999</v>
      </c>
      <c r="E194" s="53">
        <v>1500000</v>
      </c>
      <c r="F194" s="38">
        <v>21442.17</v>
      </c>
      <c r="G194" s="38">
        <f t="shared" si="31"/>
        <v>545531.99000000104</v>
      </c>
      <c r="H194" s="38">
        <f t="shared" si="32"/>
        <v>150700000</v>
      </c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78">
        <v>45513</v>
      </c>
      <c r="T194" s="63">
        <f>-223783.66+67401.63</f>
        <v>-156382.03</v>
      </c>
      <c r="U194" s="63">
        <f t="shared" si="33"/>
        <v>215401.52000000005</v>
      </c>
      <c r="V194" s="81"/>
      <c r="W194" s="63"/>
      <c r="X194" s="63">
        <f t="shared" si="29"/>
        <v>215401.52000000005</v>
      </c>
      <c r="Y194" s="63">
        <f t="shared" si="28"/>
        <v>35200000</v>
      </c>
      <c r="Z194" s="63"/>
      <c r="AA194" s="63"/>
      <c r="AB194" s="63"/>
      <c r="AC194" s="302"/>
      <c r="AD194" s="302"/>
      <c r="AE194" s="63"/>
      <c r="AF194" s="63"/>
      <c r="AG194" s="63"/>
      <c r="AH194" s="63"/>
      <c r="AJ194" s="63"/>
      <c r="AK194" s="63"/>
      <c r="AL194" s="63"/>
    </row>
    <row r="195" spans="2:38" outlineLevel="1" x14ac:dyDescent="0.25">
      <c r="B195" s="42">
        <v>45514</v>
      </c>
      <c r="C195" s="38"/>
      <c r="D195" s="38">
        <f t="shared" si="30"/>
        <v>545531.99000000104</v>
      </c>
      <c r="E195" s="38"/>
      <c r="F195" s="38"/>
      <c r="G195" s="38">
        <f t="shared" si="31"/>
        <v>545531.99000000104</v>
      </c>
      <c r="H195" s="38">
        <f t="shared" si="32"/>
        <v>150700000</v>
      </c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78">
        <v>45514</v>
      </c>
      <c r="T195" s="63"/>
      <c r="U195" s="63">
        <f t="shared" si="33"/>
        <v>215401.52000000005</v>
      </c>
      <c r="V195" s="63"/>
      <c r="W195" s="63"/>
      <c r="X195" s="63">
        <f t="shared" si="29"/>
        <v>215401.52000000005</v>
      </c>
      <c r="Y195" s="63">
        <f t="shared" si="28"/>
        <v>35200000</v>
      </c>
      <c r="Z195" s="63"/>
      <c r="AA195" s="63"/>
      <c r="AB195" s="63"/>
      <c r="AC195" s="302"/>
      <c r="AD195" s="302"/>
      <c r="AE195" s="63"/>
      <c r="AF195" s="63"/>
      <c r="AG195" s="63"/>
      <c r="AH195" s="63"/>
      <c r="AJ195" s="63"/>
      <c r="AK195" s="63"/>
      <c r="AL195" s="63"/>
    </row>
    <row r="196" spans="2:38" outlineLevel="1" x14ac:dyDescent="0.25">
      <c r="B196" s="42">
        <v>45515</v>
      </c>
      <c r="C196" s="38"/>
      <c r="D196" s="38">
        <f t="shared" si="30"/>
        <v>545531.99000000104</v>
      </c>
      <c r="E196" s="38"/>
      <c r="F196" s="38"/>
      <c r="G196" s="38">
        <f t="shared" si="31"/>
        <v>545531.99000000104</v>
      </c>
      <c r="H196" s="38">
        <f t="shared" si="32"/>
        <v>150700000</v>
      </c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78">
        <v>45515</v>
      </c>
      <c r="T196" s="63"/>
      <c r="U196" s="63">
        <f t="shared" si="33"/>
        <v>215401.52000000005</v>
      </c>
      <c r="V196" s="63"/>
      <c r="W196" s="63"/>
      <c r="X196" s="63">
        <f t="shared" si="29"/>
        <v>215401.52000000005</v>
      </c>
      <c r="Y196" s="63">
        <f t="shared" si="28"/>
        <v>35200000</v>
      </c>
      <c r="Z196" s="63"/>
      <c r="AA196" s="63"/>
      <c r="AB196" s="63"/>
      <c r="AC196" s="302"/>
      <c r="AD196" s="302"/>
      <c r="AE196" s="63"/>
      <c r="AF196" s="63"/>
      <c r="AG196" s="63"/>
      <c r="AH196" s="63"/>
      <c r="AJ196" s="63"/>
      <c r="AK196" s="63"/>
      <c r="AL196" s="63"/>
    </row>
    <row r="197" spans="2:38" outlineLevel="1" x14ac:dyDescent="0.25">
      <c r="B197" s="42">
        <v>45516</v>
      </c>
      <c r="C197" s="38"/>
      <c r="D197" s="38">
        <f t="shared" si="30"/>
        <v>545531.99000000104</v>
      </c>
      <c r="E197" s="38"/>
      <c r="F197" s="38">
        <v>1075733</v>
      </c>
      <c r="G197" s="38">
        <f t="shared" si="31"/>
        <v>1621264.9900000012</v>
      </c>
      <c r="H197" s="38">
        <f t="shared" si="32"/>
        <v>150700000</v>
      </c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78">
        <v>45516</v>
      </c>
      <c r="T197" s="63"/>
      <c r="U197" s="63">
        <f t="shared" si="33"/>
        <v>215401.52000000005</v>
      </c>
      <c r="V197" s="63"/>
      <c r="W197" s="63"/>
      <c r="X197" s="63">
        <f t="shared" si="29"/>
        <v>215401.52000000005</v>
      </c>
      <c r="Y197" s="63">
        <f t="shared" si="28"/>
        <v>35200000</v>
      </c>
      <c r="Z197" s="63"/>
      <c r="AA197" s="63"/>
      <c r="AB197" s="63"/>
      <c r="AC197" s="302"/>
      <c r="AD197" s="302"/>
      <c r="AE197" s="63"/>
      <c r="AF197" s="63"/>
      <c r="AG197" s="63"/>
      <c r="AH197" s="63"/>
      <c r="AJ197" s="63"/>
      <c r="AK197" s="63"/>
      <c r="AL197" s="63"/>
    </row>
    <row r="198" spans="2:38" outlineLevel="1" x14ac:dyDescent="0.25">
      <c r="B198" s="42">
        <v>45517</v>
      </c>
      <c r="C198" s="38"/>
      <c r="D198" s="38">
        <f t="shared" si="30"/>
        <v>1621264.9900000012</v>
      </c>
      <c r="E198" s="38"/>
      <c r="F198" s="38"/>
      <c r="G198" s="38">
        <f t="shared" si="31"/>
        <v>1621264.9900000012</v>
      </c>
      <c r="H198" s="38">
        <f t="shared" si="32"/>
        <v>150700000</v>
      </c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78">
        <v>45517</v>
      </c>
      <c r="T198" s="63"/>
      <c r="U198" s="63">
        <f t="shared" si="33"/>
        <v>215401.52000000005</v>
      </c>
      <c r="V198" s="63"/>
      <c r="W198" s="63"/>
      <c r="X198" s="63">
        <f t="shared" si="29"/>
        <v>215401.52000000005</v>
      </c>
      <c r="Y198" s="63">
        <f t="shared" si="28"/>
        <v>35200000</v>
      </c>
      <c r="Z198" s="63"/>
      <c r="AA198" s="63"/>
      <c r="AB198" s="63"/>
      <c r="AC198" s="302"/>
      <c r="AD198" s="302"/>
      <c r="AE198" s="63"/>
      <c r="AF198" s="63"/>
      <c r="AG198" s="63"/>
      <c r="AH198" s="63"/>
      <c r="AJ198" s="63"/>
      <c r="AK198" s="63"/>
      <c r="AL198" s="63"/>
    </row>
    <row r="199" spans="2:38" outlineLevel="1" x14ac:dyDescent="0.25">
      <c r="B199" s="42">
        <v>45518</v>
      </c>
      <c r="C199" s="38"/>
      <c r="D199" s="38">
        <f t="shared" si="30"/>
        <v>1621264.9900000012</v>
      </c>
      <c r="E199" s="38"/>
      <c r="F199" s="38">
        <v>-1784.26</v>
      </c>
      <c r="G199" s="38">
        <f t="shared" si="31"/>
        <v>1619480.7300000011</v>
      </c>
      <c r="H199" s="38">
        <f t="shared" si="32"/>
        <v>150700000</v>
      </c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78">
        <v>45518</v>
      </c>
      <c r="T199" s="63"/>
      <c r="U199" s="63">
        <f t="shared" si="33"/>
        <v>215401.52000000005</v>
      </c>
      <c r="V199" s="63"/>
      <c r="W199" s="63"/>
      <c r="X199" s="63">
        <f t="shared" si="29"/>
        <v>215401.52000000005</v>
      </c>
      <c r="Y199" s="63">
        <f t="shared" si="28"/>
        <v>35200000</v>
      </c>
      <c r="Z199" s="63"/>
      <c r="AA199" s="63"/>
      <c r="AB199" s="63"/>
      <c r="AC199" s="302"/>
      <c r="AD199" s="302"/>
      <c r="AE199" s="63"/>
      <c r="AF199" s="63"/>
      <c r="AG199" s="63"/>
      <c r="AH199" s="63"/>
      <c r="AJ199" s="63"/>
      <c r="AK199" s="63"/>
      <c r="AL199" s="63"/>
    </row>
    <row r="200" spans="2:38" outlineLevel="1" x14ac:dyDescent="0.25">
      <c r="B200" s="42">
        <v>45519</v>
      </c>
      <c r="C200" s="38"/>
      <c r="D200" s="38">
        <f t="shared" si="30"/>
        <v>1619480.7300000011</v>
      </c>
      <c r="E200" s="38"/>
      <c r="F200" s="38"/>
      <c r="G200" s="38">
        <f t="shared" si="31"/>
        <v>1619480.7300000011</v>
      </c>
      <c r="H200" s="38">
        <f t="shared" si="32"/>
        <v>150700000</v>
      </c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78">
        <v>45519</v>
      </c>
      <c r="T200" s="63"/>
      <c r="U200" s="63">
        <f t="shared" si="33"/>
        <v>215401.52000000005</v>
      </c>
      <c r="V200" s="63"/>
      <c r="W200" s="63"/>
      <c r="X200" s="63">
        <f t="shared" si="29"/>
        <v>215401.52000000005</v>
      </c>
      <c r="Y200" s="63">
        <f t="shared" ref="Y200:Y263" si="34">Y199-V200</f>
        <v>35200000</v>
      </c>
      <c r="Z200" s="63"/>
      <c r="AA200" s="63"/>
      <c r="AB200" s="63"/>
      <c r="AC200" s="302"/>
      <c r="AD200" s="302"/>
      <c r="AE200" s="63"/>
      <c r="AF200" s="63"/>
      <c r="AG200" s="63"/>
      <c r="AH200" s="63"/>
      <c r="AJ200" s="63"/>
      <c r="AK200" s="63"/>
      <c r="AL200" s="63"/>
    </row>
    <row r="201" spans="2:38" outlineLevel="1" x14ac:dyDescent="0.25">
      <c r="B201" s="42">
        <v>45520</v>
      </c>
      <c r="C201" s="38"/>
      <c r="D201" s="38">
        <f t="shared" si="30"/>
        <v>1619480.7300000011</v>
      </c>
      <c r="E201" s="38"/>
      <c r="F201" s="38">
        <v>-31408.63</v>
      </c>
      <c r="G201" s="38">
        <f t="shared" si="31"/>
        <v>1588072.1000000013</v>
      </c>
      <c r="H201" s="38">
        <f t="shared" si="32"/>
        <v>150700000</v>
      </c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78">
        <v>45520</v>
      </c>
      <c r="T201" s="63"/>
      <c r="U201" s="63">
        <f t="shared" si="33"/>
        <v>215401.52000000005</v>
      </c>
      <c r="V201" s="63"/>
      <c r="W201" s="63"/>
      <c r="X201" s="63">
        <f t="shared" si="29"/>
        <v>215401.52000000005</v>
      </c>
      <c r="Y201" s="63">
        <f t="shared" si="34"/>
        <v>35200000</v>
      </c>
      <c r="Z201" s="63"/>
      <c r="AA201" s="63"/>
      <c r="AB201" s="63"/>
      <c r="AC201" s="302"/>
      <c r="AD201" s="302"/>
      <c r="AE201" s="63"/>
      <c r="AF201" s="63"/>
      <c r="AG201" s="63"/>
      <c r="AH201" s="63"/>
      <c r="AJ201" s="63"/>
      <c r="AK201" s="63"/>
      <c r="AL201" s="63"/>
    </row>
    <row r="202" spans="2:38" outlineLevel="1" x14ac:dyDescent="0.25">
      <c r="B202" s="42">
        <v>45521</v>
      </c>
      <c r="C202" s="38"/>
      <c r="D202" s="38">
        <f t="shared" si="30"/>
        <v>1588072.1000000013</v>
      </c>
      <c r="E202" s="38"/>
      <c r="F202" s="38"/>
      <c r="G202" s="38">
        <f t="shared" si="31"/>
        <v>1588072.1000000013</v>
      </c>
      <c r="H202" s="38">
        <f t="shared" si="32"/>
        <v>150700000</v>
      </c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78">
        <v>45521</v>
      </c>
      <c r="T202" s="63"/>
      <c r="U202" s="63">
        <f t="shared" si="33"/>
        <v>215401.52000000005</v>
      </c>
      <c r="V202" s="63"/>
      <c r="W202" s="63"/>
      <c r="X202" s="63">
        <f t="shared" si="29"/>
        <v>215401.52000000005</v>
      </c>
      <c r="Y202" s="63">
        <f t="shared" si="34"/>
        <v>35200000</v>
      </c>
      <c r="Z202" s="63"/>
      <c r="AA202" s="63"/>
      <c r="AB202" s="63"/>
      <c r="AC202" s="302"/>
      <c r="AD202" s="302"/>
      <c r="AE202" s="63"/>
      <c r="AF202" s="63"/>
      <c r="AG202" s="63"/>
      <c r="AH202" s="63"/>
      <c r="AJ202" s="63"/>
      <c r="AK202" s="63"/>
      <c r="AL202" s="63"/>
    </row>
    <row r="203" spans="2:38" outlineLevel="1" x14ac:dyDescent="0.25">
      <c r="B203" s="42">
        <v>45522</v>
      </c>
      <c r="C203" s="38"/>
      <c r="D203" s="38">
        <f t="shared" si="30"/>
        <v>1588072.1000000013</v>
      </c>
      <c r="E203" s="38"/>
      <c r="F203" s="38"/>
      <c r="G203" s="38">
        <f t="shared" si="31"/>
        <v>1588072.1000000013</v>
      </c>
      <c r="H203" s="38">
        <f t="shared" si="32"/>
        <v>150700000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78">
        <v>45522</v>
      </c>
      <c r="T203" s="63"/>
      <c r="U203" s="63">
        <f t="shared" si="33"/>
        <v>215401.52000000005</v>
      </c>
      <c r="V203" s="63"/>
      <c r="W203" s="63"/>
      <c r="X203" s="63">
        <f t="shared" si="29"/>
        <v>215401.52000000005</v>
      </c>
      <c r="Y203" s="63">
        <f t="shared" si="34"/>
        <v>35200000</v>
      </c>
      <c r="Z203" s="63"/>
      <c r="AA203" s="63"/>
      <c r="AB203" s="63"/>
      <c r="AC203" s="302"/>
      <c r="AD203" s="302"/>
      <c r="AE203" s="63"/>
      <c r="AF203" s="63"/>
      <c r="AG203" s="63"/>
      <c r="AH203" s="63"/>
      <c r="AJ203" s="63"/>
      <c r="AK203" s="63"/>
      <c r="AL203" s="63"/>
    </row>
    <row r="204" spans="2:38" outlineLevel="1" x14ac:dyDescent="0.25">
      <c r="B204" s="42">
        <v>45523</v>
      </c>
      <c r="C204" s="38"/>
      <c r="D204" s="38">
        <f t="shared" si="30"/>
        <v>1588072.1000000013</v>
      </c>
      <c r="E204" s="38"/>
      <c r="F204" s="38">
        <v>-40086.949999999997</v>
      </c>
      <c r="G204" s="38">
        <f t="shared" si="31"/>
        <v>1547985.1500000013</v>
      </c>
      <c r="H204" s="38">
        <f t="shared" si="32"/>
        <v>150700000</v>
      </c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78">
        <v>45523</v>
      </c>
      <c r="T204" s="63"/>
      <c r="U204" s="63">
        <f t="shared" si="33"/>
        <v>215401.52000000005</v>
      </c>
      <c r="V204" s="63"/>
      <c r="W204" s="63"/>
      <c r="X204" s="63">
        <f t="shared" si="29"/>
        <v>215401.52000000005</v>
      </c>
      <c r="Y204" s="63">
        <f t="shared" si="34"/>
        <v>35200000</v>
      </c>
      <c r="Z204" s="63"/>
      <c r="AA204" s="63"/>
      <c r="AB204" s="63"/>
      <c r="AC204" s="302"/>
      <c r="AD204" s="302"/>
      <c r="AE204" s="63"/>
      <c r="AF204" s="63"/>
      <c r="AG204" s="63"/>
      <c r="AH204" s="63"/>
      <c r="AJ204" s="63"/>
      <c r="AK204" s="63"/>
      <c r="AL204" s="63"/>
    </row>
    <row r="205" spans="2:38" outlineLevel="1" x14ac:dyDescent="0.25">
      <c r="B205" s="42">
        <v>45524</v>
      </c>
      <c r="C205" s="38"/>
      <c r="D205" s="38">
        <f t="shared" si="30"/>
        <v>1547985.1500000013</v>
      </c>
      <c r="E205" s="38"/>
      <c r="F205" s="38">
        <v>-3153.83</v>
      </c>
      <c r="G205" s="38">
        <f t="shared" si="31"/>
        <v>1544831.3200000012</v>
      </c>
      <c r="H205" s="38">
        <f t="shared" si="32"/>
        <v>150700000</v>
      </c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78">
        <v>45524</v>
      </c>
      <c r="T205" s="63">
        <v>-124853.07</v>
      </c>
      <c r="U205" s="63">
        <f t="shared" si="33"/>
        <v>93412.130000000034</v>
      </c>
      <c r="V205" s="63"/>
      <c r="W205" s="63">
        <v>2863.68</v>
      </c>
      <c r="X205" s="63">
        <f t="shared" si="29"/>
        <v>93412.130000000034</v>
      </c>
      <c r="Y205" s="63">
        <f t="shared" si="34"/>
        <v>35200000</v>
      </c>
      <c r="Z205" s="63"/>
      <c r="AA205" s="63"/>
      <c r="AB205" s="63"/>
      <c r="AC205" s="302"/>
      <c r="AD205" s="302"/>
      <c r="AE205" s="63"/>
      <c r="AF205" s="63"/>
      <c r="AG205" s="63"/>
      <c r="AH205" s="63"/>
      <c r="AJ205" s="63"/>
      <c r="AK205" s="63"/>
      <c r="AL205" s="63"/>
    </row>
    <row r="206" spans="2:38" outlineLevel="1" x14ac:dyDescent="0.25">
      <c r="B206" s="42">
        <v>45525</v>
      </c>
      <c r="C206" s="38"/>
      <c r="D206" s="38">
        <f t="shared" si="30"/>
        <v>1544831.3200000012</v>
      </c>
      <c r="E206" s="53">
        <v>-1000000</v>
      </c>
      <c r="F206" s="38">
        <v>-1572.8</v>
      </c>
      <c r="G206" s="38">
        <f>D206+E206+F206</f>
        <v>543258.52000000118</v>
      </c>
      <c r="H206" s="38">
        <f t="shared" si="32"/>
        <v>151700000</v>
      </c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78">
        <v>45525</v>
      </c>
      <c r="T206" s="63"/>
      <c r="U206" s="63">
        <f t="shared" si="33"/>
        <v>93403.300000000032</v>
      </c>
      <c r="V206" s="63"/>
      <c r="W206" s="63">
        <v>-8.83</v>
      </c>
      <c r="X206" s="63">
        <f t="shared" si="29"/>
        <v>93403.300000000032</v>
      </c>
      <c r="Y206" s="63">
        <f t="shared" si="34"/>
        <v>35200000</v>
      </c>
      <c r="Z206" s="63"/>
      <c r="AA206" s="63"/>
      <c r="AB206" s="63"/>
      <c r="AC206" s="302"/>
      <c r="AD206" s="302"/>
      <c r="AE206" s="63"/>
      <c r="AF206" s="63"/>
      <c r="AG206" s="63"/>
      <c r="AH206" s="63"/>
      <c r="AJ206" s="63"/>
      <c r="AK206" s="63"/>
      <c r="AL206" s="63"/>
    </row>
    <row r="207" spans="2:38" outlineLevel="1" x14ac:dyDescent="0.25">
      <c r="B207" s="42">
        <v>45526</v>
      </c>
      <c r="C207" s="38"/>
      <c r="D207" s="38">
        <f t="shared" si="30"/>
        <v>543258.52000000118</v>
      </c>
      <c r="E207" s="38"/>
      <c r="F207" s="38">
        <f>-61192+844.2</f>
        <v>-60347.8</v>
      </c>
      <c r="G207" s="38">
        <f>D207+E207+F207</f>
        <v>482910.72000000119</v>
      </c>
      <c r="H207" s="38">
        <f>H206-E207</f>
        <v>151700000</v>
      </c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78">
        <v>45526</v>
      </c>
      <c r="T207" s="63"/>
      <c r="U207" s="63">
        <f t="shared" si="33"/>
        <v>93403.300000000032</v>
      </c>
      <c r="V207" s="63"/>
      <c r="W207" s="63"/>
      <c r="X207" s="63">
        <f t="shared" si="29"/>
        <v>93403.300000000032</v>
      </c>
      <c r="Y207" s="63">
        <f t="shared" si="34"/>
        <v>35200000</v>
      </c>
      <c r="Z207" s="63"/>
      <c r="AA207" s="63"/>
      <c r="AB207" s="63"/>
      <c r="AC207" s="302"/>
      <c r="AD207" s="302"/>
      <c r="AE207" s="63"/>
      <c r="AF207" s="63"/>
      <c r="AG207" s="63"/>
      <c r="AH207" s="63"/>
      <c r="AJ207" s="63"/>
      <c r="AK207" s="63"/>
      <c r="AL207" s="63"/>
    </row>
    <row r="208" spans="2:38" outlineLevel="1" x14ac:dyDescent="0.25">
      <c r="B208" s="42">
        <v>45527</v>
      </c>
      <c r="C208" s="38"/>
      <c r="D208" s="38">
        <f t="shared" si="30"/>
        <v>482910.72000000119</v>
      </c>
      <c r="E208" s="38"/>
      <c r="F208" s="38"/>
      <c r="G208" s="38">
        <f>D208+E208+F208</f>
        <v>482910.72000000119</v>
      </c>
      <c r="H208" s="38">
        <f>H207-E208</f>
        <v>151700000</v>
      </c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78">
        <v>45527</v>
      </c>
      <c r="T208" s="63"/>
      <c r="U208" s="63">
        <f t="shared" si="33"/>
        <v>93403.300000000032</v>
      </c>
      <c r="V208" s="63"/>
      <c r="W208" s="63"/>
      <c r="X208" s="63">
        <f t="shared" si="29"/>
        <v>93403.300000000032</v>
      </c>
      <c r="Y208" s="63">
        <f t="shared" si="34"/>
        <v>35200000</v>
      </c>
      <c r="Z208" s="63"/>
      <c r="AA208" s="63"/>
      <c r="AB208" s="63"/>
      <c r="AC208" s="302"/>
      <c r="AD208" s="302"/>
      <c r="AE208" s="63"/>
      <c r="AF208" s="63"/>
      <c r="AG208" s="63"/>
      <c r="AH208" s="63"/>
      <c r="AJ208" s="63"/>
      <c r="AK208" s="63"/>
      <c r="AL208" s="63"/>
    </row>
    <row r="209" spans="2:38" outlineLevel="1" x14ac:dyDescent="0.25">
      <c r="B209" s="42">
        <v>45528</v>
      </c>
      <c r="C209" s="38"/>
      <c r="D209" s="38">
        <f t="shared" si="30"/>
        <v>482910.72000000119</v>
      </c>
      <c r="E209" s="38"/>
      <c r="F209" s="38"/>
      <c r="G209" s="38">
        <f t="shared" si="31"/>
        <v>482910.72000000119</v>
      </c>
      <c r="H209" s="38">
        <f t="shared" si="32"/>
        <v>151700000</v>
      </c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78">
        <v>45528</v>
      </c>
      <c r="T209" s="63"/>
      <c r="U209" s="63">
        <f t="shared" si="33"/>
        <v>93403.300000000032</v>
      </c>
      <c r="V209" s="63"/>
      <c r="W209" s="63"/>
      <c r="X209" s="63">
        <f t="shared" si="29"/>
        <v>93403.300000000032</v>
      </c>
      <c r="Y209" s="63">
        <f t="shared" si="34"/>
        <v>35200000</v>
      </c>
      <c r="Z209" s="63"/>
      <c r="AA209" s="63"/>
      <c r="AB209" s="63"/>
      <c r="AC209" s="302"/>
      <c r="AD209" s="302"/>
      <c r="AE209" s="63"/>
      <c r="AF209" s="63"/>
      <c r="AG209" s="63"/>
      <c r="AH209" s="63"/>
      <c r="AJ209" s="63"/>
      <c r="AK209" s="63"/>
      <c r="AL209" s="63"/>
    </row>
    <row r="210" spans="2:38" outlineLevel="1" x14ac:dyDescent="0.25">
      <c r="B210" s="42">
        <v>45529</v>
      </c>
      <c r="C210" s="38"/>
      <c r="D210" s="38">
        <f t="shared" ref="D210:D273" si="35">C210+G209</f>
        <v>482910.72000000119</v>
      </c>
      <c r="E210" s="38"/>
      <c r="F210" s="38"/>
      <c r="G210" s="38">
        <f t="shared" ref="G210:G273" si="36">D210+E210+F210</f>
        <v>482910.72000000119</v>
      </c>
      <c r="H210" s="38">
        <f t="shared" ref="H210:H273" si="37">H209-E210</f>
        <v>151700000</v>
      </c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78">
        <v>45529</v>
      </c>
      <c r="T210" s="63"/>
      <c r="U210" s="63">
        <f t="shared" si="33"/>
        <v>93403.300000000032</v>
      </c>
      <c r="V210" s="63"/>
      <c r="W210" s="63"/>
      <c r="X210" s="63">
        <f t="shared" si="29"/>
        <v>93403.300000000032</v>
      </c>
      <c r="Y210" s="63">
        <f t="shared" si="34"/>
        <v>35200000</v>
      </c>
      <c r="Z210" s="63"/>
      <c r="AA210" s="63"/>
      <c r="AB210" s="63"/>
      <c r="AC210" s="302"/>
      <c r="AD210" s="302"/>
      <c r="AE210" s="63"/>
      <c r="AF210" s="63"/>
      <c r="AG210" s="63"/>
      <c r="AH210" s="63"/>
      <c r="AJ210" s="63"/>
      <c r="AK210" s="63"/>
      <c r="AL210" s="63"/>
    </row>
    <row r="211" spans="2:38" outlineLevel="1" x14ac:dyDescent="0.25">
      <c r="B211" s="42">
        <v>45530</v>
      </c>
      <c r="C211" s="38">
        <f>-2822992.94-2614062.5</f>
        <v>-5437055.4399999995</v>
      </c>
      <c r="D211" s="38">
        <f t="shared" si="35"/>
        <v>-4954144.7199999979</v>
      </c>
      <c r="E211" s="53">
        <v>8000000</v>
      </c>
      <c r="F211" s="38"/>
      <c r="G211" s="38">
        <f t="shared" si="36"/>
        <v>3045855.2800000021</v>
      </c>
      <c r="H211" s="38">
        <f t="shared" si="37"/>
        <v>143700000</v>
      </c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78">
        <v>45530</v>
      </c>
      <c r="T211" s="63">
        <v>-328923.52000000002</v>
      </c>
      <c r="U211" s="63">
        <f t="shared" si="33"/>
        <v>-235609.21999999997</v>
      </c>
      <c r="V211" s="82">
        <v>350000</v>
      </c>
      <c r="W211" s="63">
        <f>-89</f>
        <v>-89</v>
      </c>
      <c r="X211" s="63">
        <f t="shared" si="29"/>
        <v>114390.78000000003</v>
      </c>
      <c r="Y211" s="63">
        <f t="shared" si="34"/>
        <v>34850000</v>
      </c>
      <c r="Z211" s="63"/>
      <c r="AA211" s="63"/>
      <c r="AB211" s="63"/>
      <c r="AC211" s="302"/>
      <c r="AD211" s="302"/>
      <c r="AE211" s="63"/>
      <c r="AF211" s="63"/>
      <c r="AG211" s="63"/>
      <c r="AH211" s="63"/>
      <c r="AJ211" s="63"/>
      <c r="AK211" s="63"/>
      <c r="AL211" s="63"/>
    </row>
    <row r="212" spans="2:38" outlineLevel="1" x14ac:dyDescent="0.25">
      <c r="B212" s="42">
        <v>45531</v>
      </c>
      <c r="C212" s="38">
        <v>-989145.71</v>
      </c>
      <c r="D212" s="38">
        <f t="shared" si="35"/>
        <v>2056709.5700000022</v>
      </c>
      <c r="E212" s="38"/>
      <c r="F212" s="38">
        <f>-27953.77-23</f>
        <v>-27976.77</v>
      </c>
      <c r="G212" s="38">
        <f t="shared" si="36"/>
        <v>2028732.8000000021</v>
      </c>
      <c r="H212" s="38">
        <f t="shared" si="37"/>
        <v>143700000</v>
      </c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78">
        <v>45531</v>
      </c>
      <c r="T212" s="63"/>
      <c r="U212" s="63">
        <f t="shared" si="33"/>
        <v>114381.85000000003</v>
      </c>
      <c r="V212" s="63"/>
      <c r="W212" s="63">
        <v>-8.93</v>
      </c>
      <c r="X212" s="63">
        <f t="shared" si="29"/>
        <v>114381.85000000003</v>
      </c>
      <c r="Y212" s="63">
        <f t="shared" si="34"/>
        <v>34850000</v>
      </c>
      <c r="Z212" s="63"/>
      <c r="AA212" s="63"/>
      <c r="AB212" s="63"/>
      <c r="AC212" s="302"/>
      <c r="AD212" s="302"/>
      <c r="AE212" s="63"/>
      <c r="AF212" s="63"/>
      <c r="AG212" s="63"/>
      <c r="AH212" s="63"/>
      <c r="AJ212" s="63"/>
      <c r="AK212" s="63"/>
      <c r="AL212" s="63"/>
    </row>
    <row r="213" spans="2:38" outlineLevel="1" x14ac:dyDescent="0.25">
      <c r="B213" s="42">
        <v>45532</v>
      </c>
      <c r="C213" s="38"/>
      <c r="D213" s="38">
        <f t="shared" si="35"/>
        <v>2028732.8000000021</v>
      </c>
      <c r="E213" s="38"/>
      <c r="F213" s="38"/>
      <c r="G213" s="38">
        <f t="shared" si="36"/>
        <v>2028732.8000000021</v>
      </c>
      <c r="H213" s="38">
        <f t="shared" si="37"/>
        <v>143700000</v>
      </c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78">
        <v>45532</v>
      </c>
      <c r="T213" s="63"/>
      <c r="U213" s="63">
        <f t="shared" si="33"/>
        <v>114381.85000000003</v>
      </c>
      <c r="V213" s="63"/>
      <c r="W213" s="63"/>
      <c r="X213" s="63">
        <f t="shared" si="29"/>
        <v>114381.85000000003</v>
      </c>
      <c r="Y213" s="63">
        <f t="shared" si="34"/>
        <v>34850000</v>
      </c>
      <c r="Z213" s="63"/>
      <c r="AA213" s="63"/>
      <c r="AB213" s="63"/>
      <c r="AC213" s="302"/>
      <c r="AD213" s="302"/>
      <c r="AE213" s="63"/>
      <c r="AF213" s="63"/>
      <c r="AG213" s="63"/>
      <c r="AH213" s="63"/>
      <c r="AJ213" s="63"/>
      <c r="AK213" s="63"/>
      <c r="AL213" s="63"/>
    </row>
    <row r="214" spans="2:38" outlineLevel="1" x14ac:dyDescent="0.25">
      <c r="B214" s="42">
        <v>45533</v>
      </c>
      <c r="C214" s="38"/>
      <c r="D214" s="38">
        <f t="shared" si="35"/>
        <v>2028732.8000000021</v>
      </c>
      <c r="E214" s="38"/>
      <c r="F214" s="38"/>
      <c r="G214" s="38">
        <f t="shared" si="36"/>
        <v>2028732.8000000021</v>
      </c>
      <c r="H214" s="38">
        <f t="shared" si="37"/>
        <v>143700000</v>
      </c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78">
        <v>45533</v>
      </c>
      <c r="T214" s="63"/>
      <c r="U214" s="63">
        <f t="shared" si="33"/>
        <v>114381.85000000003</v>
      </c>
      <c r="V214" s="63"/>
      <c r="W214" s="63"/>
      <c r="X214" s="63">
        <f t="shared" si="29"/>
        <v>114381.85000000003</v>
      </c>
      <c r="Y214" s="63">
        <f t="shared" si="34"/>
        <v>34850000</v>
      </c>
      <c r="Z214" s="63"/>
      <c r="AA214" s="63"/>
      <c r="AB214" s="63"/>
      <c r="AC214" s="302"/>
      <c r="AD214" s="302"/>
      <c r="AE214" s="63"/>
      <c r="AF214" s="63"/>
      <c r="AG214" s="63"/>
      <c r="AH214" s="63"/>
      <c r="AJ214" s="63"/>
      <c r="AK214" s="63"/>
      <c r="AL214" s="63"/>
    </row>
    <row r="215" spans="2:38" outlineLevel="1" x14ac:dyDescent="0.25">
      <c r="B215" s="42">
        <v>45534</v>
      </c>
      <c r="C215" s="38">
        <f>-2600000</f>
        <v>-2600000</v>
      </c>
      <c r="D215" s="38">
        <f t="shared" si="35"/>
        <v>-571267.19999999786</v>
      </c>
      <c r="E215" s="53">
        <v>1000000</v>
      </c>
      <c r="F215" s="38"/>
      <c r="G215" s="38">
        <f t="shared" si="36"/>
        <v>428732.80000000214</v>
      </c>
      <c r="H215" s="38">
        <f t="shared" si="37"/>
        <v>142700000</v>
      </c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78">
        <v>45534</v>
      </c>
      <c r="T215" s="63"/>
      <c r="U215" s="63">
        <f t="shared" si="33"/>
        <v>114381.85000000003</v>
      </c>
      <c r="V215" s="63"/>
      <c r="W215" s="63"/>
      <c r="X215" s="63">
        <f t="shared" si="29"/>
        <v>114381.85000000003</v>
      </c>
      <c r="Y215" s="63">
        <f t="shared" si="34"/>
        <v>34850000</v>
      </c>
      <c r="Z215" s="63"/>
      <c r="AA215" s="63"/>
      <c r="AB215" s="63"/>
      <c r="AC215" s="302"/>
      <c r="AD215" s="302"/>
      <c r="AE215" s="63"/>
      <c r="AF215" s="63"/>
      <c r="AG215" s="63"/>
      <c r="AH215" s="63"/>
      <c r="AJ215" s="63"/>
      <c r="AK215" s="63"/>
      <c r="AL215" s="63"/>
    </row>
    <row r="216" spans="2:38" outlineLevel="1" x14ac:dyDescent="0.25">
      <c r="B216" s="42">
        <v>45535</v>
      </c>
      <c r="C216" s="38"/>
      <c r="D216" s="38">
        <f t="shared" si="35"/>
        <v>428732.80000000214</v>
      </c>
      <c r="E216" s="38"/>
      <c r="F216" s="38"/>
      <c r="G216" s="38">
        <f t="shared" si="36"/>
        <v>428732.80000000214</v>
      </c>
      <c r="H216" s="38">
        <f t="shared" si="37"/>
        <v>142700000</v>
      </c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78">
        <v>45535</v>
      </c>
      <c r="T216" s="63"/>
      <c r="U216" s="63">
        <f t="shared" si="33"/>
        <v>114381.85000000003</v>
      </c>
      <c r="V216" s="63"/>
      <c r="W216" s="63"/>
      <c r="X216" s="63">
        <f t="shared" si="29"/>
        <v>114381.85000000003</v>
      </c>
      <c r="Y216" s="63">
        <f t="shared" si="34"/>
        <v>34850000</v>
      </c>
      <c r="Z216" s="63"/>
      <c r="AA216" s="63"/>
      <c r="AB216" s="63"/>
      <c r="AC216" s="302"/>
      <c r="AD216" s="302"/>
      <c r="AE216" s="63"/>
      <c r="AF216" s="63"/>
      <c r="AG216" s="63"/>
      <c r="AH216" s="63"/>
      <c r="AJ216" s="63"/>
      <c r="AK216" s="63"/>
      <c r="AL216" s="63"/>
    </row>
    <row r="217" spans="2:38" outlineLevel="1" x14ac:dyDescent="0.25">
      <c r="B217" s="42">
        <v>45536</v>
      </c>
      <c r="C217" s="38"/>
      <c r="D217" s="38">
        <f t="shared" si="35"/>
        <v>428732.80000000214</v>
      </c>
      <c r="E217" s="38"/>
      <c r="F217" s="38"/>
      <c r="G217" s="38">
        <f t="shared" si="36"/>
        <v>428732.80000000214</v>
      </c>
      <c r="H217" s="38">
        <f t="shared" si="37"/>
        <v>142700000</v>
      </c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78">
        <v>45536</v>
      </c>
      <c r="T217" s="63"/>
      <c r="U217" s="63">
        <f t="shared" si="33"/>
        <v>114381.85000000003</v>
      </c>
      <c r="V217" s="63"/>
      <c r="W217" s="63"/>
      <c r="X217" s="63">
        <f t="shared" si="29"/>
        <v>114381.85000000003</v>
      </c>
      <c r="Y217" s="63">
        <f t="shared" si="34"/>
        <v>34850000</v>
      </c>
      <c r="Z217" s="63"/>
      <c r="AA217" s="63"/>
      <c r="AB217" s="63"/>
      <c r="AC217" s="302"/>
      <c r="AD217" s="302"/>
      <c r="AE217" s="63"/>
      <c r="AF217" s="63"/>
      <c r="AG217" s="63"/>
      <c r="AH217" s="63"/>
      <c r="AJ217" s="63"/>
      <c r="AK217" s="63"/>
      <c r="AL217" s="63"/>
    </row>
    <row r="218" spans="2:38" outlineLevel="1" x14ac:dyDescent="0.25">
      <c r="B218" s="42">
        <v>45537</v>
      </c>
      <c r="C218" s="38"/>
      <c r="D218" s="38">
        <f t="shared" si="35"/>
        <v>428732.80000000214</v>
      </c>
      <c r="E218" s="38"/>
      <c r="F218" s="38"/>
      <c r="G218" s="38">
        <f t="shared" si="36"/>
        <v>428732.80000000214</v>
      </c>
      <c r="H218" s="38">
        <f t="shared" si="37"/>
        <v>142700000</v>
      </c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78">
        <v>45537</v>
      </c>
      <c r="T218" s="63"/>
      <c r="U218" s="63">
        <f t="shared" si="33"/>
        <v>114381.85000000003</v>
      </c>
      <c r="V218" s="63"/>
      <c r="W218" s="63"/>
      <c r="X218" s="63">
        <f t="shared" si="29"/>
        <v>114381.85000000003</v>
      </c>
      <c r="Y218" s="63">
        <f t="shared" si="34"/>
        <v>34850000</v>
      </c>
      <c r="Z218" s="63"/>
      <c r="AA218" s="63"/>
      <c r="AB218" s="63"/>
      <c r="AC218" s="302"/>
      <c r="AD218" s="302"/>
      <c r="AE218" s="63"/>
      <c r="AF218" s="63"/>
      <c r="AG218" s="63"/>
      <c r="AH218" s="63"/>
      <c r="AJ218" s="63"/>
      <c r="AK218" s="63"/>
      <c r="AL218" s="63"/>
    </row>
    <row r="219" spans="2:38" outlineLevel="1" x14ac:dyDescent="0.25">
      <c r="B219" s="42">
        <v>45538</v>
      </c>
      <c r="C219" s="38"/>
      <c r="D219" s="38">
        <f t="shared" si="35"/>
        <v>428732.80000000214</v>
      </c>
      <c r="E219" s="38"/>
      <c r="F219" s="38"/>
      <c r="G219" s="38">
        <f t="shared" si="36"/>
        <v>428732.80000000214</v>
      </c>
      <c r="H219" s="38">
        <f t="shared" si="37"/>
        <v>142700000</v>
      </c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78">
        <v>45538</v>
      </c>
      <c r="T219" s="63"/>
      <c r="U219" s="63">
        <f t="shared" si="33"/>
        <v>114381.85000000003</v>
      </c>
      <c r="V219" s="63"/>
      <c r="W219" s="63"/>
      <c r="X219" s="63">
        <f t="shared" si="29"/>
        <v>114381.85000000003</v>
      </c>
      <c r="Y219" s="63">
        <f t="shared" si="34"/>
        <v>34850000</v>
      </c>
      <c r="Z219" s="63"/>
      <c r="AA219" s="63"/>
      <c r="AB219" s="63"/>
      <c r="AC219" s="302"/>
      <c r="AD219" s="302"/>
      <c r="AE219" s="63"/>
      <c r="AF219" s="63"/>
      <c r="AG219" s="63"/>
      <c r="AH219" s="63"/>
      <c r="AJ219" s="63"/>
      <c r="AK219" s="63"/>
      <c r="AL219" s="63"/>
    </row>
    <row r="220" spans="2:38" outlineLevel="1" x14ac:dyDescent="0.25">
      <c r="B220" s="42">
        <v>45539</v>
      </c>
      <c r="C220" s="38"/>
      <c r="D220" s="38">
        <f t="shared" si="35"/>
        <v>428732.80000000214</v>
      </c>
      <c r="E220" s="38"/>
      <c r="F220" s="38"/>
      <c r="G220" s="38">
        <f t="shared" si="36"/>
        <v>428732.80000000214</v>
      </c>
      <c r="H220" s="38">
        <f t="shared" si="37"/>
        <v>142700000</v>
      </c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78">
        <v>45539</v>
      </c>
      <c r="T220" s="63"/>
      <c r="U220" s="63">
        <f t="shared" si="33"/>
        <v>114381.85000000003</v>
      </c>
      <c r="V220" s="63"/>
      <c r="W220" s="63"/>
      <c r="X220" s="63">
        <f t="shared" ref="X220:X283" si="38">V220+U220</f>
        <v>114381.85000000003</v>
      </c>
      <c r="Y220" s="63">
        <f t="shared" si="34"/>
        <v>34850000</v>
      </c>
      <c r="Z220" s="63"/>
      <c r="AA220" s="63"/>
      <c r="AB220" s="63"/>
      <c r="AC220" s="302"/>
      <c r="AD220" s="302"/>
      <c r="AE220" s="63"/>
      <c r="AF220" s="63"/>
      <c r="AG220" s="63"/>
      <c r="AH220" s="63"/>
      <c r="AJ220" s="63"/>
      <c r="AK220" s="63"/>
      <c r="AL220" s="63"/>
    </row>
    <row r="221" spans="2:38" outlineLevel="1" x14ac:dyDescent="0.25">
      <c r="B221" s="42">
        <v>45540</v>
      </c>
      <c r="C221" s="38"/>
      <c r="D221" s="38">
        <f t="shared" si="35"/>
        <v>428732.80000000214</v>
      </c>
      <c r="E221" s="38"/>
      <c r="F221" s="38"/>
      <c r="G221" s="38">
        <f t="shared" si="36"/>
        <v>428732.80000000214</v>
      </c>
      <c r="H221" s="38">
        <f t="shared" si="37"/>
        <v>142700000</v>
      </c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78">
        <v>45540</v>
      </c>
      <c r="T221" s="63"/>
      <c r="U221" s="63">
        <f t="shared" si="33"/>
        <v>114381.85000000003</v>
      </c>
      <c r="V221" s="63"/>
      <c r="W221" s="63"/>
      <c r="X221" s="63">
        <f t="shared" si="38"/>
        <v>114381.85000000003</v>
      </c>
      <c r="Y221" s="63">
        <f t="shared" si="34"/>
        <v>34850000</v>
      </c>
      <c r="Z221" s="63"/>
      <c r="AA221" s="63"/>
      <c r="AB221" s="63"/>
      <c r="AC221" s="302"/>
      <c r="AD221" s="302"/>
      <c r="AE221" s="63"/>
      <c r="AF221" s="63"/>
      <c r="AG221" s="63"/>
      <c r="AH221" s="63"/>
      <c r="AJ221" s="63"/>
      <c r="AK221" s="63"/>
      <c r="AL221" s="63"/>
    </row>
    <row r="222" spans="2:38" outlineLevel="1" x14ac:dyDescent="0.25">
      <c r="B222" s="42">
        <v>45541</v>
      </c>
      <c r="C222" s="38"/>
      <c r="D222" s="38">
        <f t="shared" si="35"/>
        <v>428732.80000000214</v>
      </c>
      <c r="E222" s="38"/>
      <c r="F222" s="38">
        <v>-334057.7</v>
      </c>
      <c r="G222" s="38">
        <f t="shared" si="36"/>
        <v>94675.10000000213</v>
      </c>
      <c r="H222" s="38">
        <f t="shared" si="37"/>
        <v>142700000</v>
      </c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78">
        <v>45541</v>
      </c>
      <c r="T222" s="63"/>
      <c r="U222" s="63">
        <f t="shared" si="33"/>
        <v>260206.95000000004</v>
      </c>
      <c r="V222" s="63"/>
      <c r="W222" s="63">
        <v>145825.1</v>
      </c>
      <c r="X222" s="63">
        <f t="shared" si="38"/>
        <v>260206.95000000004</v>
      </c>
      <c r="Y222" s="63">
        <f t="shared" si="34"/>
        <v>34850000</v>
      </c>
      <c r="Z222" s="63"/>
      <c r="AA222" s="63"/>
      <c r="AB222" s="63"/>
      <c r="AC222" s="302"/>
      <c r="AD222" s="302"/>
      <c r="AE222" s="63"/>
      <c r="AF222" s="63"/>
      <c r="AG222" s="63"/>
      <c r="AH222" s="63"/>
      <c r="AJ222" s="63"/>
      <c r="AK222" s="63"/>
      <c r="AL222" s="63"/>
    </row>
    <row r="223" spans="2:38" outlineLevel="1" x14ac:dyDescent="0.25">
      <c r="B223" s="42">
        <v>45542</v>
      </c>
      <c r="C223" s="38"/>
      <c r="D223" s="38">
        <f t="shared" si="35"/>
        <v>94675.10000000213</v>
      </c>
      <c r="E223" s="38"/>
      <c r="F223" s="38"/>
      <c r="G223" s="38">
        <f t="shared" si="36"/>
        <v>94675.10000000213</v>
      </c>
      <c r="H223" s="38">
        <f t="shared" si="37"/>
        <v>142700000</v>
      </c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78">
        <v>45542</v>
      </c>
      <c r="T223" s="63"/>
      <c r="U223" s="63">
        <f t="shared" si="33"/>
        <v>260206.95000000004</v>
      </c>
      <c r="V223" s="63"/>
      <c r="W223" s="63"/>
      <c r="X223" s="63">
        <f t="shared" si="38"/>
        <v>260206.95000000004</v>
      </c>
      <c r="Y223" s="63">
        <f t="shared" si="34"/>
        <v>34850000</v>
      </c>
      <c r="Z223" s="63"/>
      <c r="AA223" s="63"/>
      <c r="AB223" s="63"/>
      <c r="AC223" s="302"/>
      <c r="AD223" s="302"/>
      <c r="AE223" s="63"/>
      <c r="AF223" s="63"/>
      <c r="AG223" s="63"/>
      <c r="AH223" s="63"/>
      <c r="AJ223" s="63"/>
      <c r="AK223" s="63"/>
      <c r="AL223" s="63"/>
    </row>
    <row r="224" spans="2:38" outlineLevel="1" x14ac:dyDescent="0.25">
      <c r="B224" s="42">
        <v>45543</v>
      </c>
      <c r="C224" s="38"/>
      <c r="D224" s="38">
        <f t="shared" si="35"/>
        <v>94675.10000000213</v>
      </c>
      <c r="E224" s="38"/>
      <c r="F224" s="38"/>
      <c r="G224" s="38">
        <f t="shared" si="36"/>
        <v>94675.10000000213</v>
      </c>
      <c r="H224" s="38">
        <f t="shared" si="37"/>
        <v>142700000</v>
      </c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78">
        <v>45543</v>
      </c>
      <c r="T224" s="63"/>
      <c r="U224" s="63">
        <f t="shared" si="33"/>
        <v>260206.95000000004</v>
      </c>
      <c r="V224" s="63"/>
      <c r="W224" s="63"/>
      <c r="X224" s="63">
        <f t="shared" si="38"/>
        <v>260206.95000000004</v>
      </c>
      <c r="Y224" s="63">
        <f t="shared" si="34"/>
        <v>34850000</v>
      </c>
      <c r="Z224" s="63"/>
      <c r="AA224" s="63"/>
      <c r="AB224" s="63"/>
      <c r="AC224" s="302"/>
      <c r="AD224" s="302"/>
      <c r="AE224" s="63"/>
      <c r="AF224" s="63"/>
      <c r="AG224" s="63"/>
      <c r="AH224" s="63"/>
      <c r="AJ224" s="63"/>
      <c r="AK224" s="63"/>
      <c r="AL224" s="63"/>
    </row>
    <row r="225" spans="2:38" outlineLevel="1" x14ac:dyDescent="0.25">
      <c r="B225" s="42">
        <v>45544</v>
      </c>
      <c r="C225" s="38"/>
      <c r="D225" s="38">
        <f t="shared" si="35"/>
        <v>94675.10000000213</v>
      </c>
      <c r="E225" s="38"/>
      <c r="F225" s="38"/>
      <c r="G225" s="38">
        <f t="shared" si="36"/>
        <v>94675.10000000213</v>
      </c>
      <c r="H225" s="38">
        <f t="shared" si="37"/>
        <v>142700000</v>
      </c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78">
        <v>45544</v>
      </c>
      <c r="T225" s="63"/>
      <c r="U225" s="63">
        <f t="shared" si="33"/>
        <v>260206.95000000004</v>
      </c>
      <c r="V225" s="63"/>
      <c r="W225" s="63"/>
      <c r="X225" s="63">
        <f t="shared" si="38"/>
        <v>260206.95000000004</v>
      </c>
      <c r="Y225" s="63">
        <f t="shared" si="34"/>
        <v>34850000</v>
      </c>
      <c r="Z225" s="63"/>
      <c r="AA225" s="63"/>
      <c r="AB225" s="63"/>
      <c r="AC225" s="302"/>
      <c r="AD225" s="302"/>
      <c r="AE225" s="63"/>
      <c r="AF225" s="63"/>
      <c r="AG225" s="63"/>
      <c r="AH225" s="63"/>
      <c r="AJ225" s="63"/>
      <c r="AK225" s="63"/>
      <c r="AL225" s="63"/>
    </row>
    <row r="226" spans="2:38" outlineLevel="1" x14ac:dyDescent="0.25">
      <c r="B226" s="42">
        <v>45545</v>
      </c>
      <c r="C226" s="38">
        <v>-600223.03</v>
      </c>
      <c r="D226" s="38">
        <f t="shared" si="35"/>
        <v>-505547.9299999979</v>
      </c>
      <c r="E226" s="83">
        <v>1000000</v>
      </c>
      <c r="F226" s="38"/>
      <c r="G226" s="38">
        <f t="shared" si="36"/>
        <v>494452.0700000021</v>
      </c>
      <c r="H226" s="38">
        <f t="shared" si="37"/>
        <v>141700000</v>
      </c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78">
        <v>45545</v>
      </c>
      <c r="T226" s="63"/>
      <c r="U226" s="63">
        <f t="shared" si="33"/>
        <v>260206.95000000004</v>
      </c>
      <c r="V226" s="84">
        <f>300000-200000</f>
        <v>100000</v>
      </c>
      <c r="W226" s="63"/>
      <c r="X226" s="63">
        <f t="shared" si="38"/>
        <v>360206.95000000007</v>
      </c>
      <c r="Y226" s="63">
        <f t="shared" si="34"/>
        <v>34750000</v>
      </c>
      <c r="Z226" s="63"/>
      <c r="AA226" s="63"/>
      <c r="AB226" s="63"/>
      <c r="AC226" s="302"/>
      <c r="AD226" s="302"/>
      <c r="AE226" s="63"/>
      <c r="AF226" s="63"/>
      <c r="AG226" s="63"/>
      <c r="AH226" s="63"/>
      <c r="AJ226" s="63"/>
      <c r="AK226" s="63"/>
      <c r="AL226" s="63"/>
    </row>
    <row r="227" spans="2:38" outlineLevel="1" x14ac:dyDescent="0.25">
      <c r="B227" s="42">
        <v>45546</v>
      </c>
      <c r="C227" s="38">
        <v>-468765.67</v>
      </c>
      <c r="D227" s="38">
        <f t="shared" si="35"/>
        <v>25686.400000002119</v>
      </c>
      <c r="E227" s="83">
        <f>900000-700000</f>
        <v>200000</v>
      </c>
      <c r="F227" s="38"/>
      <c r="G227" s="38">
        <f t="shared" si="36"/>
        <v>225686.40000000212</v>
      </c>
      <c r="H227" s="38">
        <f t="shared" si="37"/>
        <v>141500000</v>
      </c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78">
        <v>45546</v>
      </c>
      <c r="T227" s="63">
        <v>-277507.95</v>
      </c>
      <c r="U227" s="63">
        <f t="shared" si="33"/>
        <v>82699.000000000058</v>
      </c>
      <c r="V227" s="63"/>
      <c r="W227" s="63"/>
      <c r="X227" s="63">
        <f t="shared" si="38"/>
        <v>82699.000000000058</v>
      </c>
      <c r="Y227" s="63">
        <f t="shared" si="34"/>
        <v>34750000</v>
      </c>
      <c r="Z227" s="63"/>
      <c r="AA227" s="63"/>
      <c r="AB227" s="63"/>
      <c r="AC227" s="302"/>
      <c r="AD227" s="302"/>
      <c r="AE227" s="63"/>
      <c r="AF227" s="63"/>
      <c r="AG227" s="63"/>
      <c r="AH227" s="63"/>
      <c r="AJ227" s="63"/>
      <c r="AK227" s="63"/>
      <c r="AL227" s="63"/>
    </row>
    <row r="228" spans="2:38" outlineLevel="1" x14ac:dyDescent="0.25">
      <c r="B228" s="42">
        <v>45547</v>
      </c>
      <c r="C228" s="38"/>
      <c r="D228" s="38">
        <f t="shared" si="35"/>
        <v>225686.40000000212</v>
      </c>
      <c r="E228" s="38"/>
      <c r="F228" s="38"/>
      <c r="G228" s="38">
        <f t="shared" si="36"/>
        <v>225686.40000000212</v>
      </c>
      <c r="H228" s="38">
        <f t="shared" si="37"/>
        <v>141500000</v>
      </c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78">
        <v>45547</v>
      </c>
      <c r="T228" s="63"/>
      <c r="U228" s="63">
        <f t="shared" si="33"/>
        <v>82699.000000000058</v>
      </c>
      <c r="V228" s="63"/>
      <c r="W228" s="63"/>
      <c r="X228" s="63">
        <f t="shared" si="38"/>
        <v>82699.000000000058</v>
      </c>
      <c r="Y228" s="63">
        <f t="shared" si="34"/>
        <v>34750000</v>
      </c>
      <c r="Z228" s="63"/>
      <c r="AA228" s="63"/>
      <c r="AB228" s="63"/>
      <c r="AC228" s="302"/>
      <c r="AD228" s="302"/>
      <c r="AE228" s="63"/>
      <c r="AF228" s="63"/>
      <c r="AG228" s="63"/>
      <c r="AH228" s="63"/>
      <c r="AJ228" s="63"/>
      <c r="AK228" s="63"/>
      <c r="AL228" s="63"/>
    </row>
    <row r="229" spans="2:38" outlineLevel="1" x14ac:dyDescent="0.25">
      <c r="B229" s="42">
        <v>45548</v>
      </c>
      <c r="C229" s="38"/>
      <c r="D229" s="38">
        <f t="shared" si="35"/>
        <v>225686.40000000212</v>
      </c>
      <c r="E229" s="38"/>
      <c r="F229" s="38"/>
      <c r="G229" s="38">
        <f t="shared" si="36"/>
        <v>225686.40000000212</v>
      </c>
      <c r="H229" s="38">
        <f t="shared" si="37"/>
        <v>141500000</v>
      </c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78">
        <v>45548</v>
      </c>
      <c r="T229" s="63"/>
      <c r="U229" s="63">
        <f t="shared" si="33"/>
        <v>82699.000000000058</v>
      </c>
      <c r="V229" s="63"/>
      <c r="W229" s="63"/>
      <c r="X229" s="63">
        <f t="shared" si="38"/>
        <v>82699.000000000058</v>
      </c>
      <c r="Y229" s="63">
        <f t="shared" si="34"/>
        <v>34750000</v>
      </c>
      <c r="Z229" s="63"/>
      <c r="AA229" s="63"/>
      <c r="AB229" s="63"/>
      <c r="AC229" s="302"/>
      <c r="AD229" s="302"/>
      <c r="AE229" s="63"/>
      <c r="AF229" s="63"/>
      <c r="AG229" s="63"/>
      <c r="AH229" s="63"/>
      <c r="AJ229" s="63"/>
      <c r="AK229" s="63"/>
      <c r="AL229" s="63"/>
    </row>
    <row r="230" spans="2:38" outlineLevel="1" x14ac:dyDescent="0.25">
      <c r="B230" s="42">
        <v>45549</v>
      </c>
      <c r="C230" s="38"/>
      <c r="D230" s="38">
        <f t="shared" si="35"/>
        <v>225686.40000000212</v>
      </c>
      <c r="E230" s="38"/>
      <c r="F230" s="38"/>
      <c r="G230" s="38">
        <f t="shared" si="36"/>
        <v>225686.40000000212</v>
      </c>
      <c r="H230" s="38">
        <f t="shared" si="37"/>
        <v>141500000</v>
      </c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78">
        <v>45549</v>
      </c>
      <c r="T230" s="63"/>
      <c r="U230" s="63">
        <f t="shared" si="33"/>
        <v>82699.000000000058</v>
      </c>
      <c r="V230" s="63"/>
      <c r="W230" s="63"/>
      <c r="X230" s="63">
        <f t="shared" si="38"/>
        <v>82699.000000000058</v>
      </c>
      <c r="Y230" s="63">
        <f t="shared" si="34"/>
        <v>34750000</v>
      </c>
      <c r="Z230" s="63"/>
      <c r="AA230" s="63"/>
      <c r="AB230" s="63"/>
      <c r="AC230" s="302"/>
      <c r="AD230" s="302"/>
      <c r="AE230" s="63"/>
      <c r="AF230" s="63"/>
      <c r="AG230" s="63"/>
      <c r="AH230" s="63"/>
      <c r="AJ230" s="63"/>
      <c r="AK230" s="63"/>
      <c r="AL230" s="63"/>
    </row>
    <row r="231" spans="2:38" outlineLevel="1" x14ac:dyDescent="0.25">
      <c r="B231" s="42">
        <v>45550</v>
      </c>
      <c r="C231" s="38"/>
      <c r="D231" s="38">
        <f t="shared" si="35"/>
        <v>225686.40000000212</v>
      </c>
      <c r="E231" s="38"/>
      <c r="F231" s="38"/>
      <c r="G231" s="38">
        <f t="shared" si="36"/>
        <v>225686.40000000212</v>
      </c>
      <c r="H231" s="38">
        <f t="shared" si="37"/>
        <v>141500000</v>
      </c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78">
        <v>45550</v>
      </c>
      <c r="T231" s="63"/>
      <c r="U231" s="63">
        <f t="shared" si="33"/>
        <v>82699.000000000058</v>
      </c>
      <c r="V231" s="63"/>
      <c r="W231" s="63"/>
      <c r="X231" s="63">
        <f t="shared" si="38"/>
        <v>82699.000000000058</v>
      </c>
      <c r="Y231" s="63">
        <f t="shared" si="34"/>
        <v>34750000</v>
      </c>
      <c r="Z231" s="63"/>
      <c r="AA231" s="63"/>
      <c r="AB231" s="63"/>
      <c r="AC231" s="302"/>
      <c r="AD231" s="302"/>
      <c r="AE231" s="63"/>
      <c r="AF231" s="63"/>
      <c r="AG231" s="63"/>
      <c r="AH231" s="63"/>
      <c r="AJ231" s="63"/>
      <c r="AK231" s="63"/>
      <c r="AL231" s="63"/>
    </row>
    <row r="232" spans="2:38" outlineLevel="1" x14ac:dyDescent="0.25">
      <c r="B232" s="42">
        <v>45551</v>
      </c>
      <c r="C232" s="38"/>
      <c r="D232" s="38">
        <f t="shared" si="35"/>
        <v>225686.40000000212</v>
      </c>
      <c r="E232" s="38"/>
      <c r="F232" s="38"/>
      <c r="G232" s="38">
        <f t="shared" si="36"/>
        <v>225686.40000000212</v>
      </c>
      <c r="H232" s="38">
        <f t="shared" si="37"/>
        <v>141500000</v>
      </c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78">
        <v>45551</v>
      </c>
      <c r="T232" s="63"/>
      <c r="U232" s="63">
        <f t="shared" si="33"/>
        <v>82699.000000000058</v>
      </c>
      <c r="V232" s="63"/>
      <c r="W232" s="63"/>
      <c r="X232" s="63">
        <f t="shared" si="38"/>
        <v>82699.000000000058</v>
      </c>
      <c r="Y232" s="63">
        <f t="shared" si="34"/>
        <v>34750000</v>
      </c>
      <c r="Z232" s="63"/>
      <c r="AA232" s="63"/>
      <c r="AB232" s="63"/>
      <c r="AC232" s="302"/>
      <c r="AD232" s="302"/>
      <c r="AE232" s="63"/>
      <c r="AF232" s="63"/>
      <c r="AG232" s="63"/>
      <c r="AH232" s="63"/>
      <c r="AJ232" s="63"/>
      <c r="AK232" s="63"/>
      <c r="AL232" s="63"/>
    </row>
    <row r="233" spans="2:38" outlineLevel="1" x14ac:dyDescent="0.25">
      <c r="B233" s="42">
        <v>45552</v>
      </c>
      <c r="C233" s="38"/>
      <c r="D233" s="38">
        <f t="shared" si="35"/>
        <v>225686.40000000212</v>
      </c>
      <c r="E233" s="38"/>
      <c r="F233" s="38"/>
      <c r="G233" s="38">
        <f t="shared" si="36"/>
        <v>225686.40000000212</v>
      </c>
      <c r="H233" s="38">
        <f t="shared" si="37"/>
        <v>141500000</v>
      </c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78">
        <v>45552</v>
      </c>
      <c r="T233" s="63"/>
      <c r="U233" s="63">
        <f t="shared" si="33"/>
        <v>82699.000000000058</v>
      </c>
      <c r="V233" s="63"/>
      <c r="W233" s="63"/>
      <c r="X233" s="63">
        <f t="shared" si="38"/>
        <v>82699.000000000058</v>
      </c>
      <c r="Y233" s="63">
        <f t="shared" si="34"/>
        <v>34750000</v>
      </c>
      <c r="Z233" s="63"/>
      <c r="AA233" s="63"/>
      <c r="AB233" s="63"/>
      <c r="AC233" s="302"/>
      <c r="AD233" s="302"/>
      <c r="AE233" s="63"/>
      <c r="AF233" s="63"/>
      <c r="AG233" s="63"/>
      <c r="AH233" s="63"/>
      <c r="AJ233" s="63"/>
      <c r="AK233" s="63"/>
      <c r="AL233" s="63"/>
    </row>
    <row r="234" spans="2:38" outlineLevel="1" x14ac:dyDescent="0.25">
      <c r="B234" s="42">
        <v>45553</v>
      </c>
      <c r="C234" s="38"/>
      <c r="D234" s="38">
        <f t="shared" si="35"/>
        <v>225686.40000000212</v>
      </c>
      <c r="E234" s="38"/>
      <c r="F234" s="38">
        <v>-167291.35</v>
      </c>
      <c r="G234" s="38">
        <f t="shared" si="36"/>
        <v>58395.050000002113</v>
      </c>
      <c r="H234" s="38">
        <f t="shared" si="37"/>
        <v>141500000</v>
      </c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78">
        <v>45553</v>
      </c>
      <c r="T234" s="63"/>
      <c r="U234" s="63">
        <f t="shared" si="33"/>
        <v>82699.000000000058</v>
      </c>
      <c r="V234" s="63"/>
      <c r="W234" s="63"/>
      <c r="X234" s="63">
        <f t="shared" si="38"/>
        <v>82699.000000000058</v>
      </c>
      <c r="Y234" s="63">
        <f t="shared" si="34"/>
        <v>34750000</v>
      </c>
      <c r="Z234" s="63"/>
      <c r="AA234" s="63"/>
      <c r="AB234" s="63"/>
      <c r="AC234" s="302"/>
      <c r="AD234" s="302"/>
      <c r="AE234" s="63"/>
      <c r="AF234" s="63"/>
      <c r="AG234" s="63"/>
      <c r="AH234" s="63"/>
      <c r="AJ234" s="63"/>
      <c r="AK234" s="63"/>
      <c r="AL234" s="63"/>
    </row>
    <row r="235" spans="2:38" outlineLevel="1" x14ac:dyDescent="0.25">
      <c r="B235" s="42">
        <v>45554</v>
      </c>
      <c r="C235" s="38"/>
      <c r="D235" s="38">
        <f t="shared" si="35"/>
        <v>58395.050000002113</v>
      </c>
      <c r="E235" s="83">
        <v>200000</v>
      </c>
      <c r="F235" s="38"/>
      <c r="G235" s="38">
        <f t="shared" si="36"/>
        <v>258395.05000000211</v>
      </c>
      <c r="H235" s="38">
        <f t="shared" si="37"/>
        <v>141300000</v>
      </c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78">
        <v>45554</v>
      </c>
      <c r="T235" s="63"/>
      <c r="U235" s="63">
        <f t="shared" si="33"/>
        <v>82699.000000000058</v>
      </c>
      <c r="V235" s="63"/>
      <c r="W235" s="63"/>
      <c r="X235" s="63">
        <f t="shared" si="38"/>
        <v>82699.000000000058</v>
      </c>
      <c r="Y235" s="63">
        <f t="shared" si="34"/>
        <v>34750000</v>
      </c>
      <c r="Z235" s="63"/>
      <c r="AA235" s="63"/>
      <c r="AB235" s="63"/>
      <c r="AC235" s="302"/>
      <c r="AD235" s="302"/>
      <c r="AE235" s="63"/>
      <c r="AF235" s="63"/>
      <c r="AG235" s="63"/>
      <c r="AH235" s="63"/>
      <c r="AJ235" s="63"/>
      <c r="AK235" s="63"/>
      <c r="AL235" s="63"/>
    </row>
    <row r="236" spans="2:38" outlineLevel="1" x14ac:dyDescent="0.25">
      <c r="B236" s="42">
        <v>45555</v>
      </c>
      <c r="C236" s="38"/>
      <c r="D236" s="38">
        <f t="shared" si="35"/>
        <v>258395.05000000211</v>
      </c>
      <c r="E236" s="38"/>
      <c r="F236" s="38"/>
      <c r="G236" s="38">
        <f t="shared" si="36"/>
        <v>258395.05000000211</v>
      </c>
      <c r="H236" s="38">
        <f t="shared" si="37"/>
        <v>141300000</v>
      </c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78">
        <v>45555</v>
      </c>
      <c r="T236" s="63"/>
      <c r="U236" s="63">
        <f t="shared" si="33"/>
        <v>82699.000000000058</v>
      </c>
      <c r="V236" s="63"/>
      <c r="W236" s="63"/>
      <c r="X236" s="63">
        <f t="shared" si="38"/>
        <v>82699.000000000058</v>
      </c>
      <c r="Y236" s="63">
        <f t="shared" si="34"/>
        <v>34750000</v>
      </c>
      <c r="Z236" s="63"/>
      <c r="AA236" s="63"/>
      <c r="AB236" s="63"/>
      <c r="AC236" s="302"/>
      <c r="AD236" s="302"/>
      <c r="AE236" s="63"/>
      <c r="AF236" s="63"/>
      <c r="AG236" s="63"/>
      <c r="AH236" s="63"/>
      <c r="AJ236" s="63"/>
      <c r="AK236" s="63"/>
      <c r="AL236" s="63"/>
    </row>
    <row r="237" spans="2:38" outlineLevel="1" x14ac:dyDescent="0.25">
      <c r="B237" s="42">
        <v>45556</v>
      </c>
      <c r="C237" s="38"/>
      <c r="D237" s="38">
        <f t="shared" si="35"/>
        <v>258395.05000000211</v>
      </c>
      <c r="E237" s="38"/>
      <c r="F237" s="38"/>
      <c r="G237" s="38">
        <f t="shared" si="36"/>
        <v>258395.05000000211</v>
      </c>
      <c r="H237" s="38">
        <f t="shared" si="37"/>
        <v>141300000</v>
      </c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78">
        <v>45556</v>
      </c>
      <c r="T237" s="63"/>
      <c r="U237" s="63">
        <f t="shared" si="33"/>
        <v>82699.000000000058</v>
      </c>
      <c r="V237" s="63"/>
      <c r="W237" s="63"/>
      <c r="X237" s="63">
        <f t="shared" si="38"/>
        <v>82699.000000000058</v>
      </c>
      <c r="Y237" s="63">
        <f t="shared" si="34"/>
        <v>34750000</v>
      </c>
      <c r="Z237" s="63"/>
      <c r="AA237" s="63"/>
      <c r="AB237" s="63"/>
      <c r="AC237" s="302"/>
      <c r="AD237" s="302"/>
      <c r="AE237" s="63"/>
      <c r="AF237" s="63"/>
      <c r="AG237" s="63"/>
      <c r="AH237" s="63"/>
      <c r="AJ237" s="63"/>
      <c r="AK237" s="63"/>
      <c r="AL237" s="63"/>
    </row>
    <row r="238" spans="2:38" outlineLevel="1" x14ac:dyDescent="0.25">
      <c r="B238" s="42">
        <v>45557</v>
      </c>
      <c r="C238" s="38"/>
      <c r="D238" s="38">
        <f t="shared" si="35"/>
        <v>258395.05000000211</v>
      </c>
      <c r="E238" s="38"/>
      <c r="F238" s="38"/>
      <c r="G238" s="38">
        <f t="shared" si="36"/>
        <v>258395.05000000211</v>
      </c>
      <c r="H238" s="38">
        <f t="shared" si="37"/>
        <v>141300000</v>
      </c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78">
        <v>45557</v>
      </c>
      <c r="T238" s="63"/>
      <c r="U238" s="63">
        <f t="shared" si="33"/>
        <v>82699.000000000058</v>
      </c>
      <c r="V238" s="63"/>
      <c r="W238" s="63"/>
      <c r="X238" s="63">
        <f t="shared" si="38"/>
        <v>82699.000000000058</v>
      </c>
      <c r="Y238" s="63">
        <f t="shared" si="34"/>
        <v>34750000</v>
      </c>
      <c r="Z238" s="63"/>
      <c r="AA238" s="63"/>
      <c r="AB238" s="63"/>
      <c r="AC238" s="302"/>
      <c r="AD238" s="302"/>
      <c r="AE238" s="63"/>
      <c r="AF238" s="63"/>
      <c r="AG238" s="63"/>
      <c r="AH238" s="63"/>
      <c r="AJ238" s="63"/>
      <c r="AK238" s="63"/>
      <c r="AL238" s="63"/>
    </row>
    <row r="239" spans="2:38" outlineLevel="1" x14ac:dyDescent="0.25">
      <c r="B239" s="42">
        <v>45558</v>
      </c>
      <c r="C239" s="38"/>
      <c r="D239" s="38">
        <f t="shared" si="35"/>
        <v>258395.05000000211</v>
      </c>
      <c r="E239" s="38"/>
      <c r="F239" s="38"/>
      <c r="G239" s="38">
        <f t="shared" si="36"/>
        <v>258395.05000000211</v>
      </c>
      <c r="H239" s="38">
        <f t="shared" si="37"/>
        <v>141300000</v>
      </c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78">
        <v>45558</v>
      </c>
      <c r="T239" s="63"/>
      <c r="U239" s="63">
        <f t="shared" si="33"/>
        <v>82699.000000000058</v>
      </c>
      <c r="V239" s="63"/>
      <c r="W239" s="63"/>
      <c r="X239" s="63">
        <f t="shared" si="38"/>
        <v>82699.000000000058</v>
      </c>
      <c r="Y239" s="63">
        <f t="shared" si="34"/>
        <v>34750000</v>
      </c>
      <c r="Z239" s="63"/>
      <c r="AA239" s="63"/>
      <c r="AB239" s="63"/>
      <c r="AC239" s="302"/>
      <c r="AD239" s="302"/>
      <c r="AE239" s="63"/>
      <c r="AF239" s="63"/>
      <c r="AG239" s="63"/>
      <c r="AH239" s="63"/>
      <c r="AJ239" s="63"/>
      <c r="AK239" s="63"/>
      <c r="AL239" s="63"/>
    </row>
    <row r="240" spans="2:38" outlineLevel="1" x14ac:dyDescent="0.25">
      <c r="B240" s="42">
        <v>45559</v>
      </c>
      <c r="C240" s="38"/>
      <c r="D240" s="38">
        <f t="shared" si="35"/>
        <v>258395.05000000211</v>
      </c>
      <c r="E240" s="38"/>
      <c r="F240" s="38">
        <v>-61272.2000000021</v>
      </c>
      <c r="G240" s="38">
        <f t="shared" si="36"/>
        <v>197122.85</v>
      </c>
      <c r="H240" s="38">
        <f t="shared" si="37"/>
        <v>141300000</v>
      </c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78">
        <v>45559</v>
      </c>
      <c r="T240" s="63"/>
      <c r="U240" s="63">
        <f t="shared" si="33"/>
        <v>82585.430000000051</v>
      </c>
      <c r="V240" s="63"/>
      <c r="W240" s="63">
        <v>-113.57</v>
      </c>
      <c r="X240" s="63">
        <f t="shared" si="38"/>
        <v>82585.430000000051</v>
      </c>
      <c r="Y240" s="63">
        <f t="shared" si="34"/>
        <v>34750000</v>
      </c>
      <c r="Z240" s="63"/>
      <c r="AA240" s="63"/>
      <c r="AB240" s="63"/>
      <c r="AC240" s="302"/>
      <c r="AD240" s="302"/>
      <c r="AE240" s="63"/>
      <c r="AF240" s="63"/>
      <c r="AG240" s="63"/>
      <c r="AH240" s="63"/>
      <c r="AJ240" s="63"/>
      <c r="AK240" s="63"/>
      <c r="AL240" s="63"/>
    </row>
    <row r="241" spans="2:38" outlineLevel="1" x14ac:dyDescent="0.25">
      <c r="B241" s="42">
        <v>45560</v>
      </c>
      <c r="C241" s="38">
        <v>-1347051.25</v>
      </c>
      <c r="D241" s="38">
        <f t="shared" si="35"/>
        <v>-1149928.3999999999</v>
      </c>
      <c r="E241" s="83">
        <v>1300000</v>
      </c>
      <c r="F241" s="38"/>
      <c r="G241" s="38">
        <f t="shared" si="36"/>
        <v>150071.60000000009</v>
      </c>
      <c r="H241" s="38">
        <f t="shared" si="37"/>
        <v>140000000</v>
      </c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78">
        <v>45560</v>
      </c>
      <c r="T241" s="63"/>
      <c r="U241" s="63">
        <f t="shared" si="33"/>
        <v>82585.430000000051</v>
      </c>
      <c r="V241" s="63"/>
      <c r="W241" s="63"/>
      <c r="X241" s="63">
        <f t="shared" si="38"/>
        <v>82585.430000000051</v>
      </c>
      <c r="Y241" s="63">
        <f t="shared" si="34"/>
        <v>34750000</v>
      </c>
      <c r="Z241" s="63"/>
      <c r="AA241" s="63"/>
      <c r="AB241" s="63"/>
      <c r="AC241" s="302"/>
      <c r="AD241" s="302"/>
      <c r="AE241" s="63"/>
      <c r="AF241" s="63"/>
      <c r="AG241" s="63"/>
      <c r="AH241" s="63"/>
      <c r="AJ241" s="63"/>
      <c r="AK241" s="63"/>
      <c r="AL241" s="63"/>
    </row>
    <row r="242" spans="2:38" outlineLevel="1" x14ac:dyDescent="0.25">
      <c r="B242" s="42">
        <v>45561</v>
      </c>
      <c r="C242" s="38">
        <f>-4775539.08-350000</f>
        <v>-5125539.08</v>
      </c>
      <c r="D242" s="38">
        <f t="shared" si="35"/>
        <v>-4975467.4800000004</v>
      </c>
      <c r="E242" s="83">
        <v>5200000</v>
      </c>
      <c r="F242" s="38"/>
      <c r="G242" s="38">
        <f t="shared" si="36"/>
        <v>224532.51999999955</v>
      </c>
      <c r="H242" s="38">
        <f t="shared" si="37"/>
        <v>134800000</v>
      </c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78">
        <v>45561</v>
      </c>
      <c r="T242" s="63">
        <v>-219432.05</v>
      </c>
      <c r="U242" s="63">
        <f t="shared" si="33"/>
        <v>-136846.61999999994</v>
      </c>
      <c r="V242" s="84">
        <v>250000</v>
      </c>
      <c r="W242" s="63"/>
      <c r="X242" s="63">
        <f t="shared" si="38"/>
        <v>113153.38000000006</v>
      </c>
      <c r="Y242" s="63">
        <f t="shared" si="34"/>
        <v>34500000</v>
      </c>
      <c r="Z242" s="63"/>
      <c r="AA242" s="63"/>
      <c r="AB242" s="63"/>
      <c r="AC242" s="302"/>
      <c r="AD242" s="302"/>
      <c r="AE242" s="63"/>
      <c r="AF242" s="63"/>
      <c r="AG242" s="63"/>
      <c r="AH242" s="63"/>
      <c r="AJ242" s="63"/>
      <c r="AK242" s="63"/>
      <c r="AL242" s="63"/>
    </row>
    <row r="243" spans="2:38" outlineLevel="1" x14ac:dyDescent="0.25">
      <c r="B243" s="42">
        <v>45562</v>
      </c>
      <c r="C243" s="38"/>
      <c r="D243" s="38">
        <f t="shared" si="35"/>
        <v>224532.51999999955</v>
      </c>
      <c r="E243" s="38"/>
      <c r="F243" s="38"/>
      <c r="G243" s="38">
        <f t="shared" si="36"/>
        <v>224532.51999999955</v>
      </c>
      <c r="H243" s="38">
        <f t="shared" si="37"/>
        <v>134800000</v>
      </c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78">
        <v>45562</v>
      </c>
      <c r="T243" s="63"/>
      <c r="U243" s="63">
        <f t="shared" si="33"/>
        <v>113153.38000000006</v>
      </c>
      <c r="V243" s="63"/>
      <c r="W243" s="63"/>
      <c r="X243" s="63">
        <f t="shared" si="38"/>
        <v>113153.38000000006</v>
      </c>
      <c r="Y243" s="63">
        <f t="shared" si="34"/>
        <v>34500000</v>
      </c>
      <c r="Z243" s="63"/>
      <c r="AA243" s="63"/>
      <c r="AB243" s="63"/>
      <c r="AC243" s="302"/>
      <c r="AD243" s="302"/>
      <c r="AE243" s="63"/>
      <c r="AF243" s="63"/>
      <c r="AG243" s="63"/>
      <c r="AH243" s="63"/>
      <c r="AJ243" s="63"/>
      <c r="AK243" s="63"/>
      <c r="AL243" s="63"/>
    </row>
    <row r="244" spans="2:38" outlineLevel="1" x14ac:dyDescent="0.25">
      <c r="B244" s="42">
        <v>45563</v>
      </c>
      <c r="C244" s="38"/>
      <c r="D244" s="38">
        <f t="shared" si="35"/>
        <v>224532.51999999955</v>
      </c>
      <c r="E244" s="38"/>
      <c r="F244" s="38"/>
      <c r="G244" s="38">
        <f t="shared" si="36"/>
        <v>224532.51999999955</v>
      </c>
      <c r="H244" s="38">
        <f t="shared" si="37"/>
        <v>134800000</v>
      </c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78">
        <v>45563</v>
      </c>
      <c r="T244" s="63"/>
      <c r="U244" s="63">
        <f t="shared" si="33"/>
        <v>113153.38000000006</v>
      </c>
      <c r="V244" s="63"/>
      <c r="W244" s="63"/>
      <c r="X244" s="63">
        <f t="shared" si="38"/>
        <v>113153.38000000006</v>
      </c>
      <c r="Y244" s="63">
        <f t="shared" si="34"/>
        <v>34500000</v>
      </c>
      <c r="Z244" s="63"/>
      <c r="AA244" s="63"/>
      <c r="AB244" s="63"/>
      <c r="AC244" s="302"/>
      <c r="AD244" s="302"/>
      <c r="AE244" s="63"/>
      <c r="AF244" s="63"/>
      <c r="AG244" s="63"/>
      <c r="AH244" s="63"/>
      <c r="AJ244" s="63"/>
      <c r="AK244" s="63"/>
      <c r="AL244" s="63"/>
    </row>
    <row r="245" spans="2:38" outlineLevel="1" x14ac:dyDescent="0.25">
      <c r="B245" s="42">
        <v>45564</v>
      </c>
      <c r="C245" s="38"/>
      <c r="D245" s="38">
        <f t="shared" si="35"/>
        <v>224532.51999999955</v>
      </c>
      <c r="E245" s="38"/>
      <c r="F245" s="38"/>
      <c r="G245" s="38">
        <f t="shared" si="36"/>
        <v>224532.51999999955</v>
      </c>
      <c r="H245" s="38">
        <f t="shared" si="37"/>
        <v>134800000</v>
      </c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78">
        <v>45564</v>
      </c>
      <c r="T245" s="63"/>
      <c r="U245" s="63">
        <f t="shared" si="33"/>
        <v>113153.38000000006</v>
      </c>
      <c r="V245" s="63"/>
      <c r="W245" s="63"/>
      <c r="X245" s="63">
        <f t="shared" si="38"/>
        <v>113153.38000000006</v>
      </c>
      <c r="Y245" s="63">
        <f t="shared" si="34"/>
        <v>34500000</v>
      </c>
      <c r="Z245" s="63"/>
      <c r="AA245" s="63"/>
      <c r="AB245" s="63"/>
      <c r="AC245" s="302"/>
      <c r="AD245" s="302"/>
      <c r="AE245" s="63"/>
      <c r="AF245" s="63"/>
      <c r="AG245" s="63"/>
      <c r="AH245" s="63"/>
      <c r="AJ245" s="63"/>
      <c r="AK245" s="63"/>
      <c r="AL245" s="63"/>
    </row>
    <row r="246" spans="2:38" outlineLevel="1" x14ac:dyDescent="0.25">
      <c r="B246" s="42">
        <v>45565</v>
      </c>
      <c r="C246" s="38"/>
      <c r="D246" s="38">
        <f t="shared" si="35"/>
        <v>224532.51999999955</v>
      </c>
      <c r="E246" s="38"/>
      <c r="F246" s="38">
        <f>597916.96-D246</f>
        <v>373384.44000000041</v>
      </c>
      <c r="G246" s="38">
        <f t="shared" si="36"/>
        <v>597916.96</v>
      </c>
      <c r="H246" s="38">
        <f t="shared" si="37"/>
        <v>134800000</v>
      </c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78">
        <v>45565</v>
      </c>
      <c r="T246" s="63"/>
      <c r="U246" s="63">
        <f t="shared" si="33"/>
        <v>113153.38000000006</v>
      </c>
      <c r="V246" s="63"/>
      <c r="W246" s="63"/>
      <c r="X246" s="63">
        <f t="shared" si="38"/>
        <v>113153.38000000006</v>
      </c>
      <c r="Y246" s="63">
        <f t="shared" si="34"/>
        <v>34500000</v>
      </c>
      <c r="Z246" s="63"/>
      <c r="AA246" s="63"/>
      <c r="AB246" s="63"/>
      <c r="AC246" s="302"/>
      <c r="AD246" s="302"/>
      <c r="AE246" s="63"/>
      <c r="AF246" s="63"/>
      <c r="AG246" s="63"/>
      <c r="AH246" s="63"/>
      <c r="AJ246" s="63"/>
      <c r="AK246" s="63"/>
      <c r="AL246" s="63"/>
    </row>
    <row r="247" spans="2:38" outlineLevel="1" x14ac:dyDescent="0.25">
      <c r="B247" s="42">
        <v>45566</v>
      </c>
      <c r="C247" s="38">
        <v>-1027083.33333333</v>
      </c>
      <c r="D247" s="38">
        <f t="shared" si="35"/>
        <v>-429166.37333333003</v>
      </c>
      <c r="E247" s="83">
        <v>630000</v>
      </c>
      <c r="F247" s="38"/>
      <c r="G247" s="38">
        <f t="shared" si="36"/>
        <v>200833.62666666997</v>
      </c>
      <c r="H247" s="38">
        <f t="shared" si="37"/>
        <v>134170000</v>
      </c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78">
        <v>45566</v>
      </c>
      <c r="T247" s="63"/>
      <c r="U247" s="63">
        <f t="shared" si="33"/>
        <v>113153.38000000006</v>
      </c>
      <c r="V247" s="63"/>
      <c r="W247" s="63"/>
      <c r="X247" s="63">
        <f t="shared" si="38"/>
        <v>113153.38000000006</v>
      </c>
      <c r="Y247" s="63">
        <f t="shared" si="34"/>
        <v>34500000</v>
      </c>
      <c r="Z247" s="63"/>
      <c r="AA247" s="63"/>
      <c r="AB247" s="63"/>
      <c r="AC247" s="302"/>
      <c r="AD247" s="302"/>
      <c r="AE247" s="63"/>
      <c r="AF247" s="63"/>
      <c r="AG247" s="63"/>
      <c r="AH247" s="63"/>
      <c r="AJ247" s="63"/>
      <c r="AK247" s="63"/>
      <c r="AL247" s="63"/>
    </row>
    <row r="248" spans="2:38" outlineLevel="1" x14ac:dyDescent="0.25">
      <c r="B248" s="42">
        <v>45567</v>
      </c>
      <c r="C248" s="38"/>
      <c r="D248" s="38">
        <f t="shared" si="35"/>
        <v>200833.62666666997</v>
      </c>
      <c r="E248" s="38"/>
      <c r="F248" s="38"/>
      <c r="G248" s="38">
        <f t="shared" si="36"/>
        <v>200833.62666666997</v>
      </c>
      <c r="H248" s="38">
        <f>H247-E248-12000000</f>
        <v>122170000</v>
      </c>
      <c r="I248" s="38"/>
      <c r="J248" s="38"/>
      <c r="K248" s="38"/>
      <c r="L248" s="38"/>
      <c r="M248" s="38"/>
      <c r="N248" s="38"/>
      <c r="O248" s="38"/>
      <c r="P248" s="38">
        <v>12000000</v>
      </c>
      <c r="Q248" s="38"/>
      <c r="R248" s="38"/>
      <c r="S248" s="78">
        <v>45567</v>
      </c>
      <c r="T248" s="63"/>
      <c r="U248" s="63">
        <f t="shared" si="33"/>
        <v>113153.38000000006</v>
      </c>
      <c r="V248" s="63"/>
      <c r="W248" s="63"/>
      <c r="X248" s="63">
        <f t="shared" si="38"/>
        <v>113153.38000000006</v>
      </c>
      <c r="Y248" s="63">
        <f t="shared" si="34"/>
        <v>34500000</v>
      </c>
      <c r="Z248" s="63"/>
      <c r="AA248" s="63"/>
      <c r="AB248" s="63"/>
      <c r="AC248" s="302"/>
      <c r="AD248" s="302"/>
      <c r="AE248" s="63"/>
      <c r="AF248" s="63"/>
      <c r="AG248" s="63"/>
      <c r="AH248" s="63"/>
      <c r="AJ248" s="63"/>
      <c r="AK248" s="63"/>
      <c r="AL248" s="63"/>
    </row>
    <row r="249" spans="2:38" outlineLevel="1" x14ac:dyDescent="0.25">
      <c r="B249" s="42">
        <v>45568</v>
      </c>
      <c r="C249" s="38"/>
      <c r="D249" s="38">
        <f t="shared" si="35"/>
        <v>200833.62666666997</v>
      </c>
      <c r="E249" s="38"/>
      <c r="F249" s="38"/>
      <c r="G249" s="38">
        <f t="shared" si="36"/>
        <v>200833.62666666997</v>
      </c>
      <c r="H249" s="38">
        <f t="shared" si="37"/>
        <v>122170000</v>
      </c>
      <c r="I249" s="38"/>
      <c r="J249" s="38"/>
      <c r="K249" s="38"/>
      <c r="L249" s="38"/>
      <c r="M249" s="38"/>
      <c r="N249" s="38"/>
      <c r="O249" s="38"/>
      <c r="P249" s="38">
        <f>P248</f>
        <v>12000000</v>
      </c>
      <c r="Q249" s="38"/>
      <c r="R249" s="38"/>
      <c r="S249" s="78">
        <v>45568</v>
      </c>
      <c r="T249" s="63"/>
      <c r="U249" s="63">
        <f t="shared" si="33"/>
        <v>113153.38000000006</v>
      </c>
      <c r="V249" s="63"/>
      <c r="W249" s="63"/>
      <c r="X249" s="63">
        <f t="shared" si="38"/>
        <v>113153.38000000006</v>
      </c>
      <c r="Y249" s="63">
        <f t="shared" si="34"/>
        <v>34500000</v>
      </c>
      <c r="Z249" s="63"/>
      <c r="AA249" s="63"/>
      <c r="AB249" s="63"/>
      <c r="AC249" s="302"/>
      <c r="AD249" s="302"/>
      <c r="AE249" s="63"/>
      <c r="AF249" s="63"/>
      <c r="AG249" s="63"/>
      <c r="AH249" s="63"/>
      <c r="AJ249" s="63"/>
      <c r="AK249" s="63"/>
      <c r="AL249" s="63"/>
    </row>
    <row r="250" spans="2:38" outlineLevel="1" x14ac:dyDescent="0.25">
      <c r="B250" s="42">
        <v>45569</v>
      </c>
      <c r="C250" s="38"/>
      <c r="D250" s="38">
        <f t="shared" si="35"/>
        <v>200833.62666666997</v>
      </c>
      <c r="E250" s="38"/>
      <c r="F250" s="38">
        <v>-104419.29</v>
      </c>
      <c r="G250" s="38">
        <f t="shared" si="36"/>
        <v>96414.336666669973</v>
      </c>
      <c r="H250" s="38">
        <f t="shared" si="37"/>
        <v>122170000</v>
      </c>
      <c r="I250" s="38"/>
      <c r="J250" s="38"/>
      <c r="K250" s="38"/>
      <c r="L250" s="38"/>
      <c r="M250" s="38"/>
      <c r="N250" s="38"/>
      <c r="O250" s="38"/>
      <c r="P250" s="38">
        <f t="shared" ref="P250:Q313" si="39">P249</f>
        <v>12000000</v>
      </c>
      <c r="Q250" s="38"/>
      <c r="R250" s="38"/>
      <c r="S250" s="78">
        <v>45569</v>
      </c>
      <c r="T250" s="63"/>
      <c r="U250" s="63">
        <f t="shared" si="33"/>
        <v>113153.38000000006</v>
      </c>
      <c r="V250" s="63"/>
      <c r="W250" s="63"/>
      <c r="X250" s="63">
        <f t="shared" si="38"/>
        <v>113153.38000000006</v>
      </c>
      <c r="Y250" s="63">
        <f t="shared" si="34"/>
        <v>34500000</v>
      </c>
      <c r="Z250" s="63"/>
      <c r="AA250" s="63"/>
      <c r="AB250" s="63"/>
      <c r="AC250" s="302"/>
      <c r="AD250" s="302"/>
      <c r="AE250" s="63"/>
      <c r="AF250" s="63"/>
      <c r="AG250" s="63"/>
      <c r="AH250" s="63"/>
      <c r="AJ250" s="63"/>
      <c r="AK250" s="63"/>
      <c r="AL250" s="63"/>
    </row>
    <row r="251" spans="2:38" outlineLevel="1" x14ac:dyDescent="0.25">
      <c r="B251" s="42">
        <v>45570</v>
      </c>
      <c r="C251" s="38"/>
      <c r="D251" s="38">
        <f t="shared" si="35"/>
        <v>96414.336666669973</v>
      </c>
      <c r="E251" s="38"/>
      <c r="F251" s="38"/>
      <c r="G251" s="38">
        <f t="shared" si="36"/>
        <v>96414.336666669973</v>
      </c>
      <c r="H251" s="38">
        <f t="shared" si="37"/>
        <v>122170000</v>
      </c>
      <c r="I251" s="38"/>
      <c r="J251" s="38"/>
      <c r="K251" s="38"/>
      <c r="L251" s="38"/>
      <c r="M251" s="38"/>
      <c r="N251" s="38"/>
      <c r="O251" s="38"/>
      <c r="P251" s="38">
        <f t="shared" si="39"/>
        <v>12000000</v>
      </c>
      <c r="Q251" s="38"/>
      <c r="R251" s="38"/>
      <c r="S251" s="78">
        <v>45570</v>
      </c>
      <c r="T251" s="63"/>
      <c r="U251" s="63">
        <f t="shared" si="33"/>
        <v>113153.38000000006</v>
      </c>
      <c r="V251" s="63"/>
      <c r="W251" s="63"/>
      <c r="X251" s="63">
        <f t="shared" si="38"/>
        <v>113153.38000000006</v>
      </c>
      <c r="Y251" s="63">
        <f t="shared" si="34"/>
        <v>34500000</v>
      </c>
      <c r="Z251" s="63"/>
      <c r="AA251" s="63"/>
      <c r="AB251" s="63"/>
      <c r="AC251" s="302"/>
      <c r="AD251" s="302"/>
      <c r="AE251" s="63"/>
      <c r="AF251" s="63"/>
      <c r="AG251" s="63"/>
      <c r="AH251" s="63"/>
      <c r="AJ251" s="63"/>
      <c r="AK251" s="63"/>
      <c r="AL251" s="63"/>
    </row>
    <row r="252" spans="2:38" outlineLevel="1" x14ac:dyDescent="0.25">
      <c r="B252" s="42">
        <v>45571</v>
      </c>
      <c r="C252" s="38"/>
      <c r="D252" s="38">
        <f t="shared" si="35"/>
        <v>96414.336666669973</v>
      </c>
      <c r="E252" s="38"/>
      <c r="F252" s="38"/>
      <c r="G252" s="38">
        <f t="shared" si="36"/>
        <v>96414.336666669973</v>
      </c>
      <c r="H252" s="38">
        <f t="shared" si="37"/>
        <v>122170000</v>
      </c>
      <c r="I252" s="38"/>
      <c r="J252" s="38"/>
      <c r="K252" s="38"/>
      <c r="L252" s="38"/>
      <c r="M252" s="38"/>
      <c r="N252" s="38"/>
      <c r="O252" s="38"/>
      <c r="P252" s="38">
        <f t="shared" si="39"/>
        <v>12000000</v>
      </c>
      <c r="Q252" s="38"/>
      <c r="R252" s="38"/>
      <c r="S252" s="78">
        <v>45571</v>
      </c>
      <c r="T252" s="63"/>
      <c r="U252" s="63">
        <f t="shared" si="33"/>
        <v>113153.38000000006</v>
      </c>
      <c r="V252" s="63"/>
      <c r="W252" s="63"/>
      <c r="X252" s="63">
        <f t="shared" si="38"/>
        <v>113153.38000000006</v>
      </c>
      <c r="Y252" s="63">
        <f t="shared" si="34"/>
        <v>34500000</v>
      </c>
      <c r="Z252" s="63"/>
      <c r="AA252" s="63"/>
      <c r="AB252" s="63"/>
      <c r="AC252" s="302"/>
      <c r="AD252" s="302"/>
      <c r="AE252" s="63"/>
      <c r="AF252" s="63"/>
      <c r="AG252" s="63"/>
      <c r="AH252" s="63"/>
      <c r="AJ252" s="63"/>
      <c r="AK252" s="63"/>
      <c r="AL252" s="63"/>
    </row>
    <row r="253" spans="2:38" outlineLevel="1" x14ac:dyDescent="0.25">
      <c r="B253" s="42">
        <v>45572</v>
      </c>
      <c r="C253" s="38">
        <v>-8775764.0299999993</v>
      </c>
      <c r="D253" s="38">
        <f t="shared" si="35"/>
        <v>-8679349.6933333296</v>
      </c>
      <c r="E253" s="83">
        <v>9000000</v>
      </c>
      <c r="F253" s="38"/>
      <c r="G253" s="38">
        <f t="shared" si="36"/>
        <v>320650.30666667037</v>
      </c>
      <c r="H253" s="38">
        <f t="shared" si="37"/>
        <v>113170000</v>
      </c>
      <c r="I253" s="38"/>
      <c r="J253" s="38"/>
      <c r="K253" s="38"/>
      <c r="L253" s="38"/>
      <c r="M253" s="38"/>
      <c r="N253" s="38"/>
      <c r="O253" s="38"/>
      <c r="P253" s="38">
        <f t="shared" si="39"/>
        <v>12000000</v>
      </c>
      <c r="Q253" s="38"/>
      <c r="R253" s="38"/>
      <c r="S253" s="78">
        <v>45572</v>
      </c>
      <c r="T253" s="63"/>
      <c r="U253" s="63">
        <f t="shared" si="33"/>
        <v>113153.38000000006</v>
      </c>
      <c r="V253" s="63"/>
      <c r="W253" s="63"/>
      <c r="X253" s="63">
        <f t="shared" si="38"/>
        <v>113153.38000000006</v>
      </c>
      <c r="Y253" s="63">
        <f t="shared" si="34"/>
        <v>34500000</v>
      </c>
      <c r="Z253" s="63"/>
      <c r="AA253" s="63"/>
      <c r="AB253" s="63"/>
      <c r="AC253" s="302"/>
      <c r="AD253" s="302"/>
      <c r="AE253" s="63"/>
      <c r="AF253" s="63"/>
      <c r="AG253" s="63"/>
      <c r="AH253" s="63"/>
      <c r="AJ253" s="63"/>
      <c r="AK253" s="63"/>
      <c r="AL253" s="63"/>
    </row>
    <row r="254" spans="2:38" outlineLevel="1" x14ac:dyDescent="0.25">
      <c r="B254" s="42">
        <v>45573</v>
      </c>
      <c r="C254" s="38"/>
      <c r="D254" s="38">
        <f t="shared" si="35"/>
        <v>320650.30666667037</v>
      </c>
      <c r="E254" s="38"/>
      <c r="F254" s="38"/>
      <c r="G254" s="38">
        <f t="shared" si="36"/>
        <v>320650.30666667037</v>
      </c>
      <c r="H254" s="38">
        <f t="shared" si="37"/>
        <v>113170000</v>
      </c>
      <c r="I254" s="38"/>
      <c r="J254" s="38"/>
      <c r="K254" s="38"/>
      <c r="L254" s="38"/>
      <c r="M254" s="38"/>
      <c r="N254" s="38"/>
      <c r="O254" s="38"/>
      <c r="P254" s="38">
        <f t="shared" si="39"/>
        <v>12000000</v>
      </c>
      <c r="Q254" s="38"/>
      <c r="R254" s="38"/>
      <c r="S254" s="78">
        <v>45573</v>
      </c>
      <c r="T254" s="63"/>
      <c r="U254" s="63">
        <f t="shared" si="33"/>
        <v>113153.38000000006</v>
      </c>
      <c r="V254" s="63"/>
      <c r="W254" s="63"/>
      <c r="X254" s="63">
        <f t="shared" si="38"/>
        <v>113153.38000000006</v>
      </c>
      <c r="Y254" s="63">
        <f t="shared" si="34"/>
        <v>34500000</v>
      </c>
      <c r="Z254" s="63"/>
      <c r="AA254" s="63"/>
      <c r="AB254" s="63"/>
      <c r="AC254" s="302"/>
      <c r="AD254" s="302"/>
      <c r="AE254" s="63"/>
      <c r="AF254" s="63"/>
      <c r="AG254" s="63"/>
      <c r="AH254" s="63"/>
      <c r="AJ254" s="63"/>
      <c r="AK254" s="63"/>
      <c r="AL254" s="63"/>
    </row>
    <row r="255" spans="2:38" outlineLevel="1" x14ac:dyDescent="0.25">
      <c r="B255" s="42">
        <v>45574</v>
      </c>
      <c r="C255" s="38"/>
      <c r="D255" s="38">
        <f t="shared" si="35"/>
        <v>320650.30666667037</v>
      </c>
      <c r="E255" s="38"/>
      <c r="F255" s="38"/>
      <c r="G255" s="38">
        <f t="shared" si="36"/>
        <v>320650.30666667037</v>
      </c>
      <c r="H255" s="38">
        <f t="shared" si="37"/>
        <v>113170000</v>
      </c>
      <c r="I255" s="38"/>
      <c r="J255" s="38"/>
      <c r="K255" s="38"/>
      <c r="L255" s="38"/>
      <c r="M255" s="38"/>
      <c r="N255" s="38"/>
      <c r="O255" s="38"/>
      <c r="P255" s="38">
        <f t="shared" si="39"/>
        <v>12000000</v>
      </c>
      <c r="Q255" s="38"/>
      <c r="R255" s="38"/>
      <c r="S255" s="78">
        <v>45574</v>
      </c>
      <c r="T255" s="63"/>
      <c r="U255" s="63">
        <f t="shared" ref="U255:U318" si="40">T255+X254+W255</f>
        <v>113153.38000000006</v>
      </c>
      <c r="V255" s="63"/>
      <c r="W255" s="63"/>
      <c r="X255" s="63">
        <f t="shared" si="38"/>
        <v>113153.38000000006</v>
      </c>
      <c r="Y255" s="63">
        <f t="shared" si="34"/>
        <v>34500000</v>
      </c>
      <c r="Z255" s="63"/>
      <c r="AA255" s="63"/>
      <c r="AB255" s="63"/>
      <c r="AC255" s="302"/>
      <c r="AD255" s="302"/>
      <c r="AE255" s="63"/>
      <c r="AF255" s="63"/>
      <c r="AG255" s="63"/>
      <c r="AH255" s="63"/>
      <c r="AJ255" s="63"/>
      <c r="AK255" s="63"/>
      <c r="AL255" s="63"/>
    </row>
    <row r="256" spans="2:38" outlineLevel="1" x14ac:dyDescent="0.25">
      <c r="B256" s="42">
        <v>45575</v>
      </c>
      <c r="C256" s="38">
        <v>-2524721.9300000002</v>
      </c>
      <c r="D256" s="38">
        <f t="shared" si="35"/>
        <v>-2204071.6233333298</v>
      </c>
      <c r="E256" s="83">
        <v>2500000</v>
      </c>
      <c r="F256" s="38">
        <v>-17164.316666670376</v>
      </c>
      <c r="G256" s="38">
        <f t="shared" si="36"/>
        <v>278764.05999999982</v>
      </c>
      <c r="H256" s="38">
        <f>H255-E256-45000000</f>
        <v>65670000</v>
      </c>
      <c r="I256" s="38"/>
      <c r="J256" s="38"/>
      <c r="K256" s="38"/>
      <c r="L256" s="38"/>
      <c r="M256" s="38"/>
      <c r="N256" s="38"/>
      <c r="O256" s="38"/>
      <c r="P256" s="38">
        <f t="shared" si="39"/>
        <v>12000000</v>
      </c>
      <c r="Q256" s="38">
        <v>45000000</v>
      </c>
      <c r="R256" s="38"/>
      <c r="S256" s="78">
        <v>45575</v>
      </c>
      <c r="T256" s="63"/>
      <c r="U256" s="63">
        <f t="shared" si="40"/>
        <v>164789.38000000006</v>
      </c>
      <c r="V256" s="63"/>
      <c r="W256" s="63">
        <v>51636</v>
      </c>
      <c r="X256" s="63">
        <f t="shared" si="38"/>
        <v>164789.38000000006</v>
      </c>
      <c r="Y256" s="63">
        <f t="shared" si="34"/>
        <v>34500000</v>
      </c>
      <c r="Z256" s="63"/>
      <c r="AA256" s="63"/>
      <c r="AB256" s="63"/>
      <c r="AC256" s="302"/>
      <c r="AD256" s="302"/>
      <c r="AE256" s="63"/>
      <c r="AF256" s="63"/>
      <c r="AG256" s="63"/>
      <c r="AH256" s="63"/>
      <c r="AJ256" s="63"/>
      <c r="AK256" s="63"/>
      <c r="AL256" s="63"/>
    </row>
    <row r="257" spans="2:38" outlineLevel="1" x14ac:dyDescent="0.25">
      <c r="B257" s="42">
        <v>45576</v>
      </c>
      <c r="C257" s="38"/>
      <c r="D257" s="38">
        <f t="shared" si="35"/>
        <v>278764.05999999982</v>
      </c>
      <c r="E257" s="38"/>
      <c r="F257" s="38"/>
      <c r="G257" s="38">
        <f t="shared" si="36"/>
        <v>278764.05999999982</v>
      </c>
      <c r="H257" s="38">
        <f t="shared" si="37"/>
        <v>65670000</v>
      </c>
      <c r="I257" s="38"/>
      <c r="J257" s="38"/>
      <c r="K257" s="38"/>
      <c r="L257" s="38"/>
      <c r="M257" s="38"/>
      <c r="N257" s="38"/>
      <c r="O257" s="38"/>
      <c r="P257" s="38">
        <f t="shared" si="39"/>
        <v>12000000</v>
      </c>
      <c r="Q257" s="38">
        <f>Q256</f>
        <v>45000000</v>
      </c>
      <c r="R257" s="38"/>
      <c r="S257" s="78">
        <v>45576</v>
      </c>
      <c r="T257" s="63">
        <v>-315884.36</v>
      </c>
      <c r="U257" s="63">
        <f t="shared" si="40"/>
        <v>-151094.97999999992</v>
      </c>
      <c r="V257" s="102">
        <f>230000+70000</f>
        <v>300000</v>
      </c>
      <c r="W257" s="63"/>
      <c r="X257" s="63">
        <f t="shared" si="38"/>
        <v>148905.02000000008</v>
      </c>
      <c r="Y257" s="63">
        <f t="shared" si="34"/>
        <v>34200000</v>
      </c>
      <c r="Z257" s="63"/>
      <c r="AA257" s="63"/>
      <c r="AB257" s="63"/>
      <c r="AC257" s="302"/>
      <c r="AD257" s="302"/>
      <c r="AE257" s="63"/>
      <c r="AF257" s="63"/>
      <c r="AG257" s="63"/>
      <c r="AH257" s="63"/>
      <c r="AJ257" s="63"/>
      <c r="AK257" s="63"/>
      <c r="AL257" s="63"/>
    </row>
    <row r="258" spans="2:38" outlineLevel="1" x14ac:dyDescent="0.25">
      <c r="B258" s="42">
        <v>45577</v>
      </c>
      <c r="C258" s="38"/>
      <c r="D258" s="38">
        <f t="shared" si="35"/>
        <v>278764.05999999982</v>
      </c>
      <c r="E258" s="38"/>
      <c r="F258" s="38"/>
      <c r="G258" s="38">
        <f t="shared" si="36"/>
        <v>278764.05999999982</v>
      </c>
      <c r="H258" s="38">
        <f t="shared" si="37"/>
        <v>65670000</v>
      </c>
      <c r="I258" s="38"/>
      <c r="J258" s="38"/>
      <c r="K258" s="38"/>
      <c r="L258" s="38"/>
      <c r="M258" s="38"/>
      <c r="N258" s="38"/>
      <c r="O258" s="38"/>
      <c r="P258" s="38">
        <f t="shared" si="39"/>
        <v>12000000</v>
      </c>
      <c r="Q258" s="38">
        <f t="shared" si="39"/>
        <v>45000000</v>
      </c>
      <c r="R258" s="38"/>
      <c r="S258" s="78">
        <v>45577</v>
      </c>
      <c r="T258" s="63"/>
      <c r="U258" s="63">
        <f t="shared" si="40"/>
        <v>148905.02000000008</v>
      </c>
      <c r="V258" s="63"/>
      <c r="W258" s="63"/>
      <c r="X258" s="63">
        <f t="shared" si="38"/>
        <v>148905.02000000008</v>
      </c>
      <c r="Y258" s="63">
        <f t="shared" si="34"/>
        <v>34200000</v>
      </c>
      <c r="Z258" s="63"/>
      <c r="AA258" s="63"/>
      <c r="AB258" s="63"/>
      <c r="AC258" s="302"/>
      <c r="AD258" s="302"/>
      <c r="AE258" s="63"/>
      <c r="AF258" s="63"/>
      <c r="AG258" s="63"/>
      <c r="AH258" s="63"/>
      <c r="AJ258" s="63"/>
      <c r="AK258" s="63"/>
      <c r="AL258" s="63"/>
    </row>
    <row r="259" spans="2:38" outlineLevel="1" x14ac:dyDescent="0.25">
      <c r="B259" s="42">
        <v>45578</v>
      </c>
      <c r="C259" s="38"/>
      <c r="D259" s="38">
        <f t="shared" si="35"/>
        <v>278764.05999999982</v>
      </c>
      <c r="E259" s="38"/>
      <c r="F259" s="38"/>
      <c r="G259" s="38">
        <f t="shared" si="36"/>
        <v>278764.05999999982</v>
      </c>
      <c r="H259" s="38">
        <f t="shared" si="37"/>
        <v>65670000</v>
      </c>
      <c r="I259" s="38"/>
      <c r="J259" s="38"/>
      <c r="K259" s="38"/>
      <c r="L259" s="38"/>
      <c r="M259" s="38"/>
      <c r="N259" s="38"/>
      <c r="O259" s="38"/>
      <c r="P259" s="38">
        <f t="shared" si="39"/>
        <v>12000000</v>
      </c>
      <c r="Q259" s="38">
        <f t="shared" si="39"/>
        <v>45000000</v>
      </c>
      <c r="R259" s="38"/>
      <c r="S259" s="78">
        <v>45578</v>
      </c>
      <c r="T259" s="63"/>
      <c r="U259" s="63">
        <f t="shared" si="40"/>
        <v>148905.02000000008</v>
      </c>
      <c r="V259" s="63"/>
      <c r="W259" s="63"/>
      <c r="X259" s="63">
        <f t="shared" si="38"/>
        <v>148905.02000000008</v>
      </c>
      <c r="Y259" s="63">
        <f t="shared" si="34"/>
        <v>34200000</v>
      </c>
      <c r="Z259" s="63"/>
      <c r="AA259" s="63"/>
      <c r="AB259" s="63"/>
      <c r="AC259" s="302"/>
      <c r="AD259" s="302"/>
      <c r="AE259" s="63"/>
      <c r="AF259" s="63"/>
      <c r="AG259" s="63"/>
      <c r="AH259" s="63"/>
      <c r="AJ259" s="63"/>
      <c r="AK259" s="63"/>
      <c r="AL259" s="63"/>
    </row>
    <row r="260" spans="2:38" outlineLevel="1" x14ac:dyDescent="0.25">
      <c r="B260" s="42">
        <v>45579</v>
      </c>
      <c r="C260" s="38"/>
      <c r="D260" s="38">
        <f t="shared" si="35"/>
        <v>278764.05999999982</v>
      </c>
      <c r="E260" s="38"/>
      <c r="F260" s="38"/>
      <c r="G260" s="38">
        <f t="shared" si="36"/>
        <v>278764.05999999982</v>
      </c>
      <c r="H260" s="38">
        <f t="shared" si="37"/>
        <v>65670000</v>
      </c>
      <c r="I260" s="38"/>
      <c r="J260" s="38"/>
      <c r="K260" s="38"/>
      <c r="L260" s="38"/>
      <c r="M260" s="38"/>
      <c r="N260" s="38"/>
      <c r="O260" s="38"/>
      <c r="P260" s="38">
        <f t="shared" si="39"/>
        <v>12000000</v>
      </c>
      <c r="Q260" s="38">
        <f t="shared" si="39"/>
        <v>45000000</v>
      </c>
      <c r="R260" s="38"/>
      <c r="S260" s="78">
        <v>45579</v>
      </c>
      <c r="T260" s="63"/>
      <c r="U260" s="63">
        <f t="shared" si="40"/>
        <v>148905.02000000008</v>
      </c>
      <c r="V260" s="63"/>
      <c r="W260" s="63"/>
      <c r="X260" s="63">
        <f t="shared" si="38"/>
        <v>148905.02000000008</v>
      </c>
      <c r="Y260" s="63">
        <f t="shared" si="34"/>
        <v>34200000</v>
      </c>
      <c r="Z260" s="63"/>
      <c r="AA260" s="63"/>
      <c r="AB260" s="63"/>
      <c r="AC260" s="302"/>
      <c r="AD260" s="302"/>
      <c r="AE260" s="63"/>
      <c r="AF260" s="63"/>
      <c r="AG260" s="63"/>
      <c r="AH260" s="63"/>
      <c r="AJ260" s="63"/>
      <c r="AK260" s="63"/>
      <c r="AL260" s="63"/>
    </row>
    <row r="261" spans="2:38" outlineLevel="1" x14ac:dyDescent="0.25">
      <c r="B261" s="42">
        <v>45580</v>
      </c>
      <c r="C261" s="38">
        <v>-190169</v>
      </c>
      <c r="D261" s="38">
        <f t="shared" si="35"/>
        <v>88595.059999999823</v>
      </c>
      <c r="E261" s="83">
        <v>-1000000</v>
      </c>
      <c r="F261" s="38">
        <v>1201291.74</v>
      </c>
      <c r="G261" s="38">
        <f t="shared" si="36"/>
        <v>289886.79999999981</v>
      </c>
      <c r="H261" s="38">
        <f t="shared" si="37"/>
        <v>66670000</v>
      </c>
      <c r="I261" s="38"/>
      <c r="J261" s="38"/>
      <c r="K261" s="38"/>
      <c r="L261" s="38"/>
      <c r="M261" s="38"/>
      <c r="N261" s="38"/>
      <c r="O261" s="38"/>
      <c r="P261" s="38">
        <f t="shared" si="39"/>
        <v>12000000</v>
      </c>
      <c r="Q261" s="38">
        <f t="shared" si="39"/>
        <v>45000000</v>
      </c>
      <c r="R261" s="38"/>
      <c r="S261" s="78">
        <v>45580</v>
      </c>
      <c r="T261" s="63"/>
      <c r="U261" s="63">
        <f t="shared" si="40"/>
        <v>148905.02000000008</v>
      </c>
      <c r="V261" s="63"/>
      <c r="W261" s="63"/>
      <c r="X261" s="63">
        <f t="shared" si="38"/>
        <v>148905.02000000008</v>
      </c>
      <c r="Y261" s="63">
        <f t="shared" si="34"/>
        <v>34200000</v>
      </c>
      <c r="Z261" s="63"/>
      <c r="AA261" s="63"/>
      <c r="AB261" s="63"/>
      <c r="AC261" s="302"/>
      <c r="AD261" s="302"/>
      <c r="AE261" s="63"/>
      <c r="AF261" s="63"/>
      <c r="AG261" s="63"/>
      <c r="AH261" s="63"/>
      <c r="AJ261" s="63"/>
      <c r="AK261" s="63"/>
      <c r="AL261" s="63"/>
    </row>
    <row r="262" spans="2:38" outlineLevel="1" x14ac:dyDescent="0.25">
      <c r="B262" s="42">
        <v>45581</v>
      </c>
      <c r="C262" s="38"/>
      <c r="D262" s="38">
        <f t="shared" si="35"/>
        <v>289886.79999999981</v>
      </c>
      <c r="E262" s="38"/>
      <c r="F262" s="38"/>
      <c r="G262" s="38">
        <f t="shared" si="36"/>
        <v>289886.79999999981</v>
      </c>
      <c r="H262" s="38">
        <f t="shared" si="37"/>
        <v>66670000</v>
      </c>
      <c r="I262" s="38"/>
      <c r="J262" s="38"/>
      <c r="K262" s="38"/>
      <c r="L262" s="38"/>
      <c r="M262" s="38"/>
      <c r="N262" s="38"/>
      <c r="O262" s="38"/>
      <c r="P262" s="38">
        <f t="shared" si="39"/>
        <v>12000000</v>
      </c>
      <c r="Q262" s="38">
        <f t="shared" si="39"/>
        <v>45000000</v>
      </c>
      <c r="R262" s="38"/>
      <c r="S262" s="78">
        <v>45581</v>
      </c>
      <c r="T262" s="63"/>
      <c r="U262" s="63">
        <f t="shared" si="40"/>
        <v>148905.02000000008</v>
      </c>
      <c r="V262" s="63"/>
      <c r="W262" s="63"/>
      <c r="X262" s="63">
        <f t="shared" si="38"/>
        <v>148905.02000000008</v>
      </c>
      <c r="Y262" s="63">
        <f t="shared" si="34"/>
        <v>34200000</v>
      </c>
      <c r="Z262" s="63"/>
      <c r="AA262" s="63"/>
      <c r="AB262" s="63"/>
      <c r="AC262" s="302"/>
      <c r="AD262" s="302"/>
      <c r="AE262" s="63"/>
      <c r="AF262" s="63"/>
      <c r="AG262" s="63"/>
      <c r="AH262" s="63"/>
      <c r="AJ262" s="63"/>
      <c r="AK262" s="63"/>
      <c r="AL262" s="63"/>
    </row>
    <row r="263" spans="2:38" outlineLevel="1" x14ac:dyDescent="0.25">
      <c r="B263" s="42">
        <v>45582</v>
      </c>
      <c r="C263" s="38"/>
      <c r="D263" s="38">
        <f t="shared" si="35"/>
        <v>289886.79999999981</v>
      </c>
      <c r="E263" s="38"/>
      <c r="F263" s="38"/>
      <c r="G263" s="38">
        <f t="shared" si="36"/>
        <v>289886.79999999981</v>
      </c>
      <c r="H263" s="38">
        <f t="shared" si="37"/>
        <v>66670000</v>
      </c>
      <c r="I263" s="38"/>
      <c r="J263" s="38"/>
      <c r="K263" s="38"/>
      <c r="L263" s="38"/>
      <c r="M263" s="38"/>
      <c r="N263" s="38"/>
      <c r="O263" s="38"/>
      <c r="P263" s="38">
        <f t="shared" si="39"/>
        <v>12000000</v>
      </c>
      <c r="Q263" s="38">
        <f t="shared" si="39"/>
        <v>45000000</v>
      </c>
      <c r="R263" s="38"/>
      <c r="S263" s="78">
        <v>45582</v>
      </c>
      <c r="T263" s="63"/>
      <c r="U263" s="63">
        <f t="shared" si="40"/>
        <v>148905.02000000008</v>
      </c>
      <c r="V263" s="63"/>
      <c r="W263" s="63"/>
      <c r="X263" s="63">
        <f t="shared" si="38"/>
        <v>148905.02000000008</v>
      </c>
      <c r="Y263" s="63">
        <f t="shared" si="34"/>
        <v>34200000</v>
      </c>
      <c r="Z263" s="63"/>
      <c r="AA263" s="63"/>
      <c r="AB263" s="63"/>
      <c r="AC263" s="302"/>
      <c r="AD263" s="302"/>
      <c r="AE263" s="63"/>
      <c r="AF263" s="63"/>
      <c r="AG263" s="63"/>
      <c r="AH263" s="63"/>
      <c r="AJ263" s="63"/>
      <c r="AK263" s="63"/>
      <c r="AL263" s="63"/>
    </row>
    <row r="264" spans="2:38" outlineLevel="1" x14ac:dyDescent="0.25">
      <c r="B264" s="42">
        <v>45583</v>
      </c>
      <c r="C264" s="38"/>
      <c r="D264" s="38">
        <f t="shared" si="35"/>
        <v>289886.79999999981</v>
      </c>
      <c r="E264" s="83">
        <v>-330000</v>
      </c>
      <c r="F264" s="38">
        <v>250316.36000000022</v>
      </c>
      <c r="G264" s="38">
        <f t="shared" si="36"/>
        <v>210203.16000000003</v>
      </c>
      <c r="H264" s="38">
        <f t="shared" si="37"/>
        <v>67000000</v>
      </c>
      <c r="I264" s="38"/>
      <c r="J264" s="38"/>
      <c r="K264" s="38"/>
      <c r="L264" s="38"/>
      <c r="M264" s="38"/>
      <c r="N264" s="38"/>
      <c r="O264" s="38"/>
      <c r="P264" s="38">
        <f t="shared" si="39"/>
        <v>12000000</v>
      </c>
      <c r="Q264" s="38">
        <f t="shared" si="39"/>
        <v>45000000</v>
      </c>
      <c r="R264" s="38"/>
      <c r="S264" s="78">
        <v>45583</v>
      </c>
      <c r="T264" s="63"/>
      <c r="U264" s="63">
        <f t="shared" si="40"/>
        <v>148905.02000000008</v>
      </c>
      <c r="V264" s="63"/>
      <c r="W264" s="63"/>
      <c r="X264" s="63">
        <f t="shared" si="38"/>
        <v>148905.02000000008</v>
      </c>
      <c r="Y264" s="63">
        <f t="shared" ref="Y264:Y327" si="41">Y263-V264</f>
        <v>34200000</v>
      </c>
      <c r="Z264" s="63"/>
      <c r="AA264" s="63"/>
      <c r="AB264" s="63"/>
      <c r="AC264" s="302"/>
      <c r="AD264" s="302"/>
      <c r="AE264" s="63"/>
      <c r="AF264" s="63"/>
      <c r="AG264" s="63"/>
      <c r="AH264" s="63"/>
      <c r="AJ264" s="63"/>
      <c r="AK264" s="63"/>
      <c r="AL264" s="63"/>
    </row>
    <row r="265" spans="2:38" outlineLevel="1" x14ac:dyDescent="0.25">
      <c r="B265" s="42">
        <v>45584</v>
      </c>
      <c r="C265" s="38"/>
      <c r="D265" s="38">
        <f t="shared" si="35"/>
        <v>210203.16000000003</v>
      </c>
      <c r="E265" s="38"/>
      <c r="F265" s="38"/>
      <c r="G265" s="38">
        <f t="shared" si="36"/>
        <v>210203.16000000003</v>
      </c>
      <c r="H265" s="38">
        <f t="shared" si="37"/>
        <v>67000000</v>
      </c>
      <c r="I265" s="38"/>
      <c r="J265" s="38"/>
      <c r="K265" s="38"/>
      <c r="L265" s="38"/>
      <c r="M265" s="38"/>
      <c r="N265" s="38"/>
      <c r="O265" s="38"/>
      <c r="P265" s="38">
        <f t="shared" si="39"/>
        <v>12000000</v>
      </c>
      <c r="Q265" s="38">
        <f t="shared" si="39"/>
        <v>45000000</v>
      </c>
      <c r="R265" s="38"/>
      <c r="S265" s="78">
        <v>45584</v>
      </c>
      <c r="T265" s="63"/>
      <c r="U265" s="63">
        <f t="shared" si="40"/>
        <v>148905.02000000008</v>
      </c>
      <c r="V265" s="63"/>
      <c r="W265" s="63"/>
      <c r="X265" s="63">
        <f t="shared" si="38"/>
        <v>148905.02000000008</v>
      </c>
      <c r="Y265" s="63">
        <f t="shared" si="41"/>
        <v>34200000</v>
      </c>
      <c r="Z265" s="63"/>
      <c r="AA265" s="63"/>
      <c r="AB265" s="63"/>
      <c r="AC265" s="302"/>
      <c r="AD265" s="302"/>
      <c r="AE265" s="63"/>
      <c r="AF265" s="63"/>
      <c r="AG265" s="63"/>
      <c r="AH265" s="63"/>
      <c r="AJ265" s="63"/>
      <c r="AK265" s="63"/>
      <c r="AL265" s="63"/>
    </row>
    <row r="266" spans="2:38" outlineLevel="1" x14ac:dyDescent="0.25">
      <c r="B266" s="42">
        <v>45585</v>
      </c>
      <c r="C266" s="38"/>
      <c r="D266" s="38">
        <f t="shared" si="35"/>
        <v>210203.16000000003</v>
      </c>
      <c r="E266" s="38"/>
      <c r="F266" s="38"/>
      <c r="G266" s="38">
        <f t="shared" si="36"/>
        <v>210203.16000000003</v>
      </c>
      <c r="H266" s="38">
        <f t="shared" si="37"/>
        <v>67000000</v>
      </c>
      <c r="I266" s="38"/>
      <c r="J266" s="38"/>
      <c r="K266" s="38"/>
      <c r="L266" s="38"/>
      <c r="M266" s="38"/>
      <c r="N266" s="38"/>
      <c r="O266" s="38"/>
      <c r="P266" s="38">
        <f t="shared" si="39"/>
        <v>12000000</v>
      </c>
      <c r="Q266" s="38">
        <f t="shared" si="39"/>
        <v>45000000</v>
      </c>
      <c r="R266" s="38"/>
      <c r="S266" s="78">
        <v>45585</v>
      </c>
      <c r="T266" s="63"/>
      <c r="U266" s="63">
        <f t="shared" si="40"/>
        <v>148905.02000000008</v>
      </c>
      <c r="V266" s="63"/>
      <c r="W266" s="63"/>
      <c r="X266" s="63">
        <f t="shared" si="38"/>
        <v>148905.02000000008</v>
      </c>
      <c r="Y266" s="63">
        <f t="shared" si="41"/>
        <v>34200000</v>
      </c>
      <c r="Z266" s="63"/>
      <c r="AA266" s="63"/>
      <c r="AB266" s="63"/>
      <c r="AC266" s="302"/>
      <c r="AD266" s="302"/>
      <c r="AE266" s="63"/>
      <c r="AF266" s="63"/>
      <c r="AG266" s="63"/>
      <c r="AH266" s="63"/>
      <c r="AJ266" s="63"/>
      <c r="AK266" s="63"/>
      <c r="AL266" s="63"/>
    </row>
    <row r="267" spans="2:38" outlineLevel="1" x14ac:dyDescent="0.25">
      <c r="B267" s="42">
        <v>45586</v>
      </c>
      <c r="C267" s="38"/>
      <c r="D267" s="38">
        <f t="shared" si="35"/>
        <v>210203.16000000003</v>
      </c>
      <c r="E267" s="38"/>
      <c r="F267" s="38"/>
      <c r="G267" s="38">
        <f t="shared" si="36"/>
        <v>210203.16000000003</v>
      </c>
      <c r="H267" s="38">
        <f t="shared" si="37"/>
        <v>67000000</v>
      </c>
      <c r="I267" s="38"/>
      <c r="J267" s="38"/>
      <c r="K267" s="38"/>
      <c r="L267" s="38"/>
      <c r="M267" s="38"/>
      <c r="N267" s="38"/>
      <c r="O267" s="38"/>
      <c r="P267" s="38">
        <f t="shared" si="39"/>
        <v>12000000</v>
      </c>
      <c r="Q267" s="38">
        <f t="shared" si="39"/>
        <v>45000000</v>
      </c>
      <c r="R267" s="38"/>
      <c r="S267" s="78">
        <v>45586</v>
      </c>
      <c r="T267" s="63"/>
      <c r="U267" s="63">
        <f t="shared" si="40"/>
        <v>148905.02000000008</v>
      </c>
      <c r="V267" s="63"/>
      <c r="W267" s="63"/>
      <c r="X267" s="63">
        <f t="shared" si="38"/>
        <v>148905.02000000008</v>
      </c>
      <c r="Y267" s="63">
        <f t="shared" si="41"/>
        <v>34200000</v>
      </c>
      <c r="Z267" s="63"/>
      <c r="AA267" s="63"/>
      <c r="AB267" s="63"/>
      <c r="AC267" s="302"/>
      <c r="AD267" s="302"/>
      <c r="AE267" s="63"/>
      <c r="AF267" s="63"/>
      <c r="AG267" s="63"/>
      <c r="AH267" s="63"/>
      <c r="AJ267" s="63"/>
      <c r="AK267" s="63"/>
      <c r="AL267" s="63"/>
    </row>
    <row r="268" spans="2:38" outlineLevel="1" x14ac:dyDescent="0.25">
      <c r="B268" s="42">
        <v>45587</v>
      </c>
      <c r="C268" s="38"/>
      <c r="D268" s="38">
        <f t="shared" si="35"/>
        <v>210203.16000000003</v>
      </c>
      <c r="E268" s="38"/>
      <c r="F268" s="38"/>
      <c r="G268" s="38">
        <f t="shared" si="36"/>
        <v>210203.16000000003</v>
      </c>
      <c r="H268" s="38">
        <f t="shared" si="37"/>
        <v>67000000</v>
      </c>
      <c r="I268" s="38"/>
      <c r="J268" s="38"/>
      <c r="K268" s="38"/>
      <c r="L268" s="38"/>
      <c r="M268" s="38"/>
      <c r="N268" s="38"/>
      <c r="O268" s="38"/>
      <c r="P268" s="38">
        <f t="shared" si="39"/>
        <v>12000000</v>
      </c>
      <c r="Q268" s="38">
        <f t="shared" si="39"/>
        <v>45000000</v>
      </c>
      <c r="R268" s="38"/>
      <c r="S268" s="78">
        <v>45587</v>
      </c>
      <c r="T268" s="63"/>
      <c r="U268" s="63">
        <f t="shared" si="40"/>
        <v>148905.02000000008</v>
      </c>
      <c r="V268" s="63"/>
      <c r="W268" s="63"/>
      <c r="X268" s="63">
        <f t="shared" si="38"/>
        <v>148905.02000000008</v>
      </c>
      <c r="Y268" s="63">
        <f t="shared" si="41"/>
        <v>34200000</v>
      </c>
      <c r="Z268" s="63"/>
      <c r="AA268" s="63"/>
      <c r="AB268" s="63"/>
      <c r="AC268" s="302"/>
      <c r="AD268" s="302"/>
      <c r="AE268" s="63"/>
      <c r="AF268" s="63"/>
      <c r="AG268" s="63"/>
      <c r="AH268" s="63"/>
      <c r="AJ268" s="63"/>
      <c r="AK268" s="63"/>
      <c r="AL268" s="63"/>
    </row>
    <row r="269" spans="2:38" outlineLevel="1" x14ac:dyDescent="0.25">
      <c r="B269" s="42">
        <v>45588</v>
      </c>
      <c r="C269" s="38">
        <v>-83173</v>
      </c>
      <c r="D269" s="38">
        <f t="shared" si="35"/>
        <v>127030.16000000003</v>
      </c>
      <c r="E269" s="83">
        <v>-1200000</v>
      </c>
      <c r="F269" s="38">
        <v>1284276.7599999998</v>
      </c>
      <c r="G269" s="38">
        <f t="shared" si="36"/>
        <v>211306.91999999993</v>
      </c>
      <c r="H269" s="38">
        <f t="shared" si="37"/>
        <v>68200000</v>
      </c>
      <c r="I269" s="38"/>
      <c r="J269" s="38"/>
      <c r="K269" s="38"/>
      <c r="L269" s="38"/>
      <c r="M269" s="38"/>
      <c r="N269" s="38"/>
      <c r="O269" s="38"/>
      <c r="P269" s="38">
        <f t="shared" si="39"/>
        <v>12000000</v>
      </c>
      <c r="Q269" s="38">
        <f t="shared" si="39"/>
        <v>45000000</v>
      </c>
      <c r="R269" s="38"/>
      <c r="S269" s="78">
        <v>45588</v>
      </c>
      <c r="T269" s="63"/>
      <c r="U269" s="63">
        <f t="shared" si="40"/>
        <v>148905.02000000008</v>
      </c>
      <c r="V269" s="63"/>
      <c r="W269" s="63"/>
      <c r="X269" s="63">
        <f t="shared" si="38"/>
        <v>148905.02000000008</v>
      </c>
      <c r="Y269" s="63">
        <f t="shared" si="41"/>
        <v>34200000</v>
      </c>
      <c r="Z269" s="63"/>
      <c r="AA269" s="63"/>
      <c r="AB269" s="63"/>
      <c r="AC269" s="302"/>
      <c r="AD269" s="302"/>
      <c r="AE269" s="63"/>
      <c r="AF269" s="63"/>
      <c r="AG269" s="63"/>
      <c r="AH269" s="63"/>
      <c r="AJ269" s="63"/>
      <c r="AK269" s="63"/>
      <c r="AL269" s="63"/>
    </row>
    <row r="270" spans="2:38" outlineLevel="1" x14ac:dyDescent="0.25">
      <c r="B270" s="42">
        <v>45589</v>
      </c>
      <c r="C270" s="38"/>
      <c r="D270" s="38">
        <f t="shared" si="35"/>
        <v>211306.91999999993</v>
      </c>
      <c r="E270" s="38"/>
      <c r="F270" s="38">
        <v>-52.63</v>
      </c>
      <c r="G270" s="38">
        <f t="shared" si="36"/>
        <v>211254.28999999992</v>
      </c>
      <c r="H270" s="38">
        <f t="shared" si="37"/>
        <v>68200000</v>
      </c>
      <c r="I270" s="38"/>
      <c r="J270" s="38"/>
      <c r="K270" s="38"/>
      <c r="L270" s="38"/>
      <c r="M270" s="38"/>
      <c r="N270" s="38"/>
      <c r="O270" s="38"/>
      <c r="P270" s="38">
        <f t="shared" si="39"/>
        <v>12000000</v>
      </c>
      <c r="Q270" s="38">
        <f t="shared" si="39"/>
        <v>45000000</v>
      </c>
      <c r="R270" s="38"/>
      <c r="S270" s="78">
        <v>45589</v>
      </c>
      <c r="T270" s="63"/>
      <c r="U270" s="63">
        <f t="shared" si="40"/>
        <v>147151.95000000007</v>
      </c>
      <c r="V270" s="63"/>
      <c r="W270" s="63">
        <v>-1753.07</v>
      </c>
      <c r="X270" s="63">
        <f t="shared" si="38"/>
        <v>147151.95000000007</v>
      </c>
      <c r="Y270" s="63">
        <f t="shared" si="41"/>
        <v>34200000</v>
      </c>
      <c r="Z270" s="63"/>
      <c r="AA270" s="63"/>
      <c r="AB270" s="63"/>
      <c r="AC270" s="302"/>
      <c r="AD270" s="302"/>
      <c r="AE270" s="63"/>
      <c r="AF270" s="63"/>
      <c r="AG270" s="63"/>
      <c r="AH270" s="63"/>
      <c r="AJ270" s="63"/>
      <c r="AK270" s="63"/>
      <c r="AL270" s="63"/>
    </row>
    <row r="271" spans="2:38" outlineLevel="1" x14ac:dyDescent="0.25">
      <c r="B271" s="42">
        <v>45590</v>
      </c>
      <c r="C271" s="38">
        <f>-83096.81-2848292.56</f>
        <v>-2931389.37</v>
      </c>
      <c r="D271" s="38">
        <f t="shared" si="35"/>
        <v>-2720135.08</v>
      </c>
      <c r="E271" s="53">
        <v>2900000</v>
      </c>
      <c r="F271" s="38"/>
      <c r="G271" s="38">
        <f t="shared" si="36"/>
        <v>179864.91999999993</v>
      </c>
      <c r="H271" s="38">
        <f t="shared" si="37"/>
        <v>65300000</v>
      </c>
      <c r="I271" s="38"/>
      <c r="J271" s="38"/>
      <c r="K271" s="38"/>
      <c r="L271" s="38"/>
      <c r="M271" s="38"/>
      <c r="N271" s="38"/>
      <c r="O271" s="38"/>
      <c r="P271" s="38">
        <f t="shared" si="39"/>
        <v>12000000</v>
      </c>
      <c r="Q271" s="38">
        <f t="shared" si="39"/>
        <v>45000000</v>
      </c>
      <c r="R271" s="38"/>
      <c r="S271" s="78">
        <v>45590</v>
      </c>
      <c r="T271" s="63">
        <v>-286644.90999999997</v>
      </c>
      <c r="U271" s="63">
        <f t="shared" si="40"/>
        <v>-139492.9599999999</v>
      </c>
      <c r="V271" s="82">
        <v>250000</v>
      </c>
      <c r="W271" s="63"/>
      <c r="X271" s="63">
        <f t="shared" si="38"/>
        <v>110507.0400000001</v>
      </c>
      <c r="Y271" s="63">
        <f t="shared" si="41"/>
        <v>33950000</v>
      </c>
      <c r="Z271" s="63"/>
      <c r="AA271" s="63"/>
      <c r="AB271" s="63"/>
      <c r="AC271" s="302"/>
      <c r="AD271" s="302"/>
      <c r="AE271" s="63"/>
      <c r="AF271" s="63"/>
      <c r="AG271" s="63"/>
      <c r="AH271" s="63"/>
      <c r="AJ271" s="63"/>
      <c r="AK271" s="63"/>
      <c r="AL271" s="63"/>
    </row>
    <row r="272" spans="2:38" outlineLevel="1" x14ac:dyDescent="0.25">
      <c r="B272" s="42">
        <v>45591</v>
      </c>
      <c r="C272" s="38"/>
      <c r="D272" s="38">
        <f t="shared" si="35"/>
        <v>179864.91999999993</v>
      </c>
      <c r="E272" s="38"/>
      <c r="F272" s="38"/>
      <c r="G272" s="38">
        <f t="shared" si="36"/>
        <v>179864.91999999993</v>
      </c>
      <c r="H272" s="38">
        <f t="shared" si="37"/>
        <v>65300000</v>
      </c>
      <c r="I272" s="38"/>
      <c r="J272" s="38"/>
      <c r="K272" s="38"/>
      <c r="L272" s="38"/>
      <c r="M272" s="38"/>
      <c r="N272" s="38"/>
      <c r="O272" s="38"/>
      <c r="P272" s="38">
        <f t="shared" si="39"/>
        <v>12000000</v>
      </c>
      <c r="Q272" s="38">
        <f t="shared" si="39"/>
        <v>45000000</v>
      </c>
      <c r="R272" s="38"/>
      <c r="S272" s="78">
        <v>45591</v>
      </c>
      <c r="T272" s="63"/>
      <c r="U272" s="63">
        <f t="shared" si="40"/>
        <v>110507.0400000001</v>
      </c>
      <c r="V272" s="63"/>
      <c r="W272" s="63"/>
      <c r="X272" s="63">
        <f t="shared" si="38"/>
        <v>110507.0400000001</v>
      </c>
      <c r="Y272" s="63">
        <f t="shared" si="41"/>
        <v>33950000</v>
      </c>
      <c r="Z272" s="63"/>
      <c r="AA272" s="63"/>
      <c r="AB272" s="63"/>
      <c r="AC272" s="302"/>
      <c r="AD272" s="302"/>
      <c r="AE272" s="63"/>
      <c r="AF272" s="63"/>
      <c r="AG272" s="63"/>
      <c r="AH272" s="63"/>
      <c r="AJ272" s="63"/>
      <c r="AK272" s="63"/>
      <c r="AL272" s="63"/>
    </row>
    <row r="273" spans="2:38" outlineLevel="1" x14ac:dyDescent="0.25">
      <c r="B273" s="42">
        <v>45592</v>
      </c>
      <c r="C273" s="38"/>
      <c r="D273" s="38">
        <f t="shared" si="35"/>
        <v>179864.91999999993</v>
      </c>
      <c r="E273" s="38"/>
      <c r="F273" s="38"/>
      <c r="G273" s="38">
        <f t="shared" si="36"/>
        <v>179864.91999999993</v>
      </c>
      <c r="H273" s="38">
        <f t="shared" si="37"/>
        <v>65300000</v>
      </c>
      <c r="I273" s="38"/>
      <c r="J273" s="38"/>
      <c r="K273" s="38"/>
      <c r="L273" s="38"/>
      <c r="M273" s="38"/>
      <c r="N273" s="38"/>
      <c r="O273" s="38"/>
      <c r="P273" s="38">
        <f t="shared" si="39"/>
        <v>12000000</v>
      </c>
      <c r="Q273" s="38">
        <f t="shared" si="39"/>
        <v>45000000</v>
      </c>
      <c r="R273" s="38"/>
      <c r="S273" s="78">
        <v>45592</v>
      </c>
      <c r="T273" s="63"/>
      <c r="U273" s="63">
        <f t="shared" si="40"/>
        <v>110507.0400000001</v>
      </c>
      <c r="V273" s="63"/>
      <c r="W273" s="63"/>
      <c r="X273" s="63">
        <f t="shared" si="38"/>
        <v>110507.0400000001</v>
      </c>
      <c r="Y273" s="63">
        <f t="shared" si="41"/>
        <v>33950000</v>
      </c>
      <c r="Z273" s="63"/>
      <c r="AA273" s="63"/>
      <c r="AB273" s="63"/>
      <c r="AC273" s="302"/>
      <c r="AD273" s="302"/>
      <c r="AE273" s="63"/>
      <c r="AF273" s="63"/>
      <c r="AG273" s="63"/>
      <c r="AH273" s="63"/>
      <c r="AJ273" s="63"/>
      <c r="AK273" s="63"/>
      <c r="AL273" s="63"/>
    </row>
    <row r="274" spans="2:38" outlineLevel="1" x14ac:dyDescent="0.25">
      <c r="B274" s="42">
        <v>45593</v>
      </c>
      <c r="C274" s="38">
        <v>-271491.84000000003</v>
      </c>
      <c r="D274" s="38">
        <f t="shared" ref="D274:D315" si="42">C274+G273</f>
        <v>-91626.9200000001</v>
      </c>
      <c r="E274" s="83">
        <v>200000</v>
      </c>
      <c r="F274" s="38">
        <v>-16225.7</v>
      </c>
      <c r="G274" s="38">
        <f t="shared" ref="G274:G315" si="43">D274+E274+F274</f>
        <v>92147.379999999903</v>
      </c>
      <c r="H274" s="38">
        <f t="shared" ref="H274:H315" si="44">H273-E274</f>
        <v>65100000</v>
      </c>
      <c r="I274" s="38"/>
      <c r="J274" s="38"/>
      <c r="K274" s="38"/>
      <c r="L274" s="38"/>
      <c r="M274" s="38"/>
      <c r="N274" s="38"/>
      <c r="O274" s="38"/>
      <c r="P274" s="38">
        <f t="shared" si="39"/>
        <v>12000000</v>
      </c>
      <c r="Q274" s="38">
        <f t="shared" si="39"/>
        <v>45000000</v>
      </c>
      <c r="R274" s="38"/>
      <c r="S274" s="78">
        <v>45593</v>
      </c>
      <c r="T274" s="63"/>
      <c r="U274" s="63">
        <f t="shared" si="40"/>
        <v>110507.0400000001</v>
      </c>
      <c r="V274" s="63"/>
      <c r="W274" s="63"/>
      <c r="X274" s="63">
        <f t="shared" si="38"/>
        <v>110507.0400000001</v>
      </c>
      <c r="Y274" s="63">
        <f t="shared" si="41"/>
        <v>33950000</v>
      </c>
      <c r="Z274" s="63"/>
      <c r="AA274" s="63"/>
      <c r="AB274" s="63"/>
      <c r="AC274" s="302"/>
      <c r="AD274" s="302"/>
      <c r="AE274" s="63"/>
      <c r="AF274" s="63"/>
      <c r="AG274" s="63"/>
      <c r="AH274" s="63"/>
      <c r="AJ274" s="63"/>
      <c r="AK274" s="63"/>
      <c r="AL274" s="63"/>
    </row>
    <row r="275" spans="2:38" outlineLevel="1" x14ac:dyDescent="0.25">
      <c r="B275" s="42">
        <v>45594</v>
      </c>
      <c r="C275" s="45">
        <v>-3818065.3</v>
      </c>
      <c r="D275" s="38">
        <f t="shared" si="42"/>
        <v>-3725917.92</v>
      </c>
      <c r="E275" s="53">
        <v>3850000</v>
      </c>
      <c r="F275" s="38"/>
      <c r="G275" s="38">
        <f t="shared" si="43"/>
        <v>124082.08000000007</v>
      </c>
      <c r="H275" s="38">
        <f t="shared" si="44"/>
        <v>61250000</v>
      </c>
      <c r="I275" s="38"/>
      <c r="J275" s="38"/>
      <c r="K275" s="38"/>
      <c r="L275" s="38"/>
      <c r="M275" s="38"/>
      <c r="N275" s="38"/>
      <c r="O275" s="38"/>
      <c r="P275" s="38">
        <f t="shared" si="39"/>
        <v>12000000</v>
      </c>
      <c r="Q275" s="38">
        <f t="shared" si="39"/>
        <v>45000000</v>
      </c>
      <c r="R275" s="38"/>
      <c r="S275" s="78">
        <v>45594</v>
      </c>
      <c r="T275" s="63"/>
      <c r="U275" s="63">
        <f t="shared" si="40"/>
        <v>110507.0400000001</v>
      </c>
      <c r="V275" s="63"/>
      <c r="W275" s="63"/>
      <c r="X275" s="63">
        <f t="shared" si="38"/>
        <v>110507.0400000001</v>
      </c>
      <c r="Y275" s="63">
        <f t="shared" si="41"/>
        <v>33950000</v>
      </c>
      <c r="Z275" s="63"/>
      <c r="AA275" s="63"/>
      <c r="AB275" s="63"/>
      <c r="AC275" s="302"/>
      <c r="AD275" s="302"/>
      <c r="AE275" s="63"/>
      <c r="AF275" s="63"/>
      <c r="AG275" s="63"/>
      <c r="AH275" s="63"/>
      <c r="AJ275" s="63"/>
      <c r="AK275" s="63"/>
      <c r="AL275" s="63"/>
    </row>
    <row r="276" spans="2:38" outlineLevel="1" x14ac:dyDescent="0.25">
      <c r="B276" s="42">
        <v>45595</v>
      </c>
      <c r="C276" s="38"/>
      <c r="D276" s="38">
        <f t="shared" si="42"/>
        <v>124082.08000000007</v>
      </c>
      <c r="E276" s="38"/>
      <c r="F276" s="38"/>
      <c r="G276" s="38">
        <f t="shared" si="43"/>
        <v>124082.08000000007</v>
      </c>
      <c r="H276" s="38">
        <f t="shared" si="44"/>
        <v>61250000</v>
      </c>
      <c r="I276" s="38"/>
      <c r="J276" s="38"/>
      <c r="K276" s="38"/>
      <c r="L276" s="38"/>
      <c r="M276" s="38"/>
      <c r="N276" s="38"/>
      <c r="O276" s="38"/>
      <c r="P276" s="38">
        <f t="shared" si="39"/>
        <v>12000000</v>
      </c>
      <c r="Q276" s="38">
        <f t="shared" si="39"/>
        <v>45000000</v>
      </c>
      <c r="R276" s="38"/>
      <c r="S276" s="78">
        <v>45595</v>
      </c>
      <c r="T276" s="63"/>
      <c r="U276" s="63">
        <f t="shared" si="40"/>
        <v>110507.0400000001</v>
      </c>
      <c r="V276" s="63"/>
      <c r="W276" s="63"/>
      <c r="X276" s="63">
        <f t="shared" si="38"/>
        <v>110507.0400000001</v>
      </c>
      <c r="Y276" s="63">
        <f t="shared" si="41"/>
        <v>33950000</v>
      </c>
      <c r="Z276" s="63"/>
      <c r="AA276" s="63"/>
      <c r="AB276" s="63"/>
      <c r="AC276" s="302"/>
      <c r="AD276" s="302"/>
      <c r="AE276" s="63"/>
      <c r="AF276" s="63"/>
      <c r="AG276" s="63"/>
      <c r="AH276" s="63"/>
      <c r="AJ276" s="63"/>
      <c r="AK276" s="63"/>
      <c r="AL276" s="63"/>
    </row>
    <row r="277" spans="2:38" outlineLevel="1" x14ac:dyDescent="0.25">
      <c r="B277" s="42">
        <v>45596</v>
      </c>
      <c r="C277" s="38"/>
      <c r="D277" s="38">
        <f t="shared" si="42"/>
        <v>124082.08000000007</v>
      </c>
      <c r="E277" s="38"/>
      <c r="F277" s="38"/>
      <c r="G277" s="38">
        <f t="shared" si="43"/>
        <v>124082.08000000007</v>
      </c>
      <c r="H277" s="38">
        <f t="shared" si="44"/>
        <v>61250000</v>
      </c>
      <c r="I277" s="38"/>
      <c r="J277" s="38"/>
      <c r="K277" s="38"/>
      <c r="L277" s="38"/>
      <c r="M277" s="38"/>
      <c r="N277" s="38"/>
      <c r="O277" s="38"/>
      <c r="P277" s="38">
        <f t="shared" si="39"/>
        <v>12000000</v>
      </c>
      <c r="Q277" s="38">
        <f t="shared" si="39"/>
        <v>45000000</v>
      </c>
      <c r="R277" s="38"/>
      <c r="S277" s="78">
        <v>45596</v>
      </c>
      <c r="T277" s="63"/>
      <c r="U277" s="63">
        <f t="shared" si="40"/>
        <v>110507.0400000001</v>
      </c>
      <c r="V277" s="63"/>
      <c r="W277" s="63"/>
      <c r="X277" s="63">
        <f t="shared" si="38"/>
        <v>110507.0400000001</v>
      </c>
      <c r="Y277" s="63">
        <f t="shared" si="41"/>
        <v>33950000</v>
      </c>
      <c r="Z277" s="63"/>
      <c r="AA277" s="63"/>
      <c r="AB277" s="63"/>
      <c r="AC277" s="302"/>
      <c r="AD277" s="302"/>
      <c r="AE277" s="63"/>
      <c r="AF277" s="63"/>
      <c r="AG277" s="63"/>
      <c r="AH277" s="63"/>
      <c r="AJ277" s="63"/>
      <c r="AK277" s="63"/>
      <c r="AL277" s="63"/>
    </row>
    <row r="278" spans="2:38" outlineLevel="1" x14ac:dyDescent="0.25">
      <c r="B278" s="42">
        <v>45597</v>
      </c>
      <c r="C278" s="38">
        <v>13852973.77</v>
      </c>
      <c r="D278" s="38">
        <f t="shared" si="42"/>
        <v>13977055.85</v>
      </c>
      <c r="E278" s="83">
        <v>-13800000</v>
      </c>
      <c r="F278" s="38"/>
      <c r="G278" s="38">
        <f t="shared" si="43"/>
        <v>177055.84999999963</v>
      </c>
      <c r="H278" s="38">
        <f t="shared" si="44"/>
        <v>75050000</v>
      </c>
      <c r="I278" s="38"/>
      <c r="J278" s="38"/>
      <c r="K278" s="38"/>
      <c r="L278" s="38"/>
      <c r="M278" s="38"/>
      <c r="N278" s="38"/>
      <c r="O278" s="38"/>
      <c r="P278" s="38">
        <f t="shared" si="39"/>
        <v>12000000</v>
      </c>
      <c r="Q278" s="38">
        <f t="shared" si="39"/>
        <v>45000000</v>
      </c>
      <c r="R278" s="38"/>
      <c r="S278" s="78">
        <v>45597</v>
      </c>
      <c r="T278" s="63">
        <v>-15000000</v>
      </c>
      <c r="U278" s="63">
        <f t="shared" si="40"/>
        <v>-14889492.959999999</v>
      </c>
      <c r="V278" s="63">
        <v>15000000</v>
      </c>
      <c r="W278" s="63"/>
      <c r="X278" s="63">
        <f t="shared" si="38"/>
        <v>110507.04000000097</v>
      </c>
      <c r="Y278" s="63">
        <f t="shared" si="41"/>
        <v>18950000</v>
      </c>
      <c r="Z278" s="63"/>
      <c r="AA278" s="63"/>
      <c r="AB278" s="63"/>
      <c r="AC278" s="302"/>
      <c r="AD278" s="302"/>
      <c r="AE278" s="63"/>
      <c r="AF278" s="63"/>
      <c r="AG278" s="63"/>
      <c r="AH278" s="63"/>
      <c r="AJ278" s="63"/>
      <c r="AK278" s="63"/>
      <c r="AL278" s="63"/>
    </row>
    <row r="279" spans="2:38" outlineLevel="1" x14ac:dyDescent="0.25">
      <c r="B279" s="42">
        <v>45598</v>
      </c>
      <c r="C279" s="38"/>
      <c r="D279" s="38">
        <f t="shared" si="42"/>
        <v>177055.84999999963</v>
      </c>
      <c r="E279" s="38"/>
      <c r="F279" s="38"/>
      <c r="G279" s="38">
        <f t="shared" si="43"/>
        <v>177055.84999999963</v>
      </c>
      <c r="H279" s="38">
        <f t="shared" si="44"/>
        <v>75050000</v>
      </c>
      <c r="I279" s="38"/>
      <c r="J279" s="38"/>
      <c r="K279" s="38"/>
      <c r="L279" s="38"/>
      <c r="M279" s="38"/>
      <c r="N279" s="38"/>
      <c r="O279" s="38"/>
      <c r="P279" s="38">
        <f t="shared" si="39"/>
        <v>12000000</v>
      </c>
      <c r="Q279" s="38">
        <f t="shared" si="39"/>
        <v>45000000</v>
      </c>
      <c r="R279" s="38"/>
      <c r="S279" s="78">
        <v>45598</v>
      </c>
      <c r="T279" s="63"/>
      <c r="U279" s="63">
        <f t="shared" si="40"/>
        <v>110507.04000000097</v>
      </c>
      <c r="V279" s="63"/>
      <c r="W279" s="63"/>
      <c r="X279" s="63">
        <f t="shared" si="38"/>
        <v>110507.04000000097</v>
      </c>
      <c r="Y279" s="63">
        <f t="shared" si="41"/>
        <v>18950000</v>
      </c>
      <c r="Z279" s="63"/>
      <c r="AA279" s="63"/>
      <c r="AB279" s="63"/>
      <c r="AC279" s="302"/>
      <c r="AD279" s="302"/>
      <c r="AE279" s="63"/>
      <c r="AF279" s="63"/>
      <c r="AG279" s="63"/>
      <c r="AH279" s="63"/>
      <c r="AJ279" s="63"/>
      <c r="AK279" s="63"/>
      <c r="AL279" s="63"/>
    </row>
    <row r="280" spans="2:38" outlineLevel="1" x14ac:dyDescent="0.25">
      <c r="B280" s="42">
        <v>45599</v>
      </c>
      <c r="C280" s="38"/>
      <c r="D280" s="38">
        <f t="shared" si="42"/>
        <v>177055.84999999963</v>
      </c>
      <c r="E280" s="38"/>
      <c r="F280" s="38"/>
      <c r="G280" s="38">
        <f t="shared" si="43"/>
        <v>177055.84999999963</v>
      </c>
      <c r="H280" s="38">
        <f t="shared" si="44"/>
        <v>75050000</v>
      </c>
      <c r="I280" s="38"/>
      <c r="J280" s="38"/>
      <c r="K280" s="38"/>
      <c r="L280" s="38"/>
      <c r="M280" s="38"/>
      <c r="N280" s="38"/>
      <c r="O280" s="38"/>
      <c r="P280" s="38">
        <f t="shared" si="39"/>
        <v>12000000</v>
      </c>
      <c r="Q280" s="38">
        <f t="shared" si="39"/>
        <v>45000000</v>
      </c>
      <c r="R280" s="38"/>
      <c r="S280" s="78">
        <v>45599</v>
      </c>
      <c r="T280" s="63"/>
      <c r="U280" s="63">
        <f t="shared" si="40"/>
        <v>110507.04000000097</v>
      </c>
      <c r="V280" s="63"/>
      <c r="W280" s="63"/>
      <c r="X280" s="63">
        <f t="shared" si="38"/>
        <v>110507.04000000097</v>
      </c>
      <c r="Y280" s="63">
        <f t="shared" si="41"/>
        <v>18950000</v>
      </c>
      <c r="Z280" s="63"/>
      <c r="AA280" s="63"/>
      <c r="AB280" s="63"/>
      <c r="AC280" s="302"/>
      <c r="AD280" s="302"/>
      <c r="AE280" s="63"/>
      <c r="AF280" s="63"/>
      <c r="AG280" s="63"/>
      <c r="AH280" s="63"/>
      <c r="AJ280" s="63"/>
      <c r="AK280" s="63"/>
      <c r="AL280" s="63"/>
    </row>
    <row r="281" spans="2:38" outlineLevel="1" x14ac:dyDescent="0.25">
      <c r="B281" s="42">
        <v>45600</v>
      </c>
      <c r="C281" s="38">
        <v>-1914017</v>
      </c>
      <c r="D281" s="38">
        <f t="shared" si="42"/>
        <v>-1736961.1500000004</v>
      </c>
      <c r="E281" s="83">
        <v>1900000</v>
      </c>
      <c r="F281" s="38">
        <v>259311.05000000101</v>
      </c>
      <c r="G281" s="38">
        <f t="shared" si="43"/>
        <v>422349.90000000061</v>
      </c>
      <c r="H281" s="38">
        <f t="shared" si="44"/>
        <v>73150000</v>
      </c>
      <c r="I281" s="38"/>
      <c r="J281" s="38"/>
      <c r="K281" s="38"/>
      <c r="L281" s="38"/>
      <c r="M281" s="38"/>
      <c r="N281" s="38"/>
      <c r="O281" s="38"/>
      <c r="P281" s="38">
        <f t="shared" si="39"/>
        <v>12000000</v>
      </c>
      <c r="Q281" s="38">
        <f t="shared" si="39"/>
        <v>45000000</v>
      </c>
      <c r="R281" s="38"/>
      <c r="S281" s="78">
        <v>45600</v>
      </c>
      <c r="T281" s="63"/>
      <c r="U281" s="63">
        <f t="shared" si="40"/>
        <v>110507.04000000097</v>
      </c>
      <c r="V281" s="63"/>
      <c r="W281" s="63"/>
      <c r="X281" s="63">
        <f t="shared" si="38"/>
        <v>110507.04000000097</v>
      </c>
      <c r="Y281" s="63">
        <f t="shared" si="41"/>
        <v>18950000</v>
      </c>
      <c r="Z281" s="63"/>
      <c r="AA281" s="63"/>
      <c r="AB281" s="63"/>
      <c r="AC281" s="302"/>
      <c r="AD281" s="302"/>
      <c r="AE281" s="63"/>
      <c r="AF281" s="63"/>
      <c r="AG281" s="63"/>
      <c r="AH281" s="63"/>
      <c r="AJ281" s="63"/>
      <c r="AK281" s="63"/>
      <c r="AL281" s="63"/>
    </row>
    <row r="282" spans="2:38" outlineLevel="1" x14ac:dyDescent="0.25">
      <c r="B282" s="42">
        <v>45601</v>
      </c>
      <c r="C282" s="38"/>
      <c r="D282" s="38">
        <f t="shared" si="42"/>
        <v>422349.90000000061</v>
      </c>
      <c r="E282" s="83">
        <v>-300000</v>
      </c>
      <c r="F282" s="38"/>
      <c r="G282" s="38">
        <f t="shared" si="43"/>
        <v>122349.90000000061</v>
      </c>
      <c r="H282" s="38">
        <f t="shared" si="44"/>
        <v>73450000</v>
      </c>
      <c r="I282" s="38"/>
      <c r="J282" s="38"/>
      <c r="K282" s="38"/>
      <c r="L282" s="38"/>
      <c r="M282" s="38"/>
      <c r="N282" s="38"/>
      <c r="O282" s="38"/>
      <c r="P282" s="38">
        <f t="shared" si="39"/>
        <v>12000000</v>
      </c>
      <c r="Q282" s="38">
        <f t="shared" si="39"/>
        <v>45000000</v>
      </c>
      <c r="R282" s="38"/>
      <c r="S282" s="78">
        <v>45601</v>
      </c>
      <c r="T282" s="63"/>
      <c r="U282" s="63">
        <f t="shared" si="40"/>
        <v>243130.32</v>
      </c>
      <c r="V282" s="84">
        <v>-150000</v>
      </c>
      <c r="W282" s="63">
        <f>243130.32-X281</f>
        <v>132623.27999999904</v>
      </c>
      <c r="X282" s="63">
        <f t="shared" si="38"/>
        <v>93130.32</v>
      </c>
      <c r="Y282" s="63">
        <f t="shared" si="41"/>
        <v>19100000</v>
      </c>
      <c r="Z282" s="63"/>
      <c r="AA282" s="63"/>
      <c r="AB282" s="63"/>
      <c r="AC282" s="302"/>
      <c r="AD282" s="302"/>
      <c r="AE282" s="63"/>
      <c r="AF282" s="63"/>
      <c r="AG282" s="63"/>
      <c r="AH282" s="63"/>
      <c r="AJ282" s="63"/>
      <c r="AK282" s="63"/>
      <c r="AL282" s="63"/>
    </row>
    <row r="283" spans="2:38" outlineLevel="1" x14ac:dyDescent="0.25">
      <c r="B283" s="42">
        <v>45602</v>
      </c>
      <c r="C283" s="38"/>
      <c r="D283" s="38">
        <f t="shared" si="42"/>
        <v>122349.90000000061</v>
      </c>
      <c r="E283" s="38"/>
      <c r="F283" s="38"/>
      <c r="G283" s="38">
        <f t="shared" si="43"/>
        <v>122349.90000000061</v>
      </c>
      <c r="H283" s="38">
        <f t="shared" si="44"/>
        <v>73450000</v>
      </c>
      <c r="I283" s="38"/>
      <c r="J283" s="38"/>
      <c r="K283" s="38"/>
      <c r="L283" s="38"/>
      <c r="M283" s="38"/>
      <c r="N283" s="38"/>
      <c r="O283" s="38"/>
      <c r="P283" s="38">
        <f t="shared" si="39"/>
        <v>12000000</v>
      </c>
      <c r="Q283" s="38">
        <f t="shared" si="39"/>
        <v>45000000</v>
      </c>
      <c r="R283" s="38"/>
      <c r="S283" s="78">
        <v>45602</v>
      </c>
      <c r="T283" s="63"/>
      <c r="U283" s="63">
        <f t="shared" si="40"/>
        <v>93130.32</v>
      </c>
      <c r="V283" s="63"/>
      <c r="W283" s="63"/>
      <c r="X283" s="63">
        <f t="shared" si="38"/>
        <v>93130.32</v>
      </c>
      <c r="Y283" s="63">
        <f t="shared" si="41"/>
        <v>19100000</v>
      </c>
      <c r="Z283" s="63"/>
      <c r="AA283" s="63"/>
      <c r="AB283" s="63"/>
      <c r="AC283" s="302"/>
      <c r="AD283" s="302"/>
      <c r="AE283" s="63"/>
      <c r="AF283" s="63"/>
      <c r="AG283" s="63"/>
      <c r="AH283" s="63"/>
      <c r="AJ283" s="63"/>
      <c r="AK283" s="63"/>
      <c r="AL283" s="63"/>
    </row>
    <row r="284" spans="2:38" outlineLevel="1" x14ac:dyDescent="0.25">
      <c r="B284" s="42">
        <v>45603</v>
      </c>
      <c r="C284" s="38"/>
      <c r="D284" s="38">
        <f t="shared" si="42"/>
        <v>122349.90000000061</v>
      </c>
      <c r="E284" s="38"/>
      <c r="F284" s="38"/>
      <c r="G284" s="38">
        <f t="shared" si="43"/>
        <v>122349.90000000061</v>
      </c>
      <c r="H284" s="38">
        <f t="shared" si="44"/>
        <v>73450000</v>
      </c>
      <c r="I284" s="38"/>
      <c r="J284" s="38"/>
      <c r="K284" s="38"/>
      <c r="L284" s="38"/>
      <c r="M284" s="38"/>
      <c r="N284" s="38"/>
      <c r="O284" s="38"/>
      <c r="P284" s="38">
        <f t="shared" si="39"/>
        <v>12000000</v>
      </c>
      <c r="Q284" s="38">
        <f t="shared" si="39"/>
        <v>45000000</v>
      </c>
      <c r="R284" s="38"/>
      <c r="S284" s="78">
        <v>45603</v>
      </c>
      <c r="T284" s="63"/>
      <c r="U284" s="63">
        <f t="shared" si="40"/>
        <v>93130.32</v>
      </c>
      <c r="V284" s="63"/>
      <c r="W284" s="63"/>
      <c r="X284" s="63">
        <f t="shared" ref="X284:X347" si="45">V284+U284</f>
        <v>93130.32</v>
      </c>
      <c r="Y284" s="63">
        <f t="shared" si="41"/>
        <v>19100000</v>
      </c>
      <c r="Z284" s="63"/>
      <c r="AA284" s="63"/>
      <c r="AB284" s="63"/>
      <c r="AC284" s="302"/>
      <c r="AD284" s="302"/>
      <c r="AE284" s="63"/>
      <c r="AF284" s="63"/>
      <c r="AG284" s="63"/>
      <c r="AH284" s="63"/>
      <c r="AJ284" s="63"/>
      <c r="AK284" s="63"/>
      <c r="AL284" s="63"/>
    </row>
    <row r="285" spans="2:38" outlineLevel="1" x14ac:dyDescent="0.25">
      <c r="B285" s="42">
        <v>45604</v>
      </c>
      <c r="C285" s="38">
        <v>4493332</v>
      </c>
      <c r="D285" s="38">
        <f t="shared" si="42"/>
        <v>4615681.9000000004</v>
      </c>
      <c r="E285" s="105">
        <v>-4400000</v>
      </c>
      <c r="F285" s="38">
        <v>-8481.9599999999627</v>
      </c>
      <c r="G285" s="38">
        <f>D285+E285+F285</f>
        <v>207199.94000000041</v>
      </c>
      <c r="H285" s="38">
        <f t="shared" si="44"/>
        <v>77850000</v>
      </c>
      <c r="I285" s="38"/>
      <c r="J285" s="38"/>
      <c r="K285" s="38"/>
      <c r="L285" s="38"/>
      <c r="M285" s="38"/>
      <c r="N285" s="38"/>
      <c r="O285" s="38"/>
      <c r="P285" s="38">
        <f t="shared" si="39"/>
        <v>12000000</v>
      </c>
      <c r="Q285" s="38">
        <f t="shared" si="39"/>
        <v>45000000</v>
      </c>
      <c r="R285" s="38"/>
      <c r="S285" s="78">
        <v>45604</v>
      </c>
      <c r="T285" s="63"/>
      <c r="U285" s="63">
        <f t="shared" si="40"/>
        <v>93130.32</v>
      </c>
      <c r="V285" s="63"/>
      <c r="W285" s="63"/>
      <c r="X285" s="63">
        <f t="shared" si="45"/>
        <v>93130.32</v>
      </c>
      <c r="Y285" s="63">
        <f t="shared" si="41"/>
        <v>19100000</v>
      </c>
      <c r="Z285" s="63"/>
      <c r="AA285" s="63"/>
      <c r="AB285" s="63"/>
      <c r="AC285" s="302"/>
      <c r="AD285" s="302"/>
      <c r="AE285" s="63"/>
      <c r="AF285" s="63"/>
      <c r="AG285" s="63"/>
      <c r="AH285" s="63"/>
      <c r="AJ285" s="63"/>
      <c r="AK285" s="63"/>
      <c r="AL285" s="63"/>
    </row>
    <row r="286" spans="2:38" outlineLevel="1" x14ac:dyDescent="0.25">
      <c r="B286" s="42">
        <v>45605</v>
      </c>
      <c r="C286" s="38"/>
      <c r="D286" s="38">
        <f t="shared" si="42"/>
        <v>207199.94000000041</v>
      </c>
      <c r="E286" s="38"/>
      <c r="F286" s="38"/>
      <c r="G286" s="38">
        <f t="shared" si="43"/>
        <v>207199.94000000041</v>
      </c>
      <c r="H286" s="38">
        <f t="shared" si="44"/>
        <v>77850000</v>
      </c>
      <c r="I286" s="38"/>
      <c r="J286" s="38"/>
      <c r="K286" s="38"/>
      <c r="L286" s="38"/>
      <c r="M286" s="38"/>
      <c r="N286" s="38"/>
      <c r="O286" s="38"/>
      <c r="P286" s="38">
        <f t="shared" si="39"/>
        <v>12000000</v>
      </c>
      <c r="Q286" s="38">
        <f t="shared" si="39"/>
        <v>45000000</v>
      </c>
      <c r="R286" s="38"/>
      <c r="S286" s="78">
        <v>45605</v>
      </c>
      <c r="T286" s="63"/>
      <c r="U286" s="63">
        <f t="shared" si="40"/>
        <v>93130.32</v>
      </c>
      <c r="V286" s="63"/>
      <c r="W286" s="63"/>
      <c r="X286" s="63">
        <f t="shared" si="45"/>
        <v>93130.32</v>
      </c>
      <c r="Y286" s="63">
        <f t="shared" si="41"/>
        <v>19100000</v>
      </c>
      <c r="Z286" s="63"/>
      <c r="AA286" s="63"/>
      <c r="AB286" s="63"/>
      <c r="AC286" s="302"/>
      <c r="AD286" s="302"/>
      <c r="AE286" s="63"/>
      <c r="AF286" s="63"/>
      <c r="AG286" s="63"/>
      <c r="AH286" s="63"/>
      <c r="AJ286" s="63"/>
      <c r="AK286" s="63"/>
      <c r="AL286" s="63"/>
    </row>
    <row r="287" spans="2:38" outlineLevel="1" x14ac:dyDescent="0.25">
      <c r="B287" s="42">
        <v>45606</v>
      </c>
      <c r="C287" s="38"/>
      <c r="D287" s="38">
        <f t="shared" si="42"/>
        <v>207199.94000000041</v>
      </c>
      <c r="E287" s="38"/>
      <c r="F287" s="38"/>
      <c r="G287" s="38">
        <f t="shared" si="43"/>
        <v>207199.94000000041</v>
      </c>
      <c r="H287" s="38">
        <f t="shared" si="44"/>
        <v>77850000</v>
      </c>
      <c r="I287" s="38"/>
      <c r="J287" s="38"/>
      <c r="K287" s="38"/>
      <c r="L287" s="38"/>
      <c r="M287" s="38"/>
      <c r="N287" s="38"/>
      <c r="O287" s="38"/>
      <c r="P287" s="38">
        <f t="shared" si="39"/>
        <v>12000000</v>
      </c>
      <c r="Q287" s="38" t="e">
        <f>'OverNight €'!#REF!+'OverNight €'!#REF!+'OverNight €'!#REF!</f>
        <v>#REF!</v>
      </c>
      <c r="R287" s="38"/>
      <c r="S287" s="78">
        <v>45606</v>
      </c>
      <c r="T287" s="63"/>
      <c r="U287" s="63">
        <f t="shared" si="40"/>
        <v>93130.32</v>
      </c>
      <c r="V287" s="63"/>
      <c r="W287" s="63"/>
      <c r="X287" s="63">
        <f t="shared" si="45"/>
        <v>93130.32</v>
      </c>
      <c r="Y287" s="63">
        <f t="shared" si="41"/>
        <v>19100000</v>
      </c>
      <c r="Z287" s="63"/>
      <c r="AA287" s="63"/>
      <c r="AB287" s="63"/>
      <c r="AC287" s="302"/>
      <c r="AD287" s="302"/>
      <c r="AE287" s="63"/>
      <c r="AF287" s="63"/>
      <c r="AG287" s="63"/>
      <c r="AH287" s="63"/>
      <c r="AJ287" s="63"/>
      <c r="AK287" s="63"/>
      <c r="AL287" s="63"/>
    </row>
    <row r="288" spans="2:38" outlineLevel="1" x14ac:dyDescent="0.25">
      <c r="B288" s="42">
        <v>45607</v>
      </c>
      <c r="C288" s="38">
        <v>1862504</v>
      </c>
      <c r="D288" s="38">
        <f t="shared" si="42"/>
        <v>2069703.9400000004</v>
      </c>
      <c r="E288" s="38"/>
      <c r="F288" s="38"/>
      <c r="G288" s="38">
        <f t="shared" si="43"/>
        <v>2069703.9400000004</v>
      </c>
      <c r="H288" s="38">
        <f t="shared" si="44"/>
        <v>77850000</v>
      </c>
      <c r="I288" s="38"/>
      <c r="J288" s="38"/>
      <c r="K288" s="38"/>
      <c r="L288" s="38"/>
      <c r="M288" s="38"/>
      <c r="N288" s="38"/>
      <c r="O288" s="38"/>
      <c r="P288" s="38">
        <f t="shared" si="39"/>
        <v>12000000</v>
      </c>
      <c r="Q288" s="38" t="e">
        <f t="shared" si="39"/>
        <v>#REF!</v>
      </c>
      <c r="R288" s="38"/>
      <c r="S288" s="78">
        <v>45607</v>
      </c>
      <c r="T288" s="63"/>
      <c r="U288" s="63">
        <f t="shared" si="40"/>
        <v>92394.5</v>
      </c>
      <c r="V288" s="63"/>
      <c r="W288" s="63">
        <f>92394.5-X287</f>
        <v>-735.82000000000698</v>
      </c>
      <c r="X288" s="63">
        <f t="shared" si="45"/>
        <v>92394.5</v>
      </c>
      <c r="Y288" s="63">
        <f t="shared" si="41"/>
        <v>19100000</v>
      </c>
      <c r="Z288" s="63"/>
      <c r="AA288" s="63"/>
      <c r="AB288" s="63"/>
      <c r="AC288" s="302"/>
      <c r="AD288" s="302"/>
      <c r="AE288" s="63"/>
      <c r="AF288" s="63"/>
      <c r="AG288" s="63"/>
      <c r="AH288" s="63"/>
      <c r="AJ288" s="63"/>
      <c r="AK288" s="63"/>
      <c r="AL288" s="63"/>
    </row>
    <row r="289" spans="2:38" outlineLevel="1" x14ac:dyDescent="0.25">
      <c r="B289" s="42">
        <v>45608</v>
      </c>
      <c r="C289" s="38">
        <f>-1681523.17-22680</f>
        <v>-1704203.17</v>
      </c>
      <c r="D289" s="38">
        <f t="shared" si="42"/>
        <v>365500.77000000048</v>
      </c>
      <c r="E289" s="105">
        <v>1700000</v>
      </c>
      <c r="F289" s="38">
        <v>-749.48</v>
      </c>
      <c r="G289" s="38">
        <f t="shared" si="43"/>
        <v>2064751.2900000005</v>
      </c>
      <c r="H289" s="38">
        <f t="shared" si="44"/>
        <v>76150000</v>
      </c>
      <c r="I289" s="38"/>
      <c r="J289" s="38"/>
      <c r="K289" s="38"/>
      <c r="L289" s="38"/>
      <c r="M289" s="38"/>
      <c r="N289" s="38"/>
      <c r="O289" s="38"/>
      <c r="P289" s="38">
        <f t="shared" si="39"/>
        <v>12000000</v>
      </c>
      <c r="Q289" s="38" t="e">
        <f t="shared" si="39"/>
        <v>#REF!</v>
      </c>
      <c r="R289" s="38"/>
      <c r="S289" s="78">
        <v>45608</v>
      </c>
      <c r="T289" s="63">
        <v>-216467.59</v>
      </c>
      <c r="U289" s="63">
        <f t="shared" si="40"/>
        <v>-124073.09</v>
      </c>
      <c r="V289" s="102">
        <v>250000</v>
      </c>
      <c r="W289" s="63"/>
      <c r="X289" s="63">
        <f t="shared" si="45"/>
        <v>125926.91</v>
      </c>
      <c r="Y289" s="63">
        <f t="shared" si="41"/>
        <v>18850000</v>
      </c>
      <c r="Z289" s="63"/>
      <c r="AA289" s="63"/>
      <c r="AB289" s="63"/>
      <c r="AC289" s="302"/>
      <c r="AD289" s="302"/>
      <c r="AE289" s="63"/>
      <c r="AF289" s="63"/>
      <c r="AG289" s="63"/>
      <c r="AH289" s="63"/>
      <c r="AJ289" s="63"/>
      <c r="AK289" s="63"/>
      <c r="AL289" s="63"/>
    </row>
    <row r="290" spans="2:38" outlineLevel="1" x14ac:dyDescent="0.25">
      <c r="B290" s="42">
        <v>45609</v>
      </c>
      <c r="C290" s="38"/>
      <c r="D290" s="38">
        <f t="shared" si="42"/>
        <v>2064751.2900000005</v>
      </c>
      <c r="E290" s="83">
        <v>-1900000</v>
      </c>
      <c r="F290" s="38">
        <v>-12846.27</v>
      </c>
      <c r="G290" s="38">
        <f t="shared" si="43"/>
        <v>151905.02000000051</v>
      </c>
      <c r="H290" s="38">
        <f t="shared" si="44"/>
        <v>78050000</v>
      </c>
      <c r="I290" s="38"/>
      <c r="J290" s="38"/>
      <c r="K290" s="38"/>
      <c r="L290" s="38"/>
      <c r="M290" s="38"/>
      <c r="N290" s="38"/>
      <c r="O290" s="38"/>
      <c r="P290" s="38">
        <f t="shared" si="39"/>
        <v>12000000</v>
      </c>
      <c r="Q290" s="38" t="e">
        <f t="shared" si="39"/>
        <v>#REF!</v>
      </c>
      <c r="R290" s="38"/>
      <c r="S290" s="78">
        <v>45609</v>
      </c>
      <c r="T290" s="63"/>
      <c r="U290" s="63">
        <f t="shared" si="40"/>
        <v>125926.91</v>
      </c>
      <c r="V290" s="63"/>
      <c r="W290" s="63"/>
      <c r="X290" s="63">
        <f t="shared" si="45"/>
        <v>125926.91</v>
      </c>
      <c r="Y290" s="63">
        <f t="shared" si="41"/>
        <v>18850000</v>
      </c>
      <c r="Z290" s="63"/>
      <c r="AA290" s="63"/>
      <c r="AB290" s="63"/>
      <c r="AC290" s="302"/>
      <c r="AD290" s="302"/>
      <c r="AE290" s="63"/>
      <c r="AF290" s="63"/>
      <c r="AG290" s="63"/>
      <c r="AH290" s="63"/>
      <c r="AJ290" s="63"/>
      <c r="AK290" s="63"/>
      <c r="AL290" s="63"/>
    </row>
    <row r="291" spans="2:38" outlineLevel="1" x14ac:dyDescent="0.25">
      <c r="B291" s="42">
        <v>45610</v>
      </c>
      <c r="C291" s="38"/>
      <c r="D291" s="38">
        <f t="shared" si="42"/>
        <v>151905.02000000051</v>
      </c>
      <c r="E291" s="38"/>
      <c r="F291" s="38"/>
      <c r="G291" s="38">
        <f t="shared" si="43"/>
        <v>151905.02000000051</v>
      </c>
      <c r="H291" s="38">
        <f t="shared" si="44"/>
        <v>78050000</v>
      </c>
      <c r="I291" s="38"/>
      <c r="J291" s="38"/>
      <c r="K291" s="38"/>
      <c r="L291" s="38"/>
      <c r="M291" s="38"/>
      <c r="N291" s="38"/>
      <c r="O291" s="38"/>
      <c r="P291" s="38">
        <f t="shared" si="39"/>
        <v>12000000</v>
      </c>
      <c r="Q291" s="38" t="e">
        <f t="shared" si="39"/>
        <v>#REF!</v>
      </c>
      <c r="R291" s="38"/>
      <c r="S291" s="78">
        <v>45610</v>
      </c>
      <c r="T291" s="63"/>
      <c r="U291" s="63">
        <f t="shared" si="40"/>
        <v>125926.91</v>
      </c>
      <c r="V291" s="63"/>
      <c r="W291" s="63"/>
      <c r="X291" s="63">
        <f t="shared" si="45"/>
        <v>125926.91</v>
      </c>
      <c r="Y291" s="63">
        <f t="shared" si="41"/>
        <v>18850000</v>
      </c>
      <c r="Z291" s="63"/>
      <c r="AA291" s="63"/>
      <c r="AB291" s="63"/>
      <c r="AC291" s="302"/>
      <c r="AD291" s="302"/>
      <c r="AE291" s="63"/>
      <c r="AF291" s="63"/>
      <c r="AG291" s="63"/>
      <c r="AH291" s="63"/>
      <c r="AJ291" s="63"/>
      <c r="AK291" s="63"/>
      <c r="AL291" s="63"/>
    </row>
    <row r="292" spans="2:38" outlineLevel="1" x14ac:dyDescent="0.25">
      <c r="B292" s="42">
        <v>45611</v>
      </c>
      <c r="C292" s="38">
        <v>-5603425.2000000002</v>
      </c>
      <c r="D292" s="38">
        <f t="shared" si="42"/>
        <v>-5451520.1799999997</v>
      </c>
      <c r="E292" s="105">
        <v>5600000</v>
      </c>
      <c r="F292" s="38"/>
      <c r="G292" s="38">
        <f t="shared" si="43"/>
        <v>148479.8200000003</v>
      </c>
      <c r="H292" s="38">
        <f t="shared" si="44"/>
        <v>72450000</v>
      </c>
      <c r="I292" s="38"/>
      <c r="J292" s="38"/>
      <c r="K292" s="38"/>
      <c r="L292" s="38"/>
      <c r="M292" s="38"/>
      <c r="N292" s="38"/>
      <c r="O292" s="38"/>
      <c r="P292" s="38">
        <f t="shared" si="39"/>
        <v>12000000</v>
      </c>
      <c r="Q292" s="38" t="e">
        <f t="shared" si="39"/>
        <v>#REF!</v>
      </c>
      <c r="R292" s="38"/>
      <c r="S292" s="78">
        <v>45611</v>
      </c>
      <c r="T292" s="63"/>
      <c r="U292" s="63">
        <f t="shared" si="40"/>
        <v>125926.91</v>
      </c>
      <c r="V292" s="63"/>
      <c r="W292" s="63"/>
      <c r="X292" s="63">
        <f t="shared" si="45"/>
        <v>125926.91</v>
      </c>
      <c r="Y292" s="63">
        <f t="shared" si="41"/>
        <v>18850000</v>
      </c>
      <c r="Z292" s="63"/>
      <c r="AA292" s="63"/>
      <c r="AB292" s="63"/>
      <c r="AC292" s="302"/>
      <c r="AD292" s="302"/>
      <c r="AE292" s="63"/>
      <c r="AF292" s="63"/>
      <c r="AG292" s="63"/>
      <c r="AH292" s="63"/>
      <c r="AJ292" s="63"/>
      <c r="AK292" s="63"/>
      <c r="AL292" s="63"/>
    </row>
    <row r="293" spans="2:38" outlineLevel="1" x14ac:dyDescent="0.25">
      <c r="B293" s="42">
        <v>45612</v>
      </c>
      <c r="C293" s="38"/>
      <c r="D293" s="38">
        <f t="shared" si="42"/>
        <v>148479.8200000003</v>
      </c>
      <c r="E293" s="38"/>
      <c r="F293" s="38"/>
      <c r="G293" s="38">
        <f t="shared" si="43"/>
        <v>148479.8200000003</v>
      </c>
      <c r="H293" s="38">
        <f t="shared" si="44"/>
        <v>72450000</v>
      </c>
      <c r="I293" s="38"/>
      <c r="J293" s="38"/>
      <c r="K293" s="38"/>
      <c r="L293" s="38"/>
      <c r="M293" s="38"/>
      <c r="N293" s="38"/>
      <c r="O293" s="38"/>
      <c r="P293" s="38">
        <f t="shared" si="39"/>
        <v>12000000</v>
      </c>
      <c r="Q293" s="38" t="e">
        <f t="shared" si="39"/>
        <v>#REF!</v>
      </c>
      <c r="R293" s="38"/>
      <c r="S293" s="78">
        <v>45612</v>
      </c>
      <c r="T293" s="63"/>
      <c r="U293" s="63">
        <f t="shared" si="40"/>
        <v>125926.91</v>
      </c>
      <c r="V293" s="63"/>
      <c r="W293" s="63"/>
      <c r="X293" s="63">
        <f t="shared" si="45"/>
        <v>125926.91</v>
      </c>
      <c r="Y293" s="63">
        <f t="shared" si="41"/>
        <v>18850000</v>
      </c>
      <c r="Z293" s="63"/>
      <c r="AA293" s="63"/>
      <c r="AB293" s="63"/>
      <c r="AC293" s="302"/>
      <c r="AD293" s="302"/>
      <c r="AE293" s="63"/>
      <c r="AF293" s="63"/>
      <c r="AG293" s="63"/>
      <c r="AH293" s="63"/>
      <c r="AJ293" s="63"/>
      <c r="AK293" s="63"/>
      <c r="AL293" s="63"/>
    </row>
    <row r="294" spans="2:38" outlineLevel="1" x14ac:dyDescent="0.25">
      <c r="B294" s="42">
        <v>45613</v>
      </c>
      <c r="C294" s="38"/>
      <c r="D294" s="38">
        <f t="shared" si="42"/>
        <v>148479.8200000003</v>
      </c>
      <c r="E294" s="38"/>
      <c r="F294" s="38"/>
      <c r="G294" s="38">
        <f t="shared" si="43"/>
        <v>148479.8200000003</v>
      </c>
      <c r="H294" s="38">
        <f t="shared" si="44"/>
        <v>72450000</v>
      </c>
      <c r="I294" s="38"/>
      <c r="J294" s="38"/>
      <c r="K294" s="38"/>
      <c r="L294" s="38"/>
      <c r="M294" s="38"/>
      <c r="N294" s="38"/>
      <c r="O294" s="38"/>
      <c r="P294" s="38">
        <f t="shared" si="39"/>
        <v>12000000</v>
      </c>
      <c r="Q294" s="38" t="e">
        <f t="shared" si="39"/>
        <v>#REF!</v>
      </c>
      <c r="R294" s="38"/>
      <c r="S294" s="78">
        <v>45613</v>
      </c>
      <c r="T294" s="63"/>
      <c r="U294" s="63">
        <f t="shared" si="40"/>
        <v>125926.91</v>
      </c>
      <c r="V294" s="63"/>
      <c r="W294" s="63"/>
      <c r="X294" s="63">
        <f t="shared" si="45"/>
        <v>125926.91</v>
      </c>
      <c r="Y294" s="63">
        <f t="shared" si="41"/>
        <v>18850000</v>
      </c>
      <c r="Z294" s="63"/>
      <c r="AA294" s="63"/>
      <c r="AB294" s="63"/>
      <c r="AC294" s="302"/>
      <c r="AD294" s="302"/>
      <c r="AE294" s="63"/>
      <c r="AF294" s="63"/>
      <c r="AG294" s="63"/>
      <c r="AH294" s="63"/>
      <c r="AJ294" s="63"/>
      <c r="AK294" s="63"/>
      <c r="AL294" s="63"/>
    </row>
    <row r="295" spans="2:38" outlineLevel="1" x14ac:dyDescent="0.25">
      <c r="B295" s="42">
        <v>45614</v>
      </c>
      <c r="C295" s="38">
        <v>-6227721.0199999996</v>
      </c>
      <c r="D295" s="38">
        <f t="shared" si="42"/>
        <v>-6079241.1999999993</v>
      </c>
      <c r="E295" s="105">
        <v>6200000</v>
      </c>
      <c r="F295" s="38"/>
      <c r="G295" s="38">
        <f t="shared" si="43"/>
        <v>120758.80000000075</v>
      </c>
      <c r="H295" s="38">
        <f t="shared" si="44"/>
        <v>66250000</v>
      </c>
      <c r="I295" s="38"/>
      <c r="J295" s="38"/>
      <c r="K295" s="38"/>
      <c r="L295" s="38"/>
      <c r="M295" s="38"/>
      <c r="N295" s="38"/>
      <c r="O295" s="38"/>
      <c r="P295" s="38">
        <f t="shared" si="39"/>
        <v>12000000</v>
      </c>
      <c r="Q295" s="38" t="e">
        <f t="shared" si="39"/>
        <v>#REF!</v>
      </c>
      <c r="R295" s="38"/>
      <c r="S295" s="78">
        <v>45614</v>
      </c>
      <c r="T295" s="63"/>
      <c r="U295" s="63">
        <f t="shared" si="40"/>
        <v>125926.91</v>
      </c>
      <c r="V295" s="102"/>
      <c r="W295" s="63"/>
      <c r="X295" s="63">
        <f t="shared" si="45"/>
        <v>125926.91</v>
      </c>
      <c r="Y295" s="63">
        <f t="shared" si="41"/>
        <v>18850000</v>
      </c>
      <c r="Z295" s="63"/>
      <c r="AA295" s="63"/>
      <c r="AB295" s="63"/>
      <c r="AC295" s="302"/>
      <c r="AD295" s="302"/>
      <c r="AE295" s="63"/>
      <c r="AF295" s="63"/>
      <c r="AG295" s="63"/>
      <c r="AH295" s="63"/>
      <c r="AJ295" s="63"/>
      <c r="AK295" s="63"/>
      <c r="AL295" s="63"/>
    </row>
    <row r="296" spans="2:38" outlineLevel="1" x14ac:dyDescent="0.25">
      <c r="B296" s="42">
        <v>45615</v>
      </c>
      <c r="C296" s="38">
        <v>1896813.35</v>
      </c>
      <c r="D296" s="38">
        <f t="shared" si="42"/>
        <v>2017572.1500000008</v>
      </c>
      <c r="E296" s="105">
        <v>-1850000</v>
      </c>
      <c r="F296" s="38"/>
      <c r="G296" s="38">
        <f t="shared" si="43"/>
        <v>167572.15000000084</v>
      </c>
      <c r="H296" s="38">
        <f t="shared" si="44"/>
        <v>68100000</v>
      </c>
      <c r="I296" s="38"/>
      <c r="J296" s="38"/>
      <c r="K296" s="38"/>
      <c r="L296" s="38"/>
      <c r="M296" s="38"/>
      <c r="N296" s="38"/>
      <c r="O296" s="38"/>
      <c r="P296" s="38">
        <f t="shared" si="39"/>
        <v>12000000</v>
      </c>
      <c r="Q296" s="38" t="e">
        <f t="shared" si="39"/>
        <v>#REF!</v>
      </c>
      <c r="R296" s="38"/>
      <c r="S296" s="78">
        <v>45615</v>
      </c>
      <c r="T296" s="63">
        <f>-2000000</f>
        <v>-2000000</v>
      </c>
      <c r="U296" s="63">
        <f t="shared" si="40"/>
        <v>-1874073.09</v>
      </c>
      <c r="V296" s="102">
        <v>2000000</v>
      </c>
      <c r="W296" s="63"/>
      <c r="X296" s="63">
        <f t="shared" si="45"/>
        <v>125926.90999999992</v>
      </c>
      <c r="Y296" s="63">
        <f t="shared" si="41"/>
        <v>16850000</v>
      </c>
      <c r="Z296" s="63"/>
      <c r="AA296" s="63"/>
      <c r="AB296" s="63"/>
      <c r="AC296" s="302"/>
      <c r="AD296" s="302"/>
      <c r="AE296" s="63"/>
      <c r="AF296" s="63"/>
      <c r="AG296" s="63"/>
      <c r="AH296" s="63"/>
      <c r="AJ296" s="63"/>
      <c r="AK296" s="63"/>
      <c r="AL296" s="63"/>
    </row>
    <row r="297" spans="2:38" outlineLevel="1" x14ac:dyDescent="0.25">
      <c r="B297" s="42">
        <v>45616</v>
      </c>
      <c r="C297" s="38"/>
      <c r="D297" s="38">
        <f t="shared" si="42"/>
        <v>167572.15000000084</v>
      </c>
      <c r="E297" s="38"/>
      <c r="F297" s="38">
        <v>33920.809999999154</v>
      </c>
      <c r="G297" s="38">
        <f t="shared" si="43"/>
        <v>201492.96</v>
      </c>
      <c r="H297" s="38">
        <f t="shared" si="44"/>
        <v>68100000</v>
      </c>
      <c r="I297" s="38"/>
      <c r="J297" s="38"/>
      <c r="K297" s="38"/>
      <c r="L297" s="38"/>
      <c r="M297" s="38"/>
      <c r="N297" s="38"/>
      <c r="O297" s="38"/>
      <c r="P297" s="38">
        <f t="shared" si="39"/>
        <v>12000000</v>
      </c>
      <c r="Q297" s="38" t="e">
        <f t="shared" si="39"/>
        <v>#REF!</v>
      </c>
      <c r="R297" s="38"/>
      <c r="S297" s="78">
        <v>45616</v>
      </c>
      <c r="T297" s="63"/>
      <c r="U297" s="63">
        <f t="shared" si="40"/>
        <v>110774.39999999999</v>
      </c>
      <c r="V297" s="102"/>
      <c r="W297" s="63">
        <v>-15152.509999999922</v>
      </c>
      <c r="X297" s="63">
        <f t="shared" si="45"/>
        <v>110774.39999999999</v>
      </c>
      <c r="Y297" s="63">
        <f t="shared" si="41"/>
        <v>16850000</v>
      </c>
      <c r="Z297" s="63"/>
      <c r="AA297" s="63"/>
      <c r="AB297" s="63"/>
      <c r="AC297" s="302"/>
      <c r="AD297" s="302"/>
      <c r="AE297" s="63"/>
      <c r="AF297" s="63"/>
      <c r="AG297" s="63"/>
      <c r="AH297" s="63"/>
      <c r="AJ297" s="63"/>
      <c r="AK297" s="63"/>
      <c r="AL297" s="63"/>
    </row>
    <row r="298" spans="2:38" outlineLevel="1" x14ac:dyDescent="0.25">
      <c r="B298" s="42">
        <v>45617</v>
      </c>
      <c r="C298" s="38"/>
      <c r="D298" s="38">
        <f t="shared" si="42"/>
        <v>201492.96</v>
      </c>
      <c r="E298" s="38"/>
      <c r="F298" s="38">
        <v>-65111</v>
      </c>
      <c r="G298" s="38">
        <f t="shared" si="43"/>
        <v>136381.96</v>
      </c>
      <c r="H298" s="38">
        <f t="shared" si="44"/>
        <v>68100000</v>
      </c>
      <c r="I298" s="38"/>
      <c r="J298" s="38"/>
      <c r="K298" s="38"/>
      <c r="L298" s="38"/>
      <c r="M298" s="38"/>
      <c r="N298" s="38"/>
      <c r="O298" s="38"/>
      <c r="P298" s="38">
        <f t="shared" si="39"/>
        <v>12000000</v>
      </c>
      <c r="Q298" s="38" t="e">
        <f t="shared" si="39"/>
        <v>#REF!</v>
      </c>
      <c r="R298" s="38"/>
      <c r="S298" s="78">
        <v>45617</v>
      </c>
      <c r="T298" s="63"/>
      <c r="U298" s="63">
        <f t="shared" si="40"/>
        <v>110774.39999999999</v>
      </c>
      <c r="V298" s="63"/>
      <c r="W298" s="63"/>
      <c r="X298" s="63">
        <f t="shared" si="45"/>
        <v>110774.39999999999</v>
      </c>
      <c r="Y298" s="63">
        <f t="shared" si="41"/>
        <v>16850000</v>
      </c>
      <c r="Z298" s="63"/>
      <c r="AA298" s="63"/>
      <c r="AB298" s="63"/>
      <c r="AC298" s="302"/>
      <c r="AD298" s="302"/>
      <c r="AE298" s="63"/>
      <c r="AF298" s="63"/>
      <c r="AG298" s="63"/>
      <c r="AH298" s="63"/>
      <c r="AJ298" s="63"/>
      <c r="AK298" s="63"/>
      <c r="AL298" s="63"/>
    </row>
    <row r="299" spans="2:38" outlineLevel="1" x14ac:dyDescent="0.25">
      <c r="B299" s="42">
        <v>45618</v>
      </c>
      <c r="C299" s="38"/>
      <c r="D299" s="38">
        <f t="shared" si="42"/>
        <v>136381.96</v>
      </c>
      <c r="E299" s="38"/>
      <c r="F299" s="38"/>
      <c r="G299" s="38">
        <f t="shared" si="43"/>
        <v>136381.96</v>
      </c>
      <c r="H299" s="38">
        <f t="shared" si="44"/>
        <v>68100000</v>
      </c>
      <c r="I299" s="38"/>
      <c r="J299" s="38"/>
      <c r="K299" s="38"/>
      <c r="L299" s="38"/>
      <c r="M299" s="38"/>
      <c r="N299" s="38"/>
      <c r="O299" s="38"/>
      <c r="P299" s="38">
        <f t="shared" si="39"/>
        <v>12000000</v>
      </c>
      <c r="Q299" s="38" t="e">
        <f t="shared" si="39"/>
        <v>#REF!</v>
      </c>
      <c r="R299" s="38"/>
      <c r="S299" s="78">
        <v>45618</v>
      </c>
      <c r="T299" s="63"/>
      <c r="U299" s="63">
        <f t="shared" si="40"/>
        <v>110774.39999999999</v>
      </c>
      <c r="V299" s="63"/>
      <c r="W299" s="63"/>
      <c r="X299" s="63">
        <f t="shared" si="45"/>
        <v>110774.39999999999</v>
      </c>
      <c r="Y299" s="63">
        <f t="shared" si="41"/>
        <v>16850000</v>
      </c>
      <c r="Z299" s="63"/>
      <c r="AA299" s="63"/>
      <c r="AB299" s="63"/>
      <c r="AC299" s="302"/>
      <c r="AD299" s="302"/>
      <c r="AE299" s="63"/>
      <c r="AF299" s="63"/>
      <c r="AG299" s="63"/>
      <c r="AH299" s="63"/>
      <c r="AJ299" s="63"/>
      <c r="AK299" s="63"/>
      <c r="AL299" s="63"/>
    </row>
    <row r="300" spans="2:38" outlineLevel="1" x14ac:dyDescent="0.25">
      <c r="B300" s="42">
        <v>45619</v>
      </c>
      <c r="C300" s="38"/>
      <c r="D300" s="38">
        <f t="shared" si="42"/>
        <v>136381.96</v>
      </c>
      <c r="E300" s="38"/>
      <c r="F300" s="38"/>
      <c r="G300" s="38">
        <f t="shared" si="43"/>
        <v>136381.96</v>
      </c>
      <c r="H300" s="38">
        <f t="shared" si="44"/>
        <v>68100000</v>
      </c>
      <c r="I300" s="38"/>
      <c r="J300" s="38"/>
      <c r="K300" s="38"/>
      <c r="L300" s="38"/>
      <c r="M300" s="38"/>
      <c r="N300" s="38"/>
      <c r="O300" s="38"/>
      <c r="P300" s="38">
        <f t="shared" si="39"/>
        <v>12000000</v>
      </c>
      <c r="Q300" s="38" t="e">
        <f t="shared" si="39"/>
        <v>#REF!</v>
      </c>
      <c r="R300" s="38"/>
      <c r="S300" s="78">
        <v>45619</v>
      </c>
      <c r="T300" s="63"/>
      <c r="U300" s="63">
        <f t="shared" si="40"/>
        <v>110774.39999999999</v>
      </c>
      <c r="V300" s="63"/>
      <c r="W300" s="63"/>
      <c r="X300" s="63">
        <f t="shared" si="45"/>
        <v>110774.39999999999</v>
      </c>
      <c r="Y300" s="63">
        <f t="shared" si="41"/>
        <v>16850000</v>
      </c>
      <c r="Z300" s="63"/>
      <c r="AA300" s="63"/>
      <c r="AB300" s="63"/>
      <c r="AC300" s="302"/>
      <c r="AD300" s="302"/>
      <c r="AE300" s="63"/>
      <c r="AF300" s="63"/>
      <c r="AG300" s="63"/>
      <c r="AH300" s="63"/>
      <c r="AJ300" s="63"/>
      <c r="AK300" s="63"/>
      <c r="AL300" s="63"/>
    </row>
    <row r="301" spans="2:38" outlineLevel="1" x14ac:dyDescent="0.25">
      <c r="B301" s="42">
        <v>45620</v>
      </c>
      <c r="C301" s="38"/>
      <c r="D301" s="38">
        <f t="shared" si="42"/>
        <v>136381.96</v>
      </c>
      <c r="E301" s="38"/>
      <c r="F301" s="38"/>
      <c r="G301" s="38">
        <f t="shared" si="43"/>
        <v>136381.96</v>
      </c>
      <c r="H301" s="38">
        <f t="shared" si="44"/>
        <v>68100000</v>
      </c>
      <c r="I301" s="38"/>
      <c r="J301" s="38"/>
      <c r="K301" s="38"/>
      <c r="L301" s="38"/>
      <c r="M301" s="38"/>
      <c r="N301" s="38"/>
      <c r="O301" s="38"/>
      <c r="P301" s="38">
        <f t="shared" si="39"/>
        <v>12000000</v>
      </c>
      <c r="Q301" s="38" t="e">
        <f t="shared" si="39"/>
        <v>#REF!</v>
      </c>
      <c r="R301" s="38"/>
      <c r="S301" s="78">
        <v>45620</v>
      </c>
      <c r="T301" s="63"/>
      <c r="U301" s="63">
        <f t="shared" si="40"/>
        <v>110774.39999999999</v>
      </c>
      <c r="V301" s="63"/>
      <c r="W301" s="63"/>
      <c r="X301" s="63">
        <f t="shared" si="45"/>
        <v>110774.39999999999</v>
      </c>
      <c r="Y301" s="63">
        <f t="shared" si="41"/>
        <v>16850000</v>
      </c>
      <c r="Z301" s="63"/>
      <c r="AA301" s="63"/>
      <c r="AB301" s="63"/>
      <c r="AC301" s="302"/>
      <c r="AD301" s="302"/>
      <c r="AE301" s="63"/>
      <c r="AF301" s="63"/>
      <c r="AG301" s="63"/>
      <c r="AH301" s="63"/>
      <c r="AJ301" s="63"/>
      <c r="AK301" s="63"/>
      <c r="AL301" s="63"/>
    </row>
    <row r="302" spans="2:38" outlineLevel="1" x14ac:dyDescent="0.25">
      <c r="B302" s="42">
        <v>45621</v>
      </c>
      <c r="C302" s="38">
        <f>-2581250-107000</f>
        <v>-2688250</v>
      </c>
      <c r="D302" s="38">
        <f t="shared" si="42"/>
        <v>-2551868.04</v>
      </c>
      <c r="E302" s="105">
        <v>2700000</v>
      </c>
      <c r="F302" s="38"/>
      <c r="G302" s="38">
        <f t="shared" si="43"/>
        <v>148131.95999999996</v>
      </c>
      <c r="H302" s="38">
        <f t="shared" si="44"/>
        <v>65400000</v>
      </c>
      <c r="I302" s="38"/>
      <c r="J302" s="38"/>
      <c r="K302" s="38"/>
      <c r="L302" s="38"/>
      <c r="M302" s="38"/>
      <c r="N302" s="38"/>
      <c r="O302" s="38"/>
      <c r="P302" s="38">
        <f t="shared" si="39"/>
        <v>12000000</v>
      </c>
      <c r="Q302" s="38" t="e">
        <f t="shared" si="39"/>
        <v>#REF!</v>
      </c>
      <c r="R302" s="38"/>
      <c r="S302" s="78">
        <v>45621</v>
      </c>
      <c r="T302" s="63"/>
      <c r="U302" s="63">
        <f t="shared" si="40"/>
        <v>110774.39999999999</v>
      </c>
      <c r="V302" s="63"/>
      <c r="W302" s="63"/>
      <c r="X302" s="63">
        <f t="shared" si="45"/>
        <v>110774.39999999999</v>
      </c>
      <c r="Y302" s="63">
        <f t="shared" si="41"/>
        <v>16850000</v>
      </c>
      <c r="Z302" s="63"/>
      <c r="AA302" s="63"/>
      <c r="AB302" s="63"/>
      <c r="AC302" s="302"/>
      <c r="AD302" s="302"/>
      <c r="AE302" s="63"/>
      <c r="AF302" s="63"/>
      <c r="AG302" s="63"/>
      <c r="AH302" s="63"/>
      <c r="AJ302" s="63"/>
      <c r="AK302" s="63"/>
      <c r="AL302" s="63"/>
    </row>
    <row r="303" spans="2:38" outlineLevel="1" x14ac:dyDescent="0.25">
      <c r="B303" s="42">
        <v>45622</v>
      </c>
      <c r="C303" s="38">
        <f>-964992.21+1923446.81669552</f>
        <v>958454.60669551999</v>
      </c>
      <c r="D303" s="38">
        <f t="shared" si="42"/>
        <v>1106586.56669552</v>
      </c>
      <c r="E303" s="83">
        <f>1000000-2000000</f>
        <v>-1000000</v>
      </c>
      <c r="F303" s="38">
        <v>-2730.4300000000076</v>
      </c>
      <c r="G303" s="38">
        <f t="shared" si="43"/>
        <v>103856.13669551995</v>
      </c>
      <c r="H303" s="38">
        <f t="shared" si="44"/>
        <v>66400000</v>
      </c>
      <c r="I303" s="38"/>
      <c r="J303" s="38"/>
      <c r="K303" s="38"/>
      <c r="L303" s="38"/>
      <c r="M303" s="38"/>
      <c r="N303" s="38"/>
      <c r="O303" s="38"/>
      <c r="P303" s="38">
        <f t="shared" si="39"/>
        <v>12000000</v>
      </c>
      <c r="Q303" s="38" t="e">
        <f t="shared" si="39"/>
        <v>#REF!</v>
      </c>
      <c r="R303" s="38"/>
      <c r="S303" s="78">
        <v>45622</v>
      </c>
      <c r="T303" s="63">
        <f>-197608.94-2000000</f>
        <v>-2197608.94</v>
      </c>
      <c r="U303" s="63">
        <f t="shared" si="40"/>
        <v>-2086834.54</v>
      </c>
      <c r="V303" s="84">
        <f>200000+2000000</f>
        <v>2200000</v>
      </c>
      <c r="W303" s="63"/>
      <c r="X303" s="63">
        <f t="shared" si="45"/>
        <v>113165.45999999996</v>
      </c>
      <c r="Y303" s="63">
        <f t="shared" si="41"/>
        <v>14650000</v>
      </c>
      <c r="Z303" s="63"/>
      <c r="AA303" s="63"/>
      <c r="AB303" s="63"/>
      <c r="AC303" s="302"/>
      <c r="AD303" s="302"/>
      <c r="AE303" s="63"/>
      <c r="AF303" s="63"/>
      <c r="AG303" s="63"/>
      <c r="AH303" s="63"/>
      <c r="AJ303" s="63"/>
      <c r="AK303" s="63"/>
      <c r="AL303" s="63"/>
    </row>
    <row r="304" spans="2:38" outlineLevel="1" x14ac:dyDescent="0.25">
      <c r="B304" s="42">
        <v>45623</v>
      </c>
      <c r="C304" s="38">
        <v>-280000</v>
      </c>
      <c r="D304" s="38">
        <f t="shared" si="42"/>
        <v>-176143.86330448004</v>
      </c>
      <c r="E304" s="83">
        <v>300000</v>
      </c>
      <c r="F304" s="38"/>
      <c r="G304" s="38">
        <f t="shared" si="43"/>
        <v>123856.13669551996</v>
      </c>
      <c r="H304" s="38">
        <f t="shared" si="44"/>
        <v>66100000</v>
      </c>
      <c r="I304" s="38"/>
      <c r="J304" s="38"/>
      <c r="K304" s="38"/>
      <c r="L304" s="38"/>
      <c r="M304" s="38"/>
      <c r="N304" s="38"/>
      <c r="O304" s="38"/>
      <c r="P304" s="38">
        <f t="shared" si="39"/>
        <v>12000000</v>
      </c>
      <c r="Q304" s="38" t="e">
        <f t="shared" si="39"/>
        <v>#REF!</v>
      </c>
      <c r="R304" s="38"/>
      <c r="S304" s="78">
        <v>45623</v>
      </c>
      <c r="T304" s="63">
        <v>-62310</v>
      </c>
      <c r="U304" s="63">
        <f t="shared" si="40"/>
        <v>50855.459999999963</v>
      </c>
      <c r="V304" s="63"/>
      <c r="W304" s="63"/>
      <c r="X304" s="63">
        <f t="shared" si="45"/>
        <v>50855.459999999963</v>
      </c>
      <c r="Y304" s="63">
        <f t="shared" si="41"/>
        <v>14650000</v>
      </c>
      <c r="Z304" s="63"/>
      <c r="AA304" s="63"/>
      <c r="AB304" s="63"/>
      <c r="AC304" s="302"/>
      <c r="AD304" s="302"/>
      <c r="AE304" s="63"/>
      <c r="AF304" s="63"/>
      <c r="AG304" s="63"/>
      <c r="AH304" s="63"/>
      <c r="AJ304" s="63"/>
      <c r="AK304" s="63"/>
      <c r="AL304" s="63"/>
    </row>
    <row r="305" spans="2:38" outlineLevel="1" x14ac:dyDescent="0.25">
      <c r="B305" s="42">
        <v>45624</v>
      </c>
      <c r="C305" s="38">
        <f>-4275966.98-43728.06</f>
        <v>-4319695.04</v>
      </c>
      <c r="D305" s="38">
        <f t="shared" si="42"/>
        <v>-4195838.90330448</v>
      </c>
      <c r="E305" s="83">
        <v>4300000</v>
      </c>
      <c r="F305" s="38"/>
      <c r="G305" s="38">
        <f t="shared" si="43"/>
        <v>104161.09669551998</v>
      </c>
      <c r="H305" s="38">
        <f t="shared" si="44"/>
        <v>61800000</v>
      </c>
      <c r="I305" s="38"/>
      <c r="J305" s="38"/>
      <c r="K305" s="38"/>
      <c r="L305" s="38"/>
      <c r="M305" s="38"/>
      <c r="N305" s="38"/>
      <c r="O305" s="38"/>
      <c r="P305" s="38">
        <f t="shared" si="39"/>
        <v>12000000</v>
      </c>
      <c r="Q305" s="38" t="e">
        <f t="shared" si="39"/>
        <v>#REF!</v>
      </c>
      <c r="R305" s="38"/>
      <c r="S305" s="78">
        <v>45624</v>
      </c>
      <c r="T305" s="63"/>
      <c r="U305" s="63">
        <f t="shared" si="40"/>
        <v>50855.459999999963</v>
      </c>
      <c r="V305" s="81"/>
      <c r="W305" s="63"/>
      <c r="X305" s="63">
        <f t="shared" si="45"/>
        <v>50855.459999999963</v>
      </c>
      <c r="Y305" s="63">
        <f t="shared" si="41"/>
        <v>14650000</v>
      </c>
      <c r="Z305" s="63"/>
      <c r="AA305" s="63"/>
      <c r="AB305" s="63"/>
      <c r="AC305" s="302"/>
      <c r="AD305" s="302"/>
      <c r="AE305" s="63"/>
      <c r="AF305" s="63"/>
      <c r="AG305" s="63"/>
      <c r="AH305" s="63"/>
      <c r="AJ305" s="63"/>
      <c r="AK305" s="63"/>
      <c r="AL305" s="63"/>
    </row>
    <row r="306" spans="2:38" outlineLevel="1" x14ac:dyDescent="0.25">
      <c r="B306" s="42">
        <v>45625</v>
      </c>
      <c r="C306" s="38"/>
      <c r="D306" s="38">
        <f t="shared" si="42"/>
        <v>104161.09669551998</v>
      </c>
      <c r="E306" s="38"/>
      <c r="F306" s="38">
        <v>182545.03330448002</v>
      </c>
      <c r="G306" s="38">
        <f t="shared" si="43"/>
        <v>286706.13</v>
      </c>
      <c r="H306" s="38">
        <f t="shared" si="44"/>
        <v>61800000</v>
      </c>
      <c r="I306" s="38"/>
      <c r="J306" s="38"/>
      <c r="K306" s="38"/>
      <c r="L306" s="38"/>
      <c r="M306" s="38"/>
      <c r="N306" s="38"/>
      <c r="O306" s="38"/>
      <c r="P306" s="38">
        <f t="shared" si="39"/>
        <v>12000000</v>
      </c>
      <c r="Q306" s="38" t="e">
        <f t="shared" si="39"/>
        <v>#REF!</v>
      </c>
      <c r="R306" s="38"/>
      <c r="S306" s="78">
        <v>45625</v>
      </c>
      <c r="T306" s="63">
        <v>-899000</v>
      </c>
      <c r="U306" s="63">
        <f t="shared" si="40"/>
        <v>-848144.54</v>
      </c>
      <c r="V306" s="84">
        <v>950000</v>
      </c>
      <c r="W306" s="63"/>
      <c r="X306" s="63">
        <f t="shared" si="45"/>
        <v>101855.45999999996</v>
      </c>
      <c r="Y306" s="63">
        <f t="shared" si="41"/>
        <v>13700000</v>
      </c>
      <c r="Z306" s="63"/>
      <c r="AA306" s="63"/>
      <c r="AB306" s="63"/>
      <c r="AC306" s="302"/>
      <c r="AD306" s="302"/>
      <c r="AE306" s="63"/>
      <c r="AF306" s="63"/>
      <c r="AG306" s="63"/>
      <c r="AH306" s="63"/>
      <c r="AJ306" s="63"/>
      <c r="AK306" s="63"/>
      <c r="AL306" s="63"/>
    </row>
    <row r="307" spans="2:38" outlineLevel="1" x14ac:dyDescent="0.25">
      <c r="B307" s="42">
        <v>45626</v>
      </c>
      <c r="C307" s="38"/>
      <c r="D307" s="38">
        <f t="shared" si="42"/>
        <v>286706.13</v>
      </c>
      <c r="E307" s="38"/>
      <c r="F307" s="38"/>
      <c r="G307" s="38">
        <f t="shared" si="43"/>
        <v>286706.13</v>
      </c>
      <c r="H307" s="38">
        <f t="shared" si="44"/>
        <v>61800000</v>
      </c>
      <c r="I307" s="38"/>
      <c r="J307" s="38"/>
      <c r="K307" s="38"/>
      <c r="L307" s="38"/>
      <c r="M307" s="38"/>
      <c r="N307" s="38"/>
      <c r="O307" s="38"/>
      <c r="P307" s="38">
        <f t="shared" si="39"/>
        <v>12000000</v>
      </c>
      <c r="Q307" s="38" t="e">
        <f t="shared" si="39"/>
        <v>#REF!</v>
      </c>
      <c r="R307" s="38"/>
      <c r="S307" s="78">
        <v>45626</v>
      </c>
      <c r="T307" s="63"/>
      <c r="U307" s="63">
        <f t="shared" si="40"/>
        <v>101855.45999999996</v>
      </c>
      <c r="V307" s="63"/>
      <c r="W307" s="63"/>
      <c r="X307" s="63">
        <f t="shared" si="45"/>
        <v>101855.45999999996</v>
      </c>
      <c r="Y307" s="63">
        <f t="shared" si="41"/>
        <v>13700000</v>
      </c>
      <c r="Z307" s="63"/>
      <c r="AA307" s="63"/>
      <c r="AB307" s="63"/>
      <c r="AC307" s="302"/>
      <c r="AD307" s="302"/>
      <c r="AE307" s="63"/>
      <c r="AF307" s="63"/>
      <c r="AG307" s="63"/>
      <c r="AH307" s="63"/>
      <c r="AJ307" s="63"/>
      <c r="AK307" s="63"/>
      <c r="AL307" s="63"/>
    </row>
    <row r="308" spans="2:38" outlineLevel="1" x14ac:dyDescent="0.25">
      <c r="B308" s="42">
        <v>45627</v>
      </c>
      <c r="C308" s="38"/>
      <c r="D308" s="38">
        <f t="shared" si="42"/>
        <v>286706.13</v>
      </c>
      <c r="E308" s="38"/>
      <c r="F308" s="38"/>
      <c r="G308" s="38">
        <f t="shared" si="43"/>
        <v>286706.13</v>
      </c>
      <c r="H308" s="38">
        <f t="shared" si="44"/>
        <v>61800000</v>
      </c>
      <c r="I308" s="38"/>
      <c r="J308" s="38"/>
      <c r="K308" s="38"/>
      <c r="L308" s="38"/>
      <c r="M308" s="38"/>
      <c r="N308" s="38"/>
      <c r="O308" s="38"/>
      <c r="P308" s="38">
        <f t="shared" si="39"/>
        <v>12000000</v>
      </c>
      <c r="Q308" s="38" t="e">
        <f t="shared" si="39"/>
        <v>#REF!</v>
      </c>
      <c r="R308" s="38"/>
      <c r="S308" s="78">
        <v>45627</v>
      </c>
      <c r="T308" s="63"/>
      <c r="U308" s="63">
        <f t="shared" si="40"/>
        <v>101855.45999999996</v>
      </c>
      <c r="V308" s="63"/>
      <c r="W308" s="63"/>
      <c r="X308" s="63">
        <f t="shared" si="45"/>
        <v>101855.45999999996</v>
      </c>
      <c r="Y308" s="63">
        <f t="shared" si="41"/>
        <v>13700000</v>
      </c>
      <c r="Z308" s="63"/>
      <c r="AA308" s="63"/>
      <c r="AB308" s="63"/>
      <c r="AC308" s="302"/>
      <c r="AD308" s="302"/>
      <c r="AE308" s="63"/>
      <c r="AF308" s="63"/>
      <c r="AG308" s="63"/>
      <c r="AH308" s="63"/>
      <c r="AJ308" s="63"/>
      <c r="AK308" s="63"/>
      <c r="AL308" s="63"/>
    </row>
    <row r="309" spans="2:38" outlineLevel="1" x14ac:dyDescent="0.25">
      <c r="B309" s="42">
        <v>45628</v>
      </c>
      <c r="C309" s="38">
        <v>-454166.66666666599</v>
      </c>
      <c r="D309" s="38">
        <f t="shared" si="42"/>
        <v>-167460.53666666598</v>
      </c>
      <c r="E309" s="83">
        <v>300000</v>
      </c>
      <c r="F309" s="38"/>
      <c r="G309" s="38">
        <f t="shared" si="43"/>
        <v>132539.46333333402</v>
      </c>
      <c r="H309" s="38">
        <f t="shared" si="44"/>
        <v>61500000</v>
      </c>
      <c r="I309" s="38"/>
      <c r="J309" s="38"/>
      <c r="K309" s="38"/>
      <c r="L309" s="38"/>
      <c r="M309" s="38"/>
      <c r="N309" s="38"/>
      <c r="O309" s="38"/>
      <c r="P309" s="38">
        <f t="shared" si="39"/>
        <v>12000000</v>
      </c>
      <c r="Q309" s="38" t="e">
        <f t="shared" si="39"/>
        <v>#REF!</v>
      </c>
      <c r="R309" s="38"/>
      <c r="S309" s="78">
        <v>45628</v>
      </c>
      <c r="T309" s="63"/>
      <c r="U309" s="63">
        <f t="shared" si="40"/>
        <v>101855.45999999996</v>
      </c>
      <c r="V309" s="63"/>
      <c r="W309" s="63"/>
      <c r="X309" s="63">
        <f t="shared" si="45"/>
        <v>101855.45999999996</v>
      </c>
      <c r="Y309" s="63">
        <f t="shared" si="41"/>
        <v>13700000</v>
      </c>
      <c r="Z309" s="63"/>
      <c r="AA309" s="63"/>
      <c r="AB309" s="63"/>
      <c r="AC309" s="302"/>
      <c r="AD309" s="302"/>
      <c r="AE309" s="63"/>
      <c r="AF309" s="63"/>
      <c r="AG309" s="63"/>
      <c r="AH309" s="63"/>
      <c r="AJ309" s="63"/>
      <c r="AK309" s="63"/>
      <c r="AL309" s="63"/>
    </row>
    <row r="310" spans="2:38" outlineLevel="1" x14ac:dyDescent="0.25">
      <c r="B310" s="42">
        <v>45629</v>
      </c>
      <c r="C310" s="38"/>
      <c r="D310" s="38">
        <f t="shared" si="42"/>
        <v>132539.46333333402</v>
      </c>
      <c r="E310" s="38"/>
      <c r="F310" s="38"/>
      <c r="G310" s="38">
        <f t="shared" si="43"/>
        <v>132539.46333333402</v>
      </c>
      <c r="H310" s="38">
        <f t="shared" si="44"/>
        <v>61500000</v>
      </c>
      <c r="I310" s="38"/>
      <c r="J310" s="38"/>
      <c r="K310" s="38"/>
      <c r="L310" s="38"/>
      <c r="M310" s="38"/>
      <c r="N310" s="38"/>
      <c r="O310" s="38"/>
      <c r="P310" s="38">
        <f t="shared" si="39"/>
        <v>12000000</v>
      </c>
      <c r="Q310" s="38" t="e">
        <f t="shared" si="39"/>
        <v>#REF!</v>
      </c>
      <c r="R310" s="38"/>
      <c r="S310" s="78">
        <v>45629</v>
      </c>
      <c r="T310" s="63"/>
      <c r="U310" s="63">
        <f t="shared" si="40"/>
        <v>101855.45999999996</v>
      </c>
      <c r="V310" s="63"/>
      <c r="W310" s="63"/>
      <c r="X310" s="63">
        <f t="shared" si="45"/>
        <v>101855.45999999996</v>
      </c>
      <c r="Y310" s="63">
        <f t="shared" si="41"/>
        <v>13700000</v>
      </c>
      <c r="Z310" s="63"/>
      <c r="AA310" s="63"/>
      <c r="AB310" s="63"/>
      <c r="AC310" s="302"/>
      <c r="AD310" s="302"/>
      <c r="AE310" s="63"/>
      <c r="AF310" s="63"/>
      <c r="AG310" s="63"/>
      <c r="AH310" s="63"/>
      <c r="AJ310" s="63"/>
      <c r="AK310" s="63"/>
      <c r="AL310" s="63"/>
    </row>
    <row r="311" spans="2:38" outlineLevel="1" x14ac:dyDescent="0.25">
      <c r="B311" s="42">
        <v>45630</v>
      </c>
      <c r="C311" s="38"/>
      <c r="D311" s="38">
        <f t="shared" si="42"/>
        <v>132539.46333333402</v>
      </c>
      <c r="E311" s="38"/>
      <c r="F311" s="38"/>
      <c r="G311" s="38">
        <f t="shared" si="43"/>
        <v>132539.46333333402</v>
      </c>
      <c r="H311" s="38">
        <f t="shared" si="44"/>
        <v>61500000</v>
      </c>
      <c r="I311" s="38"/>
      <c r="J311" s="38"/>
      <c r="K311" s="38"/>
      <c r="L311" s="38"/>
      <c r="M311" s="38"/>
      <c r="N311" s="38"/>
      <c r="O311" s="38"/>
      <c r="P311" s="38">
        <f t="shared" si="39"/>
        <v>12000000</v>
      </c>
      <c r="Q311" s="38" t="e">
        <f t="shared" si="39"/>
        <v>#REF!</v>
      </c>
      <c r="R311" s="38"/>
      <c r="S311" s="78">
        <v>45630</v>
      </c>
      <c r="T311" s="63"/>
      <c r="U311" s="63">
        <f t="shared" si="40"/>
        <v>101855.45999999996</v>
      </c>
      <c r="V311" s="63"/>
      <c r="W311" s="63"/>
      <c r="X311" s="63">
        <f t="shared" si="45"/>
        <v>101855.45999999996</v>
      </c>
      <c r="Y311" s="63">
        <f t="shared" si="41"/>
        <v>13700000</v>
      </c>
      <c r="Z311" s="63"/>
      <c r="AA311" s="63"/>
      <c r="AB311" s="63"/>
      <c r="AC311" s="302"/>
      <c r="AD311" s="302"/>
      <c r="AE311" s="63"/>
      <c r="AF311" s="63"/>
      <c r="AG311" s="63"/>
      <c r="AH311" s="63"/>
      <c r="AJ311" s="63"/>
      <c r="AK311" s="63"/>
      <c r="AL311" s="63"/>
    </row>
    <row r="312" spans="2:38" outlineLevel="1" x14ac:dyDescent="0.25">
      <c r="B312" s="42">
        <v>45631</v>
      </c>
      <c r="C312" s="38"/>
      <c r="D312" s="38">
        <f t="shared" si="42"/>
        <v>132539.46333333402</v>
      </c>
      <c r="E312" s="38"/>
      <c r="F312" s="38"/>
      <c r="G312" s="38">
        <f t="shared" si="43"/>
        <v>132539.46333333402</v>
      </c>
      <c r="H312" s="38">
        <f t="shared" si="44"/>
        <v>61500000</v>
      </c>
      <c r="I312" s="38"/>
      <c r="J312" s="38"/>
      <c r="K312" s="38"/>
      <c r="L312" s="38"/>
      <c r="M312" s="38"/>
      <c r="N312" s="38"/>
      <c r="O312" s="38"/>
      <c r="P312" s="38">
        <f t="shared" si="39"/>
        <v>12000000</v>
      </c>
      <c r="Q312" s="38" t="e">
        <f t="shared" si="39"/>
        <v>#REF!</v>
      </c>
      <c r="R312" s="38"/>
      <c r="S312" s="78">
        <v>45631</v>
      </c>
      <c r="T312" s="63"/>
      <c r="U312" s="63">
        <f t="shared" si="40"/>
        <v>101855.45999999996</v>
      </c>
      <c r="V312" s="63"/>
      <c r="W312" s="63"/>
      <c r="X312" s="63">
        <f t="shared" si="45"/>
        <v>101855.45999999996</v>
      </c>
      <c r="Y312" s="63">
        <f t="shared" si="41"/>
        <v>13700000</v>
      </c>
      <c r="Z312" s="63"/>
      <c r="AA312" s="63"/>
      <c r="AB312" s="63"/>
      <c r="AC312" s="302"/>
      <c r="AD312" s="302"/>
      <c r="AE312" s="63"/>
      <c r="AF312" s="63"/>
      <c r="AG312" s="63"/>
      <c r="AH312" s="63"/>
      <c r="AJ312" s="63"/>
      <c r="AK312" s="63"/>
      <c r="AL312" s="63"/>
    </row>
    <row r="313" spans="2:38" outlineLevel="1" x14ac:dyDescent="0.25">
      <c r="B313" s="42">
        <v>45632</v>
      </c>
      <c r="C313" s="38"/>
      <c r="D313" s="38">
        <f t="shared" si="42"/>
        <v>132539.46333333402</v>
      </c>
      <c r="E313" s="38"/>
      <c r="F313" s="38"/>
      <c r="G313" s="38">
        <f t="shared" si="43"/>
        <v>132539.46333333402</v>
      </c>
      <c r="H313" s="38">
        <f t="shared" si="44"/>
        <v>61500000</v>
      </c>
      <c r="I313" s="38"/>
      <c r="J313" s="38"/>
      <c r="K313" s="38"/>
      <c r="L313" s="38"/>
      <c r="M313" s="38"/>
      <c r="N313" s="38"/>
      <c r="O313" s="38"/>
      <c r="P313" s="38">
        <f t="shared" si="39"/>
        <v>12000000</v>
      </c>
      <c r="Q313" s="38" t="e">
        <f t="shared" si="39"/>
        <v>#REF!</v>
      </c>
      <c r="R313" s="38"/>
      <c r="S313" s="78">
        <v>45632</v>
      </c>
      <c r="T313" s="63"/>
      <c r="U313" s="63">
        <f t="shared" si="40"/>
        <v>101855.45999999996</v>
      </c>
      <c r="V313" s="63"/>
      <c r="W313" s="63"/>
      <c r="X313" s="63">
        <f t="shared" si="45"/>
        <v>101855.45999999996</v>
      </c>
      <c r="Y313" s="63">
        <f t="shared" si="41"/>
        <v>13700000</v>
      </c>
      <c r="Z313" s="63"/>
      <c r="AA313" s="63"/>
      <c r="AB313" s="63"/>
      <c r="AC313" s="302"/>
      <c r="AD313" s="302"/>
      <c r="AE313" s="63"/>
      <c r="AF313" s="63"/>
      <c r="AG313" s="63"/>
      <c r="AH313" s="63"/>
      <c r="AJ313" s="63"/>
      <c r="AK313" s="63"/>
      <c r="AL313" s="63"/>
    </row>
    <row r="314" spans="2:38" outlineLevel="1" x14ac:dyDescent="0.25">
      <c r="B314" s="42">
        <v>45633</v>
      </c>
      <c r="C314" s="38"/>
      <c r="D314" s="38">
        <f t="shared" si="42"/>
        <v>132539.46333333402</v>
      </c>
      <c r="E314" s="38"/>
      <c r="F314" s="38"/>
      <c r="G314" s="38">
        <f t="shared" si="43"/>
        <v>132539.46333333402</v>
      </c>
      <c r="H314" s="38">
        <f t="shared" si="44"/>
        <v>61500000</v>
      </c>
      <c r="I314" s="38"/>
      <c r="J314" s="38"/>
      <c r="K314" s="38"/>
      <c r="L314" s="38"/>
      <c r="M314" s="38"/>
      <c r="N314" s="38"/>
      <c r="O314" s="38"/>
      <c r="P314" s="38">
        <f t="shared" ref="P314:R341" si="46">P313</f>
        <v>12000000</v>
      </c>
      <c r="Q314" s="38" t="e">
        <f t="shared" si="46"/>
        <v>#REF!</v>
      </c>
      <c r="R314" s="38"/>
      <c r="S314" s="78">
        <v>45633</v>
      </c>
      <c r="T314" s="63"/>
      <c r="U314" s="63">
        <f t="shared" si="40"/>
        <v>101855.45999999996</v>
      </c>
      <c r="V314" s="63"/>
      <c r="W314" s="63"/>
      <c r="X314" s="63">
        <f t="shared" si="45"/>
        <v>101855.45999999996</v>
      </c>
      <c r="Y314" s="63">
        <f t="shared" si="41"/>
        <v>13700000</v>
      </c>
      <c r="Z314" s="63"/>
      <c r="AA314" s="63"/>
      <c r="AB314" s="63"/>
      <c r="AC314" s="302"/>
      <c r="AD314" s="302"/>
      <c r="AE314" s="63"/>
      <c r="AF314" s="63"/>
      <c r="AG314" s="63"/>
      <c r="AH314" s="63"/>
      <c r="AJ314" s="63"/>
      <c r="AK314" s="63"/>
      <c r="AL314" s="63"/>
    </row>
    <row r="315" spans="2:38" outlineLevel="1" x14ac:dyDescent="0.25">
      <c r="B315" s="42">
        <v>45634</v>
      </c>
      <c r="C315" s="38"/>
      <c r="D315" s="38">
        <f t="shared" si="42"/>
        <v>132539.46333333402</v>
      </c>
      <c r="E315" s="38"/>
      <c r="F315" s="38">
        <v>-21963.753333334011</v>
      </c>
      <c r="G315" s="38">
        <f t="shared" si="43"/>
        <v>110575.71</v>
      </c>
      <c r="H315" s="38">
        <f t="shared" si="44"/>
        <v>61500000</v>
      </c>
      <c r="I315" s="38"/>
      <c r="J315" s="38"/>
      <c r="K315" s="38"/>
      <c r="L315" s="38"/>
      <c r="M315" s="38"/>
      <c r="N315" s="38"/>
      <c r="O315" s="38"/>
      <c r="P315" s="38">
        <f t="shared" si="46"/>
        <v>12000000</v>
      </c>
      <c r="Q315" s="38" t="e">
        <f t="shared" si="46"/>
        <v>#REF!</v>
      </c>
      <c r="R315" s="38"/>
      <c r="S315" s="78">
        <v>45634</v>
      </c>
      <c r="T315" s="63"/>
      <c r="U315" s="63">
        <f t="shared" si="40"/>
        <v>101855.45999999996</v>
      </c>
      <c r="V315" s="63"/>
      <c r="W315" s="63"/>
      <c r="X315" s="63">
        <f t="shared" si="45"/>
        <v>101855.45999999996</v>
      </c>
      <c r="Y315" s="63">
        <f t="shared" si="41"/>
        <v>13700000</v>
      </c>
      <c r="Z315" s="63"/>
      <c r="AA315" s="63"/>
      <c r="AB315" s="63"/>
      <c r="AC315" s="302"/>
      <c r="AD315" s="302"/>
      <c r="AE315" s="63"/>
      <c r="AF315" s="63"/>
      <c r="AG315" s="63"/>
      <c r="AH315" s="63"/>
      <c r="AJ315" s="63"/>
      <c r="AK315" s="63"/>
      <c r="AL315" s="63"/>
    </row>
    <row r="316" spans="2:38" outlineLevel="1" x14ac:dyDescent="0.25">
      <c r="B316" s="42">
        <v>45635</v>
      </c>
      <c r="C316" s="38"/>
      <c r="D316" s="38">
        <f t="shared" ref="D316:D341" si="47">C316+G315</f>
        <v>110575.71</v>
      </c>
      <c r="E316" s="38"/>
      <c r="F316" s="38"/>
      <c r="G316" s="38">
        <f t="shared" ref="G316:G341" si="48">D316+E316+F316</f>
        <v>110575.71</v>
      </c>
      <c r="H316" s="38">
        <f t="shared" ref="H316:H341" si="49">H315-E316</f>
        <v>61500000</v>
      </c>
      <c r="I316" s="38"/>
      <c r="J316" s="38"/>
      <c r="K316" s="38"/>
      <c r="L316" s="38"/>
      <c r="M316" s="38"/>
      <c r="N316" s="38"/>
      <c r="O316" s="38"/>
      <c r="P316" s="38">
        <f t="shared" si="46"/>
        <v>12000000</v>
      </c>
      <c r="Q316" s="38" t="e">
        <f t="shared" si="46"/>
        <v>#REF!</v>
      </c>
      <c r="R316" s="38"/>
      <c r="S316" s="78">
        <v>45635</v>
      </c>
      <c r="T316" s="63"/>
      <c r="U316" s="63">
        <f t="shared" si="40"/>
        <v>101855.45999999996</v>
      </c>
      <c r="V316" s="63"/>
      <c r="W316" s="63"/>
      <c r="X316" s="63">
        <f t="shared" si="45"/>
        <v>101855.45999999996</v>
      </c>
      <c r="Y316" s="63">
        <f t="shared" si="41"/>
        <v>13700000</v>
      </c>
      <c r="Z316" s="63"/>
      <c r="AA316" s="63"/>
      <c r="AB316" s="63"/>
      <c r="AC316" s="302"/>
      <c r="AD316" s="302"/>
      <c r="AE316" s="63"/>
      <c r="AF316" s="63"/>
      <c r="AG316" s="63"/>
      <c r="AH316" s="63"/>
      <c r="AJ316" s="63"/>
      <c r="AK316" s="63"/>
      <c r="AL316" s="63"/>
    </row>
    <row r="317" spans="2:38" outlineLevel="1" x14ac:dyDescent="0.25">
      <c r="B317" s="42">
        <v>45636</v>
      </c>
      <c r="C317" s="38"/>
      <c r="D317" s="38">
        <f t="shared" si="47"/>
        <v>110575.71</v>
      </c>
      <c r="E317" s="38"/>
      <c r="F317" s="38"/>
      <c r="G317" s="38">
        <f t="shared" si="48"/>
        <v>110575.71</v>
      </c>
      <c r="H317" s="38">
        <f t="shared" si="49"/>
        <v>61500000</v>
      </c>
      <c r="I317" s="38"/>
      <c r="J317" s="38"/>
      <c r="K317" s="38"/>
      <c r="L317" s="38"/>
      <c r="M317" s="38"/>
      <c r="N317" s="38"/>
      <c r="O317" s="38"/>
      <c r="P317" s="38">
        <f t="shared" si="46"/>
        <v>12000000</v>
      </c>
      <c r="Q317" s="114">
        <v>45265110.719999999</v>
      </c>
      <c r="R317" s="114"/>
      <c r="S317" s="78">
        <v>45636</v>
      </c>
      <c r="T317" s="63"/>
      <c r="U317" s="63">
        <f t="shared" si="40"/>
        <v>169378.67</v>
      </c>
      <c r="V317" s="84">
        <v>-50000</v>
      </c>
      <c r="W317" s="63">
        <v>67523.21000000005</v>
      </c>
      <c r="X317" s="63">
        <f t="shared" si="45"/>
        <v>119378.67000000001</v>
      </c>
      <c r="Y317" s="63">
        <f t="shared" si="41"/>
        <v>13750000</v>
      </c>
      <c r="Z317" s="63"/>
      <c r="AA317" s="63"/>
      <c r="AB317" s="63"/>
      <c r="AC317" s="302"/>
      <c r="AD317" s="302"/>
      <c r="AE317" s="63"/>
      <c r="AF317" s="63"/>
      <c r="AG317" s="63"/>
      <c r="AH317" s="63"/>
      <c r="AJ317" s="63"/>
      <c r="AK317" s="63"/>
      <c r="AL317" s="63"/>
    </row>
    <row r="318" spans="2:38" outlineLevel="1" x14ac:dyDescent="0.25">
      <c r="B318" s="42">
        <v>45637</v>
      </c>
      <c r="C318" s="38"/>
      <c r="D318" s="38">
        <f t="shared" si="47"/>
        <v>110575.71</v>
      </c>
      <c r="E318" s="38"/>
      <c r="F318" s="38"/>
      <c r="G318" s="38">
        <f t="shared" si="48"/>
        <v>110575.71</v>
      </c>
      <c r="H318" s="38">
        <f t="shared" si="49"/>
        <v>61500000</v>
      </c>
      <c r="I318" s="38"/>
      <c r="J318" s="38"/>
      <c r="K318" s="38"/>
      <c r="L318" s="38"/>
      <c r="M318" s="38"/>
      <c r="N318" s="38"/>
      <c r="O318" s="38"/>
      <c r="P318" s="38">
        <f t="shared" si="46"/>
        <v>12000000</v>
      </c>
      <c r="Q318" s="38">
        <f t="shared" si="46"/>
        <v>45265110.719999999</v>
      </c>
      <c r="R318" s="38"/>
      <c r="S318" s="78">
        <v>45637</v>
      </c>
      <c r="T318" s="63"/>
      <c r="U318" s="63">
        <f t="shared" si="40"/>
        <v>119378.67000000001</v>
      </c>
      <c r="V318" s="63"/>
      <c r="W318" s="63"/>
      <c r="X318" s="63">
        <f t="shared" si="45"/>
        <v>119378.67000000001</v>
      </c>
      <c r="Y318" s="63">
        <f t="shared" si="41"/>
        <v>13750000</v>
      </c>
      <c r="Z318" s="63"/>
      <c r="AA318" s="63"/>
      <c r="AB318" s="63"/>
      <c r="AC318" s="302"/>
      <c r="AD318" s="302"/>
      <c r="AE318" s="63"/>
      <c r="AF318" s="63"/>
      <c r="AG318" s="63"/>
      <c r="AH318" s="63"/>
      <c r="AJ318" s="63"/>
      <c r="AK318" s="63"/>
      <c r="AL318" s="63"/>
    </row>
    <row r="319" spans="2:38" outlineLevel="1" x14ac:dyDescent="0.25">
      <c r="B319" s="42">
        <v>45638</v>
      </c>
      <c r="C319" s="38">
        <v>-2115520.0699999998</v>
      </c>
      <c r="D319" s="38">
        <f t="shared" si="47"/>
        <v>-2004944.3599999999</v>
      </c>
      <c r="E319" s="83">
        <v>2100000</v>
      </c>
      <c r="F319" s="38"/>
      <c r="G319" s="38">
        <f t="shared" si="48"/>
        <v>95055.64000000013</v>
      </c>
      <c r="H319" s="38">
        <f t="shared" si="49"/>
        <v>59400000</v>
      </c>
      <c r="I319" s="38"/>
      <c r="J319" s="38"/>
      <c r="K319" s="38"/>
      <c r="L319" s="38"/>
      <c r="M319" s="38"/>
      <c r="N319" s="38"/>
      <c r="O319" s="38"/>
      <c r="P319" s="38">
        <f t="shared" si="46"/>
        <v>12000000</v>
      </c>
      <c r="Q319" s="38">
        <f t="shared" si="46"/>
        <v>45265110.719999999</v>
      </c>
      <c r="R319" s="38"/>
      <c r="S319" s="78">
        <v>45638</v>
      </c>
      <c r="T319" s="63">
        <v>-830197.13</v>
      </c>
      <c r="U319" s="63">
        <f t="shared" ref="U319:U382" si="50">T319+X318+W319</f>
        <v>-739541.57</v>
      </c>
      <c r="V319" s="84">
        <v>800000</v>
      </c>
      <c r="W319" s="63">
        <v>-28723.11</v>
      </c>
      <c r="X319" s="63">
        <f t="shared" si="45"/>
        <v>60458.430000000051</v>
      </c>
      <c r="Y319" s="63">
        <f t="shared" si="41"/>
        <v>12950000</v>
      </c>
      <c r="Z319" s="63"/>
      <c r="AA319" s="63"/>
      <c r="AB319" s="63"/>
      <c r="AC319" s="302"/>
      <c r="AD319" s="302"/>
      <c r="AE319" s="63"/>
      <c r="AF319" s="63"/>
      <c r="AG319" s="63"/>
      <c r="AH319" s="63"/>
      <c r="AJ319" s="63"/>
      <c r="AK319" s="63"/>
      <c r="AL319" s="63"/>
    </row>
    <row r="320" spans="2:38" outlineLevel="1" x14ac:dyDescent="0.25">
      <c r="B320" s="42">
        <v>45639</v>
      </c>
      <c r="C320" s="38">
        <f>2593708</f>
        <v>2593708</v>
      </c>
      <c r="D320" s="38">
        <f t="shared" si="47"/>
        <v>2688763.64</v>
      </c>
      <c r="E320" s="83">
        <v>-2500000</v>
      </c>
      <c r="F320" s="38">
        <v>36925.509999999776</v>
      </c>
      <c r="G320" s="38">
        <f t="shared" si="48"/>
        <v>225689.14999999991</v>
      </c>
      <c r="H320" s="38">
        <f t="shared" si="49"/>
        <v>61900000</v>
      </c>
      <c r="I320" s="38"/>
      <c r="J320" s="38"/>
      <c r="K320" s="38"/>
      <c r="L320" s="38"/>
      <c r="M320" s="38"/>
      <c r="N320" s="38"/>
      <c r="O320" s="38"/>
      <c r="P320" s="38">
        <f t="shared" si="46"/>
        <v>12000000</v>
      </c>
      <c r="Q320" s="38">
        <f t="shared" si="46"/>
        <v>45265110.719999999</v>
      </c>
      <c r="R320" s="38"/>
      <c r="S320" s="78">
        <v>45639</v>
      </c>
      <c r="T320" s="63"/>
      <c r="U320" s="63">
        <f t="shared" si="50"/>
        <v>1378154.2000000002</v>
      </c>
      <c r="V320" s="63"/>
      <c r="W320" s="63">
        <v>1317695.77</v>
      </c>
      <c r="X320" s="63">
        <f t="shared" si="45"/>
        <v>1378154.2000000002</v>
      </c>
      <c r="Y320" s="63">
        <f t="shared" si="41"/>
        <v>12950000</v>
      </c>
      <c r="Z320" s="63"/>
      <c r="AA320" s="63"/>
      <c r="AB320" s="63"/>
      <c r="AC320" s="302"/>
      <c r="AD320" s="302"/>
      <c r="AE320" s="63"/>
      <c r="AF320" s="63"/>
      <c r="AG320" s="63"/>
      <c r="AH320" s="63"/>
      <c r="AJ320" s="63"/>
      <c r="AK320" s="63"/>
      <c r="AL320" s="63"/>
    </row>
    <row r="321" spans="2:38" outlineLevel="1" x14ac:dyDescent="0.25">
      <c r="B321" s="42">
        <v>45640</v>
      </c>
      <c r="C321" s="38"/>
      <c r="D321" s="38">
        <f t="shared" si="47"/>
        <v>225689.14999999991</v>
      </c>
      <c r="E321" s="38"/>
      <c r="F321" s="38"/>
      <c r="G321" s="38">
        <f t="shared" si="48"/>
        <v>225689.14999999991</v>
      </c>
      <c r="H321" s="38">
        <f t="shared" si="49"/>
        <v>61900000</v>
      </c>
      <c r="I321" s="38"/>
      <c r="J321" s="38"/>
      <c r="K321" s="38"/>
      <c r="L321" s="38"/>
      <c r="M321" s="38"/>
      <c r="N321" s="38"/>
      <c r="O321" s="38"/>
      <c r="P321" s="38">
        <f t="shared" si="46"/>
        <v>12000000</v>
      </c>
      <c r="Q321" s="38">
        <f t="shared" si="46"/>
        <v>45265110.719999999</v>
      </c>
      <c r="R321" s="38"/>
      <c r="S321" s="78">
        <v>45640</v>
      </c>
      <c r="T321" s="63"/>
      <c r="U321" s="63">
        <f t="shared" si="50"/>
        <v>1378154.2000000002</v>
      </c>
      <c r="V321" s="63"/>
      <c r="W321" s="63"/>
      <c r="X321" s="63">
        <f t="shared" si="45"/>
        <v>1378154.2000000002</v>
      </c>
      <c r="Y321" s="63">
        <f t="shared" si="41"/>
        <v>12950000</v>
      </c>
      <c r="Z321" s="63"/>
      <c r="AA321" s="63"/>
      <c r="AB321" s="63"/>
      <c r="AC321" s="302"/>
      <c r="AD321" s="302"/>
      <c r="AE321" s="63"/>
      <c r="AF321" s="63"/>
      <c r="AG321" s="63"/>
      <c r="AH321" s="63"/>
      <c r="AJ321" s="63"/>
      <c r="AK321" s="63"/>
      <c r="AL321" s="63"/>
    </row>
    <row r="322" spans="2:38" outlineLevel="1" x14ac:dyDescent="0.25">
      <c r="B322" s="42">
        <v>45641</v>
      </c>
      <c r="C322" s="38"/>
      <c r="D322" s="38">
        <f t="shared" si="47"/>
        <v>225689.14999999991</v>
      </c>
      <c r="E322" s="38"/>
      <c r="F322" s="38"/>
      <c r="G322" s="38">
        <f t="shared" si="48"/>
        <v>225689.14999999991</v>
      </c>
      <c r="H322" s="38">
        <f t="shared" si="49"/>
        <v>61900000</v>
      </c>
      <c r="I322" s="38"/>
      <c r="J322" s="38"/>
      <c r="K322" s="38"/>
      <c r="L322" s="38"/>
      <c r="M322" s="38"/>
      <c r="N322" s="38"/>
      <c r="O322" s="38"/>
      <c r="P322" s="38">
        <f t="shared" si="46"/>
        <v>12000000</v>
      </c>
      <c r="Q322" s="38">
        <f t="shared" si="46"/>
        <v>45265110.719999999</v>
      </c>
      <c r="R322" s="38"/>
      <c r="S322" s="78">
        <v>45641</v>
      </c>
      <c r="T322" s="63"/>
      <c r="U322" s="63">
        <f t="shared" si="50"/>
        <v>1378154.2000000002</v>
      </c>
      <c r="V322" s="63"/>
      <c r="W322" s="63"/>
      <c r="X322" s="63">
        <f t="shared" si="45"/>
        <v>1378154.2000000002</v>
      </c>
      <c r="Y322" s="63">
        <f t="shared" si="41"/>
        <v>12950000</v>
      </c>
      <c r="Z322" s="63"/>
      <c r="AA322" s="63"/>
      <c r="AB322" s="63"/>
      <c r="AC322" s="302"/>
      <c r="AD322" s="302"/>
      <c r="AE322" s="63"/>
      <c r="AF322" s="63"/>
      <c r="AG322" s="63"/>
      <c r="AH322" s="63"/>
      <c r="AJ322" s="63"/>
      <c r="AK322" s="63"/>
      <c r="AL322" s="63"/>
    </row>
    <row r="323" spans="2:38" outlineLevel="1" x14ac:dyDescent="0.25">
      <c r="B323" s="42">
        <v>45642</v>
      </c>
      <c r="C323" s="38">
        <v>-30000000</v>
      </c>
      <c r="D323" s="38">
        <f t="shared" si="47"/>
        <v>-29774310.850000001</v>
      </c>
      <c r="E323" s="83">
        <f>30000000</f>
        <v>30000000</v>
      </c>
      <c r="F323" s="38">
        <v>-29509.639999999901</v>
      </c>
      <c r="G323" s="38">
        <f t="shared" si="48"/>
        <v>196179.50999999861</v>
      </c>
      <c r="H323" s="115">
        <f>H322-E323</f>
        <v>31900000</v>
      </c>
      <c r="I323" s="115"/>
      <c r="J323" s="115"/>
      <c r="K323" s="115"/>
      <c r="L323" s="115"/>
      <c r="M323" s="115"/>
      <c r="N323" s="115"/>
      <c r="O323" s="115"/>
      <c r="P323" s="38">
        <f t="shared" si="46"/>
        <v>12000000</v>
      </c>
      <c r="Q323" s="38">
        <f t="shared" si="46"/>
        <v>45265110.719999999</v>
      </c>
      <c r="R323" s="38">
        <v>30000000</v>
      </c>
      <c r="S323" s="78">
        <v>45642</v>
      </c>
      <c r="T323" s="63"/>
      <c r="U323" s="63">
        <f t="shared" si="50"/>
        <v>1378154.2000000002</v>
      </c>
      <c r="V323" s="102">
        <v>-1300000</v>
      </c>
      <c r="W323" s="63"/>
      <c r="X323" s="63">
        <f t="shared" si="45"/>
        <v>78154.200000000186</v>
      </c>
      <c r="Y323" s="63">
        <f t="shared" si="41"/>
        <v>14250000</v>
      </c>
      <c r="Z323" s="63"/>
      <c r="AA323" s="63"/>
      <c r="AB323" s="63"/>
      <c r="AC323" s="302"/>
      <c r="AD323" s="302"/>
      <c r="AE323" s="63"/>
      <c r="AF323" s="63"/>
      <c r="AG323" s="63"/>
      <c r="AH323" s="63"/>
      <c r="AJ323" s="63"/>
      <c r="AK323" s="63"/>
      <c r="AL323" s="63"/>
    </row>
    <row r="324" spans="2:38" outlineLevel="1" x14ac:dyDescent="0.25">
      <c r="B324" s="42">
        <v>45643</v>
      </c>
      <c r="C324" s="38">
        <v>-400857.74</v>
      </c>
      <c r="D324" s="38">
        <f t="shared" si="47"/>
        <v>-204678.23000000138</v>
      </c>
      <c r="E324" s="83">
        <f>100000+200000</f>
        <v>300000</v>
      </c>
      <c r="F324" s="38"/>
      <c r="G324" s="38">
        <f t="shared" si="48"/>
        <v>95321.769999998622</v>
      </c>
      <c r="H324" s="38">
        <f t="shared" si="49"/>
        <v>31600000</v>
      </c>
      <c r="I324" s="38"/>
      <c r="J324" s="38"/>
      <c r="K324" s="38"/>
      <c r="L324" s="38"/>
      <c r="M324" s="38"/>
      <c r="N324" s="38"/>
      <c r="O324" s="38"/>
      <c r="P324" s="38">
        <f t="shared" si="46"/>
        <v>12000000</v>
      </c>
      <c r="Q324" s="38">
        <f t="shared" si="46"/>
        <v>45265110.719999999</v>
      </c>
      <c r="R324" s="38">
        <f>R323</f>
        <v>30000000</v>
      </c>
      <c r="S324" s="78">
        <v>45643</v>
      </c>
      <c r="T324" s="63"/>
      <c r="U324" s="63">
        <f t="shared" si="50"/>
        <v>78154.200000000186</v>
      </c>
      <c r="V324" s="63"/>
      <c r="W324" s="63"/>
      <c r="X324" s="63">
        <f t="shared" si="45"/>
        <v>78154.200000000186</v>
      </c>
      <c r="Y324" s="63">
        <f t="shared" si="41"/>
        <v>14250000</v>
      </c>
      <c r="Z324" s="63"/>
      <c r="AA324" s="63"/>
      <c r="AB324" s="63"/>
      <c r="AC324" s="302"/>
      <c r="AD324" s="302"/>
      <c r="AE324" s="63"/>
      <c r="AF324" s="63"/>
      <c r="AG324" s="63"/>
      <c r="AH324" s="63"/>
      <c r="AJ324" s="63"/>
      <c r="AK324" s="63"/>
      <c r="AL324" s="63"/>
    </row>
    <row r="325" spans="2:38" outlineLevel="1" x14ac:dyDescent="0.25">
      <c r="B325" s="42">
        <v>45644</v>
      </c>
      <c r="C325" s="38"/>
      <c r="D325" s="38">
        <f t="shared" si="47"/>
        <v>95321.769999998622</v>
      </c>
      <c r="E325" s="38"/>
      <c r="F325" s="38">
        <v>2925.2300000013784</v>
      </c>
      <c r="G325" s="38">
        <f t="shared" si="48"/>
        <v>98247</v>
      </c>
      <c r="H325" s="38">
        <f t="shared" si="49"/>
        <v>31600000</v>
      </c>
      <c r="I325" s="38"/>
      <c r="J325" s="38"/>
      <c r="K325" s="38"/>
      <c r="L325" s="38"/>
      <c r="M325" s="38"/>
      <c r="N325" s="38"/>
      <c r="O325" s="38"/>
      <c r="P325" s="38">
        <f t="shared" si="46"/>
        <v>12000000</v>
      </c>
      <c r="Q325" s="38">
        <f t="shared" si="46"/>
        <v>45265110.719999999</v>
      </c>
      <c r="R325" s="38">
        <f t="shared" si="46"/>
        <v>30000000</v>
      </c>
      <c r="S325" s="78">
        <v>45644</v>
      </c>
      <c r="T325" s="63"/>
      <c r="U325" s="63">
        <f t="shared" si="50"/>
        <v>78154.200000000186</v>
      </c>
      <c r="V325" s="63"/>
      <c r="W325" s="63"/>
      <c r="X325" s="63">
        <f t="shared" si="45"/>
        <v>78154.200000000186</v>
      </c>
      <c r="Y325" s="63">
        <f t="shared" si="41"/>
        <v>14250000</v>
      </c>
      <c r="Z325" s="63"/>
      <c r="AA325" s="63"/>
      <c r="AB325" s="63"/>
      <c r="AC325" s="302"/>
      <c r="AD325" s="302"/>
      <c r="AE325" s="63"/>
      <c r="AF325" s="63"/>
      <c r="AG325" s="63"/>
      <c r="AH325" s="63"/>
      <c r="AJ325" s="63"/>
      <c r="AK325" s="63"/>
      <c r="AL325" s="63"/>
    </row>
    <row r="326" spans="2:38" outlineLevel="1" x14ac:dyDescent="0.25">
      <c r="B326" s="42">
        <v>45645</v>
      </c>
      <c r="C326" s="38"/>
      <c r="D326" s="38">
        <f t="shared" si="47"/>
        <v>98247</v>
      </c>
      <c r="E326" s="38"/>
      <c r="F326" s="38"/>
      <c r="G326" s="38">
        <f t="shared" si="48"/>
        <v>98247</v>
      </c>
      <c r="H326" s="38">
        <f t="shared" si="49"/>
        <v>31600000</v>
      </c>
      <c r="I326" s="38"/>
      <c r="J326" s="38"/>
      <c r="K326" s="38"/>
      <c r="L326" s="38"/>
      <c r="M326" s="38"/>
      <c r="N326" s="38"/>
      <c r="O326" s="38"/>
      <c r="P326" s="38">
        <f t="shared" si="46"/>
        <v>12000000</v>
      </c>
      <c r="Q326" s="38">
        <f t="shared" si="46"/>
        <v>45265110.719999999</v>
      </c>
      <c r="R326" s="38">
        <f t="shared" si="46"/>
        <v>30000000</v>
      </c>
      <c r="S326" s="78">
        <v>45645</v>
      </c>
      <c r="T326" s="63"/>
      <c r="U326" s="63">
        <f t="shared" si="50"/>
        <v>78154.200000000186</v>
      </c>
      <c r="V326" s="63"/>
      <c r="W326" s="63"/>
      <c r="X326" s="63">
        <f t="shared" si="45"/>
        <v>78154.200000000186</v>
      </c>
      <c r="Y326" s="63">
        <f t="shared" si="41"/>
        <v>14250000</v>
      </c>
      <c r="Z326" s="63"/>
      <c r="AA326" s="63"/>
      <c r="AB326" s="63"/>
      <c r="AC326" s="302"/>
      <c r="AD326" s="302"/>
      <c r="AE326" s="63"/>
      <c r="AF326" s="63"/>
      <c r="AG326" s="63"/>
      <c r="AH326" s="63"/>
      <c r="AJ326" s="63"/>
      <c r="AK326" s="63"/>
      <c r="AL326" s="63"/>
    </row>
    <row r="327" spans="2:38" outlineLevel="1" x14ac:dyDescent="0.25">
      <c r="B327" s="42">
        <v>45646</v>
      </c>
      <c r="C327" s="38">
        <f>-333680+1263509</f>
        <v>929829</v>
      </c>
      <c r="D327" s="38">
        <f t="shared" si="47"/>
        <v>1028076</v>
      </c>
      <c r="E327" s="105">
        <f>350000-1250000</f>
        <v>-900000</v>
      </c>
      <c r="F327" s="38"/>
      <c r="G327" s="38">
        <f t="shared" si="48"/>
        <v>128076</v>
      </c>
      <c r="H327" s="38">
        <f t="shared" si="49"/>
        <v>32500000</v>
      </c>
      <c r="I327" s="38"/>
      <c r="J327" s="38"/>
      <c r="K327" s="38"/>
      <c r="L327" s="38"/>
      <c r="M327" s="38"/>
      <c r="N327" s="38"/>
      <c r="O327" s="38"/>
      <c r="P327" s="38">
        <f t="shared" si="46"/>
        <v>12000000</v>
      </c>
      <c r="Q327" s="38">
        <f t="shared" si="46"/>
        <v>45265110.719999999</v>
      </c>
      <c r="R327" s="38">
        <f t="shared" si="46"/>
        <v>30000000</v>
      </c>
      <c r="S327" s="78">
        <v>45646</v>
      </c>
      <c r="T327" s="63"/>
      <c r="U327" s="63">
        <f t="shared" si="50"/>
        <v>78154.200000000186</v>
      </c>
      <c r="V327" s="63"/>
      <c r="W327" s="63"/>
      <c r="X327" s="63">
        <f t="shared" si="45"/>
        <v>78154.200000000186</v>
      </c>
      <c r="Y327" s="63">
        <f t="shared" si="41"/>
        <v>14250000</v>
      </c>
      <c r="Z327" s="63"/>
      <c r="AA327" s="63"/>
      <c r="AB327" s="63"/>
      <c r="AC327" s="302"/>
      <c r="AD327" s="302"/>
      <c r="AE327" s="63"/>
      <c r="AF327" s="63"/>
      <c r="AG327" s="63"/>
      <c r="AH327" s="63"/>
      <c r="AJ327" s="63"/>
      <c r="AK327" s="63"/>
      <c r="AL327" s="63"/>
    </row>
    <row r="328" spans="2:38" outlineLevel="1" x14ac:dyDescent="0.25">
      <c r="B328" s="42">
        <v>45647</v>
      </c>
      <c r="C328" s="38"/>
      <c r="D328" s="38">
        <f t="shared" si="47"/>
        <v>128076</v>
      </c>
      <c r="E328" s="38"/>
      <c r="F328" s="38"/>
      <c r="G328" s="38">
        <f t="shared" si="48"/>
        <v>128076</v>
      </c>
      <c r="H328" s="38">
        <f t="shared" si="49"/>
        <v>32500000</v>
      </c>
      <c r="I328" s="38"/>
      <c r="J328" s="38"/>
      <c r="K328" s="38"/>
      <c r="L328" s="38"/>
      <c r="M328" s="38"/>
      <c r="N328" s="38"/>
      <c r="O328" s="38"/>
      <c r="P328" s="38">
        <f t="shared" si="46"/>
        <v>12000000</v>
      </c>
      <c r="Q328" s="38">
        <f t="shared" si="46"/>
        <v>45265110.719999999</v>
      </c>
      <c r="R328" s="38">
        <f t="shared" si="46"/>
        <v>30000000</v>
      </c>
      <c r="S328" s="78">
        <v>45647</v>
      </c>
      <c r="T328" s="63"/>
      <c r="U328" s="63">
        <f t="shared" si="50"/>
        <v>78154.200000000186</v>
      </c>
      <c r="V328" s="63"/>
      <c r="W328" s="63"/>
      <c r="X328" s="63">
        <f t="shared" si="45"/>
        <v>78154.200000000186</v>
      </c>
      <c r="Y328" s="63">
        <f t="shared" ref="Y328:Y391" si="51">Y327-V328</f>
        <v>14250000</v>
      </c>
      <c r="Z328" s="63"/>
      <c r="AA328" s="63"/>
      <c r="AB328" s="63"/>
      <c r="AC328" s="302"/>
      <c r="AD328" s="302"/>
      <c r="AE328" s="63"/>
      <c r="AF328" s="63"/>
      <c r="AG328" s="63"/>
      <c r="AH328" s="63"/>
      <c r="AJ328" s="63"/>
      <c r="AK328" s="63"/>
      <c r="AL328" s="63"/>
    </row>
    <row r="329" spans="2:38" outlineLevel="1" x14ac:dyDescent="0.25">
      <c r="B329" s="42">
        <v>45648</v>
      </c>
      <c r="C329" s="38"/>
      <c r="D329" s="38">
        <f t="shared" si="47"/>
        <v>128076</v>
      </c>
      <c r="E329" s="38"/>
      <c r="F329" s="38"/>
      <c r="G329" s="38">
        <f t="shared" si="48"/>
        <v>128076</v>
      </c>
      <c r="H329" s="38">
        <f t="shared" si="49"/>
        <v>32500000</v>
      </c>
      <c r="I329" s="38"/>
      <c r="J329" s="38"/>
      <c r="K329" s="38"/>
      <c r="L329" s="38"/>
      <c r="M329" s="38"/>
      <c r="N329" s="38"/>
      <c r="O329" s="38"/>
      <c r="P329" s="38">
        <f t="shared" si="46"/>
        <v>12000000</v>
      </c>
      <c r="Q329" s="38">
        <f t="shared" si="46"/>
        <v>45265110.719999999</v>
      </c>
      <c r="R329" s="38">
        <f t="shared" si="46"/>
        <v>30000000</v>
      </c>
      <c r="S329" s="78">
        <v>45648</v>
      </c>
      <c r="T329" s="63"/>
      <c r="U329" s="63">
        <f t="shared" si="50"/>
        <v>78154.200000000186</v>
      </c>
      <c r="V329" s="63"/>
      <c r="W329" s="63"/>
      <c r="X329" s="63">
        <f t="shared" si="45"/>
        <v>78154.200000000186</v>
      </c>
      <c r="Y329" s="63">
        <f t="shared" si="51"/>
        <v>14250000</v>
      </c>
      <c r="Z329" s="63"/>
      <c r="AA329" s="63"/>
      <c r="AB329" s="63"/>
      <c r="AC329" s="302"/>
      <c r="AD329" s="302"/>
      <c r="AE329" s="63"/>
      <c r="AF329" s="63"/>
      <c r="AG329" s="63"/>
      <c r="AH329" s="63"/>
      <c r="AJ329" s="63"/>
      <c r="AK329" s="63"/>
      <c r="AL329" s="63"/>
    </row>
    <row r="330" spans="2:38" outlineLevel="1" x14ac:dyDescent="0.25">
      <c r="B330" s="42">
        <v>45649</v>
      </c>
      <c r="C330" s="38">
        <v>-1268565.9099999999</v>
      </c>
      <c r="D330" s="38">
        <f t="shared" si="47"/>
        <v>-1140489.9099999999</v>
      </c>
      <c r="E330" s="105">
        <f>1600000-300000</f>
        <v>1300000</v>
      </c>
      <c r="F330" s="38"/>
      <c r="G330" s="38">
        <f t="shared" si="48"/>
        <v>159510.09000000008</v>
      </c>
      <c r="H330" s="38">
        <f t="shared" si="49"/>
        <v>31200000</v>
      </c>
      <c r="I330" s="38"/>
      <c r="J330" s="38"/>
      <c r="K330" s="38"/>
      <c r="L330" s="38"/>
      <c r="M330" s="38"/>
      <c r="N330" s="38"/>
      <c r="O330" s="38"/>
      <c r="P330" s="38">
        <f t="shared" si="46"/>
        <v>12000000</v>
      </c>
      <c r="Q330" s="38">
        <f t="shared" si="46"/>
        <v>45265110.719999999</v>
      </c>
      <c r="R330" s="38">
        <f t="shared" si="46"/>
        <v>30000000</v>
      </c>
      <c r="S330" s="78">
        <v>45649</v>
      </c>
      <c r="T330" s="63">
        <v>-354833.45</v>
      </c>
      <c r="U330" s="63">
        <f t="shared" si="50"/>
        <v>-276679.24999999983</v>
      </c>
      <c r="V330" s="84">
        <v>400000</v>
      </c>
      <c r="W330" s="63"/>
      <c r="X330" s="63">
        <f t="shared" si="45"/>
        <v>123320.75000000017</v>
      </c>
      <c r="Y330" s="63">
        <f t="shared" si="51"/>
        <v>13850000</v>
      </c>
      <c r="Z330" s="63"/>
      <c r="AA330" s="63"/>
      <c r="AB330" s="63"/>
      <c r="AC330" s="302"/>
      <c r="AD330" s="302"/>
      <c r="AE330" s="63"/>
      <c r="AF330" s="63"/>
      <c r="AG330" s="63"/>
      <c r="AH330" s="63"/>
      <c r="AJ330" s="63"/>
      <c r="AK330" s="63"/>
      <c r="AL330" s="63"/>
    </row>
    <row r="331" spans="2:38" outlineLevel="1" x14ac:dyDescent="0.25">
      <c r="B331" s="42">
        <v>45650</v>
      </c>
      <c r="C331" s="38">
        <v>-59215</v>
      </c>
      <c r="D331" s="38">
        <f t="shared" si="47"/>
        <v>100295.09000000008</v>
      </c>
      <c r="E331" s="83">
        <v>100000</v>
      </c>
      <c r="F331" s="38"/>
      <c r="G331" s="38">
        <f t="shared" si="48"/>
        <v>200295.09000000008</v>
      </c>
      <c r="H331" s="38">
        <f t="shared" si="49"/>
        <v>31100000</v>
      </c>
      <c r="I331" s="38"/>
      <c r="J331" s="38"/>
      <c r="K331" s="38"/>
      <c r="L331" s="38"/>
      <c r="M331" s="38"/>
      <c r="N331" s="38"/>
      <c r="O331" s="38"/>
      <c r="P331" s="38">
        <f t="shared" si="46"/>
        <v>12000000</v>
      </c>
      <c r="Q331" s="38">
        <f t="shared" si="46"/>
        <v>45265110.719999999</v>
      </c>
      <c r="R331" s="38">
        <f t="shared" si="46"/>
        <v>30000000</v>
      </c>
      <c r="S331" s="78">
        <v>45650</v>
      </c>
      <c r="T331" s="63"/>
      <c r="U331" s="63">
        <f t="shared" si="50"/>
        <v>123320.75000000017</v>
      </c>
      <c r="V331" s="63"/>
      <c r="W331" s="63"/>
      <c r="X331" s="63">
        <f t="shared" si="45"/>
        <v>123320.75000000017</v>
      </c>
      <c r="Y331" s="63">
        <f t="shared" si="51"/>
        <v>13850000</v>
      </c>
      <c r="Z331" s="63"/>
      <c r="AA331" s="63"/>
      <c r="AB331" s="63"/>
      <c r="AC331" s="302"/>
      <c r="AD331" s="302"/>
      <c r="AE331" s="63"/>
      <c r="AF331" s="63"/>
      <c r="AG331" s="63"/>
      <c r="AH331" s="63"/>
      <c r="AJ331" s="63"/>
      <c r="AK331" s="63"/>
      <c r="AL331" s="63"/>
    </row>
    <row r="332" spans="2:38" outlineLevel="1" x14ac:dyDescent="0.25">
      <c r="B332" s="42">
        <v>45651</v>
      </c>
      <c r="C332" s="38"/>
      <c r="D332" s="38">
        <f t="shared" si="47"/>
        <v>200295.09000000008</v>
      </c>
      <c r="E332" s="38"/>
      <c r="F332" s="38"/>
      <c r="G332" s="38">
        <f t="shared" si="48"/>
        <v>200295.09000000008</v>
      </c>
      <c r="H332" s="38">
        <f t="shared" si="49"/>
        <v>31100000</v>
      </c>
      <c r="I332" s="38"/>
      <c r="J332" s="38"/>
      <c r="K332" s="38"/>
      <c r="L332" s="38"/>
      <c r="M332" s="38"/>
      <c r="N332" s="38"/>
      <c r="O332" s="38"/>
      <c r="P332" s="38">
        <f t="shared" si="46"/>
        <v>12000000</v>
      </c>
      <c r="Q332" s="38">
        <f t="shared" si="46"/>
        <v>45265110.719999999</v>
      </c>
      <c r="R332" s="38">
        <f t="shared" si="46"/>
        <v>30000000</v>
      </c>
      <c r="S332" s="78">
        <v>45651</v>
      </c>
      <c r="T332" s="63"/>
      <c r="U332" s="63">
        <f t="shared" si="50"/>
        <v>123320.75000000017</v>
      </c>
      <c r="V332" s="63"/>
      <c r="W332" s="63"/>
      <c r="X332" s="63">
        <f t="shared" si="45"/>
        <v>123320.75000000017</v>
      </c>
      <c r="Y332" s="63">
        <f t="shared" si="51"/>
        <v>13850000</v>
      </c>
      <c r="Z332" s="63"/>
      <c r="AA332" s="63"/>
      <c r="AB332" s="63"/>
      <c r="AC332" s="302"/>
      <c r="AD332" s="302"/>
      <c r="AE332" s="63"/>
      <c r="AF332" s="63"/>
      <c r="AG332" s="63"/>
      <c r="AH332" s="63"/>
      <c r="AJ332" s="63"/>
      <c r="AK332" s="63"/>
      <c r="AL332" s="63"/>
    </row>
    <row r="333" spans="2:38" outlineLevel="1" x14ac:dyDescent="0.25">
      <c r="B333" s="42">
        <v>45652</v>
      </c>
      <c r="C333" s="38">
        <v>-77536</v>
      </c>
      <c r="D333" s="38">
        <f t="shared" si="47"/>
        <v>122759.09000000008</v>
      </c>
      <c r="E333" s="56"/>
      <c r="F333" s="38"/>
      <c r="G333" s="38">
        <f t="shared" si="48"/>
        <v>122759.09000000008</v>
      </c>
      <c r="H333" s="38">
        <f t="shared" si="49"/>
        <v>31100000</v>
      </c>
      <c r="I333" s="38"/>
      <c r="J333" s="38"/>
      <c r="K333" s="38"/>
      <c r="L333" s="38"/>
      <c r="M333" s="38"/>
      <c r="N333" s="38"/>
      <c r="O333" s="38"/>
      <c r="P333" s="38">
        <f t="shared" si="46"/>
        <v>12000000</v>
      </c>
      <c r="Q333" s="38">
        <f t="shared" si="46"/>
        <v>45265110.719999999</v>
      </c>
      <c r="R333" s="38">
        <f t="shared" si="46"/>
        <v>30000000</v>
      </c>
      <c r="S333" s="78">
        <v>45652</v>
      </c>
      <c r="T333" s="63"/>
      <c r="U333" s="63">
        <f t="shared" si="50"/>
        <v>123320.75000000017</v>
      </c>
      <c r="V333" s="63"/>
      <c r="W333" s="63"/>
      <c r="X333" s="63">
        <f t="shared" si="45"/>
        <v>123320.75000000017</v>
      </c>
      <c r="Y333" s="63">
        <f t="shared" si="51"/>
        <v>13850000</v>
      </c>
      <c r="Z333" s="63"/>
      <c r="AA333" s="63"/>
      <c r="AB333" s="63"/>
      <c r="AC333" s="302"/>
      <c r="AD333" s="302"/>
      <c r="AE333" s="63"/>
      <c r="AF333" s="63"/>
      <c r="AG333" s="63"/>
      <c r="AH333" s="63"/>
      <c r="AJ333" s="63"/>
      <c r="AK333" s="63"/>
      <c r="AL333" s="63"/>
    </row>
    <row r="334" spans="2:38" outlineLevel="1" x14ac:dyDescent="0.25">
      <c r="B334" s="42">
        <v>45653</v>
      </c>
      <c r="C334" s="38"/>
      <c r="D334" s="38">
        <f t="shared" si="47"/>
        <v>122759.09000000008</v>
      </c>
      <c r="E334" s="38"/>
      <c r="F334" s="38"/>
      <c r="G334" s="38">
        <f t="shared" si="48"/>
        <v>122759.09000000008</v>
      </c>
      <c r="H334" s="38">
        <f t="shared" si="49"/>
        <v>31100000</v>
      </c>
      <c r="I334" s="38"/>
      <c r="J334" s="38"/>
      <c r="K334" s="38"/>
      <c r="L334" s="38"/>
      <c r="M334" s="38"/>
      <c r="N334" s="38"/>
      <c r="O334" s="38"/>
      <c r="P334" s="38">
        <f t="shared" si="46"/>
        <v>12000000</v>
      </c>
      <c r="Q334" s="38">
        <f t="shared" si="46"/>
        <v>45265110.719999999</v>
      </c>
      <c r="R334" s="38">
        <f t="shared" si="46"/>
        <v>30000000</v>
      </c>
      <c r="S334" s="78">
        <v>45653</v>
      </c>
      <c r="T334" s="63"/>
      <c r="U334" s="63">
        <f t="shared" si="50"/>
        <v>123320.75000000017</v>
      </c>
      <c r="V334" s="63"/>
      <c r="W334" s="63"/>
      <c r="X334" s="63">
        <f t="shared" si="45"/>
        <v>123320.75000000017</v>
      </c>
      <c r="Y334" s="63">
        <f t="shared" si="51"/>
        <v>13850000</v>
      </c>
      <c r="Z334" s="63"/>
      <c r="AA334" s="63"/>
      <c r="AB334" s="63"/>
      <c r="AC334" s="302"/>
      <c r="AD334" s="302"/>
      <c r="AE334" s="63"/>
      <c r="AF334" s="63"/>
      <c r="AG334" s="63"/>
      <c r="AH334" s="63"/>
      <c r="AJ334" s="63"/>
      <c r="AK334" s="63"/>
      <c r="AL334" s="63"/>
    </row>
    <row r="335" spans="2:38" outlineLevel="1" x14ac:dyDescent="0.25">
      <c r="B335" s="42">
        <v>45654</v>
      </c>
      <c r="C335" s="38"/>
      <c r="D335" s="38">
        <f t="shared" si="47"/>
        <v>122759.09000000008</v>
      </c>
      <c r="E335" s="38"/>
      <c r="F335" s="38"/>
      <c r="G335" s="38">
        <f t="shared" si="48"/>
        <v>122759.09000000008</v>
      </c>
      <c r="H335" s="38">
        <f t="shared" si="49"/>
        <v>31100000</v>
      </c>
      <c r="I335" s="38"/>
      <c r="J335" s="38"/>
      <c r="K335" s="38"/>
      <c r="L335" s="38"/>
      <c r="M335" s="38"/>
      <c r="N335" s="38"/>
      <c r="O335" s="38"/>
      <c r="P335" s="38">
        <f t="shared" si="46"/>
        <v>12000000</v>
      </c>
      <c r="Q335" s="38">
        <f t="shared" si="46"/>
        <v>45265110.719999999</v>
      </c>
      <c r="R335" s="38">
        <f t="shared" si="46"/>
        <v>30000000</v>
      </c>
      <c r="S335" s="78">
        <v>45654</v>
      </c>
      <c r="T335" s="63"/>
      <c r="U335" s="63">
        <f t="shared" si="50"/>
        <v>123320.75000000017</v>
      </c>
      <c r="V335" s="63"/>
      <c r="W335" s="63"/>
      <c r="X335" s="63">
        <f t="shared" si="45"/>
        <v>123320.75000000017</v>
      </c>
      <c r="Y335" s="63">
        <f t="shared" si="51"/>
        <v>13850000</v>
      </c>
      <c r="Z335" s="63"/>
      <c r="AA335" s="63"/>
      <c r="AB335" s="63"/>
      <c r="AC335" s="302"/>
      <c r="AD335" s="302"/>
      <c r="AE335" s="63"/>
      <c r="AF335" s="63"/>
      <c r="AG335" s="63"/>
      <c r="AH335" s="63"/>
      <c r="AJ335" s="63"/>
      <c r="AK335" s="63"/>
      <c r="AL335" s="63"/>
    </row>
    <row r="336" spans="2:38" outlineLevel="1" x14ac:dyDescent="0.25">
      <c r="B336" s="42">
        <v>45655</v>
      </c>
      <c r="C336" s="38"/>
      <c r="D336" s="38">
        <f t="shared" si="47"/>
        <v>122759.09000000008</v>
      </c>
      <c r="E336" s="38"/>
      <c r="F336" s="38"/>
      <c r="G336" s="38">
        <f t="shared" si="48"/>
        <v>122759.09000000008</v>
      </c>
      <c r="H336" s="38">
        <f t="shared" si="49"/>
        <v>31100000</v>
      </c>
      <c r="I336" s="38"/>
      <c r="J336" s="38"/>
      <c r="K336" s="38"/>
      <c r="L336" s="38"/>
      <c r="M336" s="38"/>
      <c r="N336" s="38"/>
      <c r="O336" s="38"/>
      <c r="P336" s="38">
        <f t="shared" si="46"/>
        <v>12000000</v>
      </c>
      <c r="Q336" s="38">
        <f t="shared" si="46"/>
        <v>45265110.719999999</v>
      </c>
      <c r="R336" s="38">
        <f t="shared" si="46"/>
        <v>30000000</v>
      </c>
      <c r="S336" s="78">
        <v>45655</v>
      </c>
      <c r="T336" s="63"/>
      <c r="U336" s="63">
        <f t="shared" si="50"/>
        <v>123320.75000000017</v>
      </c>
      <c r="V336" s="63"/>
      <c r="W336" s="63"/>
      <c r="X336" s="63">
        <f t="shared" si="45"/>
        <v>123320.75000000017</v>
      </c>
      <c r="Y336" s="63">
        <f t="shared" si="51"/>
        <v>13850000</v>
      </c>
      <c r="Z336" s="63"/>
      <c r="AA336" s="63"/>
      <c r="AB336" s="63"/>
      <c r="AC336" s="302"/>
      <c r="AD336" s="302"/>
      <c r="AE336" s="63"/>
      <c r="AF336" s="63"/>
      <c r="AG336" s="63"/>
      <c r="AH336" s="63"/>
      <c r="AJ336" s="63"/>
      <c r="AK336" s="63"/>
      <c r="AL336" s="63"/>
    </row>
    <row r="337" spans="2:38" outlineLevel="1" x14ac:dyDescent="0.25">
      <c r="B337" s="42">
        <v>45656</v>
      </c>
      <c r="C337" s="38"/>
      <c r="D337" s="38">
        <f t="shared" si="47"/>
        <v>122759.09000000008</v>
      </c>
      <c r="E337" s="38"/>
      <c r="F337" s="38"/>
      <c r="G337" s="38">
        <f t="shared" si="48"/>
        <v>122759.09000000008</v>
      </c>
      <c r="H337" s="38">
        <f t="shared" si="49"/>
        <v>31100000</v>
      </c>
      <c r="I337" s="38"/>
      <c r="J337" s="38"/>
      <c r="K337" s="38"/>
      <c r="L337" s="38"/>
      <c r="M337" s="38"/>
      <c r="N337" s="38"/>
      <c r="O337" s="38"/>
      <c r="P337" s="38">
        <f t="shared" si="46"/>
        <v>12000000</v>
      </c>
      <c r="Q337" s="38">
        <f t="shared" si="46"/>
        <v>45265110.719999999</v>
      </c>
      <c r="R337" s="38">
        <f t="shared" si="46"/>
        <v>30000000</v>
      </c>
      <c r="S337" s="78">
        <v>45656</v>
      </c>
      <c r="T337" s="63"/>
      <c r="U337" s="63">
        <f t="shared" si="50"/>
        <v>123320.75000000017</v>
      </c>
      <c r="V337" s="84">
        <v>200000</v>
      </c>
      <c r="W337" s="63"/>
      <c r="X337" s="63">
        <f t="shared" si="45"/>
        <v>323320.75000000017</v>
      </c>
      <c r="Y337" s="63">
        <f t="shared" si="51"/>
        <v>13650000</v>
      </c>
      <c r="Z337" s="63"/>
      <c r="AA337" s="63"/>
      <c r="AB337" s="63"/>
      <c r="AC337" s="302"/>
      <c r="AD337" s="302"/>
      <c r="AE337" s="63"/>
      <c r="AF337" s="63"/>
      <c r="AG337" s="63"/>
      <c r="AH337" s="63"/>
      <c r="AJ337" s="63"/>
      <c r="AK337" s="63"/>
      <c r="AL337" s="63"/>
    </row>
    <row r="338" spans="2:38" outlineLevel="1" x14ac:dyDescent="0.25">
      <c r="B338" s="42">
        <v>45657</v>
      </c>
      <c r="C338" s="38">
        <f>125245.84-41893.19</f>
        <v>83352.649999999994</v>
      </c>
      <c r="D338" s="38">
        <f t="shared" si="47"/>
        <v>206111.74000000008</v>
      </c>
      <c r="E338" s="56"/>
      <c r="F338" s="38"/>
      <c r="G338" s="38">
        <f t="shared" si="48"/>
        <v>206111.74000000008</v>
      </c>
      <c r="H338" s="38">
        <f t="shared" si="49"/>
        <v>31100000</v>
      </c>
      <c r="I338" s="38"/>
      <c r="J338" s="38"/>
      <c r="K338" s="38"/>
      <c r="L338" s="38"/>
      <c r="M338" s="38"/>
      <c r="N338" s="38"/>
      <c r="O338" s="38"/>
      <c r="P338" s="38">
        <f t="shared" si="46"/>
        <v>12000000</v>
      </c>
      <c r="Q338" s="38">
        <f t="shared" si="46"/>
        <v>45265110.719999999</v>
      </c>
      <c r="R338" s="38">
        <f t="shared" si="46"/>
        <v>30000000</v>
      </c>
      <c r="S338" s="78">
        <v>45657</v>
      </c>
      <c r="T338" s="63">
        <f>-175751.86+50920.84</f>
        <v>-124831.01999999999</v>
      </c>
      <c r="U338" s="63">
        <f t="shared" si="50"/>
        <v>198489.73000000019</v>
      </c>
      <c r="V338" s="63"/>
      <c r="W338" s="63"/>
      <c r="X338" s="63">
        <f t="shared" si="45"/>
        <v>198489.73000000019</v>
      </c>
      <c r="Y338" s="63">
        <f t="shared" si="51"/>
        <v>13650000</v>
      </c>
      <c r="Z338" s="63"/>
      <c r="AA338" s="63"/>
      <c r="AB338" s="63"/>
      <c r="AC338" s="302"/>
      <c r="AD338" s="302"/>
      <c r="AE338" s="63"/>
      <c r="AF338" s="63"/>
      <c r="AG338" s="63"/>
      <c r="AH338" s="63"/>
      <c r="AJ338" s="63"/>
      <c r="AK338" s="63"/>
      <c r="AL338" s="63"/>
    </row>
    <row r="339" spans="2:38" x14ac:dyDescent="0.25">
      <c r="B339" s="42">
        <v>45658</v>
      </c>
      <c r="C339" s="38"/>
      <c r="D339" s="38">
        <f t="shared" si="47"/>
        <v>206111.74000000008</v>
      </c>
      <c r="E339" s="38"/>
      <c r="F339" s="38"/>
      <c r="G339" s="38">
        <f t="shared" si="48"/>
        <v>206111.74000000008</v>
      </c>
      <c r="H339" s="38">
        <f t="shared" si="49"/>
        <v>31100000</v>
      </c>
      <c r="I339" s="38"/>
      <c r="J339" s="38"/>
      <c r="K339" s="38"/>
      <c r="L339" s="38"/>
      <c r="M339" s="38"/>
      <c r="N339" s="38"/>
      <c r="O339" s="38"/>
      <c r="P339" s="38">
        <f t="shared" si="46"/>
        <v>12000000</v>
      </c>
      <c r="Q339" s="38">
        <f t="shared" si="46"/>
        <v>45265110.719999999</v>
      </c>
      <c r="R339" s="38">
        <f t="shared" si="46"/>
        <v>30000000</v>
      </c>
      <c r="S339" s="78">
        <v>45658</v>
      </c>
      <c r="T339" s="63">
        <v>-17607.730000000185</v>
      </c>
      <c r="U339" s="63">
        <f t="shared" si="50"/>
        <v>180882</v>
      </c>
      <c r="V339" s="84">
        <v>-100000</v>
      </c>
      <c r="W339" s="63"/>
      <c r="X339" s="63">
        <f t="shared" si="45"/>
        <v>80882</v>
      </c>
      <c r="Y339" s="63">
        <f t="shared" si="51"/>
        <v>13750000</v>
      </c>
      <c r="Z339" s="63"/>
      <c r="AA339" s="63"/>
      <c r="AB339" s="63"/>
      <c r="AC339" s="302"/>
      <c r="AD339" s="302"/>
      <c r="AE339" s="63"/>
      <c r="AF339" s="63"/>
      <c r="AG339" s="63"/>
      <c r="AH339" s="63"/>
      <c r="AJ339" s="63"/>
      <c r="AK339" s="63"/>
      <c r="AL339" s="63"/>
    </row>
    <row r="340" spans="2:38" x14ac:dyDescent="0.25">
      <c r="B340" s="42">
        <v>45659</v>
      </c>
      <c r="C340" s="38">
        <v>-5083389.742575</v>
      </c>
      <c r="D340" s="38">
        <f t="shared" si="47"/>
        <v>-4877278.0025749998</v>
      </c>
      <c r="E340" s="83">
        <f>4900000</f>
        <v>4900000</v>
      </c>
      <c r="F340" s="38"/>
      <c r="G340" s="38">
        <f t="shared" si="48"/>
        <v>22721.997425000183</v>
      </c>
      <c r="H340" s="38">
        <f t="shared" si="49"/>
        <v>26200000</v>
      </c>
      <c r="I340" s="38"/>
      <c r="J340" s="38"/>
      <c r="K340" s="38"/>
      <c r="L340" s="38"/>
      <c r="M340" s="38"/>
      <c r="N340" s="38"/>
      <c r="O340" s="38"/>
      <c r="P340" s="38">
        <f t="shared" si="46"/>
        <v>12000000</v>
      </c>
      <c r="Q340" s="38">
        <f t="shared" si="46"/>
        <v>45265110.719999999</v>
      </c>
      <c r="R340" s="38">
        <f t="shared" si="46"/>
        <v>30000000</v>
      </c>
      <c r="S340" s="78">
        <v>45659</v>
      </c>
      <c r="T340" s="63"/>
      <c r="U340" s="63">
        <f t="shared" si="50"/>
        <v>80882</v>
      </c>
      <c r="V340" s="63"/>
      <c r="W340" s="63"/>
      <c r="X340" s="63">
        <f t="shared" si="45"/>
        <v>80882</v>
      </c>
      <c r="Y340" s="63">
        <f t="shared" si="51"/>
        <v>13750000</v>
      </c>
      <c r="Z340" s="63"/>
      <c r="AA340" s="63"/>
      <c r="AB340" s="63"/>
      <c r="AC340" s="302"/>
      <c r="AD340" s="302"/>
      <c r="AE340" s="63"/>
      <c r="AF340" s="63"/>
      <c r="AG340" s="63"/>
      <c r="AH340" s="63"/>
      <c r="AJ340" s="63"/>
      <c r="AK340" s="63"/>
      <c r="AL340" s="63"/>
    </row>
    <row r="341" spans="2:38" x14ac:dyDescent="0.25">
      <c r="B341" s="42">
        <v>45660</v>
      </c>
      <c r="C341" s="38"/>
      <c r="D341" s="38">
        <f t="shared" si="47"/>
        <v>22721.997425000183</v>
      </c>
      <c r="E341" s="83">
        <v>100000</v>
      </c>
      <c r="F341" s="38"/>
      <c r="G341" s="38">
        <f t="shared" si="48"/>
        <v>122721.99742500018</v>
      </c>
      <c r="H341" s="38">
        <f t="shared" si="49"/>
        <v>26100000</v>
      </c>
      <c r="I341" s="38"/>
      <c r="J341" s="38"/>
      <c r="K341" s="38"/>
      <c r="L341" s="38"/>
      <c r="M341" s="38"/>
      <c r="N341" s="38"/>
      <c r="O341" s="38"/>
      <c r="P341" s="38">
        <f t="shared" si="46"/>
        <v>12000000</v>
      </c>
      <c r="Q341" s="38">
        <f t="shared" si="46"/>
        <v>45265110.719999999</v>
      </c>
      <c r="R341" s="38">
        <f t="shared" si="46"/>
        <v>30000000</v>
      </c>
      <c r="S341" s="78">
        <v>45660</v>
      </c>
      <c r="T341" s="63"/>
      <c r="U341" s="63">
        <f t="shared" si="50"/>
        <v>80882</v>
      </c>
      <c r="V341" s="63"/>
      <c r="W341" s="63"/>
      <c r="X341" s="63">
        <f t="shared" si="45"/>
        <v>80882</v>
      </c>
      <c r="Y341" s="63">
        <f t="shared" si="51"/>
        <v>13750000</v>
      </c>
      <c r="Z341" s="63"/>
      <c r="AA341" s="63"/>
      <c r="AB341" s="63"/>
      <c r="AC341" s="302"/>
      <c r="AD341" s="302"/>
      <c r="AE341" s="63"/>
      <c r="AF341" s="63"/>
      <c r="AG341" s="63"/>
      <c r="AH341" s="63"/>
      <c r="AJ341" s="63"/>
      <c r="AK341" s="63"/>
      <c r="AL341" s="63"/>
    </row>
    <row r="342" spans="2:38" x14ac:dyDescent="0.25">
      <c r="B342" s="42">
        <v>45661</v>
      </c>
      <c r="C342" s="38"/>
      <c r="D342" s="38">
        <f t="shared" ref="D342:D346" si="52">C342+G341</f>
        <v>122721.99742500018</v>
      </c>
      <c r="E342" s="38"/>
      <c r="F342" s="38"/>
      <c r="G342" s="38">
        <f t="shared" ref="G342:G346" si="53">D342+E342+F342</f>
        <v>122721.99742500018</v>
      </c>
      <c r="H342" s="38">
        <f t="shared" ref="H342:H346" si="54">H341-E342</f>
        <v>26100000</v>
      </c>
      <c r="I342" s="38"/>
      <c r="J342" s="38"/>
      <c r="K342" s="38"/>
      <c r="L342" s="38"/>
      <c r="M342" s="38"/>
      <c r="N342" s="38"/>
      <c r="O342" s="38"/>
      <c r="P342" s="38">
        <f t="shared" ref="P342:R342" si="55">P341</f>
        <v>12000000</v>
      </c>
      <c r="Q342" s="38">
        <f t="shared" si="55"/>
        <v>45265110.719999999</v>
      </c>
      <c r="R342" s="38">
        <f t="shared" si="55"/>
        <v>30000000</v>
      </c>
      <c r="S342" s="78">
        <v>45661</v>
      </c>
      <c r="T342" s="63"/>
      <c r="U342" s="63">
        <f t="shared" si="50"/>
        <v>80882</v>
      </c>
      <c r="V342" s="63"/>
      <c r="W342" s="63"/>
      <c r="X342" s="63">
        <f t="shared" si="45"/>
        <v>80882</v>
      </c>
      <c r="Y342" s="63">
        <f t="shared" si="51"/>
        <v>13750000</v>
      </c>
      <c r="Z342" s="63"/>
      <c r="AA342" s="63"/>
      <c r="AB342" s="63"/>
      <c r="AC342" s="302"/>
      <c r="AD342" s="302"/>
      <c r="AE342" s="63"/>
      <c r="AF342" s="63"/>
      <c r="AG342" s="63"/>
      <c r="AH342" s="63"/>
      <c r="AJ342" s="63"/>
      <c r="AK342" s="63"/>
      <c r="AL342" s="63"/>
    </row>
    <row r="343" spans="2:38" x14ac:dyDescent="0.25">
      <c r="B343" s="42">
        <v>45662</v>
      </c>
      <c r="C343" s="38"/>
      <c r="D343" s="38">
        <f t="shared" si="52"/>
        <v>122721.99742500018</v>
      </c>
      <c r="E343" s="38"/>
      <c r="F343" s="38"/>
      <c r="G343" s="38">
        <f t="shared" si="53"/>
        <v>122721.99742500018</v>
      </c>
      <c r="H343" s="38">
        <f t="shared" si="54"/>
        <v>26100000</v>
      </c>
      <c r="I343" s="38"/>
      <c r="J343" s="38"/>
      <c r="K343" s="38"/>
      <c r="L343" s="38"/>
      <c r="M343" s="38"/>
      <c r="N343" s="38"/>
      <c r="O343" s="38"/>
      <c r="P343" s="38">
        <f t="shared" ref="P343:R343" si="56">P342</f>
        <v>12000000</v>
      </c>
      <c r="Q343" s="38">
        <f t="shared" si="56"/>
        <v>45265110.719999999</v>
      </c>
      <c r="R343" s="38">
        <f t="shared" si="56"/>
        <v>30000000</v>
      </c>
      <c r="S343" s="78">
        <v>45662</v>
      </c>
      <c r="T343" s="63"/>
      <c r="U343" s="63">
        <f t="shared" si="50"/>
        <v>80882</v>
      </c>
      <c r="V343" s="63"/>
      <c r="W343" s="63"/>
      <c r="X343" s="63">
        <f t="shared" si="45"/>
        <v>80882</v>
      </c>
      <c r="Y343" s="63">
        <f t="shared" si="51"/>
        <v>13750000</v>
      </c>
      <c r="Z343" s="63"/>
      <c r="AA343" s="63"/>
      <c r="AB343" s="63"/>
      <c r="AC343" s="302"/>
      <c r="AD343" s="302"/>
      <c r="AE343" s="63"/>
      <c r="AF343" s="63"/>
      <c r="AG343" s="63"/>
      <c r="AH343" s="63"/>
      <c r="AJ343" s="63"/>
      <c r="AK343" s="63"/>
      <c r="AL343" s="63"/>
    </row>
    <row r="344" spans="2:38" x14ac:dyDescent="0.25">
      <c r="B344" s="42">
        <v>45663</v>
      </c>
      <c r="C344" s="38"/>
      <c r="D344" s="38">
        <f t="shared" si="52"/>
        <v>122721.99742500018</v>
      </c>
      <c r="E344" s="38"/>
      <c r="F344" s="38"/>
      <c r="G344" s="38">
        <f t="shared" si="53"/>
        <v>122721.99742500018</v>
      </c>
      <c r="H344" s="38">
        <f t="shared" si="54"/>
        <v>26100000</v>
      </c>
      <c r="I344" s="38"/>
      <c r="J344" s="38"/>
      <c r="K344" s="38"/>
      <c r="L344" s="38"/>
      <c r="M344" s="38"/>
      <c r="N344" s="38"/>
      <c r="O344" s="38"/>
      <c r="P344" s="38">
        <f t="shared" ref="P344:R344" si="57">P343</f>
        <v>12000000</v>
      </c>
      <c r="Q344" s="38">
        <f t="shared" si="57"/>
        <v>45265110.719999999</v>
      </c>
      <c r="R344" s="38">
        <f t="shared" si="57"/>
        <v>30000000</v>
      </c>
      <c r="S344" s="78">
        <v>45663</v>
      </c>
      <c r="T344" s="63"/>
      <c r="U344" s="63">
        <f t="shared" si="50"/>
        <v>80882</v>
      </c>
      <c r="V344" s="63"/>
      <c r="W344" s="63"/>
      <c r="X344" s="63">
        <f t="shared" si="45"/>
        <v>80882</v>
      </c>
      <c r="Y344" s="63">
        <f t="shared" si="51"/>
        <v>13750000</v>
      </c>
      <c r="Z344" s="63"/>
      <c r="AA344" s="63"/>
      <c r="AB344" s="63"/>
      <c r="AC344" s="302"/>
      <c r="AD344" s="302"/>
      <c r="AE344" s="63"/>
      <c r="AF344" s="63"/>
      <c r="AG344" s="63"/>
      <c r="AH344" s="63"/>
      <c r="AJ344" s="63"/>
      <c r="AK344" s="63"/>
      <c r="AL344" s="63"/>
    </row>
    <row r="345" spans="2:38" x14ac:dyDescent="0.25">
      <c r="B345" s="42">
        <v>45664</v>
      </c>
      <c r="C345" s="38"/>
      <c r="D345" s="38">
        <f t="shared" si="52"/>
        <v>122721.99742500018</v>
      </c>
      <c r="E345" s="38"/>
      <c r="F345" s="38"/>
      <c r="G345" s="38">
        <f t="shared" si="53"/>
        <v>122721.99742500018</v>
      </c>
      <c r="H345" s="38">
        <f t="shared" si="54"/>
        <v>26100000</v>
      </c>
      <c r="I345" s="38"/>
      <c r="J345" s="38"/>
      <c r="K345" s="38"/>
      <c r="L345" s="38"/>
      <c r="M345" s="38"/>
      <c r="N345" s="38"/>
      <c r="O345" s="38"/>
      <c r="P345" s="38">
        <f t="shared" ref="P345:R345" si="58">P344</f>
        <v>12000000</v>
      </c>
      <c r="Q345" s="38">
        <f t="shared" si="58"/>
        <v>45265110.719999999</v>
      </c>
      <c r="R345" s="38">
        <f t="shared" si="58"/>
        <v>30000000</v>
      </c>
      <c r="S345" s="78">
        <v>45664</v>
      </c>
      <c r="T345" s="63"/>
      <c r="U345" s="63">
        <f t="shared" si="50"/>
        <v>80882</v>
      </c>
      <c r="V345" s="63"/>
      <c r="W345" s="63"/>
      <c r="X345" s="63">
        <f t="shared" si="45"/>
        <v>80882</v>
      </c>
      <c r="Y345" s="63">
        <f t="shared" si="51"/>
        <v>13750000</v>
      </c>
      <c r="Z345" s="63"/>
      <c r="AA345" s="63"/>
      <c r="AB345" s="63"/>
      <c r="AC345" s="302"/>
      <c r="AD345" s="302"/>
      <c r="AE345" s="63"/>
      <c r="AF345" s="63"/>
      <c r="AG345" s="63"/>
      <c r="AH345" s="63"/>
      <c r="AJ345" s="63"/>
      <c r="AK345" s="63"/>
      <c r="AL345" s="63"/>
    </row>
    <row r="346" spans="2:38" x14ac:dyDescent="0.25">
      <c r="B346" s="42">
        <v>45665</v>
      </c>
      <c r="C346" s="38"/>
      <c r="D346" s="38">
        <f t="shared" si="52"/>
        <v>122721.99742500018</v>
      </c>
      <c r="E346" s="38"/>
      <c r="F346" s="38">
        <v>249050.03257499984</v>
      </c>
      <c r="G346" s="38">
        <f t="shared" si="53"/>
        <v>371772.03</v>
      </c>
      <c r="H346" s="38">
        <f t="shared" si="54"/>
        <v>26100000</v>
      </c>
      <c r="I346" s="38"/>
      <c r="J346" s="38"/>
      <c r="K346" s="38"/>
      <c r="L346" s="38"/>
      <c r="M346" s="38"/>
      <c r="N346" s="38"/>
      <c r="O346" s="38"/>
      <c r="P346" s="38">
        <f t="shared" ref="P346:R346" si="59">P345</f>
        <v>12000000</v>
      </c>
      <c r="Q346" s="38">
        <f t="shared" si="59"/>
        <v>45265110.719999999</v>
      </c>
      <c r="R346" s="38">
        <f t="shared" si="59"/>
        <v>30000000</v>
      </c>
      <c r="S346" s="78">
        <v>45665</v>
      </c>
      <c r="T346" s="63"/>
      <c r="U346" s="63">
        <f t="shared" si="50"/>
        <v>80882</v>
      </c>
      <c r="V346" s="63"/>
      <c r="W346" s="63"/>
      <c r="X346" s="63">
        <f t="shared" si="45"/>
        <v>80882</v>
      </c>
      <c r="Y346" s="63">
        <f t="shared" si="51"/>
        <v>13750000</v>
      </c>
      <c r="Z346" s="63"/>
      <c r="AA346" s="63"/>
      <c r="AB346" s="63"/>
      <c r="AC346" s="302"/>
      <c r="AD346" s="302"/>
      <c r="AE346" s="63"/>
      <c r="AF346" s="63"/>
      <c r="AG346" s="63"/>
      <c r="AH346" s="63"/>
      <c r="AJ346" s="63"/>
      <c r="AK346" s="63"/>
      <c r="AL346" s="63"/>
    </row>
    <row r="347" spans="2:38" x14ac:dyDescent="0.25">
      <c r="B347" s="42">
        <v>45666</v>
      </c>
      <c r="C347" s="38"/>
      <c r="D347" s="38">
        <f t="shared" ref="D347:D406" si="60">C347+G346</f>
        <v>371772.03</v>
      </c>
      <c r="E347" s="83">
        <v>-300000</v>
      </c>
      <c r="F347" s="38"/>
      <c r="G347" s="38">
        <f t="shared" ref="G347:G406" si="61">D347+E347+F347</f>
        <v>71772.030000000028</v>
      </c>
      <c r="H347" s="38">
        <f t="shared" ref="H347:H406" si="62">H346-E347</f>
        <v>26400000</v>
      </c>
      <c r="I347" s="38"/>
      <c r="J347" s="38"/>
      <c r="K347" s="38"/>
      <c r="L347" s="38"/>
      <c r="M347" s="38"/>
      <c r="N347" s="38"/>
      <c r="O347" s="38"/>
      <c r="P347" s="38">
        <f t="shared" ref="P347:R347" si="63">P346</f>
        <v>12000000</v>
      </c>
      <c r="Q347" s="38">
        <f t="shared" si="63"/>
        <v>45265110.719999999</v>
      </c>
      <c r="R347" s="38">
        <f t="shared" si="63"/>
        <v>30000000</v>
      </c>
      <c r="S347" s="78">
        <v>45666</v>
      </c>
      <c r="T347" s="63"/>
      <c r="U347" s="63">
        <f t="shared" si="50"/>
        <v>80882</v>
      </c>
      <c r="V347" s="63"/>
      <c r="W347" s="63"/>
      <c r="X347" s="63">
        <f t="shared" si="45"/>
        <v>80882</v>
      </c>
      <c r="Y347" s="63">
        <f t="shared" si="51"/>
        <v>13750000</v>
      </c>
      <c r="Z347" s="63"/>
      <c r="AA347" s="63"/>
      <c r="AB347" s="63"/>
      <c r="AC347" s="302"/>
      <c r="AD347" s="302"/>
      <c r="AE347" s="63"/>
      <c r="AF347" s="63"/>
      <c r="AG347" s="63"/>
      <c r="AH347" s="63"/>
      <c r="AJ347" s="63"/>
      <c r="AK347" s="63"/>
      <c r="AL347" s="63"/>
    </row>
    <row r="348" spans="2:38" x14ac:dyDescent="0.25">
      <c r="B348" s="42">
        <v>45667</v>
      </c>
      <c r="C348" s="38"/>
      <c r="D348" s="38">
        <f t="shared" si="60"/>
        <v>71772.030000000028</v>
      </c>
      <c r="E348" s="38"/>
      <c r="F348" s="38"/>
      <c r="G348" s="38">
        <f t="shared" si="61"/>
        <v>71772.030000000028</v>
      </c>
      <c r="H348" s="38">
        <f t="shared" si="62"/>
        <v>26400000</v>
      </c>
      <c r="I348" s="38"/>
      <c r="J348" s="38"/>
      <c r="K348" s="38"/>
      <c r="L348" s="38"/>
      <c r="M348" s="38"/>
      <c r="N348" s="38"/>
      <c r="O348" s="38"/>
      <c r="P348" s="38">
        <f t="shared" ref="P348:R348" si="64">P347</f>
        <v>12000000</v>
      </c>
      <c r="Q348" s="38">
        <f t="shared" si="64"/>
        <v>45265110.719999999</v>
      </c>
      <c r="R348" s="38">
        <f t="shared" si="64"/>
        <v>30000000</v>
      </c>
      <c r="S348" s="78">
        <v>45667</v>
      </c>
      <c r="T348" s="63"/>
      <c r="U348" s="63">
        <f t="shared" si="50"/>
        <v>80882</v>
      </c>
      <c r="V348" s="63"/>
      <c r="W348" s="63"/>
      <c r="X348" s="63">
        <f t="shared" ref="X348:X406" si="65">V348+U348</f>
        <v>80882</v>
      </c>
      <c r="Y348" s="63">
        <f t="shared" si="51"/>
        <v>13750000</v>
      </c>
      <c r="Z348" s="63"/>
      <c r="AA348" s="63"/>
      <c r="AB348" s="63"/>
      <c r="AC348" s="302"/>
      <c r="AD348" s="302"/>
      <c r="AE348" s="63"/>
      <c r="AF348" s="63"/>
      <c r="AG348" s="63"/>
      <c r="AH348" s="63"/>
      <c r="AJ348" s="63"/>
      <c r="AK348" s="63"/>
      <c r="AL348" s="63"/>
    </row>
    <row r="349" spans="2:38" x14ac:dyDescent="0.25">
      <c r="B349" s="42">
        <v>45668</v>
      </c>
      <c r="C349" s="38"/>
      <c r="D349" s="38">
        <f t="shared" si="60"/>
        <v>71772.030000000028</v>
      </c>
      <c r="E349" s="38"/>
      <c r="F349" s="38"/>
      <c r="G349" s="38">
        <f t="shared" si="61"/>
        <v>71772.030000000028</v>
      </c>
      <c r="H349" s="38">
        <f t="shared" si="62"/>
        <v>26400000</v>
      </c>
      <c r="I349" s="38"/>
      <c r="J349" s="38"/>
      <c r="K349" s="38"/>
      <c r="L349" s="38"/>
      <c r="M349" s="38"/>
      <c r="N349" s="38"/>
      <c r="O349" s="38"/>
      <c r="P349" s="38">
        <f t="shared" ref="P349:R349" si="66">P348</f>
        <v>12000000</v>
      </c>
      <c r="Q349" s="38">
        <f t="shared" si="66"/>
        <v>45265110.719999999</v>
      </c>
      <c r="R349" s="38">
        <f t="shared" si="66"/>
        <v>30000000</v>
      </c>
      <c r="S349" s="78">
        <v>45668</v>
      </c>
      <c r="T349" s="63"/>
      <c r="U349" s="63">
        <f t="shared" si="50"/>
        <v>80882</v>
      </c>
      <c r="V349" s="63"/>
      <c r="W349" s="63"/>
      <c r="X349" s="63">
        <f t="shared" si="65"/>
        <v>80882</v>
      </c>
      <c r="Y349" s="63">
        <f t="shared" si="51"/>
        <v>13750000</v>
      </c>
      <c r="Z349" s="63"/>
      <c r="AA349" s="63"/>
      <c r="AB349" s="63"/>
      <c r="AC349" s="302"/>
      <c r="AD349" s="302"/>
      <c r="AE349" s="63"/>
      <c r="AF349" s="63"/>
      <c r="AG349" s="63"/>
      <c r="AH349" s="63"/>
      <c r="AJ349" s="63"/>
      <c r="AK349" s="63"/>
      <c r="AL349" s="63"/>
    </row>
    <row r="350" spans="2:38" x14ac:dyDescent="0.25">
      <c r="B350" s="42">
        <v>45669</v>
      </c>
      <c r="C350" s="38"/>
      <c r="D350" s="38">
        <f t="shared" si="60"/>
        <v>71772.030000000028</v>
      </c>
      <c r="E350" s="38"/>
      <c r="F350" s="38"/>
      <c r="G350" s="38">
        <f t="shared" si="61"/>
        <v>71772.030000000028</v>
      </c>
      <c r="H350" s="38">
        <f t="shared" si="62"/>
        <v>26400000</v>
      </c>
      <c r="I350" s="38"/>
      <c r="J350" s="38"/>
      <c r="K350" s="38"/>
      <c r="L350" s="38"/>
      <c r="M350" s="38"/>
      <c r="N350" s="38"/>
      <c r="O350" s="38"/>
      <c r="P350" s="38">
        <f t="shared" ref="P350:R350" si="67">P349</f>
        <v>12000000</v>
      </c>
      <c r="Q350" s="38">
        <f t="shared" si="67"/>
        <v>45265110.719999999</v>
      </c>
      <c r="R350" s="38">
        <f t="shared" si="67"/>
        <v>30000000</v>
      </c>
      <c r="S350" s="78">
        <v>45669</v>
      </c>
      <c r="T350" s="63"/>
      <c r="U350" s="63">
        <f t="shared" si="50"/>
        <v>80882</v>
      </c>
      <c r="V350" s="63"/>
      <c r="W350" s="63"/>
      <c r="X350" s="63">
        <f t="shared" si="65"/>
        <v>80882</v>
      </c>
      <c r="Y350" s="63">
        <f t="shared" si="51"/>
        <v>13750000</v>
      </c>
      <c r="Z350" s="63"/>
      <c r="AA350" s="63"/>
      <c r="AB350" s="63"/>
      <c r="AC350" s="302"/>
      <c r="AD350" s="302"/>
      <c r="AE350" s="63"/>
      <c r="AF350" s="63"/>
      <c r="AG350" s="63"/>
      <c r="AH350" s="63"/>
      <c r="AJ350" s="63"/>
      <c r="AK350" s="63"/>
      <c r="AL350" s="63"/>
    </row>
    <row r="351" spans="2:38" x14ac:dyDescent="0.25">
      <c r="B351" s="42">
        <v>45670</v>
      </c>
      <c r="C351" s="38">
        <v>-1652673.15</v>
      </c>
      <c r="D351" s="38">
        <f t="shared" si="60"/>
        <v>-1580901.1199999999</v>
      </c>
      <c r="E351" s="83">
        <v>1700000</v>
      </c>
      <c r="F351" s="38"/>
      <c r="G351" s="38">
        <f t="shared" si="61"/>
        <v>119098.88000000012</v>
      </c>
      <c r="H351" s="38">
        <f t="shared" si="62"/>
        <v>24700000</v>
      </c>
      <c r="I351" s="38"/>
      <c r="J351" s="38"/>
      <c r="K351" s="38"/>
      <c r="L351" s="38"/>
      <c r="M351" s="38"/>
      <c r="N351" s="38"/>
      <c r="O351" s="38"/>
      <c r="P351" s="38">
        <f t="shared" ref="P351:R351" si="68">P350</f>
        <v>12000000</v>
      </c>
      <c r="Q351" s="38">
        <f t="shared" si="68"/>
        <v>45265110.719999999</v>
      </c>
      <c r="R351" s="38">
        <f t="shared" si="68"/>
        <v>30000000</v>
      </c>
      <c r="S351" s="78">
        <v>45670</v>
      </c>
      <c r="T351" s="63">
        <v>-510223.87</v>
      </c>
      <c r="U351" s="63">
        <f t="shared" si="50"/>
        <v>-432799.14</v>
      </c>
      <c r="V351" s="84">
        <v>500000</v>
      </c>
      <c r="W351" s="63">
        <f>67200.86-70658.13</f>
        <v>-3457.2700000000041</v>
      </c>
      <c r="X351" s="63">
        <f t="shared" si="65"/>
        <v>67200.859999999986</v>
      </c>
      <c r="Y351" s="63">
        <f t="shared" si="51"/>
        <v>13250000</v>
      </c>
      <c r="Z351" s="63"/>
      <c r="AA351" s="63"/>
      <c r="AB351" s="63"/>
      <c r="AC351" s="302"/>
      <c r="AD351" s="302"/>
      <c r="AE351" s="63"/>
      <c r="AF351" s="63"/>
      <c r="AG351" s="63"/>
      <c r="AH351" s="63"/>
      <c r="AJ351" s="63"/>
      <c r="AK351" s="63"/>
      <c r="AL351" s="63"/>
    </row>
    <row r="352" spans="2:38" x14ac:dyDescent="0.25">
      <c r="B352" s="42">
        <v>45671</v>
      </c>
      <c r="C352" s="38"/>
      <c r="D352" s="38">
        <f t="shared" si="60"/>
        <v>119098.88000000012</v>
      </c>
      <c r="E352" s="38"/>
      <c r="F352" s="38">
        <v>-5607.5100000001257</v>
      </c>
      <c r="G352" s="38">
        <f t="shared" si="61"/>
        <v>113491.37</v>
      </c>
      <c r="H352" s="38">
        <f t="shared" si="62"/>
        <v>24700000</v>
      </c>
      <c r="I352" s="38"/>
      <c r="J352" s="38"/>
      <c r="K352" s="38"/>
      <c r="L352" s="38"/>
      <c r="M352" s="38"/>
      <c r="N352" s="38"/>
      <c r="O352" s="38"/>
      <c r="P352" s="38">
        <f t="shared" ref="P352:R352" si="69">P351</f>
        <v>12000000</v>
      </c>
      <c r="Q352" s="38">
        <f t="shared" si="69"/>
        <v>45265110.719999999</v>
      </c>
      <c r="R352" s="38">
        <f t="shared" si="69"/>
        <v>30000000</v>
      </c>
      <c r="S352" s="78">
        <v>45671</v>
      </c>
      <c r="T352" s="63"/>
      <c r="U352" s="63">
        <f t="shared" si="50"/>
        <v>67200.859999999986</v>
      </c>
      <c r="V352" s="63"/>
      <c r="W352" s="63"/>
      <c r="X352" s="63">
        <f t="shared" si="65"/>
        <v>67200.859999999986</v>
      </c>
      <c r="Y352" s="63">
        <f t="shared" si="51"/>
        <v>13250000</v>
      </c>
      <c r="Z352" s="63"/>
      <c r="AA352" s="63"/>
      <c r="AB352" s="63"/>
      <c r="AC352" s="302"/>
      <c r="AD352" s="302"/>
      <c r="AE352" s="63"/>
      <c r="AF352" s="63"/>
      <c r="AG352" s="63"/>
      <c r="AH352" s="63"/>
      <c r="AJ352" s="63"/>
      <c r="AK352" s="63"/>
      <c r="AL352" s="63"/>
    </row>
    <row r="353" spans="2:38" x14ac:dyDescent="0.25">
      <c r="B353" s="42">
        <v>45672</v>
      </c>
      <c r="C353" s="38"/>
      <c r="D353" s="38">
        <f t="shared" si="60"/>
        <v>113491.37</v>
      </c>
      <c r="E353" s="56"/>
      <c r="F353" s="38"/>
      <c r="G353" s="38">
        <f t="shared" si="61"/>
        <v>113491.37</v>
      </c>
      <c r="H353" s="38">
        <f t="shared" si="62"/>
        <v>24700000</v>
      </c>
      <c r="I353" s="38"/>
      <c r="J353" s="38"/>
      <c r="K353" s="38"/>
      <c r="L353" s="38"/>
      <c r="M353" s="38"/>
      <c r="N353" s="38"/>
      <c r="O353" s="38"/>
      <c r="P353" s="38">
        <f t="shared" ref="P353:R353" si="70">P352</f>
        <v>12000000</v>
      </c>
      <c r="Q353" s="38">
        <f t="shared" si="70"/>
        <v>45265110.719999999</v>
      </c>
      <c r="R353" s="38">
        <f t="shared" si="70"/>
        <v>30000000</v>
      </c>
      <c r="S353" s="78">
        <v>45672</v>
      </c>
      <c r="T353" s="63"/>
      <c r="U353" s="63">
        <f t="shared" si="50"/>
        <v>67200.859999999986</v>
      </c>
      <c r="V353" s="63"/>
      <c r="W353" s="63"/>
      <c r="X353" s="63">
        <f t="shared" si="65"/>
        <v>67200.859999999986</v>
      </c>
      <c r="Y353" s="63">
        <f t="shared" si="51"/>
        <v>13250000</v>
      </c>
      <c r="Z353" s="63"/>
      <c r="AA353" s="63"/>
      <c r="AB353" s="63"/>
      <c r="AC353" s="302"/>
      <c r="AD353" s="302"/>
      <c r="AE353" s="63"/>
      <c r="AF353" s="63"/>
      <c r="AG353" s="63"/>
      <c r="AH353" s="63"/>
      <c r="AJ353" s="63"/>
      <c r="AK353" s="63"/>
      <c r="AL353" s="63"/>
    </row>
    <row r="354" spans="2:38" x14ac:dyDescent="0.25">
      <c r="B354" s="42">
        <v>45673</v>
      </c>
      <c r="C354" s="38">
        <f>-435986.83-9404</f>
        <v>-445390.83</v>
      </c>
      <c r="D354" s="38">
        <f t="shared" si="60"/>
        <v>-331899.46000000002</v>
      </c>
      <c r="E354" s="83">
        <v>450000</v>
      </c>
      <c r="F354" s="38">
        <v>42016.21</v>
      </c>
      <c r="G354" s="38">
        <f t="shared" si="61"/>
        <v>160116.74999999997</v>
      </c>
      <c r="H354" s="38">
        <f t="shared" si="62"/>
        <v>24250000</v>
      </c>
      <c r="I354" s="38"/>
      <c r="J354" s="38"/>
      <c r="K354" s="38"/>
      <c r="L354" s="38"/>
      <c r="M354" s="38"/>
      <c r="N354" s="38"/>
      <c r="O354" s="38"/>
      <c r="P354" s="38">
        <f t="shared" ref="P354:R354" si="71">P353</f>
        <v>12000000</v>
      </c>
      <c r="Q354" s="38">
        <f t="shared" si="71"/>
        <v>45265110.719999999</v>
      </c>
      <c r="R354" s="38">
        <f t="shared" si="71"/>
        <v>30000000</v>
      </c>
      <c r="S354" s="78">
        <v>45673</v>
      </c>
      <c r="T354" s="63"/>
      <c r="U354" s="63">
        <f t="shared" si="50"/>
        <v>67200.859999999986</v>
      </c>
      <c r="V354" s="63"/>
      <c r="W354" s="63"/>
      <c r="X354" s="63">
        <f t="shared" si="65"/>
        <v>67200.859999999986</v>
      </c>
      <c r="Y354" s="63">
        <f t="shared" si="51"/>
        <v>13250000</v>
      </c>
      <c r="Z354" s="63"/>
      <c r="AA354" s="63"/>
      <c r="AB354" s="63"/>
      <c r="AC354" s="302"/>
      <c r="AD354" s="302"/>
      <c r="AE354" s="63"/>
      <c r="AF354" s="63"/>
      <c r="AG354" s="63"/>
      <c r="AH354" s="63"/>
      <c r="AJ354" s="63"/>
      <c r="AK354" s="63"/>
      <c r="AL354" s="63"/>
    </row>
    <row r="355" spans="2:38" x14ac:dyDescent="0.25">
      <c r="B355" s="42">
        <v>45674</v>
      </c>
      <c r="C355" s="38"/>
      <c r="D355" s="38">
        <f t="shared" si="60"/>
        <v>160116.74999999997</v>
      </c>
      <c r="E355" s="83">
        <v>-50000</v>
      </c>
      <c r="F355" s="38"/>
      <c r="G355" s="38">
        <f t="shared" si="61"/>
        <v>110116.74999999997</v>
      </c>
      <c r="H355" s="38">
        <f t="shared" si="62"/>
        <v>24300000</v>
      </c>
      <c r="I355" s="38"/>
      <c r="J355" s="38"/>
      <c r="K355" s="38"/>
      <c r="L355" s="38"/>
      <c r="M355" s="38"/>
      <c r="N355" s="38"/>
      <c r="O355" s="38"/>
      <c r="P355" s="38">
        <f t="shared" ref="P355:R355" si="72">P354</f>
        <v>12000000</v>
      </c>
      <c r="Q355" s="38">
        <f t="shared" si="72"/>
        <v>45265110.719999999</v>
      </c>
      <c r="R355" s="38">
        <f t="shared" si="72"/>
        <v>30000000</v>
      </c>
      <c r="S355" s="78">
        <v>45674</v>
      </c>
      <c r="T355" s="63"/>
      <c r="U355" s="63">
        <f t="shared" si="50"/>
        <v>67200.859999999986</v>
      </c>
      <c r="V355" s="63"/>
      <c r="W355" s="63"/>
      <c r="X355" s="63">
        <f t="shared" si="65"/>
        <v>67200.859999999986</v>
      </c>
      <c r="Y355" s="63">
        <f t="shared" si="51"/>
        <v>13250000</v>
      </c>
      <c r="Z355" s="63"/>
      <c r="AA355" s="63"/>
      <c r="AB355" s="63"/>
      <c r="AC355" s="302"/>
      <c r="AD355" s="302"/>
      <c r="AE355" s="63"/>
      <c r="AF355" s="63"/>
      <c r="AG355" s="63"/>
      <c r="AH355" s="63"/>
      <c r="AJ355" s="63"/>
      <c r="AK355" s="63"/>
      <c r="AL355" s="63"/>
    </row>
    <row r="356" spans="2:38" x14ac:dyDescent="0.25">
      <c r="B356" s="42">
        <v>45675</v>
      </c>
      <c r="C356" s="38"/>
      <c r="D356" s="38">
        <f t="shared" si="60"/>
        <v>110116.74999999997</v>
      </c>
      <c r="E356" s="38"/>
      <c r="F356" s="38"/>
      <c r="G356" s="38">
        <f t="shared" si="61"/>
        <v>110116.74999999997</v>
      </c>
      <c r="H356" s="38">
        <f t="shared" si="62"/>
        <v>24300000</v>
      </c>
      <c r="I356" s="38"/>
      <c r="J356" s="38"/>
      <c r="K356" s="38"/>
      <c r="L356" s="38"/>
      <c r="M356" s="38"/>
      <c r="N356" s="38"/>
      <c r="O356" s="38"/>
      <c r="P356" s="38">
        <f t="shared" ref="P356:R356" si="73">P355</f>
        <v>12000000</v>
      </c>
      <c r="Q356" s="38">
        <f t="shared" si="73"/>
        <v>45265110.719999999</v>
      </c>
      <c r="R356" s="38">
        <f t="shared" si="73"/>
        <v>30000000</v>
      </c>
      <c r="S356" s="78">
        <v>45675</v>
      </c>
      <c r="T356" s="63"/>
      <c r="U356" s="63">
        <f t="shared" si="50"/>
        <v>67200.859999999986</v>
      </c>
      <c r="V356" s="63"/>
      <c r="W356" s="63"/>
      <c r="X356" s="63">
        <f t="shared" si="65"/>
        <v>67200.859999999986</v>
      </c>
      <c r="Y356" s="63">
        <f t="shared" si="51"/>
        <v>13250000</v>
      </c>
      <c r="Z356" s="63"/>
      <c r="AA356" s="63"/>
      <c r="AB356" s="63"/>
      <c r="AC356" s="302"/>
      <c r="AD356" s="302"/>
      <c r="AE356" s="63"/>
      <c r="AF356" s="63"/>
      <c r="AG356" s="63"/>
      <c r="AH356" s="63"/>
      <c r="AJ356" s="63"/>
      <c r="AK356" s="63"/>
      <c r="AL356" s="63"/>
    </row>
    <row r="357" spans="2:38" x14ac:dyDescent="0.25">
      <c r="B357" s="42">
        <v>45676</v>
      </c>
      <c r="C357" s="38"/>
      <c r="D357" s="38">
        <f t="shared" si="60"/>
        <v>110116.74999999997</v>
      </c>
      <c r="E357" s="38"/>
      <c r="F357" s="38">
        <v>8611.1800000000221</v>
      </c>
      <c r="G357" s="38">
        <f t="shared" si="61"/>
        <v>118727.93</v>
      </c>
      <c r="H357" s="38">
        <f t="shared" si="62"/>
        <v>24300000</v>
      </c>
      <c r="I357" s="38"/>
      <c r="J357" s="38"/>
      <c r="K357" s="38"/>
      <c r="L357" s="38"/>
      <c r="M357" s="38"/>
      <c r="N357" s="38"/>
      <c r="O357" s="38"/>
      <c r="P357" s="38">
        <f t="shared" ref="P357:R357" si="74">P356</f>
        <v>12000000</v>
      </c>
      <c r="Q357" s="38">
        <f t="shared" si="74"/>
        <v>45265110.719999999</v>
      </c>
      <c r="R357" s="38">
        <f t="shared" si="74"/>
        <v>30000000</v>
      </c>
      <c r="S357" s="78">
        <v>45676</v>
      </c>
      <c r="T357" s="63"/>
      <c r="U357" s="63">
        <f t="shared" si="50"/>
        <v>67200.859999999986</v>
      </c>
      <c r="V357" s="63"/>
      <c r="W357" s="63"/>
      <c r="X357" s="63">
        <f t="shared" si="65"/>
        <v>67200.859999999986</v>
      </c>
      <c r="Y357" s="63">
        <f t="shared" si="51"/>
        <v>13250000</v>
      </c>
      <c r="Z357" s="63"/>
      <c r="AA357" s="63"/>
      <c r="AB357" s="63"/>
      <c r="AC357" s="302"/>
      <c r="AD357" s="302"/>
      <c r="AE357" s="63"/>
      <c r="AF357" s="63"/>
      <c r="AG357" s="63"/>
      <c r="AH357" s="63"/>
      <c r="AJ357" s="63"/>
      <c r="AK357" s="63"/>
      <c r="AL357" s="63"/>
    </row>
    <row r="358" spans="2:38" x14ac:dyDescent="0.25">
      <c r="B358" s="42">
        <v>45677</v>
      </c>
      <c r="C358" s="38"/>
      <c r="D358" s="38">
        <f t="shared" si="60"/>
        <v>118727.93</v>
      </c>
      <c r="E358" s="83"/>
      <c r="F358" s="38"/>
      <c r="G358" s="38">
        <f t="shared" si="61"/>
        <v>118727.93</v>
      </c>
      <c r="H358" s="38">
        <f t="shared" si="62"/>
        <v>24300000</v>
      </c>
      <c r="I358" s="38"/>
      <c r="J358" s="38"/>
      <c r="K358" s="38"/>
      <c r="L358" s="38"/>
      <c r="M358" s="38"/>
      <c r="N358" s="38"/>
      <c r="O358" s="38"/>
      <c r="P358" s="38">
        <f t="shared" ref="P358:R358" si="75">P357</f>
        <v>12000000</v>
      </c>
      <c r="Q358" s="38">
        <f t="shared" si="75"/>
        <v>45265110.719999999</v>
      </c>
      <c r="R358" s="38">
        <f t="shared" si="75"/>
        <v>30000000</v>
      </c>
      <c r="S358" s="78">
        <v>45677</v>
      </c>
      <c r="T358" s="63"/>
      <c r="U358" s="63">
        <f t="shared" si="50"/>
        <v>67200.859999999986</v>
      </c>
      <c r="V358" s="63"/>
      <c r="W358" s="63"/>
      <c r="X358" s="63">
        <f t="shared" si="65"/>
        <v>67200.859999999986</v>
      </c>
      <c r="Y358" s="63">
        <f t="shared" si="51"/>
        <v>13250000</v>
      </c>
      <c r="Z358" s="63"/>
      <c r="AA358" s="63"/>
      <c r="AB358" s="63"/>
      <c r="AC358" s="302"/>
      <c r="AD358" s="302"/>
      <c r="AE358" s="63"/>
      <c r="AF358" s="63"/>
      <c r="AG358" s="63"/>
      <c r="AH358" s="63"/>
      <c r="AJ358" s="63"/>
      <c r="AK358" s="63"/>
      <c r="AL358" s="63"/>
    </row>
    <row r="359" spans="2:38" x14ac:dyDescent="0.25">
      <c r="B359" s="42">
        <v>45678</v>
      </c>
      <c r="C359" s="38">
        <v>-5362743.5999999996</v>
      </c>
      <c r="D359" s="38">
        <f t="shared" si="60"/>
        <v>-5244015.67</v>
      </c>
      <c r="E359" s="83">
        <v>5350000</v>
      </c>
      <c r="F359" s="38">
        <f>135238.58-105984.33</f>
        <v>29254.249999999985</v>
      </c>
      <c r="G359" s="38">
        <f t="shared" si="61"/>
        <v>135238.58000000007</v>
      </c>
      <c r="H359" s="38">
        <f t="shared" si="62"/>
        <v>18950000</v>
      </c>
      <c r="I359" s="38"/>
      <c r="J359" s="38"/>
      <c r="K359" s="38"/>
      <c r="L359" s="38"/>
      <c r="M359" s="38"/>
      <c r="N359" s="38"/>
      <c r="O359" s="38"/>
      <c r="P359" s="38">
        <f t="shared" ref="P359:R359" si="76">P358</f>
        <v>12000000</v>
      </c>
      <c r="Q359" s="38">
        <f t="shared" si="76"/>
        <v>45265110.719999999</v>
      </c>
      <c r="R359" s="38">
        <f t="shared" si="76"/>
        <v>30000000</v>
      </c>
      <c r="S359" s="78">
        <v>45678</v>
      </c>
      <c r="T359" s="63"/>
      <c r="U359" s="63">
        <f t="shared" si="50"/>
        <v>67200.859999999986</v>
      </c>
      <c r="V359" s="63"/>
      <c r="W359" s="63"/>
      <c r="X359" s="63">
        <f t="shared" si="65"/>
        <v>67200.859999999986</v>
      </c>
      <c r="Y359" s="63">
        <f t="shared" si="51"/>
        <v>13250000</v>
      </c>
      <c r="Z359" s="63"/>
      <c r="AA359" s="63"/>
      <c r="AB359" s="63"/>
      <c r="AC359" s="302"/>
      <c r="AD359" s="302"/>
      <c r="AE359" s="63"/>
      <c r="AF359" s="63"/>
      <c r="AG359" s="63"/>
      <c r="AH359" s="63"/>
      <c r="AJ359" s="63"/>
      <c r="AK359" s="63"/>
      <c r="AL359" s="63"/>
    </row>
    <row r="360" spans="2:38" x14ac:dyDescent="0.25">
      <c r="B360" s="42">
        <v>45679</v>
      </c>
      <c r="C360" s="38">
        <v>-60712.42</v>
      </c>
      <c r="D360" s="38">
        <f t="shared" si="60"/>
        <v>74526.160000000076</v>
      </c>
      <c r="E360" s="38"/>
      <c r="F360" s="38"/>
      <c r="G360" s="38">
        <f t="shared" si="61"/>
        <v>74526.160000000076</v>
      </c>
      <c r="H360" s="38">
        <f t="shared" si="62"/>
        <v>18950000</v>
      </c>
      <c r="I360" s="38"/>
      <c r="J360" s="38"/>
      <c r="K360" s="38"/>
      <c r="L360" s="38"/>
      <c r="M360" s="38"/>
      <c r="N360" s="38"/>
      <c r="O360" s="38"/>
      <c r="P360" s="38">
        <f t="shared" ref="P360:R360" si="77">P359</f>
        <v>12000000</v>
      </c>
      <c r="Q360" s="38">
        <f t="shared" si="77"/>
        <v>45265110.719999999</v>
      </c>
      <c r="R360" s="38">
        <f t="shared" si="77"/>
        <v>30000000</v>
      </c>
      <c r="S360" s="78">
        <v>45679</v>
      </c>
      <c r="T360" s="63"/>
      <c r="U360" s="63">
        <f t="shared" si="50"/>
        <v>67200.859999999986</v>
      </c>
      <c r="V360" s="63"/>
      <c r="W360" s="63"/>
      <c r="X360" s="63">
        <f t="shared" si="65"/>
        <v>67200.859999999986</v>
      </c>
      <c r="Y360" s="63">
        <f t="shared" si="51"/>
        <v>13250000</v>
      </c>
      <c r="Z360" s="63"/>
      <c r="AA360" s="63"/>
      <c r="AB360" s="63"/>
      <c r="AC360" s="302"/>
      <c r="AD360" s="302"/>
      <c r="AE360" s="63"/>
      <c r="AF360" s="63"/>
      <c r="AG360" s="63"/>
      <c r="AH360" s="63"/>
      <c r="AJ360" s="63"/>
      <c r="AK360" s="63"/>
      <c r="AL360" s="63"/>
    </row>
    <row r="361" spans="2:38" x14ac:dyDescent="0.25">
      <c r="B361" s="42">
        <v>45680</v>
      </c>
      <c r="C361" s="38"/>
      <c r="D361" s="38">
        <f t="shared" si="60"/>
        <v>74526.160000000076</v>
      </c>
      <c r="E361" s="38"/>
      <c r="F361" s="38">
        <v>-4285.5500000000757</v>
      </c>
      <c r="G361" s="38">
        <f t="shared" si="61"/>
        <v>70240.61</v>
      </c>
      <c r="H361" s="38">
        <f t="shared" si="62"/>
        <v>18950000</v>
      </c>
      <c r="I361" s="38"/>
      <c r="J361" s="38"/>
      <c r="K361" s="38"/>
      <c r="L361" s="38"/>
      <c r="M361" s="38"/>
      <c r="N361" s="38"/>
      <c r="O361" s="38"/>
      <c r="P361" s="38">
        <f t="shared" ref="P361:R361" si="78">P360</f>
        <v>12000000</v>
      </c>
      <c r="Q361" s="38">
        <f t="shared" si="78"/>
        <v>45265110.719999999</v>
      </c>
      <c r="R361" s="38">
        <f t="shared" si="78"/>
        <v>30000000</v>
      </c>
      <c r="S361" s="78">
        <v>45680</v>
      </c>
      <c r="T361" s="63"/>
      <c r="U361" s="63">
        <f t="shared" si="50"/>
        <v>67200.859999999986</v>
      </c>
      <c r="V361" s="63"/>
      <c r="W361" s="63"/>
      <c r="X361" s="63">
        <f t="shared" si="65"/>
        <v>67200.859999999986</v>
      </c>
      <c r="Y361" s="63">
        <f t="shared" si="51"/>
        <v>13250000</v>
      </c>
      <c r="Z361" s="63"/>
      <c r="AA361" s="63"/>
      <c r="AB361" s="63"/>
      <c r="AC361" s="302"/>
      <c r="AD361" s="302"/>
      <c r="AE361" s="63"/>
      <c r="AF361" s="63"/>
      <c r="AG361" s="63"/>
      <c r="AH361" s="63"/>
      <c r="AJ361" s="63"/>
      <c r="AK361" s="63"/>
      <c r="AL361" s="63"/>
    </row>
    <row r="362" spans="2:38" x14ac:dyDescent="0.25">
      <c r="B362" s="42">
        <v>45681</v>
      </c>
      <c r="C362" s="38"/>
      <c r="D362" s="38">
        <f t="shared" si="60"/>
        <v>70240.61</v>
      </c>
      <c r="E362" s="38"/>
      <c r="F362" s="38">
        <v>50000</v>
      </c>
      <c r="G362" s="38">
        <f t="shared" si="61"/>
        <v>120240.61</v>
      </c>
      <c r="H362" s="38">
        <f t="shared" si="62"/>
        <v>18950000</v>
      </c>
      <c r="I362" s="38"/>
      <c r="J362" s="38"/>
      <c r="K362" s="38"/>
      <c r="L362" s="38"/>
      <c r="M362" s="38"/>
      <c r="N362" s="38"/>
      <c r="O362" s="38"/>
      <c r="P362" s="38">
        <f t="shared" ref="P362:R362" si="79">P361</f>
        <v>12000000</v>
      </c>
      <c r="Q362" s="38">
        <f t="shared" si="79"/>
        <v>45265110.719999999</v>
      </c>
      <c r="R362" s="38">
        <f t="shared" si="79"/>
        <v>30000000</v>
      </c>
      <c r="S362" s="78">
        <v>45681</v>
      </c>
      <c r="T362" s="63"/>
      <c r="U362" s="63">
        <f t="shared" si="50"/>
        <v>69149.679999999993</v>
      </c>
      <c r="V362" s="63"/>
      <c r="W362" s="63">
        <v>1948.820000000007</v>
      </c>
      <c r="X362" s="63">
        <f t="shared" si="65"/>
        <v>69149.679999999993</v>
      </c>
      <c r="Y362" s="63">
        <f t="shared" si="51"/>
        <v>13250000</v>
      </c>
      <c r="Z362" s="63"/>
      <c r="AA362" s="63"/>
      <c r="AB362" s="63"/>
      <c r="AC362" s="302"/>
      <c r="AD362" s="302"/>
      <c r="AE362" s="63"/>
      <c r="AF362" s="63"/>
      <c r="AG362" s="63"/>
      <c r="AH362" s="63"/>
      <c r="AJ362" s="63"/>
      <c r="AK362" s="63"/>
      <c r="AL362" s="63"/>
    </row>
    <row r="363" spans="2:38" x14ac:dyDescent="0.25">
      <c r="B363" s="42">
        <v>45682</v>
      </c>
      <c r="C363" s="38"/>
      <c r="D363" s="38">
        <f t="shared" si="60"/>
        <v>120240.61</v>
      </c>
      <c r="E363" s="38"/>
      <c r="F363" s="38"/>
      <c r="G363" s="38">
        <f t="shared" si="61"/>
        <v>120240.61</v>
      </c>
      <c r="H363" s="38">
        <f t="shared" si="62"/>
        <v>18950000</v>
      </c>
      <c r="I363" s="38"/>
      <c r="J363" s="38"/>
      <c r="K363" s="38"/>
      <c r="L363" s="38"/>
      <c r="M363" s="38"/>
      <c r="N363" s="38"/>
      <c r="O363" s="38"/>
      <c r="P363" s="38">
        <f t="shared" ref="P363:R363" si="80">P362</f>
        <v>12000000</v>
      </c>
      <c r="Q363" s="38">
        <f t="shared" si="80"/>
        <v>45265110.719999999</v>
      </c>
      <c r="R363" s="38">
        <f t="shared" si="80"/>
        <v>30000000</v>
      </c>
      <c r="S363" s="78">
        <v>45682</v>
      </c>
      <c r="T363" s="63"/>
      <c r="U363" s="63">
        <f t="shared" si="50"/>
        <v>69149.679999999993</v>
      </c>
      <c r="V363" s="63"/>
      <c r="W363" s="63"/>
      <c r="X363" s="63">
        <f t="shared" si="65"/>
        <v>69149.679999999993</v>
      </c>
      <c r="Y363" s="63">
        <f t="shared" si="51"/>
        <v>13250000</v>
      </c>
      <c r="Z363" s="63"/>
      <c r="AA363" s="63"/>
      <c r="AB363" s="63"/>
      <c r="AC363" s="302"/>
      <c r="AD363" s="302"/>
      <c r="AE363" s="63"/>
      <c r="AF363" s="63"/>
      <c r="AG363" s="63"/>
      <c r="AH363" s="63"/>
      <c r="AJ363" s="63"/>
      <c r="AK363" s="63"/>
      <c r="AL363" s="63"/>
    </row>
    <row r="364" spans="2:38" x14ac:dyDescent="0.25">
      <c r="B364" s="42">
        <v>45683</v>
      </c>
      <c r="C364" s="38"/>
      <c r="D364" s="38">
        <f t="shared" si="60"/>
        <v>120240.61</v>
      </c>
      <c r="E364" s="38"/>
      <c r="F364" s="38"/>
      <c r="G364" s="38">
        <f t="shared" si="61"/>
        <v>120240.61</v>
      </c>
      <c r="H364" s="38">
        <f t="shared" si="62"/>
        <v>18950000</v>
      </c>
      <c r="I364" s="38"/>
      <c r="J364" s="38"/>
      <c r="K364" s="38"/>
      <c r="L364" s="38"/>
      <c r="M364" s="38"/>
      <c r="N364" s="38"/>
      <c r="O364" s="38"/>
      <c r="P364" s="38">
        <f t="shared" ref="P364:R364" si="81">P363</f>
        <v>12000000</v>
      </c>
      <c r="Q364" s="38">
        <f t="shared" si="81"/>
        <v>45265110.719999999</v>
      </c>
      <c r="R364" s="38">
        <f t="shared" si="81"/>
        <v>30000000</v>
      </c>
      <c r="S364" s="78">
        <v>45683</v>
      </c>
      <c r="T364" s="63"/>
      <c r="U364" s="63">
        <f t="shared" si="50"/>
        <v>69149.679999999993</v>
      </c>
      <c r="V364" s="63"/>
      <c r="W364" s="63"/>
      <c r="X364" s="63">
        <f t="shared" si="65"/>
        <v>69149.679999999993</v>
      </c>
      <c r="Y364" s="63">
        <f t="shared" si="51"/>
        <v>13250000</v>
      </c>
      <c r="Z364" s="63"/>
      <c r="AA364" s="63"/>
      <c r="AB364" s="63"/>
      <c r="AC364" s="302"/>
      <c r="AD364" s="302"/>
      <c r="AE364" s="63"/>
      <c r="AF364" s="63"/>
      <c r="AG364" s="63"/>
      <c r="AH364" s="63"/>
      <c r="AJ364" s="63"/>
      <c r="AK364" s="63"/>
      <c r="AL364" s="63"/>
    </row>
    <row r="365" spans="2:38" x14ac:dyDescent="0.25">
      <c r="B365" s="42">
        <v>45684</v>
      </c>
      <c r="C365" s="38">
        <v>-6709131.9800000004</v>
      </c>
      <c r="D365" s="38">
        <f t="shared" si="60"/>
        <v>-6588891.3700000001</v>
      </c>
      <c r="E365" s="83">
        <v>6700000</v>
      </c>
      <c r="F365" s="38">
        <v>50000</v>
      </c>
      <c r="G365" s="38">
        <f t="shared" si="61"/>
        <v>161108.62999999989</v>
      </c>
      <c r="H365" s="38">
        <f t="shared" si="62"/>
        <v>12250000</v>
      </c>
      <c r="I365" s="38"/>
      <c r="J365" s="38"/>
      <c r="K365" s="38"/>
      <c r="L365" s="38"/>
      <c r="M365" s="38"/>
      <c r="N365" s="38"/>
      <c r="O365" s="38"/>
      <c r="P365" s="38">
        <f t="shared" ref="P365:R365" si="82">P364</f>
        <v>12000000</v>
      </c>
      <c r="Q365" s="38">
        <f t="shared" si="82"/>
        <v>45265110.719999999</v>
      </c>
      <c r="R365" s="38">
        <f t="shared" si="82"/>
        <v>30000000</v>
      </c>
      <c r="S365" s="78">
        <v>45684</v>
      </c>
      <c r="T365" s="63">
        <v>-886941.29</v>
      </c>
      <c r="U365" s="63">
        <f t="shared" si="50"/>
        <v>-817791.6100000001</v>
      </c>
      <c r="V365" s="84">
        <v>900000</v>
      </c>
      <c r="W365" s="63"/>
      <c r="X365" s="63">
        <f t="shared" si="65"/>
        <v>82208.389999999898</v>
      </c>
      <c r="Y365" s="63">
        <f t="shared" si="51"/>
        <v>12350000</v>
      </c>
      <c r="Z365" s="63"/>
      <c r="AA365" s="63"/>
      <c r="AB365" s="63"/>
      <c r="AC365" s="302"/>
      <c r="AD365" s="302"/>
      <c r="AE365" s="63"/>
      <c r="AF365" s="63"/>
      <c r="AG365" s="63"/>
      <c r="AH365" s="63"/>
      <c r="AJ365" s="63"/>
      <c r="AK365" s="63"/>
      <c r="AL365" s="63"/>
    </row>
    <row r="366" spans="2:38" x14ac:dyDescent="0.25">
      <c r="B366" s="42">
        <v>45685</v>
      </c>
      <c r="C366" s="38">
        <v>-422911.45</v>
      </c>
      <c r="D366" s="38">
        <f t="shared" si="60"/>
        <v>-261802.82000000012</v>
      </c>
      <c r="E366" s="83">
        <f>400000-50000</f>
        <v>350000</v>
      </c>
      <c r="F366" s="38"/>
      <c r="G366" s="38">
        <f t="shared" si="61"/>
        <v>88197.179999999877</v>
      </c>
      <c r="H366" s="38">
        <f t="shared" si="62"/>
        <v>11900000</v>
      </c>
      <c r="I366" s="38"/>
      <c r="J366" s="38"/>
      <c r="K366" s="38"/>
      <c r="L366" s="38"/>
      <c r="M366" s="38"/>
      <c r="N366" s="38"/>
      <c r="O366" s="38"/>
      <c r="P366" s="38">
        <f t="shared" ref="P366:R366" si="83">P365</f>
        <v>12000000</v>
      </c>
      <c r="Q366" s="38">
        <f t="shared" si="83"/>
        <v>45265110.719999999</v>
      </c>
      <c r="R366" s="38">
        <f t="shared" si="83"/>
        <v>30000000</v>
      </c>
      <c r="S366" s="78">
        <v>45685</v>
      </c>
      <c r="T366" s="63"/>
      <c r="U366" s="63">
        <f t="shared" si="50"/>
        <v>193410.99</v>
      </c>
      <c r="V366" s="84">
        <v>-140000</v>
      </c>
      <c r="W366" s="63">
        <v>111202.60000000009</v>
      </c>
      <c r="X366" s="63">
        <f t="shared" si="65"/>
        <v>53410.989999999991</v>
      </c>
      <c r="Y366" s="63">
        <f t="shared" si="51"/>
        <v>12490000</v>
      </c>
      <c r="Z366" s="63"/>
      <c r="AA366" s="63"/>
      <c r="AB366" s="63"/>
      <c r="AC366" s="302"/>
      <c r="AD366" s="302"/>
      <c r="AE366" s="63"/>
      <c r="AF366" s="63"/>
      <c r="AG366" s="63"/>
      <c r="AH366" s="63"/>
      <c r="AJ366" s="63"/>
      <c r="AK366" s="63"/>
      <c r="AL366" s="63"/>
    </row>
    <row r="367" spans="2:38" x14ac:dyDescent="0.25">
      <c r="B367" s="42">
        <v>45686</v>
      </c>
      <c r="C367" s="38"/>
      <c r="D367" s="38">
        <f t="shared" si="60"/>
        <v>88197.179999999877</v>
      </c>
      <c r="E367" s="38"/>
      <c r="F367" s="38"/>
      <c r="G367" s="38">
        <f t="shared" si="61"/>
        <v>88197.179999999877</v>
      </c>
      <c r="H367" s="38">
        <f t="shared" si="62"/>
        <v>11900000</v>
      </c>
      <c r="I367" s="38"/>
      <c r="J367" s="38"/>
      <c r="K367" s="38"/>
      <c r="L367" s="38"/>
      <c r="M367" s="38"/>
      <c r="N367" s="38"/>
      <c r="O367" s="38"/>
      <c r="P367" s="38">
        <f t="shared" ref="P367:R367" si="84">P366</f>
        <v>12000000</v>
      </c>
      <c r="Q367" s="38">
        <f t="shared" si="84"/>
        <v>45265110.719999999</v>
      </c>
      <c r="R367" s="38">
        <f t="shared" si="84"/>
        <v>30000000</v>
      </c>
      <c r="S367" s="78">
        <v>45686</v>
      </c>
      <c r="T367" s="63"/>
      <c r="U367" s="63">
        <f t="shared" si="50"/>
        <v>53410.989999999991</v>
      </c>
      <c r="V367" s="63"/>
      <c r="W367" s="63"/>
      <c r="X367" s="63">
        <f t="shared" si="65"/>
        <v>53410.989999999991</v>
      </c>
      <c r="Y367" s="63">
        <f t="shared" si="51"/>
        <v>12490000</v>
      </c>
      <c r="Z367" s="63"/>
      <c r="AA367" s="63"/>
      <c r="AB367" s="63"/>
      <c r="AC367" s="302"/>
      <c r="AD367" s="302"/>
      <c r="AE367" s="63"/>
      <c r="AF367" s="63"/>
      <c r="AG367" s="63"/>
      <c r="AH367" s="63"/>
      <c r="AJ367" s="63"/>
      <c r="AK367" s="63"/>
      <c r="AL367" s="63"/>
    </row>
    <row r="368" spans="2:38" x14ac:dyDescent="0.25">
      <c r="B368" s="42">
        <v>45687</v>
      </c>
      <c r="C368" s="38"/>
      <c r="D368" s="38">
        <f t="shared" si="60"/>
        <v>88197.179999999877</v>
      </c>
      <c r="E368" s="83">
        <v>-50000</v>
      </c>
      <c r="F368" s="38">
        <v>44384.580000000133</v>
      </c>
      <c r="G368" s="38">
        <f t="shared" si="61"/>
        <v>82581.760000000009</v>
      </c>
      <c r="H368" s="38">
        <f t="shared" si="62"/>
        <v>11950000</v>
      </c>
      <c r="I368" s="38"/>
      <c r="J368" s="38"/>
      <c r="K368" s="38"/>
      <c r="L368" s="38"/>
      <c r="M368" s="38"/>
      <c r="N368" s="38"/>
      <c r="O368" s="38"/>
      <c r="P368" s="38">
        <f t="shared" ref="P368:R368" si="85">P367</f>
        <v>12000000</v>
      </c>
      <c r="Q368" s="38">
        <f t="shared" si="85"/>
        <v>45265110.719999999</v>
      </c>
      <c r="R368" s="38">
        <f t="shared" si="85"/>
        <v>30000000</v>
      </c>
      <c r="S368" s="78">
        <v>45687</v>
      </c>
      <c r="T368" s="63"/>
      <c r="U368" s="63">
        <f t="shared" si="50"/>
        <v>53410.989999999991</v>
      </c>
      <c r="V368" s="63"/>
      <c r="W368" s="63"/>
      <c r="X368" s="63">
        <f t="shared" si="65"/>
        <v>53410.989999999991</v>
      </c>
      <c r="Y368" s="63">
        <f t="shared" si="51"/>
        <v>12490000</v>
      </c>
      <c r="Z368" s="63"/>
      <c r="AA368" s="63"/>
      <c r="AB368" s="63"/>
      <c r="AC368" s="302"/>
      <c r="AD368" s="302"/>
      <c r="AE368" s="63"/>
      <c r="AF368" s="63"/>
      <c r="AG368" s="63"/>
      <c r="AH368" s="63"/>
      <c r="AJ368" s="63"/>
      <c r="AK368" s="63"/>
      <c r="AL368" s="63"/>
    </row>
    <row r="369" spans="1:38" x14ac:dyDescent="0.25">
      <c r="A369" s="179"/>
      <c r="B369" s="42">
        <v>45688</v>
      </c>
      <c r="C369" s="38">
        <v>54071.89</v>
      </c>
      <c r="D369" s="38">
        <f t="shared" si="60"/>
        <v>136653.65000000002</v>
      </c>
      <c r="E369" s="83">
        <v>-50000</v>
      </c>
      <c r="F369" s="38"/>
      <c r="G369" s="38">
        <f t="shared" si="61"/>
        <v>86653.650000000023</v>
      </c>
      <c r="H369" s="38">
        <f t="shared" si="62"/>
        <v>12000000</v>
      </c>
      <c r="I369" s="38"/>
      <c r="J369" s="38"/>
      <c r="K369" s="38"/>
      <c r="L369" s="38"/>
      <c r="M369" s="38"/>
      <c r="N369" s="38"/>
      <c r="O369" s="38"/>
      <c r="P369" s="38">
        <f t="shared" ref="P369:R369" si="86">P368</f>
        <v>12000000</v>
      </c>
      <c r="Q369" s="38">
        <f t="shared" si="86"/>
        <v>45265110.719999999</v>
      </c>
      <c r="R369" s="38">
        <f t="shared" si="86"/>
        <v>30000000</v>
      </c>
      <c r="S369" s="78">
        <v>45688</v>
      </c>
      <c r="T369" s="63">
        <v>45985.55</v>
      </c>
      <c r="U369" s="63">
        <f t="shared" si="50"/>
        <v>99396.54</v>
      </c>
      <c r="V369" s="84">
        <v>-50000</v>
      </c>
      <c r="W369" s="63"/>
      <c r="X369" s="63">
        <f t="shared" si="65"/>
        <v>49396.539999999994</v>
      </c>
      <c r="Y369" s="63">
        <f t="shared" si="51"/>
        <v>12540000</v>
      </c>
      <c r="Z369" s="63"/>
      <c r="AA369" s="63"/>
      <c r="AB369" s="63"/>
      <c r="AC369" s="302"/>
      <c r="AD369" s="302"/>
      <c r="AE369" s="63"/>
      <c r="AF369" s="63"/>
      <c r="AG369" s="63"/>
      <c r="AH369" s="63"/>
      <c r="AJ369" s="63"/>
      <c r="AK369" s="63"/>
      <c r="AL369" s="63"/>
    </row>
    <row r="370" spans="1:38" x14ac:dyDescent="0.25">
      <c r="B370" s="42">
        <v>45689</v>
      </c>
      <c r="C370" s="38"/>
      <c r="D370" s="38">
        <f t="shared" si="60"/>
        <v>86653.650000000023</v>
      </c>
      <c r="E370" s="38"/>
      <c r="F370" s="38"/>
      <c r="G370" s="38">
        <f t="shared" si="61"/>
        <v>86653.650000000023</v>
      </c>
      <c r="H370" s="38">
        <f t="shared" si="62"/>
        <v>12000000</v>
      </c>
      <c r="I370" s="38"/>
      <c r="J370" s="38"/>
      <c r="K370" s="38"/>
      <c r="L370" s="38"/>
      <c r="M370" s="38"/>
      <c r="N370" s="38"/>
      <c r="O370" s="38"/>
      <c r="P370" s="38">
        <f t="shared" ref="P370:R370" si="87">P369</f>
        <v>12000000</v>
      </c>
      <c r="Q370" s="38">
        <f t="shared" si="87"/>
        <v>45265110.719999999</v>
      </c>
      <c r="R370" s="38">
        <f t="shared" si="87"/>
        <v>30000000</v>
      </c>
      <c r="S370" s="78">
        <v>45689</v>
      </c>
      <c r="T370" s="63"/>
      <c r="U370" s="63">
        <f t="shared" si="50"/>
        <v>49396.539999999994</v>
      </c>
      <c r="V370" s="63"/>
      <c r="W370" s="63"/>
      <c r="X370" s="63">
        <f t="shared" si="65"/>
        <v>49396.539999999994</v>
      </c>
      <c r="Y370" s="63">
        <f t="shared" si="51"/>
        <v>12540000</v>
      </c>
      <c r="Z370" s="63"/>
      <c r="AA370" s="63"/>
      <c r="AB370" s="63"/>
      <c r="AC370" s="302"/>
      <c r="AD370" s="302"/>
      <c r="AE370" s="63"/>
      <c r="AF370" s="63"/>
      <c r="AG370" s="63"/>
      <c r="AH370" s="63"/>
      <c r="AJ370" s="63"/>
      <c r="AK370" s="63"/>
      <c r="AL370" s="63"/>
    </row>
    <row r="371" spans="1:38" x14ac:dyDescent="0.25">
      <c r="B371" s="42">
        <v>45690</v>
      </c>
      <c r="C371" s="38"/>
      <c r="D371" s="38">
        <f t="shared" si="60"/>
        <v>86653.650000000023</v>
      </c>
      <c r="E371" s="38"/>
      <c r="F371" s="38"/>
      <c r="G371" s="38">
        <f t="shared" si="61"/>
        <v>86653.650000000023</v>
      </c>
      <c r="H371" s="38">
        <f t="shared" si="62"/>
        <v>12000000</v>
      </c>
      <c r="I371" s="38"/>
      <c r="J371" s="38"/>
      <c r="K371" s="38"/>
      <c r="L371" s="38"/>
      <c r="M371" s="38"/>
      <c r="N371" s="38"/>
      <c r="O371" s="38"/>
      <c r="P371" s="38">
        <f t="shared" ref="P371:R371" si="88">P370</f>
        <v>12000000</v>
      </c>
      <c r="Q371" s="38">
        <f t="shared" si="88"/>
        <v>45265110.719999999</v>
      </c>
      <c r="R371" s="38">
        <f t="shared" si="88"/>
        <v>30000000</v>
      </c>
      <c r="S371" s="78">
        <v>45690</v>
      </c>
      <c r="T371" s="63"/>
      <c r="U371" s="63">
        <f t="shared" si="50"/>
        <v>49396.539999999994</v>
      </c>
      <c r="V371" s="63"/>
      <c r="W371" s="63"/>
      <c r="X371" s="63">
        <f t="shared" si="65"/>
        <v>49396.539999999994</v>
      </c>
      <c r="Y371" s="63">
        <f t="shared" si="51"/>
        <v>12540000</v>
      </c>
      <c r="Z371" s="63"/>
      <c r="AA371" s="63"/>
      <c r="AB371" s="63"/>
      <c r="AC371" s="302"/>
      <c r="AD371" s="302"/>
      <c r="AE371" s="63"/>
      <c r="AF371" s="63"/>
      <c r="AG371" s="63"/>
      <c r="AH371" s="63"/>
      <c r="AJ371" s="63"/>
      <c r="AK371" s="63"/>
      <c r="AL371" s="63"/>
    </row>
    <row r="372" spans="1:38" x14ac:dyDescent="0.25">
      <c r="A372" s="45">
        <v>71737.37</v>
      </c>
      <c r="B372" s="42">
        <v>45691</v>
      </c>
      <c r="C372" s="38">
        <v>9812995.6852823906</v>
      </c>
      <c r="D372" s="38">
        <f t="shared" si="60"/>
        <v>9899649.3352823909</v>
      </c>
      <c r="E372" s="83">
        <v>-9820000</v>
      </c>
      <c r="F372" s="38">
        <f>--1785785.18+73579.6899999999</f>
        <v>1859364.8699999999</v>
      </c>
      <c r="G372" s="38">
        <f t="shared" si="61"/>
        <v>1939014.2052823908</v>
      </c>
      <c r="H372" s="38">
        <f t="shared" si="62"/>
        <v>21820000</v>
      </c>
      <c r="I372" s="38"/>
      <c r="J372" s="38"/>
      <c r="K372" s="38"/>
      <c r="L372" s="38"/>
      <c r="M372" s="38"/>
      <c r="N372" s="38"/>
      <c r="O372" s="38"/>
      <c r="P372" s="38">
        <v>0</v>
      </c>
      <c r="Q372" s="38">
        <f t="shared" ref="Q372:R372" si="89">Q371</f>
        <v>45265110.719999999</v>
      </c>
      <c r="R372" s="38">
        <f t="shared" si="89"/>
        <v>30000000</v>
      </c>
      <c r="S372" s="78">
        <v>45691</v>
      </c>
      <c r="T372" s="63">
        <v>-31225</v>
      </c>
      <c r="U372" s="63">
        <f t="shared" si="50"/>
        <v>18171.539999999994</v>
      </c>
      <c r="V372" s="84">
        <v>30000</v>
      </c>
      <c r="W372" s="63"/>
      <c r="X372" s="63">
        <f t="shared" si="65"/>
        <v>48171.539999999994</v>
      </c>
      <c r="Y372" s="63">
        <f t="shared" si="51"/>
        <v>12510000</v>
      </c>
      <c r="Z372" s="63"/>
      <c r="AA372" s="63"/>
      <c r="AB372" s="63"/>
      <c r="AC372" s="302"/>
      <c r="AD372" s="302"/>
      <c r="AE372" s="63"/>
      <c r="AF372" s="63"/>
      <c r="AG372" s="63"/>
      <c r="AH372" s="63"/>
      <c r="AJ372" s="63"/>
      <c r="AK372" s="63"/>
      <c r="AL372" s="63"/>
    </row>
    <row r="373" spans="1:38" x14ac:dyDescent="0.25">
      <c r="B373" s="42">
        <v>45692</v>
      </c>
      <c r="C373" s="38">
        <f>--2973370--77744.11</f>
        <v>3051114.11</v>
      </c>
      <c r="D373" s="38">
        <f t="shared" si="60"/>
        <v>4990128.3152823905</v>
      </c>
      <c r="E373" s="83">
        <v>-3120000</v>
      </c>
      <c r="F373" s="38">
        <f>-1785785.18</f>
        <v>-1785785.18</v>
      </c>
      <c r="G373" s="38">
        <f t="shared" si="61"/>
        <v>84343.135282390518</v>
      </c>
      <c r="H373" s="38">
        <f t="shared" si="62"/>
        <v>24940000</v>
      </c>
      <c r="I373" s="38"/>
      <c r="J373" s="38"/>
      <c r="K373" s="38"/>
      <c r="L373" s="38"/>
      <c r="M373" s="38"/>
      <c r="N373" s="38"/>
      <c r="O373" s="38"/>
      <c r="P373" s="38">
        <f t="shared" ref="P373:R373" si="90">P372</f>
        <v>0</v>
      </c>
      <c r="Q373" s="38">
        <f t="shared" si="90"/>
        <v>45265110.719999999</v>
      </c>
      <c r="R373" s="38">
        <f t="shared" si="90"/>
        <v>30000000</v>
      </c>
      <c r="S373" s="78">
        <v>45692</v>
      </c>
      <c r="T373" s="63"/>
      <c r="U373" s="63">
        <f t="shared" si="50"/>
        <v>41369.72</v>
      </c>
      <c r="V373" s="84">
        <v>60000</v>
      </c>
      <c r="W373" s="63">
        <v>-6801.8199999999924</v>
      </c>
      <c r="X373" s="63">
        <f t="shared" si="65"/>
        <v>101369.72</v>
      </c>
      <c r="Y373" s="63">
        <f t="shared" si="51"/>
        <v>12450000</v>
      </c>
      <c r="Z373" s="63"/>
      <c r="AA373" s="63"/>
      <c r="AB373" s="63"/>
      <c r="AC373" s="302"/>
      <c r="AD373" s="302"/>
      <c r="AE373" s="63"/>
      <c r="AF373" s="63"/>
      <c r="AG373" s="63"/>
      <c r="AH373" s="63"/>
      <c r="AJ373" s="63"/>
      <c r="AK373" s="63"/>
      <c r="AL373" s="63"/>
    </row>
    <row r="374" spans="1:38" x14ac:dyDescent="0.25">
      <c r="B374" s="42">
        <v>45693</v>
      </c>
      <c r="C374" s="38"/>
      <c r="D374" s="38">
        <f t="shared" si="60"/>
        <v>84343.135282390518</v>
      </c>
      <c r="E374" s="38"/>
      <c r="F374" s="38"/>
      <c r="G374" s="38">
        <f t="shared" si="61"/>
        <v>84343.135282390518</v>
      </c>
      <c r="H374" s="38">
        <f t="shared" si="62"/>
        <v>24940000</v>
      </c>
      <c r="I374" s="38"/>
      <c r="J374" s="38"/>
      <c r="K374" s="38"/>
      <c r="L374" s="38"/>
      <c r="M374" s="38"/>
      <c r="N374" s="38"/>
      <c r="O374" s="38"/>
      <c r="P374" s="38">
        <f t="shared" ref="P374:R374" si="91">P373</f>
        <v>0</v>
      </c>
      <c r="Q374" s="38">
        <f t="shared" si="91"/>
        <v>45265110.719999999</v>
      </c>
      <c r="R374" s="38">
        <f t="shared" si="91"/>
        <v>30000000</v>
      </c>
      <c r="S374" s="78">
        <v>45693</v>
      </c>
      <c r="T374" s="63">
        <f>-111387.9-63500</f>
        <v>-174887.9</v>
      </c>
      <c r="U374" s="63">
        <f t="shared" si="50"/>
        <v>-73518.179999999993</v>
      </c>
      <c r="V374" s="84">
        <v>120000</v>
      </c>
      <c r="W374" s="63"/>
      <c r="X374" s="63">
        <f t="shared" si="65"/>
        <v>46481.820000000007</v>
      </c>
      <c r="Y374" s="63">
        <f t="shared" si="51"/>
        <v>12330000</v>
      </c>
      <c r="Z374" s="63"/>
      <c r="AA374" s="63"/>
      <c r="AB374" s="63"/>
      <c r="AC374" s="302"/>
      <c r="AD374" s="302"/>
      <c r="AE374" s="63"/>
      <c r="AF374" s="63"/>
      <c r="AG374" s="63"/>
      <c r="AH374" s="63"/>
      <c r="AJ374" s="63"/>
      <c r="AK374" s="63"/>
      <c r="AL374" s="63"/>
    </row>
    <row r="375" spans="1:38" x14ac:dyDescent="0.25">
      <c r="B375" s="42">
        <v>45694</v>
      </c>
      <c r="C375" s="38"/>
      <c r="D375" s="38">
        <f t="shared" si="60"/>
        <v>84343.135282390518</v>
      </c>
      <c r="E375" s="38"/>
      <c r="F375" s="38">
        <v>-12605.765282390499</v>
      </c>
      <c r="G375" s="38">
        <f t="shared" si="61"/>
        <v>71737.370000000024</v>
      </c>
      <c r="H375" s="38">
        <f t="shared" si="62"/>
        <v>24940000</v>
      </c>
      <c r="I375" s="38"/>
      <c r="J375" s="38"/>
      <c r="K375" s="38"/>
      <c r="L375" s="38"/>
      <c r="M375" s="38"/>
      <c r="N375" s="38"/>
      <c r="O375" s="38"/>
      <c r="P375" s="38">
        <f t="shared" ref="P375:R375" si="92">P374</f>
        <v>0</v>
      </c>
      <c r="Q375" s="38">
        <f t="shared" si="92"/>
        <v>45265110.719999999</v>
      </c>
      <c r="R375" s="38">
        <f t="shared" si="92"/>
        <v>30000000</v>
      </c>
      <c r="S375" s="78">
        <v>45694</v>
      </c>
      <c r="T375" s="63"/>
      <c r="U375" s="63">
        <f t="shared" si="50"/>
        <v>49592.15</v>
      </c>
      <c r="V375" s="84">
        <f>5000000-5000000</f>
        <v>0</v>
      </c>
      <c r="W375" s="63">
        <v>3110.3299999999945</v>
      </c>
      <c r="X375" s="63">
        <f t="shared" si="65"/>
        <v>49592.15</v>
      </c>
      <c r="Y375" s="63">
        <f>Y374-V375-5000000</f>
        <v>7330000</v>
      </c>
      <c r="Z375" s="63"/>
      <c r="AA375" s="63"/>
      <c r="AB375" s="63">
        <v>5000000</v>
      </c>
      <c r="AC375" s="302"/>
      <c r="AD375" s="302"/>
      <c r="AE375" s="63"/>
      <c r="AF375" s="63"/>
      <c r="AG375" s="63"/>
      <c r="AH375" s="63"/>
      <c r="AJ375" s="63"/>
      <c r="AK375" s="63"/>
      <c r="AL375" s="63"/>
    </row>
    <row r="376" spans="1:38" x14ac:dyDescent="0.25">
      <c r="B376" s="42">
        <v>45695</v>
      </c>
      <c r="C376" s="38"/>
      <c r="D376" s="38">
        <f t="shared" si="60"/>
        <v>71737.370000000024</v>
      </c>
      <c r="E376" s="38"/>
      <c r="F376" s="38">
        <v>-44062.080000000002</v>
      </c>
      <c r="G376" s="38">
        <f t="shared" si="61"/>
        <v>27675.290000000023</v>
      </c>
      <c r="H376" s="38">
        <f t="shared" si="62"/>
        <v>24940000</v>
      </c>
      <c r="I376" s="38"/>
      <c r="J376" s="38"/>
      <c r="K376" s="38"/>
      <c r="L376" s="38"/>
      <c r="M376" s="38"/>
      <c r="N376" s="38"/>
      <c r="O376" s="38"/>
      <c r="P376" s="38">
        <f t="shared" ref="P376:R376" si="93">P375</f>
        <v>0</v>
      </c>
      <c r="Q376" s="38">
        <f t="shared" si="93"/>
        <v>45265110.719999999</v>
      </c>
      <c r="R376" s="38">
        <f t="shared" si="93"/>
        <v>30000000</v>
      </c>
      <c r="S376" s="78">
        <v>45695</v>
      </c>
      <c r="T376" s="63"/>
      <c r="U376" s="63">
        <f t="shared" si="50"/>
        <v>49592.15</v>
      </c>
      <c r="V376" s="63"/>
      <c r="W376" s="63"/>
      <c r="X376" s="63">
        <f t="shared" si="65"/>
        <v>49592.15</v>
      </c>
      <c r="Y376" s="63">
        <f t="shared" si="51"/>
        <v>7330000</v>
      </c>
      <c r="Z376" s="63"/>
      <c r="AA376" s="63"/>
      <c r="AB376" s="63">
        <f>AB375</f>
        <v>5000000</v>
      </c>
      <c r="AC376" s="302"/>
      <c r="AD376" s="302"/>
      <c r="AE376" s="63"/>
      <c r="AF376" s="63"/>
      <c r="AG376" s="63"/>
      <c r="AH376" s="63"/>
      <c r="AJ376" s="63"/>
      <c r="AK376" s="63"/>
      <c r="AL376" s="63"/>
    </row>
    <row r="377" spans="1:38" x14ac:dyDescent="0.25">
      <c r="B377" s="42">
        <v>45696</v>
      </c>
      <c r="C377" s="38"/>
      <c r="D377" s="38">
        <f t="shared" si="60"/>
        <v>27675.290000000023</v>
      </c>
      <c r="E377" s="38"/>
      <c r="F377" s="38"/>
      <c r="G377" s="38">
        <f t="shared" si="61"/>
        <v>27675.290000000023</v>
      </c>
      <c r="H377" s="38">
        <f t="shared" si="62"/>
        <v>24940000</v>
      </c>
      <c r="I377" s="38"/>
      <c r="J377" s="38"/>
      <c r="K377" s="38"/>
      <c r="L377" s="38"/>
      <c r="M377" s="38"/>
      <c r="N377" s="38"/>
      <c r="O377" s="38"/>
      <c r="P377" s="38">
        <f t="shared" ref="P377:R377" si="94">P376</f>
        <v>0</v>
      </c>
      <c r="Q377" s="38">
        <f t="shared" si="94"/>
        <v>45265110.719999999</v>
      </c>
      <c r="R377" s="38">
        <f t="shared" si="94"/>
        <v>30000000</v>
      </c>
      <c r="S377" s="78">
        <v>45696</v>
      </c>
      <c r="T377" s="63"/>
      <c r="U377" s="63">
        <f t="shared" si="50"/>
        <v>49592.15</v>
      </c>
      <c r="V377" s="63"/>
      <c r="W377" s="63"/>
      <c r="X377" s="63">
        <f t="shared" si="65"/>
        <v>49592.15</v>
      </c>
      <c r="Y377" s="63">
        <f t="shared" si="51"/>
        <v>7330000</v>
      </c>
      <c r="Z377" s="63"/>
      <c r="AA377" s="63"/>
      <c r="AB377" s="63">
        <f t="shared" ref="AB377:AB440" si="95">AB376</f>
        <v>5000000</v>
      </c>
      <c r="AC377" s="302"/>
      <c r="AD377" s="302"/>
      <c r="AE377" s="63"/>
      <c r="AF377" s="63"/>
      <c r="AG377" s="63"/>
      <c r="AH377" s="63"/>
      <c r="AJ377" s="63"/>
      <c r="AK377" s="63"/>
      <c r="AL377" s="63"/>
    </row>
    <row r="378" spans="1:38" x14ac:dyDescent="0.25">
      <c r="B378" s="42">
        <v>45697</v>
      </c>
      <c r="C378" s="38"/>
      <c r="D378" s="38">
        <f t="shared" si="60"/>
        <v>27675.290000000023</v>
      </c>
      <c r="E378" s="38"/>
      <c r="F378" s="38"/>
      <c r="G378" s="38">
        <f t="shared" si="61"/>
        <v>27675.290000000023</v>
      </c>
      <c r="H378" s="38">
        <f t="shared" si="62"/>
        <v>24940000</v>
      </c>
      <c r="I378" s="38"/>
      <c r="J378" s="38"/>
      <c r="K378" s="38"/>
      <c r="L378" s="38"/>
      <c r="M378" s="38"/>
      <c r="N378" s="38"/>
      <c r="O378" s="38"/>
      <c r="P378" s="38">
        <f t="shared" ref="P378:R378" si="96">P377</f>
        <v>0</v>
      </c>
      <c r="Q378" s="38">
        <f t="shared" si="96"/>
        <v>45265110.719999999</v>
      </c>
      <c r="R378" s="38">
        <f t="shared" si="96"/>
        <v>30000000</v>
      </c>
      <c r="S378" s="78">
        <v>45697</v>
      </c>
      <c r="T378" s="63"/>
      <c r="U378" s="63">
        <f t="shared" si="50"/>
        <v>49592.15</v>
      </c>
      <c r="V378" s="63"/>
      <c r="W378" s="63"/>
      <c r="X378" s="63">
        <f t="shared" si="65"/>
        <v>49592.15</v>
      </c>
      <c r="Y378" s="63">
        <f t="shared" si="51"/>
        <v>7330000</v>
      </c>
      <c r="Z378" s="63"/>
      <c r="AA378" s="63"/>
      <c r="AB378" s="63">
        <f t="shared" si="95"/>
        <v>5000000</v>
      </c>
      <c r="AC378" s="302"/>
      <c r="AD378" s="302"/>
      <c r="AE378" s="63"/>
      <c r="AF378" s="63"/>
      <c r="AG378" s="63"/>
      <c r="AH378" s="63"/>
      <c r="AJ378" s="63"/>
      <c r="AK378" s="63"/>
      <c r="AL378" s="63"/>
    </row>
    <row r="379" spans="1:38" x14ac:dyDescent="0.25">
      <c r="B379" s="42">
        <v>45698</v>
      </c>
      <c r="C379" s="177">
        <f>5130000+40000+353413</f>
        <v>5523413</v>
      </c>
      <c r="D379" s="38">
        <f t="shared" si="60"/>
        <v>5551088.29</v>
      </c>
      <c r="E379" s="83">
        <v>-5100000</v>
      </c>
      <c r="F379" s="38"/>
      <c r="G379" s="38">
        <f t="shared" si="61"/>
        <v>451088.29000000004</v>
      </c>
      <c r="H379" s="38">
        <f t="shared" si="62"/>
        <v>30040000</v>
      </c>
      <c r="I379" s="38"/>
      <c r="J379" s="38"/>
      <c r="K379" s="38"/>
      <c r="L379" s="38"/>
      <c r="M379" s="38"/>
      <c r="N379" s="38"/>
      <c r="O379" s="38"/>
      <c r="P379" s="38">
        <f t="shared" ref="P379:R379" si="97">P378</f>
        <v>0</v>
      </c>
      <c r="Q379" s="38" t="e">
        <f>'Monthly Report 2026 €'!#REF!</f>
        <v>#REF!</v>
      </c>
      <c r="R379" s="38">
        <f t="shared" si="97"/>
        <v>30000000</v>
      </c>
      <c r="S379" s="78">
        <v>45698</v>
      </c>
      <c r="T379" s="63"/>
      <c r="U379" s="63">
        <f t="shared" si="50"/>
        <v>49592.15</v>
      </c>
      <c r="V379" s="63"/>
      <c r="W379" s="63"/>
      <c r="X379" s="63">
        <f t="shared" si="65"/>
        <v>49592.15</v>
      </c>
      <c r="Y379" s="63">
        <f t="shared" si="51"/>
        <v>7330000</v>
      </c>
      <c r="Z379" s="63"/>
      <c r="AA379" s="63"/>
      <c r="AB379" s="63">
        <f t="shared" si="95"/>
        <v>5000000</v>
      </c>
      <c r="AC379" s="302"/>
      <c r="AD379" s="302"/>
      <c r="AE379" s="63"/>
      <c r="AF379" s="63"/>
      <c r="AG379" s="63"/>
      <c r="AH379" s="63"/>
      <c r="AJ379" s="63"/>
      <c r="AK379" s="63"/>
      <c r="AL379" s="63"/>
    </row>
    <row r="380" spans="1:38" x14ac:dyDescent="0.25">
      <c r="B380" s="42">
        <v>45699</v>
      </c>
      <c r="C380" s="177">
        <v>-1804847.07</v>
      </c>
      <c r="D380" s="38">
        <f t="shared" si="60"/>
        <v>-1353758.78</v>
      </c>
      <c r="E380" s="83">
        <v>1800000</v>
      </c>
      <c r="F380" s="38"/>
      <c r="G380" s="38">
        <f t="shared" si="61"/>
        <v>446241.22</v>
      </c>
      <c r="H380" s="38">
        <f t="shared" si="62"/>
        <v>28240000</v>
      </c>
      <c r="I380" s="38"/>
      <c r="J380" s="38"/>
      <c r="K380" s="38"/>
      <c r="L380" s="38"/>
      <c r="M380" s="38"/>
      <c r="N380" s="38"/>
      <c r="O380" s="38"/>
      <c r="P380" s="38">
        <f t="shared" ref="P380:R380" si="98">P379</f>
        <v>0</v>
      </c>
      <c r="Q380" s="38" t="e">
        <f t="shared" si="98"/>
        <v>#REF!</v>
      </c>
      <c r="R380" s="38">
        <f t="shared" si="98"/>
        <v>30000000</v>
      </c>
      <c r="S380" s="78">
        <v>45699</v>
      </c>
      <c r="T380" s="178">
        <v>-436136.64</v>
      </c>
      <c r="U380" s="63">
        <f t="shared" si="50"/>
        <v>-386544.49</v>
      </c>
      <c r="V380" s="84">
        <f>520000-80000</f>
        <v>440000</v>
      </c>
      <c r="W380" s="63"/>
      <c r="X380" s="63">
        <f t="shared" si="65"/>
        <v>53455.510000000009</v>
      </c>
      <c r="Y380" s="63">
        <f t="shared" si="51"/>
        <v>6890000</v>
      </c>
      <c r="Z380" s="63"/>
      <c r="AA380" s="63"/>
      <c r="AB380" s="63">
        <f t="shared" si="95"/>
        <v>5000000</v>
      </c>
      <c r="AC380" s="302"/>
      <c r="AD380" s="302"/>
      <c r="AE380" s="63"/>
      <c r="AF380" s="63"/>
      <c r="AG380" s="63"/>
      <c r="AH380" s="63"/>
      <c r="AJ380" s="63"/>
      <c r="AK380" s="63"/>
      <c r="AL380" s="63"/>
    </row>
    <row r="381" spans="1:38" x14ac:dyDescent="0.25">
      <c r="B381" s="42">
        <v>45700</v>
      </c>
      <c r="C381" s="38"/>
      <c r="D381" s="38">
        <f t="shared" si="60"/>
        <v>446241.22</v>
      </c>
      <c r="E381" s="56"/>
      <c r="F381" s="38">
        <v>-2049.28999999998</v>
      </c>
      <c r="G381" s="38">
        <f>D381+E381+F381</f>
        <v>444191.93</v>
      </c>
      <c r="H381" s="38">
        <f>H380-E381</f>
        <v>28240000</v>
      </c>
      <c r="I381" s="38"/>
      <c r="J381" s="38"/>
      <c r="K381" s="38"/>
      <c r="L381" s="38"/>
      <c r="M381" s="38"/>
      <c r="N381" s="38"/>
      <c r="O381" s="38"/>
      <c r="P381" s="38">
        <f t="shared" ref="P381:R381" si="99">P380</f>
        <v>0</v>
      </c>
      <c r="Q381" s="38" t="e">
        <f t="shared" si="99"/>
        <v>#REF!</v>
      </c>
      <c r="R381" s="38">
        <f t="shared" si="99"/>
        <v>30000000</v>
      </c>
      <c r="S381" s="78">
        <v>45700</v>
      </c>
      <c r="T381" s="63"/>
      <c r="U381" s="63">
        <f t="shared" si="50"/>
        <v>53455.510000000009</v>
      </c>
      <c r="V381" s="63"/>
      <c r="W381" s="63"/>
      <c r="X381" s="63">
        <f t="shared" si="65"/>
        <v>53455.510000000009</v>
      </c>
      <c r="Y381" s="63">
        <f t="shared" si="51"/>
        <v>6890000</v>
      </c>
      <c r="Z381" s="63"/>
      <c r="AA381" s="63"/>
      <c r="AB381" s="63">
        <f t="shared" si="95"/>
        <v>5000000</v>
      </c>
      <c r="AC381" s="302"/>
      <c r="AD381" s="302"/>
      <c r="AE381" s="63"/>
      <c r="AF381" s="63"/>
      <c r="AG381" s="63"/>
      <c r="AH381" s="63"/>
      <c r="AJ381" s="63"/>
      <c r="AK381" s="63"/>
      <c r="AL381" s="63"/>
    </row>
    <row r="382" spans="1:38" x14ac:dyDescent="0.25">
      <c r="B382" s="42">
        <v>45701</v>
      </c>
      <c r="C382" s="38"/>
      <c r="D382" s="38">
        <f t="shared" si="60"/>
        <v>444191.93</v>
      </c>
      <c r="E382" s="83">
        <v>-360000</v>
      </c>
      <c r="F382" s="38"/>
      <c r="G382" s="38">
        <f>D382+E382+F382</f>
        <v>84191.93</v>
      </c>
      <c r="H382" s="38">
        <f>H381-E382</f>
        <v>28600000</v>
      </c>
      <c r="I382" s="38"/>
      <c r="J382" s="38"/>
      <c r="K382" s="38"/>
      <c r="L382" s="38"/>
      <c r="M382" s="38"/>
      <c r="N382" s="38"/>
      <c r="O382" s="38"/>
      <c r="P382" s="38">
        <f t="shared" ref="P382:R382" si="100">P381</f>
        <v>0</v>
      </c>
      <c r="Q382" s="38" t="e">
        <f t="shared" si="100"/>
        <v>#REF!</v>
      </c>
      <c r="R382" s="38">
        <f t="shared" si="100"/>
        <v>30000000</v>
      </c>
      <c r="S382" s="78">
        <v>45701</v>
      </c>
      <c r="T382" s="63"/>
      <c r="U382" s="63">
        <f t="shared" si="50"/>
        <v>53455.510000000009</v>
      </c>
      <c r="V382" s="63"/>
      <c r="W382" s="63"/>
      <c r="X382" s="63">
        <f t="shared" si="65"/>
        <v>53455.510000000009</v>
      </c>
      <c r="Y382" s="63">
        <f t="shared" si="51"/>
        <v>6890000</v>
      </c>
      <c r="Z382" s="63"/>
      <c r="AA382" s="63"/>
      <c r="AB382" s="63">
        <f t="shared" si="95"/>
        <v>5000000</v>
      </c>
      <c r="AC382" s="302"/>
      <c r="AD382" s="302"/>
      <c r="AE382" s="63"/>
      <c r="AF382" s="63"/>
      <c r="AG382" s="63"/>
      <c r="AH382" s="63"/>
      <c r="AJ382" s="63"/>
      <c r="AK382" s="63"/>
      <c r="AL382" s="63"/>
    </row>
    <row r="383" spans="1:38" x14ac:dyDescent="0.25">
      <c r="B383" s="42">
        <v>45702</v>
      </c>
      <c r="C383" s="38"/>
      <c r="D383" s="38">
        <f t="shared" si="60"/>
        <v>84191.93</v>
      </c>
      <c r="E383" s="38"/>
      <c r="F383" s="38">
        <v>-9313.3799999999901</v>
      </c>
      <c r="G383" s="38">
        <f t="shared" si="61"/>
        <v>74878.55</v>
      </c>
      <c r="H383" s="38">
        <f t="shared" si="62"/>
        <v>28600000</v>
      </c>
      <c r="I383" s="38"/>
      <c r="J383" s="38"/>
      <c r="K383" s="38"/>
      <c r="L383" s="38"/>
      <c r="M383" s="38"/>
      <c r="N383" s="38"/>
      <c r="O383" s="38"/>
      <c r="P383" s="38">
        <f t="shared" ref="P383:R383" si="101">P382</f>
        <v>0</v>
      </c>
      <c r="Q383" s="38" t="e">
        <f t="shared" si="101"/>
        <v>#REF!</v>
      </c>
      <c r="R383" s="38">
        <f t="shared" si="101"/>
        <v>30000000</v>
      </c>
      <c r="S383" s="78">
        <v>45702</v>
      </c>
      <c r="T383" s="63"/>
      <c r="U383" s="63">
        <f t="shared" ref="U383:U406" si="102">T383+X382+W383</f>
        <v>53455.510000000009</v>
      </c>
      <c r="V383" s="63"/>
      <c r="W383" s="63"/>
      <c r="X383" s="63">
        <f t="shared" si="65"/>
        <v>53455.510000000009</v>
      </c>
      <c r="Y383" s="63">
        <f t="shared" si="51"/>
        <v>6890000</v>
      </c>
      <c r="Z383" s="63"/>
      <c r="AA383" s="63"/>
      <c r="AB383" s="63">
        <f t="shared" si="95"/>
        <v>5000000</v>
      </c>
      <c r="AC383" s="302"/>
      <c r="AD383" s="302"/>
      <c r="AE383" s="63"/>
      <c r="AF383" s="63"/>
      <c r="AG383" s="63"/>
      <c r="AH383" s="63"/>
      <c r="AJ383" s="63"/>
      <c r="AK383" s="63"/>
      <c r="AL383" s="63"/>
    </row>
    <row r="384" spans="1:38" x14ac:dyDescent="0.25">
      <c r="B384" s="42">
        <v>45703</v>
      </c>
      <c r="C384" s="38"/>
      <c r="D384" s="38">
        <f t="shared" si="60"/>
        <v>74878.55</v>
      </c>
      <c r="E384" s="38"/>
      <c r="F384" s="38"/>
      <c r="G384" s="38">
        <f t="shared" si="61"/>
        <v>74878.55</v>
      </c>
      <c r="H384" s="38">
        <f t="shared" si="62"/>
        <v>28600000</v>
      </c>
      <c r="I384" s="38"/>
      <c r="J384" s="38"/>
      <c r="K384" s="38"/>
      <c r="L384" s="38"/>
      <c r="M384" s="38"/>
      <c r="N384" s="38"/>
      <c r="O384" s="38"/>
      <c r="P384" s="38">
        <f t="shared" ref="P384:R384" si="103">P383</f>
        <v>0</v>
      </c>
      <c r="Q384" s="38" t="e">
        <f t="shared" si="103"/>
        <v>#REF!</v>
      </c>
      <c r="R384" s="38">
        <f t="shared" si="103"/>
        <v>30000000</v>
      </c>
      <c r="S384" s="78">
        <v>45703</v>
      </c>
      <c r="T384" s="63"/>
      <c r="U384" s="63">
        <f t="shared" si="102"/>
        <v>53455.510000000009</v>
      </c>
      <c r="V384" s="63"/>
      <c r="W384" s="63"/>
      <c r="X384" s="63">
        <f t="shared" si="65"/>
        <v>53455.510000000009</v>
      </c>
      <c r="Y384" s="63">
        <f t="shared" si="51"/>
        <v>6890000</v>
      </c>
      <c r="Z384" s="63"/>
      <c r="AA384" s="63"/>
      <c r="AB384" s="63">
        <f t="shared" si="95"/>
        <v>5000000</v>
      </c>
      <c r="AC384" s="302"/>
      <c r="AD384" s="302"/>
      <c r="AE384" s="63"/>
      <c r="AF384" s="63"/>
      <c r="AG384" s="63"/>
      <c r="AH384" s="63"/>
      <c r="AJ384" s="63"/>
      <c r="AK384" s="63"/>
      <c r="AL384" s="63"/>
    </row>
    <row r="385" spans="2:38" x14ac:dyDescent="0.25">
      <c r="B385" s="42">
        <v>45704</v>
      </c>
      <c r="C385" s="38"/>
      <c r="D385" s="38">
        <f t="shared" si="60"/>
        <v>74878.55</v>
      </c>
      <c r="E385" s="38"/>
      <c r="F385" s="38"/>
      <c r="G385" s="38">
        <f t="shared" si="61"/>
        <v>74878.55</v>
      </c>
      <c r="H385" s="38">
        <f t="shared" si="62"/>
        <v>28600000</v>
      </c>
      <c r="I385" s="38"/>
      <c r="J385" s="38"/>
      <c r="K385" s="38"/>
      <c r="L385" s="38"/>
      <c r="M385" s="38"/>
      <c r="N385" s="38"/>
      <c r="O385" s="38"/>
      <c r="P385" s="38">
        <f t="shared" ref="P385:R385" si="104">P384</f>
        <v>0</v>
      </c>
      <c r="Q385" s="38" t="e">
        <f t="shared" si="104"/>
        <v>#REF!</v>
      </c>
      <c r="R385" s="38">
        <f t="shared" si="104"/>
        <v>30000000</v>
      </c>
      <c r="S385" s="78">
        <v>45704</v>
      </c>
      <c r="T385" s="63"/>
      <c r="U385" s="63">
        <f t="shared" si="102"/>
        <v>53455.510000000009</v>
      </c>
      <c r="V385" s="63"/>
      <c r="W385" s="63"/>
      <c r="X385" s="63">
        <f t="shared" si="65"/>
        <v>53455.510000000009</v>
      </c>
      <c r="Y385" s="63">
        <f t="shared" si="51"/>
        <v>6890000</v>
      </c>
      <c r="Z385" s="63"/>
      <c r="AA385" s="63"/>
      <c r="AB385" s="63">
        <f t="shared" si="95"/>
        <v>5000000</v>
      </c>
      <c r="AC385" s="302"/>
      <c r="AD385" s="302"/>
      <c r="AE385" s="63"/>
      <c r="AF385" s="63"/>
      <c r="AG385" s="63"/>
      <c r="AH385" s="63"/>
      <c r="AJ385" s="63"/>
      <c r="AK385" s="63"/>
      <c r="AL385" s="63"/>
    </row>
    <row r="386" spans="2:38" x14ac:dyDescent="0.25">
      <c r="B386" s="42">
        <v>45705</v>
      </c>
      <c r="C386" s="38">
        <v>-237461</v>
      </c>
      <c r="D386" s="38">
        <f t="shared" si="60"/>
        <v>-162582.45000000001</v>
      </c>
      <c r="E386" s="83">
        <v>240000</v>
      </c>
      <c r="F386" s="38"/>
      <c r="G386" s="38">
        <f t="shared" si="61"/>
        <v>77417.549999999988</v>
      </c>
      <c r="H386" s="38">
        <f t="shared" si="62"/>
        <v>28360000</v>
      </c>
      <c r="I386" s="38"/>
      <c r="J386" s="38"/>
      <c r="K386" s="38"/>
      <c r="L386" s="38"/>
      <c r="M386" s="38"/>
      <c r="N386" s="38"/>
      <c r="O386" s="38"/>
      <c r="P386" s="38">
        <f t="shared" ref="P386:R386" si="105">P385</f>
        <v>0</v>
      </c>
      <c r="Q386" s="38" t="e">
        <f t="shared" si="105"/>
        <v>#REF!</v>
      </c>
      <c r="R386" s="38">
        <f t="shared" si="105"/>
        <v>30000000</v>
      </c>
      <c r="S386" s="78">
        <v>45705</v>
      </c>
      <c r="T386" s="63"/>
      <c r="U386" s="63">
        <f t="shared" si="102"/>
        <v>53455.510000000009</v>
      </c>
      <c r="V386" s="63"/>
      <c r="W386" s="63"/>
      <c r="X386" s="63">
        <f t="shared" si="65"/>
        <v>53455.510000000009</v>
      </c>
      <c r="Y386" s="63">
        <f t="shared" si="51"/>
        <v>6890000</v>
      </c>
      <c r="Z386" s="63"/>
      <c r="AA386" s="63"/>
      <c r="AB386" s="63">
        <f t="shared" si="95"/>
        <v>5000000</v>
      </c>
      <c r="AC386" s="302"/>
      <c r="AD386" s="302"/>
      <c r="AE386" s="63"/>
      <c r="AF386" s="63"/>
      <c r="AG386" s="63"/>
      <c r="AH386" s="63"/>
      <c r="AJ386" s="63"/>
      <c r="AK386" s="63"/>
      <c r="AL386" s="63"/>
    </row>
    <row r="387" spans="2:38" x14ac:dyDescent="0.25">
      <c r="B387" s="42">
        <v>45706</v>
      </c>
      <c r="C387" s="38"/>
      <c r="D387" s="38">
        <f t="shared" si="60"/>
        <v>77417.549999999988</v>
      </c>
      <c r="E387" s="38"/>
      <c r="F387" s="38"/>
      <c r="G387" s="38">
        <f t="shared" si="61"/>
        <v>77417.549999999988</v>
      </c>
      <c r="H387" s="38">
        <f t="shared" si="62"/>
        <v>28360000</v>
      </c>
      <c r="I387" s="38"/>
      <c r="J387" s="38"/>
      <c r="K387" s="38"/>
      <c r="L387" s="38"/>
      <c r="M387" s="38"/>
      <c r="N387" s="38"/>
      <c r="O387" s="38"/>
      <c r="P387" s="38">
        <f t="shared" ref="P387:R387" si="106">P386</f>
        <v>0</v>
      </c>
      <c r="Q387" s="38" t="e">
        <f t="shared" si="106"/>
        <v>#REF!</v>
      </c>
      <c r="R387" s="38">
        <f t="shared" si="106"/>
        <v>30000000</v>
      </c>
      <c r="S387" s="78">
        <v>45706</v>
      </c>
      <c r="T387" s="63"/>
      <c r="U387" s="63">
        <f t="shared" si="102"/>
        <v>53455.510000000009</v>
      </c>
      <c r="V387" s="63"/>
      <c r="W387" s="63"/>
      <c r="X387" s="63">
        <f t="shared" si="65"/>
        <v>53455.510000000009</v>
      </c>
      <c r="Y387" s="63">
        <f t="shared" si="51"/>
        <v>6890000</v>
      </c>
      <c r="Z387" s="63"/>
      <c r="AA387" s="63"/>
      <c r="AB387" s="63">
        <f t="shared" si="95"/>
        <v>5000000</v>
      </c>
      <c r="AC387" s="302"/>
      <c r="AD387" s="302"/>
      <c r="AE387" s="63"/>
      <c r="AF387" s="63"/>
      <c r="AG387" s="63"/>
      <c r="AH387" s="63"/>
      <c r="AJ387" s="63"/>
      <c r="AK387" s="63"/>
      <c r="AL387" s="63"/>
    </row>
    <row r="388" spans="2:38" x14ac:dyDescent="0.25">
      <c r="B388" s="42">
        <v>45707</v>
      </c>
      <c r="C388" s="38"/>
      <c r="D388" s="38">
        <f t="shared" si="60"/>
        <v>77417.549999999988</v>
      </c>
      <c r="E388" s="38"/>
      <c r="F388" s="38"/>
      <c r="G388" s="38">
        <f t="shared" si="61"/>
        <v>77417.549999999988</v>
      </c>
      <c r="H388" s="38">
        <f t="shared" si="62"/>
        <v>28360000</v>
      </c>
      <c r="I388" s="38"/>
      <c r="J388" s="38"/>
      <c r="K388" s="38"/>
      <c r="L388" s="38"/>
      <c r="M388" s="38"/>
      <c r="N388" s="38"/>
      <c r="O388" s="38"/>
      <c r="P388" s="38">
        <f t="shared" ref="P388:R388" si="107">P387</f>
        <v>0</v>
      </c>
      <c r="Q388" s="38" t="e">
        <f t="shared" si="107"/>
        <v>#REF!</v>
      </c>
      <c r="R388" s="38">
        <f t="shared" si="107"/>
        <v>30000000</v>
      </c>
      <c r="S388" s="78">
        <v>45707</v>
      </c>
      <c r="T388" s="63"/>
      <c r="U388" s="63">
        <f t="shared" si="102"/>
        <v>53455.510000000009</v>
      </c>
      <c r="V388" s="63"/>
      <c r="W388" s="63"/>
      <c r="X388" s="63">
        <f t="shared" si="65"/>
        <v>53455.510000000009</v>
      </c>
      <c r="Y388" s="63">
        <f t="shared" si="51"/>
        <v>6890000</v>
      </c>
      <c r="Z388" s="63"/>
      <c r="AA388" s="63"/>
      <c r="AB388" s="63">
        <f t="shared" si="95"/>
        <v>5000000</v>
      </c>
      <c r="AC388" s="302"/>
      <c r="AD388" s="302"/>
      <c r="AE388" s="63"/>
      <c r="AF388" s="63"/>
      <c r="AG388" s="63"/>
      <c r="AH388" s="63"/>
      <c r="AJ388" s="63"/>
      <c r="AK388" s="63"/>
      <c r="AL388" s="63"/>
    </row>
    <row r="389" spans="2:38" x14ac:dyDescent="0.25">
      <c r="B389" s="42">
        <v>45708</v>
      </c>
      <c r="C389" s="38"/>
      <c r="D389" s="38">
        <f t="shared" si="60"/>
        <v>77417.549999999988</v>
      </c>
      <c r="E389" s="38"/>
      <c r="F389" s="38"/>
      <c r="G389" s="38">
        <f t="shared" si="61"/>
        <v>77417.549999999988</v>
      </c>
      <c r="H389" s="38">
        <f t="shared" si="62"/>
        <v>28360000</v>
      </c>
      <c r="I389" s="38"/>
      <c r="J389" s="38"/>
      <c r="K389" s="38"/>
      <c r="L389" s="38"/>
      <c r="M389" s="38"/>
      <c r="N389" s="38"/>
      <c r="O389" s="38"/>
      <c r="P389" s="38">
        <f t="shared" ref="P389:R389" si="108">P388</f>
        <v>0</v>
      </c>
      <c r="Q389" s="38" t="e">
        <f t="shared" si="108"/>
        <v>#REF!</v>
      </c>
      <c r="R389" s="38">
        <f t="shared" si="108"/>
        <v>30000000</v>
      </c>
      <c r="S389" s="78">
        <v>45708</v>
      </c>
      <c r="T389" s="63"/>
      <c r="U389" s="63">
        <f t="shared" si="102"/>
        <v>53455.510000000009</v>
      </c>
      <c r="V389" s="63"/>
      <c r="W389" s="63"/>
      <c r="X389" s="63">
        <f t="shared" si="65"/>
        <v>53455.510000000009</v>
      </c>
      <c r="Y389" s="63">
        <f t="shared" si="51"/>
        <v>6890000</v>
      </c>
      <c r="Z389" s="63"/>
      <c r="AA389" s="63"/>
      <c r="AB389" s="63">
        <f t="shared" si="95"/>
        <v>5000000</v>
      </c>
      <c r="AC389" s="302"/>
      <c r="AD389" s="302"/>
      <c r="AE389" s="63"/>
      <c r="AF389" s="63"/>
      <c r="AG389" s="63"/>
      <c r="AH389" s="63"/>
      <c r="AJ389" s="63"/>
      <c r="AK389" s="63"/>
      <c r="AL389" s="63"/>
    </row>
    <row r="390" spans="2:38" x14ac:dyDescent="0.25">
      <c r="B390" s="42">
        <v>45709</v>
      </c>
      <c r="C390" s="38"/>
      <c r="D390" s="38">
        <f t="shared" si="60"/>
        <v>77417.549999999988</v>
      </c>
      <c r="E390" s="38"/>
      <c r="F390" s="38">
        <f>-30172.46</f>
        <v>-30172.46</v>
      </c>
      <c r="G390" s="38">
        <f t="shared" si="61"/>
        <v>47245.089999999989</v>
      </c>
      <c r="H390" s="38">
        <f t="shared" si="62"/>
        <v>28360000</v>
      </c>
      <c r="I390" s="38"/>
      <c r="J390" s="38"/>
      <c r="K390" s="38"/>
      <c r="L390" s="38"/>
      <c r="M390" s="38"/>
      <c r="N390" s="38"/>
      <c r="O390" s="38"/>
      <c r="P390" s="38">
        <f t="shared" ref="P390:R390" si="109">P389</f>
        <v>0</v>
      </c>
      <c r="Q390" s="38" t="e">
        <f t="shared" si="109"/>
        <v>#REF!</v>
      </c>
      <c r="R390" s="38">
        <f t="shared" si="109"/>
        <v>30000000</v>
      </c>
      <c r="S390" s="78">
        <v>45709</v>
      </c>
      <c r="T390" s="63"/>
      <c r="U390" s="63">
        <f t="shared" si="102"/>
        <v>53455.510000000009</v>
      </c>
      <c r="V390" s="63"/>
      <c r="W390" s="63"/>
      <c r="X390" s="63">
        <f t="shared" si="65"/>
        <v>53455.510000000009</v>
      </c>
      <c r="Y390" s="63">
        <f t="shared" si="51"/>
        <v>6890000</v>
      </c>
      <c r="Z390" s="63"/>
      <c r="AA390" s="63"/>
      <c r="AB390" s="63">
        <f t="shared" si="95"/>
        <v>5000000</v>
      </c>
      <c r="AC390" s="302"/>
      <c r="AD390" s="302"/>
      <c r="AE390" s="63"/>
      <c r="AF390" s="63"/>
      <c r="AG390" s="63"/>
      <c r="AH390" s="63"/>
      <c r="AJ390" s="63"/>
      <c r="AK390" s="63"/>
      <c r="AL390" s="63"/>
    </row>
    <row r="391" spans="2:38" x14ac:dyDescent="0.25">
      <c r="B391" s="42">
        <v>45710</v>
      </c>
      <c r="C391" s="38"/>
      <c r="D391" s="38">
        <f t="shared" si="60"/>
        <v>47245.089999999989</v>
      </c>
      <c r="E391" s="38"/>
      <c r="F391" s="38"/>
      <c r="G391" s="38">
        <f t="shared" si="61"/>
        <v>47245.089999999989</v>
      </c>
      <c r="H391" s="38">
        <f t="shared" si="62"/>
        <v>28360000</v>
      </c>
      <c r="I391" s="38"/>
      <c r="J391" s="38"/>
      <c r="K391" s="38"/>
      <c r="L391" s="38"/>
      <c r="M391" s="38"/>
      <c r="N391" s="38"/>
      <c r="O391" s="38"/>
      <c r="P391" s="38">
        <f t="shared" ref="P391:R391" si="110">P390</f>
        <v>0</v>
      </c>
      <c r="Q391" s="38" t="e">
        <f t="shared" si="110"/>
        <v>#REF!</v>
      </c>
      <c r="R391" s="38">
        <f t="shared" si="110"/>
        <v>30000000</v>
      </c>
      <c r="S391" s="78">
        <v>45710</v>
      </c>
      <c r="T391" s="63"/>
      <c r="U391" s="63">
        <f t="shared" si="102"/>
        <v>53455.510000000009</v>
      </c>
      <c r="V391" s="63"/>
      <c r="W391" s="63"/>
      <c r="X391" s="63">
        <f t="shared" si="65"/>
        <v>53455.510000000009</v>
      </c>
      <c r="Y391" s="63">
        <f t="shared" si="51"/>
        <v>6890000</v>
      </c>
      <c r="Z391" s="63"/>
      <c r="AA391" s="63"/>
      <c r="AB391" s="63">
        <f t="shared" si="95"/>
        <v>5000000</v>
      </c>
      <c r="AC391" s="302"/>
      <c r="AD391" s="302"/>
      <c r="AE391" s="63"/>
      <c r="AF391" s="63"/>
      <c r="AG391" s="63"/>
      <c r="AH391" s="63"/>
      <c r="AJ391" s="63"/>
      <c r="AK391" s="63"/>
      <c r="AL391" s="63"/>
    </row>
    <row r="392" spans="2:38" x14ac:dyDescent="0.25">
      <c r="B392" s="42">
        <v>45711</v>
      </c>
      <c r="C392" s="38"/>
      <c r="D392" s="38">
        <f t="shared" si="60"/>
        <v>47245.089999999989</v>
      </c>
      <c r="E392" s="38"/>
      <c r="F392" s="38"/>
      <c r="G392" s="38">
        <f t="shared" si="61"/>
        <v>47245.089999999989</v>
      </c>
      <c r="H392" s="38">
        <f t="shared" si="62"/>
        <v>28360000</v>
      </c>
      <c r="I392" s="38"/>
      <c r="J392" s="38"/>
      <c r="K392" s="38"/>
      <c r="L392" s="38"/>
      <c r="M392" s="38"/>
      <c r="N392" s="38"/>
      <c r="O392" s="38"/>
      <c r="P392" s="38">
        <f t="shared" ref="P392:R392" si="111">P391</f>
        <v>0</v>
      </c>
      <c r="Q392" s="38" t="e">
        <f t="shared" si="111"/>
        <v>#REF!</v>
      </c>
      <c r="R392" s="38">
        <f t="shared" si="111"/>
        <v>30000000</v>
      </c>
      <c r="S392" s="78">
        <v>45711</v>
      </c>
      <c r="T392" s="63"/>
      <c r="U392" s="63">
        <f t="shared" si="102"/>
        <v>53455.510000000009</v>
      </c>
      <c r="V392" s="63"/>
      <c r="W392" s="63"/>
      <c r="X392" s="63">
        <f t="shared" si="65"/>
        <v>53455.510000000009</v>
      </c>
      <c r="Y392" s="63">
        <f t="shared" ref="Y392:Y406" si="112">Y391-V392</f>
        <v>6890000</v>
      </c>
      <c r="Z392" s="63"/>
      <c r="AA392" s="63"/>
      <c r="AB392" s="63">
        <f t="shared" si="95"/>
        <v>5000000</v>
      </c>
      <c r="AC392" s="302"/>
      <c r="AD392" s="302"/>
      <c r="AE392" s="63"/>
      <c r="AF392" s="63"/>
      <c r="AG392" s="63"/>
      <c r="AH392" s="63"/>
      <c r="AJ392" s="63"/>
      <c r="AK392" s="63"/>
      <c r="AL392" s="63"/>
    </row>
    <row r="393" spans="2:38" x14ac:dyDescent="0.25">
      <c r="B393" s="42">
        <v>45712</v>
      </c>
      <c r="C393" s="177">
        <f>-2548437.5-66053</f>
        <v>-2614490.5</v>
      </c>
      <c r="D393" s="38">
        <f t="shared" si="60"/>
        <v>-2567245.41</v>
      </c>
      <c r="E393" s="83">
        <v>2650000</v>
      </c>
      <c r="F393" s="38">
        <v>65039.680000000095</v>
      </c>
      <c r="G393" s="38">
        <f t="shared" si="61"/>
        <v>147794.26999999996</v>
      </c>
      <c r="H393" s="38">
        <f t="shared" si="62"/>
        <v>25710000</v>
      </c>
      <c r="I393" s="38"/>
      <c r="J393" s="38"/>
      <c r="K393" s="38"/>
      <c r="L393" s="38"/>
      <c r="M393" s="38"/>
      <c r="N393" s="38"/>
      <c r="O393" s="38"/>
      <c r="P393" s="38">
        <f t="shared" ref="P393:R393" si="113">P392</f>
        <v>0</v>
      </c>
      <c r="Q393" s="38" t="e">
        <f t="shared" si="113"/>
        <v>#REF!</v>
      </c>
      <c r="R393" s="38">
        <f t="shared" si="113"/>
        <v>30000000</v>
      </c>
      <c r="S393" s="78">
        <v>45712</v>
      </c>
      <c r="T393" s="63"/>
      <c r="U393" s="63">
        <f t="shared" si="102"/>
        <v>53455.510000000009</v>
      </c>
      <c r="V393" s="63"/>
      <c r="W393" s="63"/>
      <c r="X393" s="63">
        <f t="shared" si="65"/>
        <v>53455.510000000009</v>
      </c>
      <c r="Y393" s="63">
        <f t="shared" si="112"/>
        <v>6890000</v>
      </c>
      <c r="Z393" s="63"/>
      <c r="AA393" s="63"/>
      <c r="AB393" s="63">
        <f t="shared" si="95"/>
        <v>5000000</v>
      </c>
      <c r="AC393" s="302"/>
      <c r="AD393" s="302"/>
      <c r="AE393" s="63"/>
      <c r="AF393" s="63"/>
      <c r="AG393" s="63"/>
      <c r="AH393" s="63"/>
      <c r="AJ393" s="63"/>
      <c r="AK393" s="63"/>
      <c r="AL393" s="63"/>
    </row>
    <row r="394" spans="2:38" x14ac:dyDescent="0.25">
      <c r="B394" s="42">
        <v>45713</v>
      </c>
      <c r="C394" s="177">
        <f>-76869-291000-66000</f>
        <v>-433869</v>
      </c>
      <c r="D394" s="38">
        <f t="shared" si="60"/>
        <v>-286074.73000000004</v>
      </c>
      <c r="E394" s="83">
        <v>370000</v>
      </c>
      <c r="F394" s="38">
        <v>77000</v>
      </c>
      <c r="G394" s="38">
        <f t="shared" si="61"/>
        <v>160925.26999999996</v>
      </c>
      <c r="H394" s="38">
        <f t="shared" si="62"/>
        <v>25340000</v>
      </c>
      <c r="I394" s="38"/>
      <c r="J394" s="38"/>
      <c r="K394" s="38"/>
      <c r="L394" s="38"/>
      <c r="M394" s="38"/>
      <c r="N394" s="38"/>
      <c r="O394" s="38"/>
      <c r="P394" s="38">
        <f t="shared" ref="P394:R394" si="114">P393</f>
        <v>0</v>
      </c>
      <c r="Q394" s="38" t="e">
        <f t="shared" si="114"/>
        <v>#REF!</v>
      </c>
      <c r="R394" s="38">
        <f t="shared" si="114"/>
        <v>30000000</v>
      </c>
      <c r="S394" s="78">
        <v>45713</v>
      </c>
      <c r="T394" s="63"/>
      <c r="U394" s="63">
        <f t="shared" si="102"/>
        <v>53455.510000000009</v>
      </c>
      <c r="V394" s="63"/>
      <c r="W394" s="63"/>
      <c r="X394" s="63">
        <f t="shared" si="65"/>
        <v>53455.510000000009</v>
      </c>
      <c r="Y394" s="63">
        <f t="shared" si="112"/>
        <v>6890000</v>
      </c>
      <c r="Z394" s="63"/>
      <c r="AA394" s="63"/>
      <c r="AB394" s="63">
        <f t="shared" si="95"/>
        <v>5000000</v>
      </c>
      <c r="AC394" s="302"/>
      <c r="AD394" s="302"/>
      <c r="AE394" s="63"/>
      <c r="AF394" s="63"/>
      <c r="AG394" s="63"/>
      <c r="AH394" s="63"/>
      <c r="AJ394" s="63"/>
      <c r="AK394" s="63"/>
      <c r="AL394" s="63"/>
    </row>
    <row r="395" spans="2:38" x14ac:dyDescent="0.25">
      <c r="B395" s="42">
        <v>45714</v>
      </c>
      <c r="C395" s="177">
        <f>-992959.67-77000</f>
        <v>-1069959.67</v>
      </c>
      <c r="D395" s="38">
        <f t="shared" si="60"/>
        <v>-909034.39999999991</v>
      </c>
      <c r="E395" s="83">
        <v>990000</v>
      </c>
      <c r="F395" s="38"/>
      <c r="G395" s="38">
        <f t="shared" si="61"/>
        <v>80965.600000000093</v>
      </c>
      <c r="H395" s="38">
        <f t="shared" si="62"/>
        <v>24350000</v>
      </c>
      <c r="I395" s="38"/>
      <c r="J395" s="38"/>
      <c r="K395" s="38"/>
      <c r="L395" s="38"/>
      <c r="M395" s="38"/>
      <c r="N395" s="38"/>
      <c r="O395" s="38"/>
      <c r="P395" s="38">
        <f t="shared" ref="P395:R395" si="115">P394</f>
        <v>0</v>
      </c>
      <c r="Q395" s="38" t="e">
        <f t="shared" si="115"/>
        <v>#REF!</v>
      </c>
      <c r="R395" s="38">
        <f t="shared" si="115"/>
        <v>30000000</v>
      </c>
      <c r="S395" s="78">
        <v>45714</v>
      </c>
      <c r="T395" s="178">
        <v>-615427</v>
      </c>
      <c r="U395" s="63">
        <f t="shared" si="102"/>
        <v>-561971.49</v>
      </c>
      <c r="V395" s="84">
        <v>615000</v>
      </c>
      <c r="W395" s="63"/>
      <c r="X395" s="63">
        <f t="shared" si="65"/>
        <v>53028.510000000009</v>
      </c>
      <c r="Y395" s="63">
        <f t="shared" si="112"/>
        <v>6275000</v>
      </c>
      <c r="Z395" s="63"/>
      <c r="AA395" s="63"/>
      <c r="AB395" s="63">
        <f t="shared" si="95"/>
        <v>5000000</v>
      </c>
      <c r="AC395" s="302"/>
      <c r="AD395" s="302"/>
      <c r="AE395" s="63"/>
      <c r="AF395" s="63"/>
      <c r="AG395" s="63"/>
      <c r="AH395" s="63"/>
      <c r="AJ395" s="63"/>
      <c r="AK395" s="63"/>
      <c r="AL395" s="63"/>
    </row>
    <row r="396" spans="2:38" x14ac:dyDescent="0.25">
      <c r="B396" s="42">
        <v>45715</v>
      </c>
      <c r="C396" s="38"/>
      <c r="D396" s="38">
        <f t="shared" si="60"/>
        <v>80965.600000000093</v>
      </c>
      <c r="E396" s="38"/>
      <c r="F396" s="38"/>
      <c r="G396" s="38">
        <f t="shared" si="61"/>
        <v>80965.600000000093</v>
      </c>
      <c r="H396" s="38">
        <f t="shared" si="62"/>
        <v>24350000</v>
      </c>
      <c r="I396" s="38"/>
      <c r="J396" s="38"/>
      <c r="K396" s="38"/>
      <c r="L396" s="38"/>
      <c r="M396" s="38"/>
      <c r="N396" s="38"/>
      <c r="O396" s="38"/>
      <c r="P396" s="38">
        <f t="shared" ref="P396:R396" si="116">P395</f>
        <v>0</v>
      </c>
      <c r="Q396" s="38" t="e">
        <f t="shared" si="116"/>
        <v>#REF!</v>
      </c>
      <c r="R396" s="38">
        <f t="shared" si="116"/>
        <v>30000000</v>
      </c>
      <c r="S396" s="78">
        <v>45715</v>
      </c>
      <c r="T396" s="63"/>
      <c r="U396" s="63">
        <f t="shared" si="102"/>
        <v>53028.510000000009</v>
      </c>
      <c r="V396" s="63"/>
      <c r="W396" s="63"/>
      <c r="X396" s="63">
        <f t="shared" si="65"/>
        <v>53028.510000000009</v>
      </c>
      <c r="Y396" s="63">
        <f t="shared" si="112"/>
        <v>6275000</v>
      </c>
      <c r="Z396" s="63"/>
      <c r="AA396" s="63"/>
      <c r="AB396" s="63">
        <f t="shared" si="95"/>
        <v>5000000</v>
      </c>
      <c r="AC396" s="302"/>
      <c r="AD396" s="302"/>
      <c r="AE396" s="63"/>
      <c r="AF396" s="63"/>
      <c r="AG396" s="63"/>
      <c r="AH396" s="63"/>
      <c r="AJ396" s="63"/>
      <c r="AK396" s="63"/>
      <c r="AL396" s="63"/>
    </row>
    <row r="397" spans="2:38" x14ac:dyDescent="0.25">
      <c r="B397" s="42">
        <v>45716</v>
      </c>
      <c r="C397" s="38"/>
      <c r="D397" s="38">
        <f t="shared" si="60"/>
        <v>80965.600000000093</v>
      </c>
      <c r="E397" s="38"/>
      <c r="F397" s="38">
        <v>50475.009999999893</v>
      </c>
      <c r="G397" s="38">
        <f t="shared" si="61"/>
        <v>131440.60999999999</v>
      </c>
      <c r="H397" s="38">
        <f t="shared" si="62"/>
        <v>24350000</v>
      </c>
      <c r="I397" s="38"/>
      <c r="J397" s="38"/>
      <c r="K397" s="38"/>
      <c r="L397" s="38"/>
      <c r="M397" s="38"/>
      <c r="N397" s="38"/>
      <c r="O397" s="38"/>
      <c r="P397" s="38">
        <f t="shared" ref="P397:R397" si="117">P396</f>
        <v>0</v>
      </c>
      <c r="Q397" s="38" t="e">
        <f t="shared" si="117"/>
        <v>#REF!</v>
      </c>
      <c r="R397" s="38">
        <f t="shared" si="117"/>
        <v>30000000</v>
      </c>
      <c r="S397" s="78">
        <v>45716</v>
      </c>
      <c r="T397" s="63"/>
      <c r="U397" s="63">
        <f t="shared" si="102"/>
        <v>78029.350000000006</v>
      </c>
      <c r="V397" s="84">
        <v>-25000</v>
      </c>
      <c r="W397" s="63">
        <v>25000.839999999997</v>
      </c>
      <c r="X397" s="63">
        <f t="shared" si="65"/>
        <v>53029.350000000006</v>
      </c>
      <c r="Y397" s="63">
        <f t="shared" si="112"/>
        <v>6300000</v>
      </c>
      <c r="Z397" s="63"/>
      <c r="AA397" s="63"/>
      <c r="AB397" s="63">
        <f t="shared" si="95"/>
        <v>5000000</v>
      </c>
      <c r="AC397" s="302"/>
      <c r="AD397" s="302"/>
      <c r="AE397" s="63"/>
      <c r="AF397" s="63"/>
      <c r="AG397" s="63"/>
      <c r="AH397" s="63"/>
      <c r="AJ397" s="63"/>
      <c r="AK397" s="63"/>
      <c r="AL397" s="63"/>
    </row>
    <row r="398" spans="2:38" x14ac:dyDescent="0.25">
      <c r="B398" s="42">
        <v>45717</v>
      </c>
      <c r="C398" s="38"/>
      <c r="D398" s="38">
        <f t="shared" si="60"/>
        <v>131440.60999999999</v>
      </c>
      <c r="E398" s="38"/>
      <c r="F398" s="38"/>
      <c r="G398" s="38">
        <f t="shared" si="61"/>
        <v>131440.60999999999</v>
      </c>
      <c r="H398" s="38">
        <f t="shared" si="62"/>
        <v>24350000</v>
      </c>
      <c r="I398" s="38"/>
      <c r="J398" s="38"/>
      <c r="K398" s="38"/>
      <c r="L398" s="38"/>
      <c r="M398" s="38"/>
      <c r="N398" s="38"/>
      <c r="O398" s="38"/>
      <c r="P398" s="38">
        <f t="shared" ref="P398:R398" si="118">P397</f>
        <v>0</v>
      </c>
      <c r="Q398" s="38" t="e">
        <f t="shared" si="118"/>
        <v>#REF!</v>
      </c>
      <c r="R398" s="38">
        <f t="shared" si="118"/>
        <v>30000000</v>
      </c>
      <c r="S398" s="78">
        <v>45717</v>
      </c>
      <c r="T398" s="63"/>
      <c r="U398" s="63">
        <f t="shared" si="102"/>
        <v>53029.350000000006</v>
      </c>
      <c r="V398" s="63"/>
      <c r="W398" s="63"/>
      <c r="X398" s="63">
        <f t="shared" si="65"/>
        <v>53029.350000000006</v>
      </c>
      <c r="Y398" s="63">
        <f t="shared" si="112"/>
        <v>6300000</v>
      </c>
      <c r="Z398" s="63"/>
      <c r="AA398" s="63"/>
      <c r="AB398" s="63">
        <f t="shared" si="95"/>
        <v>5000000</v>
      </c>
      <c r="AC398" s="302"/>
      <c r="AD398" s="302"/>
      <c r="AE398" s="63"/>
      <c r="AF398" s="63"/>
      <c r="AG398" s="63"/>
      <c r="AH398" s="63"/>
      <c r="AJ398" s="63"/>
      <c r="AK398" s="63"/>
      <c r="AL398" s="63"/>
    </row>
    <row r="399" spans="2:38" x14ac:dyDescent="0.25">
      <c r="B399" s="42">
        <v>45718</v>
      </c>
      <c r="C399" s="38"/>
      <c r="D399" s="38">
        <f t="shared" si="60"/>
        <v>131440.60999999999</v>
      </c>
      <c r="E399" s="38"/>
      <c r="F399" s="38"/>
      <c r="G399" s="38">
        <f t="shared" si="61"/>
        <v>131440.60999999999</v>
      </c>
      <c r="H399" s="38">
        <f t="shared" si="62"/>
        <v>24350000</v>
      </c>
      <c r="I399" s="38"/>
      <c r="J399" s="38"/>
      <c r="K399" s="38"/>
      <c r="L399" s="38"/>
      <c r="M399" s="38"/>
      <c r="N399" s="38"/>
      <c r="O399" s="38"/>
      <c r="P399" s="38">
        <f t="shared" ref="P399:R399" si="119">P398</f>
        <v>0</v>
      </c>
      <c r="Q399" s="38" t="e">
        <f t="shared" si="119"/>
        <v>#REF!</v>
      </c>
      <c r="R399" s="38">
        <f t="shared" si="119"/>
        <v>30000000</v>
      </c>
      <c r="S399" s="78">
        <v>45718</v>
      </c>
      <c r="T399" s="63"/>
      <c r="U399" s="63">
        <f t="shared" si="102"/>
        <v>53029.350000000006</v>
      </c>
      <c r="V399" s="63"/>
      <c r="W399" s="63"/>
      <c r="X399" s="63">
        <f t="shared" si="65"/>
        <v>53029.350000000006</v>
      </c>
      <c r="Y399" s="63">
        <f t="shared" si="112"/>
        <v>6300000</v>
      </c>
      <c r="Z399" s="63"/>
      <c r="AA399" s="63"/>
      <c r="AB399" s="63">
        <f t="shared" si="95"/>
        <v>5000000</v>
      </c>
      <c r="AC399" s="302"/>
      <c r="AD399" s="302"/>
      <c r="AE399" s="63"/>
      <c r="AF399" s="63"/>
      <c r="AG399" s="63"/>
      <c r="AH399" s="63"/>
      <c r="AJ399" s="63"/>
      <c r="AK399" s="63"/>
      <c r="AL399" s="63"/>
    </row>
    <row r="400" spans="2:38" x14ac:dyDescent="0.25">
      <c r="B400" s="42">
        <v>45719</v>
      </c>
      <c r="C400" s="38">
        <v>-2137396.86</v>
      </c>
      <c r="D400" s="38">
        <f t="shared" si="60"/>
        <v>-2005956.25</v>
      </c>
      <c r="E400" s="83">
        <v>2080000</v>
      </c>
      <c r="F400" s="38"/>
      <c r="G400" s="38">
        <f t="shared" si="61"/>
        <v>74043.75</v>
      </c>
      <c r="H400" s="38">
        <f t="shared" si="62"/>
        <v>22270000</v>
      </c>
      <c r="I400" s="38"/>
      <c r="J400" s="38"/>
      <c r="K400" s="38"/>
      <c r="L400" s="38"/>
      <c r="M400" s="38"/>
      <c r="N400" s="38"/>
      <c r="O400" s="38"/>
      <c r="P400" s="38">
        <f t="shared" ref="P400:R400" si="120">P399</f>
        <v>0</v>
      </c>
      <c r="Q400" s="38" t="e">
        <f t="shared" si="120"/>
        <v>#REF!</v>
      </c>
      <c r="R400" s="38">
        <f t="shared" si="120"/>
        <v>30000000</v>
      </c>
      <c r="S400" s="78">
        <v>45719</v>
      </c>
      <c r="T400" s="63"/>
      <c r="U400" s="63">
        <f t="shared" si="102"/>
        <v>53029.350000000006</v>
      </c>
      <c r="V400" s="63"/>
      <c r="W400" s="63"/>
      <c r="X400" s="63">
        <f t="shared" si="65"/>
        <v>53029.350000000006</v>
      </c>
      <c r="Y400" s="63">
        <f t="shared" si="112"/>
        <v>6300000</v>
      </c>
      <c r="Z400" s="63"/>
      <c r="AA400" s="63"/>
      <c r="AB400" s="63">
        <f t="shared" si="95"/>
        <v>5000000</v>
      </c>
      <c r="AC400" s="302"/>
      <c r="AD400" s="302"/>
      <c r="AE400" s="63"/>
      <c r="AF400" s="63"/>
      <c r="AG400" s="63"/>
      <c r="AH400" s="63"/>
      <c r="AJ400" s="63"/>
      <c r="AK400" s="63"/>
      <c r="AL400" s="63"/>
    </row>
    <row r="401" spans="1:38" x14ac:dyDescent="0.25">
      <c r="B401" s="42">
        <v>45720</v>
      </c>
      <c r="C401" s="38"/>
      <c r="D401" s="38">
        <f t="shared" si="60"/>
        <v>74043.75</v>
      </c>
      <c r="E401" s="38"/>
      <c r="F401" s="38"/>
      <c r="G401" s="38">
        <f t="shared" si="61"/>
        <v>74043.75</v>
      </c>
      <c r="H401" s="38">
        <f t="shared" si="62"/>
        <v>22270000</v>
      </c>
      <c r="I401" s="38"/>
      <c r="J401" s="38"/>
      <c r="K401" s="38"/>
      <c r="L401" s="38"/>
      <c r="M401" s="38"/>
      <c r="N401" s="38"/>
      <c r="O401" s="38"/>
      <c r="P401" s="38">
        <f t="shared" ref="P401:R401" si="121">P400</f>
        <v>0</v>
      </c>
      <c r="Q401" s="38" t="e">
        <f t="shared" si="121"/>
        <v>#REF!</v>
      </c>
      <c r="R401" s="38">
        <f t="shared" si="121"/>
        <v>30000000</v>
      </c>
      <c r="S401" s="78">
        <v>45720</v>
      </c>
      <c r="T401" s="63"/>
      <c r="U401" s="63">
        <f t="shared" si="102"/>
        <v>53029.350000000006</v>
      </c>
      <c r="V401" s="63"/>
      <c r="W401" s="63"/>
      <c r="X401" s="63">
        <f t="shared" si="65"/>
        <v>53029.350000000006</v>
      </c>
      <c r="Y401" s="63">
        <f t="shared" si="112"/>
        <v>6300000</v>
      </c>
      <c r="Z401" s="63"/>
      <c r="AA401" s="63"/>
      <c r="AB401" s="63">
        <f t="shared" si="95"/>
        <v>5000000</v>
      </c>
      <c r="AC401" s="302"/>
      <c r="AD401" s="302"/>
      <c r="AE401" s="63"/>
      <c r="AF401" s="63"/>
      <c r="AG401" s="63"/>
      <c r="AH401" s="63"/>
      <c r="AJ401" s="63"/>
      <c r="AK401" s="63"/>
      <c r="AL401" s="63"/>
    </row>
    <row r="402" spans="1:38" x14ac:dyDescent="0.25">
      <c r="B402" s="42">
        <v>45721</v>
      </c>
      <c r="C402" s="38"/>
      <c r="D402" s="38">
        <f t="shared" si="60"/>
        <v>74043.75</v>
      </c>
      <c r="E402" s="38"/>
      <c r="F402" s="38"/>
      <c r="G402" s="38">
        <f t="shared" si="61"/>
        <v>74043.75</v>
      </c>
      <c r="H402" s="38">
        <f t="shared" si="62"/>
        <v>22270000</v>
      </c>
      <c r="I402" s="38"/>
      <c r="J402" s="38"/>
      <c r="K402" s="38"/>
      <c r="L402" s="38"/>
      <c r="M402" s="38"/>
      <c r="N402" s="38"/>
      <c r="O402" s="38"/>
      <c r="P402" s="38">
        <f t="shared" ref="P402:R402" si="122">P401</f>
        <v>0</v>
      </c>
      <c r="Q402" s="38" t="e">
        <f t="shared" si="122"/>
        <v>#REF!</v>
      </c>
      <c r="R402" s="38">
        <f t="shared" si="122"/>
        <v>30000000</v>
      </c>
      <c r="S402" s="78">
        <v>45721</v>
      </c>
      <c r="T402" s="63"/>
      <c r="U402" s="63">
        <f t="shared" si="102"/>
        <v>53029.350000000006</v>
      </c>
      <c r="V402" s="63"/>
      <c r="W402" s="63"/>
      <c r="X402" s="63">
        <f t="shared" si="65"/>
        <v>53029.350000000006</v>
      </c>
      <c r="Y402" s="63">
        <f t="shared" si="112"/>
        <v>6300000</v>
      </c>
      <c r="Z402" s="63"/>
      <c r="AA402" s="63"/>
      <c r="AB402" s="63">
        <f t="shared" si="95"/>
        <v>5000000</v>
      </c>
      <c r="AC402" s="302"/>
      <c r="AD402" s="302"/>
      <c r="AE402" s="63"/>
      <c r="AF402" s="63"/>
      <c r="AG402" s="63"/>
      <c r="AH402" s="63"/>
      <c r="AJ402" s="63"/>
      <c r="AK402" s="63"/>
      <c r="AL402" s="63"/>
    </row>
    <row r="403" spans="1:38" x14ac:dyDescent="0.25">
      <c r="B403" s="42">
        <v>45722</v>
      </c>
      <c r="C403" s="38"/>
      <c r="D403" s="38">
        <f t="shared" si="60"/>
        <v>74043.75</v>
      </c>
      <c r="E403" s="38"/>
      <c r="F403" s="38">
        <v>5185.7599999999948</v>
      </c>
      <c r="G403" s="38">
        <f t="shared" si="61"/>
        <v>79229.509999999995</v>
      </c>
      <c r="H403" s="38">
        <f t="shared" si="62"/>
        <v>22270000</v>
      </c>
      <c r="I403" s="38"/>
      <c r="J403" s="38"/>
      <c r="K403" s="38"/>
      <c r="L403" s="38"/>
      <c r="M403" s="38"/>
      <c r="N403" s="38"/>
      <c r="O403" s="38"/>
      <c r="P403" s="38">
        <f t="shared" ref="P403:R403" si="123">P402</f>
        <v>0</v>
      </c>
      <c r="Q403" s="38" t="e">
        <f t="shared" si="123"/>
        <v>#REF!</v>
      </c>
      <c r="R403" s="38">
        <f t="shared" si="123"/>
        <v>30000000</v>
      </c>
      <c r="S403" s="78">
        <v>45722</v>
      </c>
      <c r="T403" s="63"/>
      <c r="U403" s="63">
        <f t="shared" si="102"/>
        <v>53029.350000000006</v>
      </c>
      <c r="V403" s="63"/>
      <c r="W403" s="63"/>
      <c r="X403" s="63">
        <f t="shared" si="65"/>
        <v>53029.350000000006</v>
      </c>
      <c r="Y403" s="63">
        <f t="shared" si="112"/>
        <v>6300000</v>
      </c>
      <c r="Z403" s="63"/>
      <c r="AA403" s="63"/>
      <c r="AB403" s="63">
        <f t="shared" si="95"/>
        <v>5000000</v>
      </c>
      <c r="AC403" s="302"/>
      <c r="AD403" s="302"/>
      <c r="AE403" s="63"/>
      <c r="AF403" s="63"/>
      <c r="AG403" s="63"/>
      <c r="AH403" s="63"/>
      <c r="AJ403" s="63"/>
      <c r="AK403" s="63"/>
      <c r="AL403" s="63"/>
    </row>
    <row r="404" spans="1:38" x14ac:dyDescent="0.25">
      <c r="B404" s="42">
        <v>45723</v>
      </c>
      <c r="C404" s="38"/>
      <c r="D404" s="38">
        <f t="shared" si="60"/>
        <v>79229.509999999995</v>
      </c>
      <c r="E404" s="38"/>
      <c r="F404" s="38"/>
      <c r="G404" s="38">
        <f t="shared" si="61"/>
        <v>79229.509999999995</v>
      </c>
      <c r="H404" s="38">
        <f t="shared" si="62"/>
        <v>22270000</v>
      </c>
      <c r="I404" s="38"/>
      <c r="J404" s="38"/>
      <c r="K404" s="38"/>
      <c r="L404" s="38"/>
      <c r="M404" s="38"/>
      <c r="N404" s="38"/>
      <c r="O404" s="38"/>
      <c r="P404" s="38">
        <f t="shared" ref="P404:R404" si="124">P403</f>
        <v>0</v>
      </c>
      <c r="Q404" s="38" t="e">
        <f t="shared" si="124"/>
        <v>#REF!</v>
      </c>
      <c r="R404" s="38">
        <f t="shared" si="124"/>
        <v>30000000</v>
      </c>
      <c r="S404" s="78">
        <v>45723</v>
      </c>
      <c r="T404" s="63"/>
      <c r="U404" s="63">
        <f t="shared" si="102"/>
        <v>53029.350000000006</v>
      </c>
      <c r="V404" s="63"/>
      <c r="W404" s="63"/>
      <c r="X404" s="63">
        <f t="shared" si="65"/>
        <v>53029.350000000006</v>
      </c>
      <c r="Y404" s="63">
        <f t="shared" si="112"/>
        <v>6300000</v>
      </c>
      <c r="Z404" s="63"/>
      <c r="AA404" s="63"/>
      <c r="AB404" s="63">
        <f t="shared" si="95"/>
        <v>5000000</v>
      </c>
      <c r="AC404" s="302"/>
      <c r="AD404" s="302"/>
      <c r="AE404" s="63"/>
      <c r="AF404" s="63"/>
      <c r="AG404" s="63"/>
      <c r="AH404" s="63"/>
      <c r="AJ404" s="63"/>
      <c r="AK404" s="63"/>
      <c r="AL404" s="63"/>
    </row>
    <row r="405" spans="1:38" x14ac:dyDescent="0.25">
      <c r="B405" s="42">
        <v>45724</v>
      </c>
      <c r="C405" s="38"/>
      <c r="D405" s="38">
        <f t="shared" si="60"/>
        <v>79229.509999999995</v>
      </c>
      <c r="E405" s="38"/>
      <c r="F405" s="38"/>
      <c r="G405" s="38">
        <f t="shared" si="61"/>
        <v>79229.509999999995</v>
      </c>
      <c r="H405" s="38">
        <f t="shared" si="62"/>
        <v>22270000</v>
      </c>
      <c r="I405" s="38"/>
      <c r="J405" s="38"/>
      <c r="K405" s="38"/>
      <c r="L405" s="38"/>
      <c r="M405" s="38"/>
      <c r="N405" s="38"/>
      <c r="O405" s="38"/>
      <c r="P405" s="38">
        <f t="shared" ref="P405:R405" si="125">P404</f>
        <v>0</v>
      </c>
      <c r="Q405" s="38" t="e">
        <f t="shared" si="125"/>
        <v>#REF!</v>
      </c>
      <c r="R405" s="38">
        <f t="shared" si="125"/>
        <v>30000000</v>
      </c>
      <c r="S405" s="78">
        <v>45724</v>
      </c>
      <c r="T405" s="63"/>
      <c r="U405" s="63">
        <f t="shared" si="102"/>
        <v>53029.350000000006</v>
      </c>
      <c r="V405" s="63"/>
      <c r="W405" s="63"/>
      <c r="X405" s="63">
        <f t="shared" si="65"/>
        <v>53029.350000000006</v>
      </c>
      <c r="Y405" s="63">
        <f t="shared" si="112"/>
        <v>6300000</v>
      </c>
      <c r="Z405" s="63"/>
      <c r="AA405" s="63"/>
      <c r="AB405" s="63">
        <f t="shared" si="95"/>
        <v>5000000</v>
      </c>
      <c r="AC405" s="302"/>
      <c r="AD405" s="302"/>
      <c r="AE405" s="63"/>
      <c r="AF405" s="63"/>
      <c r="AG405" s="63"/>
      <c r="AH405" s="63"/>
      <c r="AJ405" s="63"/>
      <c r="AK405" s="63"/>
      <c r="AL405" s="63"/>
    </row>
    <row r="406" spans="1:38" x14ac:dyDescent="0.25">
      <c r="B406" s="42">
        <v>45725</v>
      </c>
      <c r="C406" s="38"/>
      <c r="D406" s="38">
        <f t="shared" si="60"/>
        <v>79229.509999999995</v>
      </c>
      <c r="E406" s="38"/>
      <c r="F406" s="38"/>
      <c r="G406" s="38">
        <f t="shared" si="61"/>
        <v>79229.509999999995</v>
      </c>
      <c r="H406" s="38">
        <f t="shared" si="62"/>
        <v>22270000</v>
      </c>
      <c r="I406" s="38"/>
      <c r="J406" s="38"/>
      <c r="K406" s="38"/>
      <c r="L406" s="38"/>
      <c r="M406" s="38"/>
      <c r="N406" s="38"/>
      <c r="O406" s="38"/>
      <c r="P406" s="38">
        <f t="shared" ref="P406:R406" si="126">P405</f>
        <v>0</v>
      </c>
      <c r="Q406" s="38" t="e">
        <f t="shared" si="126"/>
        <v>#REF!</v>
      </c>
      <c r="R406" s="38">
        <f t="shared" si="126"/>
        <v>30000000</v>
      </c>
      <c r="S406" s="78">
        <v>45725</v>
      </c>
      <c r="T406" s="63"/>
      <c r="U406" s="63">
        <f t="shared" si="102"/>
        <v>53029.350000000006</v>
      </c>
      <c r="V406" s="63"/>
      <c r="W406" s="63"/>
      <c r="X406" s="63">
        <f t="shared" si="65"/>
        <v>53029.350000000006</v>
      </c>
      <c r="Y406" s="63">
        <f t="shared" si="112"/>
        <v>6300000</v>
      </c>
      <c r="Z406" s="63"/>
      <c r="AA406" s="63"/>
      <c r="AB406" s="63">
        <f t="shared" si="95"/>
        <v>5000000</v>
      </c>
      <c r="AC406" s="302"/>
      <c r="AD406" s="302"/>
      <c r="AE406" s="63"/>
      <c r="AF406" s="63"/>
      <c r="AG406" s="63"/>
      <c r="AH406" s="63"/>
      <c r="AJ406" s="63"/>
      <c r="AK406" s="63"/>
      <c r="AL406" s="63"/>
    </row>
    <row r="407" spans="1:38" x14ac:dyDescent="0.25">
      <c r="B407" s="42">
        <v>45726</v>
      </c>
      <c r="C407" s="38">
        <v>40432027.3995483</v>
      </c>
      <c r="D407" s="38">
        <f t="shared" ref="D407:D470" si="127">C407+G406</f>
        <v>40511256.909548298</v>
      </c>
      <c r="E407" s="83">
        <v>-40430000</v>
      </c>
      <c r="F407" s="38"/>
      <c r="G407" s="38">
        <f t="shared" ref="G407:G470" si="128">D407+E407+F407</f>
        <v>81256.909548297524</v>
      </c>
      <c r="H407" s="38">
        <f t="shared" ref="H407:H470" si="129">H406-E407</f>
        <v>62700000</v>
      </c>
      <c r="I407" s="38"/>
      <c r="J407" s="38"/>
      <c r="K407" s="38"/>
      <c r="L407" s="38"/>
      <c r="M407" s="38"/>
      <c r="N407" s="38"/>
      <c r="O407" s="38"/>
      <c r="P407" s="38">
        <f t="shared" ref="P407:R407" si="130">P406</f>
        <v>0</v>
      </c>
      <c r="Q407" s="38">
        <v>0</v>
      </c>
      <c r="R407" s="38">
        <f t="shared" si="130"/>
        <v>30000000</v>
      </c>
      <c r="S407" s="78">
        <v>45726</v>
      </c>
      <c r="T407" s="63"/>
      <c r="U407" s="63">
        <f t="shared" ref="U407:U470" si="131">T407+X406+W407</f>
        <v>53029.350000000006</v>
      </c>
      <c r="V407" s="63"/>
      <c r="W407" s="63"/>
      <c r="X407" s="63">
        <f t="shared" ref="X407:X470" si="132">V407+U407</f>
        <v>53029.350000000006</v>
      </c>
      <c r="Y407" s="63">
        <f t="shared" ref="Y407:Y470" si="133">Y406-V407</f>
        <v>6300000</v>
      </c>
      <c r="Z407" s="63"/>
      <c r="AA407" s="63"/>
      <c r="AB407" s="63">
        <f t="shared" si="95"/>
        <v>5000000</v>
      </c>
      <c r="AC407" s="302"/>
      <c r="AD407" s="302"/>
      <c r="AE407" s="63"/>
      <c r="AF407" s="63"/>
      <c r="AG407" s="63"/>
      <c r="AH407" s="63"/>
      <c r="AJ407" s="63"/>
      <c r="AK407" s="63"/>
      <c r="AL407" s="63"/>
    </row>
    <row r="408" spans="1:38" x14ac:dyDescent="0.25">
      <c r="A408" s="134" t="s">
        <v>80</v>
      </c>
      <c r="B408" s="42">
        <v>45727</v>
      </c>
      <c r="C408" s="38">
        <v>-3086465.7450000001</v>
      </c>
      <c r="D408" s="38">
        <f t="shared" si="127"/>
        <v>-3005208.8354517026</v>
      </c>
      <c r="E408" s="83">
        <v>3090000</v>
      </c>
      <c r="F408" s="38"/>
      <c r="G408" s="38">
        <f t="shared" si="128"/>
        <v>84791.164548297413</v>
      </c>
      <c r="H408" s="38">
        <f t="shared" si="129"/>
        <v>59610000</v>
      </c>
      <c r="I408" s="38"/>
      <c r="J408" s="38"/>
      <c r="K408" s="38"/>
      <c r="L408" s="38"/>
      <c r="M408" s="38"/>
      <c r="N408" s="38"/>
      <c r="O408" s="38"/>
      <c r="P408" s="38">
        <f t="shared" ref="P408:R408" si="134">P407</f>
        <v>0</v>
      </c>
      <c r="Q408" s="38">
        <f t="shared" si="134"/>
        <v>0</v>
      </c>
      <c r="R408" s="38">
        <f t="shared" si="134"/>
        <v>30000000</v>
      </c>
      <c r="S408" s="78">
        <v>45727</v>
      </c>
      <c r="T408" s="63">
        <v>-478429.06</v>
      </c>
      <c r="U408" s="63">
        <f t="shared" si="131"/>
        <v>-425399.70999999996</v>
      </c>
      <c r="V408" s="84">
        <v>480000</v>
      </c>
      <c r="W408" s="63"/>
      <c r="X408" s="63">
        <f t="shared" si="132"/>
        <v>54600.290000000037</v>
      </c>
      <c r="Y408" s="63">
        <f t="shared" si="133"/>
        <v>5820000</v>
      </c>
      <c r="Z408" s="63"/>
      <c r="AA408" s="63"/>
      <c r="AB408" s="63">
        <f t="shared" si="95"/>
        <v>5000000</v>
      </c>
      <c r="AC408" s="302"/>
      <c r="AD408" s="302"/>
      <c r="AE408" s="63"/>
      <c r="AF408" s="63"/>
      <c r="AG408" s="63"/>
      <c r="AH408" s="63"/>
      <c r="AJ408" s="63"/>
      <c r="AK408" s="63"/>
      <c r="AL408" s="63"/>
    </row>
    <row r="409" spans="1:38" x14ac:dyDescent="0.25">
      <c r="B409" s="42">
        <v>45728</v>
      </c>
      <c r="C409" s="38">
        <v>-35000000</v>
      </c>
      <c r="D409" s="38">
        <f t="shared" si="127"/>
        <v>-34915208.8354517</v>
      </c>
      <c r="E409" s="83">
        <v>35000000</v>
      </c>
      <c r="F409" s="38">
        <v>2027.8354517025873</v>
      </c>
      <c r="G409" s="38">
        <f t="shared" si="128"/>
        <v>86819.000000002794</v>
      </c>
      <c r="H409" s="38">
        <f t="shared" si="129"/>
        <v>24610000</v>
      </c>
      <c r="I409" s="38"/>
      <c r="J409" s="38"/>
      <c r="K409" s="38"/>
      <c r="L409" s="38"/>
      <c r="M409" s="38"/>
      <c r="N409" s="38"/>
      <c r="O409" s="38">
        <v>35000000</v>
      </c>
      <c r="P409" s="38">
        <f t="shared" ref="P409:R409" si="135">P408</f>
        <v>0</v>
      </c>
      <c r="Q409" s="38">
        <f t="shared" si="135"/>
        <v>0</v>
      </c>
      <c r="R409" s="38">
        <f t="shared" si="135"/>
        <v>30000000</v>
      </c>
      <c r="S409" s="78">
        <v>45728</v>
      </c>
      <c r="T409" s="63"/>
      <c r="U409" s="63">
        <f t="shared" si="131"/>
        <v>54600.290000000037</v>
      </c>
      <c r="V409" s="63"/>
      <c r="W409" s="63"/>
      <c r="X409" s="63">
        <f t="shared" si="132"/>
        <v>54600.290000000037</v>
      </c>
      <c r="Y409" s="63">
        <f t="shared" si="133"/>
        <v>5820000</v>
      </c>
      <c r="Z409" s="63"/>
      <c r="AA409" s="63"/>
      <c r="AB409" s="63">
        <f t="shared" si="95"/>
        <v>5000000</v>
      </c>
      <c r="AC409" s="302"/>
      <c r="AD409" s="302"/>
      <c r="AE409" s="63"/>
      <c r="AF409" s="63"/>
      <c r="AG409" s="63"/>
      <c r="AH409" s="63"/>
      <c r="AJ409" s="63"/>
      <c r="AK409" s="63"/>
      <c r="AL409" s="63"/>
    </row>
    <row r="410" spans="1:38" x14ac:dyDescent="0.25">
      <c r="B410" s="42">
        <v>45729</v>
      </c>
      <c r="C410" s="38">
        <v>-255003.81</v>
      </c>
      <c r="D410" s="38">
        <f t="shared" si="127"/>
        <v>-168184.8099999972</v>
      </c>
      <c r="E410" s="83">
        <v>250000</v>
      </c>
      <c r="F410" s="38"/>
      <c r="G410" s="38">
        <f t="shared" si="128"/>
        <v>81815.190000002796</v>
      </c>
      <c r="H410" s="38">
        <f t="shared" si="129"/>
        <v>24360000</v>
      </c>
      <c r="I410" s="38"/>
      <c r="J410" s="38"/>
      <c r="K410" s="38"/>
      <c r="L410" s="38"/>
      <c r="M410" s="38"/>
      <c r="N410" s="38"/>
      <c r="O410" s="38">
        <f>O409</f>
        <v>35000000</v>
      </c>
      <c r="P410" s="38">
        <f t="shared" ref="P410:R410" si="136">P409</f>
        <v>0</v>
      </c>
      <c r="Q410" s="38">
        <f t="shared" si="136"/>
        <v>0</v>
      </c>
      <c r="R410" s="38">
        <f t="shared" si="136"/>
        <v>30000000</v>
      </c>
      <c r="S410" s="78">
        <v>45729</v>
      </c>
      <c r="T410" s="63">
        <v>-24000</v>
      </c>
      <c r="U410" s="63">
        <f t="shared" si="131"/>
        <v>30600.290000000037</v>
      </c>
      <c r="V410" s="63"/>
      <c r="W410" s="63"/>
      <c r="X410" s="63">
        <f t="shared" si="132"/>
        <v>30600.290000000037</v>
      </c>
      <c r="Y410" s="63">
        <f t="shared" si="133"/>
        <v>5820000</v>
      </c>
      <c r="Z410" s="63"/>
      <c r="AA410" s="63"/>
      <c r="AB410" s="63">
        <f t="shared" si="95"/>
        <v>5000000</v>
      </c>
      <c r="AC410" s="302"/>
      <c r="AD410" s="302"/>
      <c r="AE410" s="63"/>
      <c r="AF410" s="63"/>
      <c r="AG410" s="63"/>
      <c r="AH410" s="63"/>
      <c r="AJ410" s="63"/>
      <c r="AK410" s="63"/>
      <c r="AL410" s="63"/>
    </row>
    <row r="411" spans="1:38" x14ac:dyDescent="0.25">
      <c r="B411" s="42">
        <v>45730</v>
      </c>
      <c r="C411" s="38"/>
      <c r="D411" s="38">
        <f t="shared" si="127"/>
        <v>81815.190000002796</v>
      </c>
      <c r="E411" s="38"/>
      <c r="F411" s="38"/>
      <c r="G411" s="38">
        <f t="shared" si="128"/>
        <v>81815.190000002796</v>
      </c>
      <c r="H411" s="38">
        <f t="shared" si="129"/>
        <v>24360000</v>
      </c>
      <c r="I411" s="38"/>
      <c r="J411" s="38"/>
      <c r="K411" s="38"/>
      <c r="L411" s="38"/>
      <c r="M411" s="38"/>
      <c r="N411" s="38"/>
      <c r="O411" s="38">
        <f t="shared" ref="O411:O415" si="137">O410</f>
        <v>35000000</v>
      </c>
      <c r="P411" s="38">
        <f t="shared" ref="P411:R411" si="138">P410</f>
        <v>0</v>
      </c>
      <c r="Q411" s="38">
        <f t="shared" si="138"/>
        <v>0</v>
      </c>
      <c r="R411" s="38">
        <f t="shared" si="138"/>
        <v>30000000</v>
      </c>
      <c r="S411" s="78">
        <v>45730</v>
      </c>
      <c r="T411" s="63"/>
      <c r="U411" s="63">
        <f t="shared" si="131"/>
        <v>30600.290000000037</v>
      </c>
      <c r="V411" s="63"/>
      <c r="W411" s="63"/>
      <c r="X411" s="63">
        <f t="shared" si="132"/>
        <v>30600.290000000037</v>
      </c>
      <c r="Y411" s="63">
        <f t="shared" si="133"/>
        <v>5820000</v>
      </c>
      <c r="Z411" s="63"/>
      <c r="AA411" s="63"/>
      <c r="AB411" s="63">
        <f t="shared" si="95"/>
        <v>5000000</v>
      </c>
      <c r="AC411" s="302"/>
      <c r="AD411" s="302"/>
      <c r="AE411" s="63"/>
      <c r="AF411" s="63"/>
      <c r="AG411" s="63"/>
      <c r="AH411" s="63"/>
      <c r="AJ411" s="63"/>
      <c r="AK411" s="63"/>
      <c r="AL411" s="63"/>
    </row>
    <row r="412" spans="1:38" x14ac:dyDescent="0.25">
      <c r="B412" s="42">
        <v>45731</v>
      </c>
      <c r="C412" s="38"/>
      <c r="D412" s="38">
        <f t="shared" si="127"/>
        <v>81815.190000002796</v>
      </c>
      <c r="E412" s="38"/>
      <c r="F412" s="38"/>
      <c r="G412" s="38">
        <f t="shared" si="128"/>
        <v>81815.190000002796</v>
      </c>
      <c r="H412" s="38">
        <f t="shared" si="129"/>
        <v>24360000</v>
      </c>
      <c r="I412" s="38"/>
      <c r="J412" s="38"/>
      <c r="K412" s="38"/>
      <c r="L412" s="38"/>
      <c r="M412" s="38"/>
      <c r="N412" s="38"/>
      <c r="O412" s="38">
        <f t="shared" si="137"/>
        <v>35000000</v>
      </c>
      <c r="P412" s="38">
        <f t="shared" ref="P412:R412" si="139">P411</f>
        <v>0</v>
      </c>
      <c r="Q412" s="38">
        <f t="shared" si="139"/>
        <v>0</v>
      </c>
      <c r="R412" s="38">
        <f t="shared" si="139"/>
        <v>30000000</v>
      </c>
      <c r="S412" s="78">
        <v>45731</v>
      </c>
      <c r="T412" s="63"/>
      <c r="U412" s="63">
        <f t="shared" si="131"/>
        <v>30600.290000000037</v>
      </c>
      <c r="V412" s="63"/>
      <c r="W412" s="63"/>
      <c r="X412" s="63">
        <f t="shared" si="132"/>
        <v>30600.290000000037</v>
      </c>
      <c r="Y412" s="63">
        <f t="shared" si="133"/>
        <v>5820000</v>
      </c>
      <c r="Z412" s="63"/>
      <c r="AA412" s="63"/>
      <c r="AB412" s="63">
        <f t="shared" si="95"/>
        <v>5000000</v>
      </c>
      <c r="AC412" s="302"/>
      <c r="AD412" s="302"/>
      <c r="AE412" s="63"/>
      <c r="AF412" s="63"/>
      <c r="AG412" s="63"/>
      <c r="AH412" s="63"/>
      <c r="AJ412" s="63"/>
      <c r="AK412" s="63"/>
      <c r="AL412" s="63"/>
    </row>
    <row r="413" spans="1:38" x14ac:dyDescent="0.25">
      <c r="A413" s="80"/>
      <c r="B413" s="42">
        <v>45732</v>
      </c>
      <c r="C413" s="38"/>
      <c r="D413" s="38">
        <f t="shared" si="127"/>
        <v>81815.190000002796</v>
      </c>
      <c r="E413" s="38"/>
      <c r="F413" s="38"/>
      <c r="G413" s="38">
        <f t="shared" si="128"/>
        <v>81815.190000002796</v>
      </c>
      <c r="H413" s="38">
        <f t="shared" si="129"/>
        <v>24360000</v>
      </c>
      <c r="I413" s="38"/>
      <c r="J413" s="38"/>
      <c r="K413" s="38"/>
      <c r="L413" s="38"/>
      <c r="M413" s="38"/>
      <c r="N413" s="38"/>
      <c r="O413" s="38">
        <f t="shared" si="137"/>
        <v>35000000</v>
      </c>
      <c r="P413" s="38">
        <f t="shared" ref="P413:R413" si="140">P412</f>
        <v>0</v>
      </c>
      <c r="Q413" s="38">
        <f t="shared" si="140"/>
        <v>0</v>
      </c>
      <c r="R413" s="38">
        <f t="shared" si="140"/>
        <v>30000000</v>
      </c>
      <c r="S413" s="78">
        <v>45732</v>
      </c>
      <c r="T413" s="63"/>
      <c r="U413" s="63">
        <f t="shared" si="131"/>
        <v>30600.290000000037</v>
      </c>
      <c r="V413" s="63"/>
      <c r="W413" s="63"/>
      <c r="X413" s="63">
        <f t="shared" si="132"/>
        <v>30600.290000000037</v>
      </c>
      <c r="Y413" s="63">
        <f t="shared" si="133"/>
        <v>5820000</v>
      </c>
      <c r="Z413" s="63"/>
      <c r="AA413" s="63"/>
      <c r="AB413" s="63">
        <f t="shared" si="95"/>
        <v>5000000</v>
      </c>
      <c r="AC413" s="302"/>
      <c r="AD413" s="302"/>
      <c r="AE413" s="63"/>
      <c r="AF413" s="63"/>
      <c r="AG413" s="63"/>
      <c r="AH413" s="63"/>
      <c r="AJ413" s="63"/>
      <c r="AK413" s="63"/>
      <c r="AL413" s="63"/>
    </row>
    <row r="414" spans="1:38" x14ac:dyDescent="0.25">
      <c r="A414" s="80"/>
      <c r="B414" s="42">
        <v>45733</v>
      </c>
      <c r="C414" s="38">
        <v>30242700</v>
      </c>
      <c r="D414" s="38">
        <f t="shared" si="127"/>
        <v>30324515.190000001</v>
      </c>
      <c r="E414" s="83">
        <v>-30220000</v>
      </c>
      <c r="F414" s="38">
        <v>-22494.610000003129</v>
      </c>
      <c r="G414" s="38">
        <f t="shared" si="128"/>
        <v>82020.579999998212</v>
      </c>
      <c r="H414" s="38">
        <f t="shared" si="129"/>
        <v>54580000</v>
      </c>
      <c r="I414" s="38"/>
      <c r="J414" s="38"/>
      <c r="K414" s="38"/>
      <c r="L414" s="38"/>
      <c r="M414" s="38"/>
      <c r="N414" s="38"/>
      <c r="O414" s="38">
        <f t="shared" si="137"/>
        <v>35000000</v>
      </c>
      <c r="P414" s="38">
        <f t="shared" ref="P414:Q414" si="141">P413</f>
        <v>0</v>
      </c>
      <c r="Q414" s="38">
        <f t="shared" si="141"/>
        <v>0</v>
      </c>
      <c r="R414" s="38">
        <v>0</v>
      </c>
      <c r="S414" s="78">
        <v>45733</v>
      </c>
      <c r="T414" s="63"/>
      <c r="U414" s="63">
        <f t="shared" si="131"/>
        <v>30600.290000000037</v>
      </c>
      <c r="V414" s="63"/>
      <c r="W414" s="63"/>
      <c r="X414" s="63">
        <f t="shared" si="132"/>
        <v>30600.290000000037</v>
      </c>
      <c r="Y414" s="63">
        <f t="shared" si="133"/>
        <v>5820000</v>
      </c>
      <c r="Z414" s="63"/>
      <c r="AA414" s="63"/>
      <c r="AB414" s="63">
        <f t="shared" si="95"/>
        <v>5000000</v>
      </c>
      <c r="AC414" s="302"/>
      <c r="AD414" s="302"/>
      <c r="AE414" s="63"/>
      <c r="AF414" s="63"/>
      <c r="AG414" s="63"/>
      <c r="AH414" s="63"/>
      <c r="AJ414" s="63"/>
      <c r="AK414" s="63"/>
      <c r="AL414" s="63"/>
    </row>
    <row r="415" spans="1:38" x14ac:dyDescent="0.25">
      <c r="A415" s="80"/>
      <c r="B415" s="42">
        <v>45734</v>
      </c>
      <c r="C415" s="38">
        <v>-185722</v>
      </c>
      <c r="D415" s="38">
        <f t="shared" si="127"/>
        <v>-103701.42000000179</v>
      </c>
      <c r="E415" s="83">
        <v>180000</v>
      </c>
      <c r="F415" s="38"/>
      <c r="G415" s="38">
        <f t="shared" si="128"/>
        <v>76298.579999998212</v>
      </c>
      <c r="H415" s="38">
        <f t="shared" si="129"/>
        <v>54400000</v>
      </c>
      <c r="I415" s="38"/>
      <c r="J415" s="38"/>
      <c r="K415" s="38"/>
      <c r="L415" s="38"/>
      <c r="M415" s="38"/>
      <c r="N415" s="38"/>
      <c r="O415" s="38">
        <f t="shared" si="137"/>
        <v>35000000</v>
      </c>
      <c r="P415" s="38">
        <f t="shared" ref="P415:R415" si="142">P414</f>
        <v>0</v>
      </c>
      <c r="Q415" s="38">
        <f t="shared" si="142"/>
        <v>0</v>
      </c>
      <c r="R415" s="38">
        <f t="shared" si="142"/>
        <v>0</v>
      </c>
      <c r="S415" s="78">
        <v>45734</v>
      </c>
      <c r="T415" s="63"/>
      <c r="U415" s="63">
        <f t="shared" si="131"/>
        <v>30600.290000000037</v>
      </c>
      <c r="V415" s="63"/>
      <c r="W415" s="63"/>
      <c r="X415" s="63">
        <f t="shared" si="132"/>
        <v>30600.290000000037</v>
      </c>
      <c r="Y415" s="63">
        <f t="shared" si="133"/>
        <v>5820000</v>
      </c>
      <c r="Z415" s="63"/>
      <c r="AA415" s="63"/>
      <c r="AB415" s="63">
        <f t="shared" si="95"/>
        <v>5000000</v>
      </c>
      <c r="AC415" s="302"/>
      <c r="AD415" s="302"/>
      <c r="AE415" s="63"/>
      <c r="AF415" s="63"/>
      <c r="AG415" s="63"/>
      <c r="AH415" s="63"/>
      <c r="AJ415" s="63"/>
      <c r="AK415" s="63"/>
      <c r="AL415" s="63"/>
    </row>
    <row r="416" spans="1:38" x14ac:dyDescent="0.25">
      <c r="A416" s="80"/>
      <c r="B416" s="42">
        <v>45735</v>
      </c>
      <c r="C416" s="38">
        <v>-30000000</v>
      </c>
      <c r="D416" s="38">
        <f t="shared" si="127"/>
        <v>-29923701.420000002</v>
      </c>
      <c r="E416" s="83">
        <v>30000000</v>
      </c>
      <c r="F416" s="38"/>
      <c r="G416" s="38">
        <f t="shared" si="128"/>
        <v>76298.579999998212</v>
      </c>
      <c r="H416" s="38">
        <f t="shared" si="129"/>
        <v>24400000</v>
      </c>
      <c r="I416" s="38"/>
      <c r="J416" s="38"/>
      <c r="K416" s="38"/>
      <c r="L416" s="38"/>
      <c r="M416" s="38"/>
      <c r="N416" s="38"/>
      <c r="O416" s="38">
        <f>O415+30000000</f>
        <v>65000000</v>
      </c>
      <c r="P416" s="38">
        <f t="shared" ref="P416:R416" si="143">P415</f>
        <v>0</v>
      </c>
      <c r="Q416" s="38">
        <f t="shared" si="143"/>
        <v>0</v>
      </c>
      <c r="R416" s="38">
        <f t="shared" si="143"/>
        <v>0</v>
      </c>
      <c r="S416" s="78">
        <v>45735</v>
      </c>
      <c r="T416" s="63"/>
      <c r="U416" s="63">
        <f t="shared" si="131"/>
        <v>30600.290000000037</v>
      </c>
      <c r="V416" s="63"/>
      <c r="W416" s="63"/>
      <c r="X416" s="63">
        <f t="shared" si="132"/>
        <v>30600.290000000037</v>
      </c>
      <c r="Y416" s="63">
        <f t="shared" si="133"/>
        <v>5820000</v>
      </c>
      <c r="Z416" s="63"/>
      <c r="AA416" s="63"/>
      <c r="AB416" s="63">
        <f t="shared" si="95"/>
        <v>5000000</v>
      </c>
      <c r="AC416" s="302"/>
      <c r="AD416" s="302"/>
      <c r="AE416" s="63"/>
      <c r="AF416" s="63"/>
      <c r="AG416" s="63"/>
      <c r="AH416" s="63"/>
      <c r="AJ416" s="63"/>
      <c r="AK416" s="63"/>
      <c r="AL416" s="63"/>
    </row>
    <row r="417" spans="1:38" x14ac:dyDescent="0.25">
      <c r="A417" s="80"/>
      <c r="B417" s="42">
        <v>45736</v>
      </c>
      <c r="C417" s="38"/>
      <c r="D417" s="38">
        <f t="shared" si="127"/>
        <v>76298.579999998212</v>
      </c>
      <c r="E417" s="38"/>
      <c r="F417" s="38"/>
      <c r="G417" s="38">
        <f t="shared" si="128"/>
        <v>76298.579999998212</v>
      </c>
      <c r="H417" s="38">
        <f t="shared" si="129"/>
        <v>24400000</v>
      </c>
      <c r="I417" s="38"/>
      <c r="J417" s="38"/>
      <c r="K417" s="38"/>
      <c r="L417" s="38"/>
      <c r="M417" s="38"/>
      <c r="N417" s="38"/>
      <c r="O417" s="38">
        <f>O416</f>
        <v>65000000</v>
      </c>
      <c r="P417" s="38">
        <f t="shared" ref="P417:R417" si="144">P416</f>
        <v>0</v>
      </c>
      <c r="Q417" s="38">
        <f t="shared" si="144"/>
        <v>0</v>
      </c>
      <c r="R417" s="38">
        <f t="shared" si="144"/>
        <v>0</v>
      </c>
      <c r="S417" s="78">
        <v>45736</v>
      </c>
      <c r="T417" s="63"/>
      <c r="U417" s="63">
        <f t="shared" si="131"/>
        <v>30600.290000000037</v>
      </c>
      <c r="V417" s="63"/>
      <c r="W417" s="63"/>
      <c r="X417" s="63">
        <f t="shared" si="132"/>
        <v>30600.290000000037</v>
      </c>
      <c r="Y417" s="63">
        <f t="shared" si="133"/>
        <v>5820000</v>
      </c>
      <c r="Z417" s="63"/>
      <c r="AA417" s="63"/>
      <c r="AB417" s="63">
        <f t="shared" si="95"/>
        <v>5000000</v>
      </c>
      <c r="AC417" s="302"/>
      <c r="AD417" s="302"/>
      <c r="AE417" s="63"/>
      <c r="AF417" s="63"/>
      <c r="AG417" s="63"/>
      <c r="AH417" s="63"/>
      <c r="AJ417" s="63"/>
      <c r="AK417" s="63"/>
      <c r="AL417" s="63"/>
    </row>
    <row r="418" spans="1:38" x14ac:dyDescent="0.25">
      <c r="A418" s="80"/>
      <c r="B418" s="42">
        <v>45737</v>
      </c>
      <c r="C418" s="38"/>
      <c r="D418" s="38">
        <f t="shared" si="127"/>
        <v>76298.579999998212</v>
      </c>
      <c r="E418" s="38"/>
      <c r="F418" s="38">
        <v>833.19000000179221</v>
      </c>
      <c r="G418" s="38">
        <f t="shared" si="128"/>
        <v>77131.77</v>
      </c>
      <c r="H418" s="38">
        <f t="shared" si="129"/>
        <v>24400000</v>
      </c>
      <c r="I418" s="38"/>
      <c r="J418" s="38"/>
      <c r="K418" s="38"/>
      <c r="L418" s="38"/>
      <c r="M418" s="38"/>
      <c r="N418" s="38"/>
      <c r="O418" s="38">
        <f t="shared" ref="O418:O481" si="145">O417</f>
        <v>65000000</v>
      </c>
      <c r="P418" s="38">
        <f t="shared" ref="P418:R418" si="146">P417</f>
        <v>0</v>
      </c>
      <c r="Q418" s="38">
        <f t="shared" si="146"/>
        <v>0</v>
      </c>
      <c r="R418" s="38">
        <f t="shared" si="146"/>
        <v>0</v>
      </c>
      <c r="S418" s="78">
        <v>45737</v>
      </c>
      <c r="T418" s="63"/>
      <c r="U418" s="63">
        <f t="shared" si="131"/>
        <v>30600.290000000037</v>
      </c>
      <c r="V418" s="63"/>
      <c r="W418" s="63"/>
      <c r="X418" s="63">
        <f t="shared" si="132"/>
        <v>30600.290000000037</v>
      </c>
      <c r="Y418" s="63">
        <f t="shared" si="133"/>
        <v>5820000</v>
      </c>
      <c r="Z418" s="63"/>
      <c r="AA418" s="63"/>
      <c r="AB418" s="63">
        <f t="shared" si="95"/>
        <v>5000000</v>
      </c>
      <c r="AC418" s="302"/>
      <c r="AD418" s="302"/>
      <c r="AE418" s="63"/>
      <c r="AF418" s="63"/>
      <c r="AG418" s="63"/>
      <c r="AH418" s="63"/>
      <c r="AJ418" s="63"/>
      <c r="AK418" s="63"/>
      <c r="AL418" s="63"/>
    </row>
    <row r="419" spans="1:38" x14ac:dyDescent="0.25">
      <c r="A419" s="80"/>
      <c r="B419" s="42">
        <v>45738</v>
      </c>
      <c r="C419" s="38"/>
      <c r="D419" s="38">
        <f t="shared" si="127"/>
        <v>77131.77</v>
      </c>
      <c r="E419" s="38"/>
      <c r="F419" s="38"/>
      <c r="G419" s="38">
        <f t="shared" si="128"/>
        <v>77131.77</v>
      </c>
      <c r="H419" s="38">
        <f t="shared" si="129"/>
        <v>24400000</v>
      </c>
      <c r="I419" s="38"/>
      <c r="J419" s="38"/>
      <c r="K419" s="38"/>
      <c r="L419" s="38"/>
      <c r="M419" s="38"/>
      <c r="N419" s="38"/>
      <c r="O419" s="38">
        <f t="shared" si="145"/>
        <v>65000000</v>
      </c>
      <c r="P419" s="38">
        <f t="shared" ref="P419:R419" si="147">P418</f>
        <v>0</v>
      </c>
      <c r="Q419" s="38">
        <f t="shared" si="147"/>
        <v>0</v>
      </c>
      <c r="R419" s="38">
        <f t="shared" si="147"/>
        <v>0</v>
      </c>
      <c r="S419" s="78">
        <v>45738</v>
      </c>
      <c r="T419" s="63"/>
      <c r="U419" s="63">
        <f t="shared" si="131"/>
        <v>30600.290000000037</v>
      </c>
      <c r="V419" s="63"/>
      <c r="W419" s="63"/>
      <c r="X419" s="63">
        <f t="shared" si="132"/>
        <v>30600.290000000037</v>
      </c>
      <c r="Y419" s="63">
        <f t="shared" si="133"/>
        <v>5820000</v>
      </c>
      <c r="Z419" s="63"/>
      <c r="AA419" s="63"/>
      <c r="AB419" s="63">
        <f t="shared" si="95"/>
        <v>5000000</v>
      </c>
      <c r="AC419" s="302"/>
      <c r="AD419" s="302"/>
      <c r="AE419" s="63"/>
      <c r="AF419" s="63"/>
      <c r="AG419" s="63"/>
      <c r="AH419" s="63"/>
      <c r="AJ419" s="63"/>
      <c r="AK419" s="63"/>
      <c r="AL419" s="63"/>
    </row>
    <row r="420" spans="1:38" x14ac:dyDescent="0.25">
      <c r="A420" s="80"/>
      <c r="B420" s="42">
        <v>45739</v>
      </c>
      <c r="C420" s="38"/>
      <c r="D420" s="38">
        <f t="shared" si="127"/>
        <v>77131.77</v>
      </c>
      <c r="E420" s="38"/>
      <c r="F420" s="38"/>
      <c r="G420" s="38">
        <f t="shared" si="128"/>
        <v>77131.77</v>
      </c>
      <c r="H420" s="38">
        <f t="shared" si="129"/>
        <v>24400000</v>
      </c>
      <c r="I420" s="38"/>
      <c r="J420" s="38"/>
      <c r="K420" s="38"/>
      <c r="L420" s="38"/>
      <c r="M420" s="38"/>
      <c r="N420" s="38"/>
      <c r="O420" s="38">
        <f t="shared" si="145"/>
        <v>65000000</v>
      </c>
      <c r="P420" s="38">
        <f t="shared" ref="P420:R420" si="148">P419</f>
        <v>0</v>
      </c>
      <c r="Q420" s="38">
        <f t="shared" si="148"/>
        <v>0</v>
      </c>
      <c r="R420" s="38">
        <f t="shared" si="148"/>
        <v>0</v>
      </c>
      <c r="S420" s="78">
        <v>45739</v>
      </c>
      <c r="T420" s="63"/>
      <c r="U420" s="63">
        <f t="shared" si="131"/>
        <v>30600.290000000037</v>
      </c>
      <c r="V420" s="63"/>
      <c r="W420" s="63"/>
      <c r="X420" s="63">
        <f t="shared" si="132"/>
        <v>30600.290000000037</v>
      </c>
      <c r="Y420" s="63">
        <f t="shared" si="133"/>
        <v>5820000</v>
      </c>
      <c r="Z420" s="63"/>
      <c r="AA420" s="63"/>
      <c r="AB420" s="63">
        <f t="shared" si="95"/>
        <v>5000000</v>
      </c>
      <c r="AC420" s="302"/>
      <c r="AD420" s="302"/>
      <c r="AE420" s="63"/>
      <c r="AF420" s="63"/>
      <c r="AG420" s="63"/>
      <c r="AH420" s="63"/>
      <c r="AJ420" s="63"/>
      <c r="AK420" s="63"/>
      <c r="AL420" s="63"/>
    </row>
    <row r="421" spans="1:38" x14ac:dyDescent="0.25">
      <c r="A421" s="80"/>
      <c r="B421" s="42">
        <v>45740</v>
      </c>
      <c r="C421" s="38"/>
      <c r="D421" s="38">
        <f t="shared" si="127"/>
        <v>77131.77</v>
      </c>
      <c r="E421" s="38"/>
      <c r="F421" s="38"/>
      <c r="G421" s="38">
        <f t="shared" si="128"/>
        <v>77131.77</v>
      </c>
      <c r="H421" s="38">
        <f t="shared" si="129"/>
        <v>24400000</v>
      </c>
      <c r="I421" s="38"/>
      <c r="J421" s="38"/>
      <c r="K421" s="38"/>
      <c r="L421" s="38"/>
      <c r="M421" s="38"/>
      <c r="N421" s="38"/>
      <c r="O421" s="38">
        <f t="shared" si="145"/>
        <v>65000000</v>
      </c>
      <c r="P421" s="38">
        <f t="shared" ref="P421:R421" si="149">P420</f>
        <v>0</v>
      </c>
      <c r="Q421" s="38">
        <f t="shared" si="149"/>
        <v>0</v>
      </c>
      <c r="R421" s="38">
        <f t="shared" si="149"/>
        <v>0</v>
      </c>
      <c r="S421" s="78">
        <v>45740</v>
      </c>
      <c r="T421" s="63"/>
      <c r="U421" s="63">
        <f t="shared" si="131"/>
        <v>30600.290000000037</v>
      </c>
      <c r="V421" s="63"/>
      <c r="W421" s="63"/>
      <c r="X421" s="63">
        <f t="shared" si="132"/>
        <v>30600.290000000037</v>
      </c>
      <c r="Y421" s="63">
        <f t="shared" si="133"/>
        <v>5820000</v>
      </c>
      <c r="Z421" s="63"/>
      <c r="AA421" s="63"/>
      <c r="AB421" s="63">
        <f t="shared" si="95"/>
        <v>5000000</v>
      </c>
      <c r="AC421" s="302"/>
      <c r="AD421" s="302"/>
      <c r="AE421" s="63"/>
      <c r="AF421" s="63"/>
      <c r="AG421" s="63"/>
      <c r="AH421" s="63"/>
      <c r="AJ421" s="63"/>
      <c r="AK421" s="63"/>
      <c r="AL421" s="63"/>
    </row>
    <row r="422" spans="1:38" x14ac:dyDescent="0.25">
      <c r="A422" s="80"/>
      <c r="B422" s="42">
        <v>45741</v>
      </c>
      <c r="C422" s="38">
        <f>-67526.42-46953.65</f>
        <v>-114480.07</v>
      </c>
      <c r="D422" s="38">
        <f t="shared" si="127"/>
        <v>-37348.300000000003</v>
      </c>
      <c r="E422" s="83">
        <v>80000</v>
      </c>
      <c r="F422" s="38">
        <f>-(42651.7-11103.12)</f>
        <v>-31548.579999999994</v>
      </c>
      <c r="G422" s="38">
        <f t="shared" si="128"/>
        <v>11103.120000000003</v>
      </c>
      <c r="H422" s="38">
        <f t="shared" si="129"/>
        <v>24320000</v>
      </c>
      <c r="I422" s="38"/>
      <c r="J422" s="38"/>
      <c r="K422" s="38"/>
      <c r="L422" s="38"/>
      <c r="M422" s="38"/>
      <c r="N422" s="38"/>
      <c r="O422" s="38">
        <f t="shared" si="145"/>
        <v>65000000</v>
      </c>
      <c r="P422" s="38">
        <f t="shared" ref="P422:R422" si="150">P421</f>
        <v>0</v>
      </c>
      <c r="Q422" s="38">
        <f t="shared" si="150"/>
        <v>0</v>
      </c>
      <c r="R422" s="38">
        <f t="shared" si="150"/>
        <v>0</v>
      </c>
      <c r="S422" s="78">
        <v>45741</v>
      </c>
      <c r="T422" s="63"/>
      <c r="U422" s="63">
        <f t="shared" si="131"/>
        <v>30600.290000000037</v>
      </c>
      <c r="V422" s="63"/>
      <c r="W422" s="63"/>
      <c r="X422" s="63">
        <f t="shared" si="132"/>
        <v>30600.290000000037</v>
      </c>
      <c r="Y422" s="63">
        <f t="shared" si="133"/>
        <v>5820000</v>
      </c>
      <c r="Z422" s="63"/>
      <c r="AA422" s="63"/>
      <c r="AB422" s="63">
        <f t="shared" si="95"/>
        <v>5000000</v>
      </c>
      <c r="AC422" s="302"/>
      <c r="AD422" s="302"/>
      <c r="AE422" s="63"/>
      <c r="AF422" s="63"/>
      <c r="AG422" s="63"/>
      <c r="AH422" s="63"/>
      <c r="AJ422" s="63"/>
      <c r="AK422" s="63"/>
      <c r="AL422" s="63"/>
    </row>
    <row r="423" spans="1:38" ht="16.5" x14ac:dyDescent="0.3">
      <c r="A423" s="80"/>
      <c r="B423" s="42">
        <v>45742</v>
      </c>
      <c r="C423" s="190"/>
      <c r="D423" s="38">
        <f t="shared" si="127"/>
        <v>11103.120000000003</v>
      </c>
      <c r="E423" s="83">
        <v>30000</v>
      </c>
      <c r="F423" s="38"/>
      <c r="G423" s="38">
        <f t="shared" si="128"/>
        <v>41103.120000000003</v>
      </c>
      <c r="H423" s="38">
        <f t="shared" si="129"/>
        <v>24290000</v>
      </c>
      <c r="I423" s="38"/>
      <c r="J423" s="38"/>
      <c r="K423" s="38"/>
      <c r="L423" s="38"/>
      <c r="M423" s="38"/>
      <c r="N423" s="38"/>
      <c r="O423" s="38">
        <f t="shared" si="145"/>
        <v>65000000</v>
      </c>
      <c r="P423" s="38">
        <f t="shared" ref="P423:R423" si="151">P422</f>
        <v>0</v>
      </c>
      <c r="Q423" s="38">
        <f t="shared" si="151"/>
        <v>0</v>
      </c>
      <c r="R423" s="38">
        <f t="shared" si="151"/>
        <v>0</v>
      </c>
      <c r="S423" s="78">
        <v>45742</v>
      </c>
      <c r="T423" s="63">
        <f>-10070.61</f>
        <v>-10070.61</v>
      </c>
      <c r="U423" s="63">
        <f t="shared" si="131"/>
        <v>20529.680000000037</v>
      </c>
      <c r="V423" s="63"/>
      <c r="W423" s="63"/>
      <c r="X423" s="63">
        <f t="shared" si="132"/>
        <v>20529.680000000037</v>
      </c>
      <c r="Y423" s="63">
        <f t="shared" si="133"/>
        <v>5820000</v>
      </c>
      <c r="Z423" s="63"/>
      <c r="AA423" s="63"/>
      <c r="AB423" s="63">
        <f t="shared" si="95"/>
        <v>5000000</v>
      </c>
      <c r="AC423" s="302"/>
      <c r="AD423" s="302"/>
      <c r="AE423" s="63"/>
      <c r="AF423" s="63"/>
      <c r="AG423" s="63"/>
      <c r="AH423" s="63"/>
      <c r="AI423" s="193"/>
      <c r="AJ423" s="63"/>
      <c r="AK423" s="63"/>
      <c r="AL423" s="63"/>
    </row>
    <row r="424" spans="1:38" x14ac:dyDescent="0.25">
      <c r="A424" s="80"/>
      <c r="B424" s="42">
        <v>45743</v>
      </c>
      <c r="C424" s="38">
        <f>-1610955.44-834439.54</f>
        <v>-2445394.98</v>
      </c>
      <c r="D424" s="38">
        <f t="shared" si="127"/>
        <v>-2404291.86</v>
      </c>
      <c r="E424" s="83">
        <f>870000+1600000</f>
        <v>2470000</v>
      </c>
      <c r="F424" s="38"/>
      <c r="G424" s="38">
        <f t="shared" si="128"/>
        <v>65708.14000000013</v>
      </c>
      <c r="H424" s="38">
        <f t="shared" si="129"/>
        <v>21820000</v>
      </c>
      <c r="I424" s="38"/>
      <c r="J424" s="38"/>
      <c r="K424" s="38"/>
      <c r="L424" s="38"/>
      <c r="M424" s="38"/>
      <c r="N424" s="38"/>
      <c r="O424" s="38">
        <f t="shared" si="145"/>
        <v>65000000</v>
      </c>
      <c r="P424" s="38">
        <f t="shared" ref="P424:R424" si="152">P423</f>
        <v>0</v>
      </c>
      <c r="Q424" s="38">
        <f t="shared" si="152"/>
        <v>0</v>
      </c>
      <c r="R424" s="38">
        <f t="shared" si="152"/>
        <v>0</v>
      </c>
      <c r="S424" s="78">
        <v>45743</v>
      </c>
      <c r="T424" s="63">
        <v>-294318.90999999997</v>
      </c>
      <c r="U424" s="63">
        <f t="shared" si="131"/>
        <v>-273789.22999999992</v>
      </c>
      <c r="V424" s="84">
        <v>310000</v>
      </c>
      <c r="W424" s="63"/>
      <c r="X424" s="63">
        <f t="shared" si="132"/>
        <v>36210.770000000077</v>
      </c>
      <c r="Y424" s="63">
        <f t="shared" si="133"/>
        <v>5510000</v>
      </c>
      <c r="Z424" s="63"/>
      <c r="AA424" s="63"/>
      <c r="AB424" s="63">
        <f t="shared" si="95"/>
        <v>5000000</v>
      </c>
      <c r="AC424" s="302"/>
      <c r="AD424" s="302"/>
      <c r="AE424" s="63"/>
      <c r="AF424" s="63"/>
      <c r="AG424" s="63"/>
      <c r="AH424" s="63"/>
      <c r="AJ424" s="63"/>
      <c r="AK424" s="63"/>
      <c r="AL424" s="63"/>
    </row>
    <row r="425" spans="1:38" x14ac:dyDescent="0.25">
      <c r="A425" s="80"/>
      <c r="B425" s="42">
        <v>45744</v>
      </c>
      <c r="C425" s="38"/>
      <c r="D425" s="38">
        <f t="shared" si="127"/>
        <v>65708.14000000013</v>
      </c>
      <c r="E425" s="38"/>
      <c r="F425" s="38"/>
      <c r="G425" s="38">
        <f t="shared" si="128"/>
        <v>65708.14000000013</v>
      </c>
      <c r="H425" s="38">
        <f t="shared" si="129"/>
        <v>21820000</v>
      </c>
      <c r="I425" s="38"/>
      <c r="J425" s="38"/>
      <c r="K425" s="38"/>
      <c r="L425" s="38"/>
      <c r="M425" s="38"/>
      <c r="N425" s="38"/>
      <c r="O425" s="38">
        <f t="shared" si="145"/>
        <v>65000000</v>
      </c>
      <c r="P425" s="38">
        <f t="shared" ref="P425:R425" si="153">P424</f>
        <v>0</v>
      </c>
      <c r="Q425" s="38">
        <f t="shared" si="153"/>
        <v>0</v>
      </c>
      <c r="R425" s="38">
        <f t="shared" si="153"/>
        <v>0</v>
      </c>
      <c r="S425" s="78">
        <v>45744</v>
      </c>
      <c r="T425" s="63"/>
      <c r="U425" s="63">
        <f t="shared" si="131"/>
        <v>36210.770000000077</v>
      </c>
      <c r="V425" s="63"/>
      <c r="W425" s="63"/>
      <c r="X425" s="63">
        <f t="shared" si="132"/>
        <v>36210.770000000077</v>
      </c>
      <c r="Y425" s="63">
        <f t="shared" si="133"/>
        <v>5510000</v>
      </c>
      <c r="Z425" s="63"/>
      <c r="AA425" s="63"/>
      <c r="AB425" s="63">
        <f t="shared" si="95"/>
        <v>5000000</v>
      </c>
      <c r="AC425" s="302"/>
      <c r="AD425" s="302"/>
      <c r="AE425" s="63"/>
      <c r="AF425" s="63"/>
      <c r="AG425" s="63"/>
      <c r="AH425" s="63"/>
      <c r="AJ425" s="63"/>
      <c r="AK425" s="63"/>
      <c r="AL425" s="63"/>
    </row>
    <row r="426" spans="1:38" x14ac:dyDescent="0.25">
      <c r="A426" s="80"/>
      <c r="B426" s="42">
        <v>45745</v>
      </c>
      <c r="C426" s="38"/>
      <c r="D426" s="38">
        <f t="shared" si="127"/>
        <v>65708.14000000013</v>
      </c>
      <c r="E426" s="38"/>
      <c r="F426" s="38"/>
      <c r="G426" s="38">
        <f t="shared" si="128"/>
        <v>65708.14000000013</v>
      </c>
      <c r="H426" s="38">
        <f t="shared" si="129"/>
        <v>21820000</v>
      </c>
      <c r="I426" s="38"/>
      <c r="J426" s="38"/>
      <c r="K426" s="38"/>
      <c r="L426" s="38"/>
      <c r="M426" s="38"/>
      <c r="N426" s="38"/>
      <c r="O426" s="38">
        <f t="shared" si="145"/>
        <v>65000000</v>
      </c>
      <c r="P426" s="38">
        <f t="shared" ref="P426:R426" si="154">P425</f>
        <v>0</v>
      </c>
      <c r="Q426" s="38">
        <f t="shared" si="154"/>
        <v>0</v>
      </c>
      <c r="R426" s="38">
        <f t="shared" si="154"/>
        <v>0</v>
      </c>
      <c r="S426" s="78">
        <v>45745</v>
      </c>
      <c r="T426" s="63"/>
      <c r="U426" s="63">
        <f t="shared" si="131"/>
        <v>36210.770000000077</v>
      </c>
      <c r="V426" s="63"/>
      <c r="W426" s="63"/>
      <c r="X426" s="63">
        <f t="shared" si="132"/>
        <v>36210.770000000077</v>
      </c>
      <c r="Y426" s="63">
        <f t="shared" si="133"/>
        <v>5510000</v>
      </c>
      <c r="Z426" s="63"/>
      <c r="AA426" s="63"/>
      <c r="AB426" s="63">
        <f t="shared" si="95"/>
        <v>5000000</v>
      </c>
      <c r="AC426" s="302"/>
      <c r="AD426" s="302"/>
      <c r="AE426" s="63"/>
      <c r="AF426" s="63"/>
      <c r="AG426" s="63"/>
      <c r="AH426" s="63"/>
      <c r="AJ426" s="63"/>
      <c r="AK426" s="63"/>
      <c r="AL426" s="63"/>
    </row>
    <row r="427" spans="1:38" x14ac:dyDescent="0.25">
      <c r="A427" s="80"/>
      <c r="B427" s="42">
        <v>45746</v>
      </c>
      <c r="C427" s="38"/>
      <c r="D427" s="38">
        <f t="shared" si="127"/>
        <v>65708.14000000013</v>
      </c>
      <c r="E427" s="38"/>
      <c r="F427" s="38"/>
      <c r="G427" s="38">
        <f t="shared" si="128"/>
        <v>65708.14000000013</v>
      </c>
      <c r="H427" s="38">
        <f t="shared" si="129"/>
        <v>21820000</v>
      </c>
      <c r="I427" s="38"/>
      <c r="J427" s="38"/>
      <c r="K427" s="38"/>
      <c r="L427" s="38"/>
      <c r="M427" s="38"/>
      <c r="N427" s="38"/>
      <c r="O427" s="38">
        <f t="shared" si="145"/>
        <v>65000000</v>
      </c>
      <c r="P427" s="38">
        <f t="shared" ref="P427:R427" si="155">P426</f>
        <v>0</v>
      </c>
      <c r="Q427" s="38">
        <f t="shared" si="155"/>
        <v>0</v>
      </c>
      <c r="R427" s="38">
        <f t="shared" si="155"/>
        <v>0</v>
      </c>
      <c r="S427" s="78">
        <v>45746</v>
      </c>
      <c r="T427" s="63"/>
      <c r="U427" s="63">
        <f t="shared" si="131"/>
        <v>36210.770000000077</v>
      </c>
      <c r="V427" s="63"/>
      <c r="W427" s="63"/>
      <c r="X427" s="63">
        <f t="shared" si="132"/>
        <v>36210.770000000077</v>
      </c>
      <c r="Y427" s="63">
        <f t="shared" si="133"/>
        <v>5510000</v>
      </c>
      <c r="Z427" s="63"/>
      <c r="AA427" s="63"/>
      <c r="AB427" s="63">
        <f t="shared" si="95"/>
        <v>5000000</v>
      </c>
      <c r="AC427" s="302"/>
      <c r="AD427" s="302"/>
      <c r="AE427" s="63"/>
      <c r="AF427" s="63"/>
      <c r="AG427" s="63"/>
      <c r="AH427" s="63"/>
      <c r="AJ427" s="63"/>
      <c r="AK427" s="63"/>
      <c r="AL427" s="63"/>
    </row>
    <row r="428" spans="1:38" x14ac:dyDescent="0.25">
      <c r="A428" s="80"/>
      <c r="B428" s="42">
        <v>45747</v>
      </c>
      <c r="C428" s="38"/>
      <c r="D428" s="38">
        <f t="shared" si="127"/>
        <v>65708.14000000013</v>
      </c>
      <c r="E428" s="38"/>
      <c r="F428" s="38">
        <v>42257.989999999874</v>
      </c>
      <c r="G428" s="38">
        <f t="shared" si="128"/>
        <v>107966.13</v>
      </c>
      <c r="H428" s="38">
        <f t="shared" si="129"/>
        <v>21820000</v>
      </c>
      <c r="I428" s="38"/>
      <c r="J428" s="38"/>
      <c r="K428" s="38"/>
      <c r="L428" s="38"/>
      <c r="M428" s="38"/>
      <c r="N428" s="38"/>
      <c r="O428" s="38">
        <f t="shared" si="145"/>
        <v>65000000</v>
      </c>
      <c r="P428" s="38">
        <f t="shared" ref="P428:R428" si="156">P427</f>
        <v>0</v>
      </c>
      <c r="Q428" s="38">
        <f t="shared" si="156"/>
        <v>0</v>
      </c>
      <c r="R428" s="38">
        <f t="shared" si="156"/>
        <v>0</v>
      </c>
      <c r="S428" s="78">
        <v>45747</v>
      </c>
      <c r="T428" s="63"/>
      <c r="U428" s="63">
        <f t="shared" si="131"/>
        <v>36210.770000000077</v>
      </c>
      <c r="V428" s="63"/>
      <c r="W428" s="63"/>
      <c r="X428" s="63">
        <f t="shared" si="132"/>
        <v>36210.770000000077</v>
      </c>
      <c r="Y428" s="63">
        <f t="shared" si="133"/>
        <v>5510000</v>
      </c>
      <c r="Z428" s="63"/>
      <c r="AA428" s="63"/>
      <c r="AB428" s="63">
        <f t="shared" si="95"/>
        <v>5000000</v>
      </c>
      <c r="AC428" s="302"/>
      <c r="AD428" s="302"/>
      <c r="AE428" s="63"/>
      <c r="AF428" s="63"/>
      <c r="AG428" s="63"/>
      <c r="AH428" s="63"/>
      <c r="AJ428" s="63"/>
      <c r="AK428" s="63"/>
      <c r="AL428" s="63"/>
    </row>
    <row r="429" spans="1:38" x14ac:dyDescent="0.25">
      <c r="A429" s="80"/>
      <c r="B429" s="42">
        <v>45748</v>
      </c>
      <c r="C429" s="38">
        <f>-2694564.90612032-120788.8</f>
        <v>-2815353.7061203197</v>
      </c>
      <c r="D429" s="38">
        <f t="shared" si="127"/>
        <v>-2707387.5761203198</v>
      </c>
      <c r="E429" s="83">
        <v>2760000</v>
      </c>
      <c r="F429" s="38">
        <f>-(52612.4238796802-46915.53)</f>
        <v>-5696.8938796802031</v>
      </c>
      <c r="G429" s="38">
        <f t="shared" si="128"/>
        <v>46915.530000000021</v>
      </c>
      <c r="H429" s="38">
        <f t="shared" si="129"/>
        <v>19060000</v>
      </c>
      <c r="I429" s="38"/>
      <c r="J429" s="38"/>
      <c r="K429" s="38"/>
      <c r="L429" s="38"/>
      <c r="M429" s="38"/>
      <c r="N429" s="38"/>
      <c r="O429" s="38">
        <f t="shared" si="145"/>
        <v>65000000</v>
      </c>
      <c r="P429" s="38">
        <f t="shared" ref="P429:R429" si="157">P428</f>
        <v>0</v>
      </c>
      <c r="Q429" s="38">
        <f t="shared" si="157"/>
        <v>0</v>
      </c>
      <c r="R429" s="38">
        <f t="shared" si="157"/>
        <v>0</v>
      </c>
      <c r="S429" s="78">
        <v>45748</v>
      </c>
      <c r="T429" s="63"/>
      <c r="U429" s="63">
        <f t="shared" si="131"/>
        <v>56603.839999999997</v>
      </c>
      <c r="V429" s="84">
        <v>-20000</v>
      </c>
      <c r="W429" s="63">
        <v>20393.06999999992</v>
      </c>
      <c r="X429" s="63">
        <f t="shared" si="132"/>
        <v>36603.839999999997</v>
      </c>
      <c r="Y429" s="63">
        <f t="shared" si="133"/>
        <v>5530000</v>
      </c>
      <c r="Z429" s="63"/>
      <c r="AA429" s="63"/>
      <c r="AB429" s="63">
        <f t="shared" si="95"/>
        <v>5000000</v>
      </c>
      <c r="AC429" s="302"/>
      <c r="AD429" s="302"/>
      <c r="AE429" s="63"/>
      <c r="AF429" s="63"/>
      <c r="AG429" s="63"/>
      <c r="AH429" s="63"/>
      <c r="AJ429" s="63"/>
      <c r="AK429" s="63"/>
      <c r="AL429" s="63"/>
    </row>
    <row r="430" spans="1:38" x14ac:dyDescent="0.25">
      <c r="A430" s="194"/>
      <c r="B430" s="42">
        <v>45749</v>
      </c>
      <c r="C430" s="38">
        <v>-251316.09</v>
      </c>
      <c r="D430" s="38">
        <f t="shared" si="127"/>
        <v>-204400.55999999997</v>
      </c>
      <c r="E430" s="83">
        <v>260000</v>
      </c>
      <c r="F430" s="38">
        <v>4746.0999999999985</v>
      </c>
      <c r="G430" s="38">
        <f t="shared" si="128"/>
        <v>60345.54000000003</v>
      </c>
      <c r="H430" s="38">
        <f t="shared" si="129"/>
        <v>18800000</v>
      </c>
      <c r="I430" s="38"/>
      <c r="J430" s="38"/>
      <c r="K430" s="38"/>
      <c r="L430" s="38"/>
      <c r="M430" s="38"/>
      <c r="N430" s="38"/>
      <c r="O430" s="38">
        <f t="shared" si="145"/>
        <v>65000000</v>
      </c>
      <c r="P430" s="38">
        <f t="shared" ref="P430:R430" si="158">P429</f>
        <v>0</v>
      </c>
      <c r="Q430" s="38">
        <f t="shared" si="158"/>
        <v>0</v>
      </c>
      <c r="R430" s="38">
        <f t="shared" si="158"/>
        <v>0</v>
      </c>
      <c r="S430" s="78">
        <v>45749</v>
      </c>
      <c r="T430" s="63"/>
      <c r="U430" s="63">
        <f t="shared" si="131"/>
        <v>36603.839999999997</v>
      </c>
      <c r="V430" s="63"/>
      <c r="W430" s="63"/>
      <c r="X430" s="63">
        <f t="shared" si="132"/>
        <v>36603.839999999997</v>
      </c>
      <c r="Y430" s="63">
        <f t="shared" si="133"/>
        <v>5530000</v>
      </c>
      <c r="Z430" s="63"/>
      <c r="AA430" s="63"/>
      <c r="AB430" s="63">
        <f t="shared" si="95"/>
        <v>5000000</v>
      </c>
      <c r="AC430" s="302"/>
      <c r="AD430" s="302"/>
      <c r="AE430" s="63"/>
      <c r="AF430" s="63"/>
      <c r="AG430" s="63"/>
      <c r="AH430" s="63"/>
      <c r="AJ430" s="63"/>
      <c r="AK430" s="63"/>
      <c r="AL430" s="63"/>
    </row>
    <row r="431" spans="1:38" x14ac:dyDescent="0.25">
      <c r="A431" s="80">
        <v>294845.28000000003</v>
      </c>
      <c r="B431" s="42">
        <v>45750</v>
      </c>
      <c r="C431" s="38">
        <v>-268021.75</v>
      </c>
      <c r="D431" s="38">
        <f t="shared" si="127"/>
        <v>-207676.20999999996</v>
      </c>
      <c r="E431" s="83">
        <v>260000</v>
      </c>
      <c r="F431" s="38"/>
      <c r="G431" s="38">
        <f t="shared" si="128"/>
        <v>52323.790000000037</v>
      </c>
      <c r="H431" s="38">
        <f t="shared" si="129"/>
        <v>18540000</v>
      </c>
      <c r="I431" s="38"/>
      <c r="J431" s="38"/>
      <c r="K431" s="38"/>
      <c r="L431" s="38"/>
      <c r="M431" s="38"/>
      <c r="N431" s="38"/>
      <c r="O431" s="38">
        <f t="shared" si="145"/>
        <v>65000000</v>
      </c>
      <c r="P431" s="38">
        <f t="shared" ref="P431:R431" si="159">P430</f>
        <v>0</v>
      </c>
      <c r="Q431" s="38">
        <f t="shared" si="159"/>
        <v>0</v>
      </c>
      <c r="R431" s="38">
        <f t="shared" si="159"/>
        <v>0</v>
      </c>
      <c r="S431" s="78">
        <v>45750</v>
      </c>
      <c r="T431" s="63"/>
      <c r="U431" s="63">
        <f t="shared" si="131"/>
        <v>36603.839999999997</v>
      </c>
      <c r="V431" s="63"/>
      <c r="W431" s="63"/>
      <c r="X431" s="63">
        <f t="shared" si="132"/>
        <v>36603.839999999997</v>
      </c>
      <c r="Y431" s="63">
        <f t="shared" si="133"/>
        <v>5530000</v>
      </c>
      <c r="Z431" s="63"/>
      <c r="AA431" s="63"/>
      <c r="AB431" s="63">
        <f t="shared" si="95"/>
        <v>5000000</v>
      </c>
      <c r="AC431" s="302"/>
      <c r="AD431" s="302"/>
      <c r="AE431" s="63"/>
      <c r="AF431" s="63"/>
      <c r="AG431" s="63"/>
      <c r="AH431" s="63"/>
      <c r="AJ431" s="63"/>
      <c r="AK431" s="63"/>
      <c r="AL431" s="63"/>
    </row>
    <row r="432" spans="1:38" x14ac:dyDescent="0.25">
      <c r="A432" s="80"/>
      <c r="B432" s="42">
        <v>45751</v>
      </c>
      <c r="C432" s="38"/>
      <c r="D432" s="38">
        <f t="shared" si="127"/>
        <v>52323.790000000037</v>
      </c>
      <c r="E432" s="38"/>
      <c r="F432" s="38"/>
      <c r="G432" s="38">
        <f t="shared" si="128"/>
        <v>52323.790000000037</v>
      </c>
      <c r="H432" s="38">
        <f t="shared" si="129"/>
        <v>18540000</v>
      </c>
      <c r="I432" s="38"/>
      <c r="J432" s="38"/>
      <c r="K432" s="38"/>
      <c r="L432" s="38"/>
      <c r="M432" s="38"/>
      <c r="N432" s="38"/>
      <c r="O432" s="38">
        <f t="shared" si="145"/>
        <v>65000000</v>
      </c>
      <c r="P432" s="38">
        <f t="shared" ref="P432:R432" si="160">P431</f>
        <v>0</v>
      </c>
      <c r="Q432" s="38">
        <f t="shared" si="160"/>
        <v>0</v>
      </c>
      <c r="R432" s="38">
        <f t="shared" si="160"/>
        <v>0</v>
      </c>
      <c r="S432" s="78">
        <v>45751</v>
      </c>
      <c r="T432" s="63"/>
      <c r="U432" s="63">
        <f t="shared" si="131"/>
        <v>36603.839999999997</v>
      </c>
      <c r="V432" s="63"/>
      <c r="W432" s="63"/>
      <c r="X432" s="63">
        <f t="shared" si="132"/>
        <v>36603.839999999997</v>
      </c>
      <c r="Y432" s="63">
        <f t="shared" si="133"/>
        <v>5530000</v>
      </c>
      <c r="Z432" s="63"/>
      <c r="AA432" s="63"/>
      <c r="AB432" s="63">
        <f t="shared" si="95"/>
        <v>5000000</v>
      </c>
      <c r="AC432" s="302"/>
      <c r="AD432" s="302"/>
      <c r="AE432" s="63"/>
      <c r="AF432" s="63"/>
      <c r="AG432" s="63"/>
      <c r="AH432" s="63"/>
      <c r="AJ432" s="63"/>
      <c r="AK432" s="63"/>
      <c r="AL432" s="63"/>
    </row>
    <row r="433" spans="1:38" x14ac:dyDescent="0.25">
      <c r="B433" s="42">
        <v>45752</v>
      </c>
      <c r="C433" s="38"/>
      <c r="D433" s="38">
        <f t="shared" si="127"/>
        <v>52323.790000000037</v>
      </c>
      <c r="E433" s="38"/>
      <c r="F433" s="38"/>
      <c r="G433" s="38">
        <f t="shared" si="128"/>
        <v>52323.790000000037</v>
      </c>
      <c r="H433" s="38">
        <f t="shared" si="129"/>
        <v>18540000</v>
      </c>
      <c r="I433" s="38"/>
      <c r="J433" s="38"/>
      <c r="K433" s="38"/>
      <c r="L433" s="38"/>
      <c r="M433" s="38"/>
      <c r="N433" s="38"/>
      <c r="O433" s="38">
        <f t="shared" si="145"/>
        <v>65000000</v>
      </c>
      <c r="P433" s="38">
        <f t="shared" ref="P433:R433" si="161">P432</f>
        <v>0</v>
      </c>
      <c r="Q433" s="38">
        <f t="shared" si="161"/>
        <v>0</v>
      </c>
      <c r="R433" s="38">
        <f t="shared" si="161"/>
        <v>0</v>
      </c>
      <c r="S433" s="78">
        <v>45752</v>
      </c>
      <c r="T433" s="63"/>
      <c r="U433" s="63">
        <f t="shared" si="131"/>
        <v>36603.839999999997</v>
      </c>
      <c r="V433" s="63"/>
      <c r="W433" s="63"/>
      <c r="X433" s="63">
        <f t="shared" si="132"/>
        <v>36603.839999999997</v>
      </c>
      <c r="Y433" s="63">
        <f t="shared" si="133"/>
        <v>5530000</v>
      </c>
      <c r="Z433" s="63"/>
      <c r="AA433" s="63"/>
      <c r="AB433" s="63">
        <f t="shared" si="95"/>
        <v>5000000</v>
      </c>
      <c r="AC433" s="302"/>
      <c r="AD433" s="302"/>
      <c r="AE433" s="63"/>
      <c r="AF433" s="63"/>
      <c r="AG433" s="63"/>
      <c r="AH433" s="63"/>
      <c r="AJ433" s="63"/>
      <c r="AK433" s="63"/>
      <c r="AL433" s="63"/>
    </row>
    <row r="434" spans="1:38" x14ac:dyDescent="0.25">
      <c r="B434" s="42">
        <v>45753</v>
      </c>
      <c r="C434" s="38"/>
      <c r="D434" s="38">
        <f t="shared" si="127"/>
        <v>52323.790000000037</v>
      </c>
      <c r="E434" s="38"/>
      <c r="F434" s="38"/>
      <c r="G434" s="38">
        <f t="shared" si="128"/>
        <v>52323.790000000037</v>
      </c>
      <c r="H434" s="38">
        <f t="shared" si="129"/>
        <v>18540000</v>
      </c>
      <c r="I434" s="38"/>
      <c r="J434" s="38"/>
      <c r="K434" s="38"/>
      <c r="L434" s="38"/>
      <c r="M434" s="38"/>
      <c r="N434" s="38"/>
      <c r="O434" s="38">
        <f t="shared" si="145"/>
        <v>65000000</v>
      </c>
      <c r="P434" s="38">
        <f t="shared" ref="P434:R434" si="162">P433</f>
        <v>0</v>
      </c>
      <c r="Q434" s="38">
        <f t="shared" si="162"/>
        <v>0</v>
      </c>
      <c r="R434" s="38">
        <f t="shared" si="162"/>
        <v>0</v>
      </c>
      <c r="S434" s="78">
        <v>45753</v>
      </c>
      <c r="T434" s="63"/>
      <c r="U434" s="63">
        <f t="shared" si="131"/>
        <v>36603.839999999997</v>
      </c>
      <c r="V434" s="63"/>
      <c r="W434" s="63"/>
      <c r="X434" s="63">
        <f t="shared" si="132"/>
        <v>36603.839999999997</v>
      </c>
      <c r="Y434" s="63">
        <f t="shared" si="133"/>
        <v>5530000</v>
      </c>
      <c r="Z434" s="63"/>
      <c r="AA434" s="63"/>
      <c r="AB434" s="63">
        <f t="shared" si="95"/>
        <v>5000000</v>
      </c>
      <c r="AC434" s="302"/>
      <c r="AD434" s="302"/>
      <c r="AE434" s="63"/>
      <c r="AF434" s="63"/>
      <c r="AG434" s="63"/>
      <c r="AH434" s="63"/>
      <c r="AJ434" s="63"/>
      <c r="AK434" s="63"/>
      <c r="AL434" s="63"/>
    </row>
    <row r="435" spans="1:38" x14ac:dyDescent="0.25">
      <c r="B435" s="42">
        <v>45754</v>
      </c>
      <c r="C435" s="38"/>
      <c r="D435" s="38">
        <f t="shared" si="127"/>
        <v>52323.790000000037</v>
      </c>
      <c r="E435" s="38"/>
      <c r="F435" s="38"/>
      <c r="G435" s="38">
        <f t="shared" si="128"/>
        <v>52323.790000000037</v>
      </c>
      <c r="H435" s="38">
        <f t="shared" si="129"/>
        <v>18540000</v>
      </c>
      <c r="I435" s="38"/>
      <c r="J435" s="38"/>
      <c r="K435" s="38"/>
      <c r="L435" s="38"/>
      <c r="M435" s="38"/>
      <c r="N435" s="38"/>
      <c r="O435" s="38">
        <f t="shared" si="145"/>
        <v>65000000</v>
      </c>
      <c r="P435" s="38">
        <f t="shared" ref="P435:R435" si="163">P434</f>
        <v>0</v>
      </c>
      <c r="Q435" s="38">
        <f t="shared" si="163"/>
        <v>0</v>
      </c>
      <c r="R435" s="38">
        <f t="shared" si="163"/>
        <v>0</v>
      </c>
      <c r="S435" s="78">
        <v>45754</v>
      </c>
      <c r="T435" s="63"/>
      <c r="U435" s="63">
        <f t="shared" si="131"/>
        <v>36603.839999999997</v>
      </c>
      <c r="V435" s="63"/>
      <c r="W435" s="63"/>
      <c r="X435" s="63">
        <f t="shared" si="132"/>
        <v>36603.839999999997</v>
      </c>
      <c r="Y435" s="63">
        <f t="shared" si="133"/>
        <v>5530000</v>
      </c>
      <c r="Z435" s="63"/>
      <c r="AA435" s="63"/>
      <c r="AB435" s="63">
        <f t="shared" si="95"/>
        <v>5000000</v>
      </c>
      <c r="AC435" s="302"/>
      <c r="AD435" s="302"/>
      <c r="AE435" s="63"/>
      <c r="AF435" s="63"/>
      <c r="AG435" s="63"/>
      <c r="AH435" s="63"/>
      <c r="AJ435" s="63"/>
      <c r="AK435" s="63"/>
      <c r="AL435" s="63"/>
    </row>
    <row r="436" spans="1:38" x14ac:dyDescent="0.25">
      <c r="B436" s="42">
        <v>45755</v>
      </c>
      <c r="C436" s="38"/>
      <c r="D436" s="38">
        <f t="shared" si="127"/>
        <v>52323.790000000037</v>
      </c>
      <c r="E436" s="38"/>
      <c r="F436" s="38">
        <v>-7673.2100000000355</v>
      </c>
      <c r="G436" s="38">
        <f t="shared" si="128"/>
        <v>44650.58</v>
      </c>
      <c r="H436" s="38">
        <f t="shared" si="129"/>
        <v>18540000</v>
      </c>
      <c r="I436" s="38"/>
      <c r="J436" s="38"/>
      <c r="K436" s="38"/>
      <c r="L436" s="38"/>
      <c r="M436" s="38"/>
      <c r="N436" s="38"/>
      <c r="O436" s="38">
        <f t="shared" si="145"/>
        <v>65000000</v>
      </c>
      <c r="P436" s="38">
        <f t="shared" ref="P436:R436" si="164">P435</f>
        <v>0</v>
      </c>
      <c r="Q436" s="38">
        <f t="shared" si="164"/>
        <v>0</v>
      </c>
      <c r="R436" s="38">
        <f t="shared" si="164"/>
        <v>0</v>
      </c>
      <c r="S436" s="78">
        <v>45755</v>
      </c>
      <c r="T436" s="63"/>
      <c r="U436" s="63">
        <f t="shared" si="131"/>
        <v>36564.910000000003</v>
      </c>
      <c r="V436" s="63"/>
      <c r="W436" s="63">
        <v>-38.929999999993015</v>
      </c>
      <c r="X436" s="63">
        <f t="shared" si="132"/>
        <v>36564.910000000003</v>
      </c>
      <c r="Y436" s="63">
        <f t="shared" si="133"/>
        <v>5530000</v>
      </c>
      <c r="Z436" s="63"/>
      <c r="AA436" s="63"/>
      <c r="AB436" s="63">
        <f t="shared" si="95"/>
        <v>5000000</v>
      </c>
      <c r="AC436" s="302"/>
      <c r="AD436" s="302"/>
      <c r="AE436" s="63"/>
      <c r="AF436" s="63"/>
      <c r="AG436" s="63"/>
      <c r="AH436" s="63"/>
      <c r="AJ436" s="63"/>
      <c r="AK436" s="63"/>
      <c r="AL436" s="63"/>
    </row>
    <row r="437" spans="1:38" x14ac:dyDescent="0.25">
      <c r="A437" s="134" t="s">
        <v>92</v>
      </c>
      <c r="B437" s="42">
        <v>45756</v>
      </c>
      <c r="C437" s="38">
        <v>-173533</v>
      </c>
      <c r="D437" s="38">
        <f t="shared" si="127"/>
        <v>-128882.42</v>
      </c>
      <c r="E437" s="83">
        <v>190000</v>
      </c>
      <c r="F437" s="38"/>
      <c r="G437" s="38">
        <f t="shared" si="128"/>
        <v>61117.58</v>
      </c>
      <c r="H437" s="38">
        <f t="shared" si="129"/>
        <v>18350000</v>
      </c>
      <c r="I437" s="38"/>
      <c r="J437" s="38"/>
      <c r="K437" s="38"/>
      <c r="L437" s="38"/>
      <c r="M437" s="38"/>
      <c r="N437" s="38"/>
      <c r="O437" s="38">
        <f t="shared" si="145"/>
        <v>65000000</v>
      </c>
      <c r="P437" s="38">
        <f t="shared" ref="P437:R437" si="165">P436</f>
        <v>0</v>
      </c>
      <c r="Q437" s="38">
        <f t="shared" si="165"/>
        <v>0</v>
      </c>
      <c r="R437" s="38">
        <f t="shared" si="165"/>
        <v>0</v>
      </c>
      <c r="S437" s="78">
        <v>45756</v>
      </c>
      <c r="T437" s="63">
        <v>-268811</v>
      </c>
      <c r="U437" s="63">
        <f t="shared" si="131"/>
        <v>-152263.60999999999</v>
      </c>
      <c r="V437" s="84">
        <v>260000</v>
      </c>
      <c r="W437" s="63">
        <v>79982.48</v>
      </c>
      <c r="X437" s="63">
        <f t="shared" si="132"/>
        <v>107736.39000000001</v>
      </c>
      <c r="Y437" s="63">
        <f t="shared" si="133"/>
        <v>5270000</v>
      </c>
      <c r="Z437" s="63"/>
      <c r="AA437" s="63"/>
      <c r="AB437" s="63">
        <f t="shared" si="95"/>
        <v>5000000</v>
      </c>
      <c r="AC437" s="302"/>
      <c r="AD437" s="302"/>
      <c r="AE437" s="63"/>
      <c r="AF437" s="63"/>
      <c r="AG437" s="63"/>
      <c r="AH437" s="63"/>
      <c r="AJ437" s="63"/>
      <c r="AK437" s="63"/>
      <c r="AL437" s="63"/>
    </row>
    <row r="438" spans="1:38" x14ac:dyDescent="0.25">
      <c r="B438" s="42">
        <v>45757</v>
      </c>
      <c r="C438" s="38"/>
      <c r="D438" s="38">
        <f t="shared" si="127"/>
        <v>61117.58</v>
      </c>
      <c r="E438" s="38"/>
      <c r="F438" s="38">
        <v>-44.64</v>
      </c>
      <c r="G438" s="38">
        <f t="shared" si="128"/>
        <v>61072.94</v>
      </c>
      <c r="H438" s="38">
        <f t="shared" si="129"/>
        <v>18350000</v>
      </c>
      <c r="I438" s="38"/>
      <c r="J438" s="38"/>
      <c r="K438" s="38"/>
      <c r="L438" s="38"/>
      <c r="M438" s="38"/>
      <c r="N438" s="38"/>
      <c r="O438" s="38">
        <f t="shared" si="145"/>
        <v>65000000</v>
      </c>
      <c r="P438" s="38">
        <f t="shared" ref="P438:R438" si="166">P437</f>
        <v>0</v>
      </c>
      <c r="Q438" s="38">
        <f t="shared" si="166"/>
        <v>0</v>
      </c>
      <c r="R438" s="38">
        <f t="shared" si="166"/>
        <v>0</v>
      </c>
      <c r="S438" s="78">
        <v>45757</v>
      </c>
      <c r="T438" s="63"/>
      <c r="U438" s="63">
        <f t="shared" si="131"/>
        <v>107736.39000000001</v>
      </c>
      <c r="V438" s="63"/>
      <c r="W438" s="63"/>
      <c r="X438" s="63">
        <f t="shared" si="132"/>
        <v>107736.39000000001</v>
      </c>
      <c r="Y438" s="63">
        <f t="shared" si="133"/>
        <v>5270000</v>
      </c>
      <c r="Z438" s="63"/>
      <c r="AA438" s="63"/>
      <c r="AB438" s="63">
        <f t="shared" si="95"/>
        <v>5000000</v>
      </c>
      <c r="AC438" s="302"/>
      <c r="AD438" s="302"/>
      <c r="AE438" s="63"/>
      <c r="AF438" s="63"/>
      <c r="AG438" s="63"/>
      <c r="AH438" s="63"/>
      <c r="AJ438" s="63"/>
      <c r="AK438" s="63"/>
      <c r="AL438" s="63"/>
    </row>
    <row r="439" spans="1:38" x14ac:dyDescent="0.25">
      <c r="A439" s="134" t="s">
        <v>84</v>
      </c>
      <c r="B439" s="42">
        <v>45758</v>
      </c>
      <c r="C439" s="38">
        <v>-1252750.3600000001</v>
      </c>
      <c r="D439" s="38">
        <f t="shared" si="127"/>
        <v>-1191677.4200000002</v>
      </c>
      <c r="E439" s="83">
        <v>1250000</v>
      </c>
      <c r="F439" s="38"/>
      <c r="G439" s="38">
        <f t="shared" si="128"/>
        <v>58322.579999999842</v>
      </c>
      <c r="H439" s="38">
        <f t="shared" si="129"/>
        <v>17100000</v>
      </c>
      <c r="I439" s="38"/>
      <c r="J439" s="38"/>
      <c r="K439" s="38"/>
      <c r="L439" s="38"/>
      <c r="M439" s="38"/>
      <c r="N439" s="38"/>
      <c r="O439" s="38">
        <f t="shared" si="145"/>
        <v>65000000</v>
      </c>
      <c r="P439" s="38">
        <f t="shared" ref="P439:R439" si="167">P438</f>
        <v>0</v>
      </c>
      <c r="Q439" s="38">
        <f t="shared" si="167"/>
        <v>0</v>
      </c>
      <c r="R439" s="38">
        <f t="shared" si="167"/>
        <v>0</v>
      </c>
      <c r="S439" s="78">
        <v>45758</v>
      </c>
      <c r="T439" s="63">
        <v>-287833.28999999998</v>
      </c>
      <c r="U439" s="63">
        <f t="shared" si="131"/>
        <v>-180096.89999999997</v>
      </c>
      <c r="V439" s="84">
        <v>290000</v>
      </c>
      <c r="W439" s="63"/>
      <c r="X439" s="63">
        <f t="shared" si="132"/>
        <v>109903.10000000003</v>
      </c>
      <c r="Y439" s="63">
        <f t="shared" si="133"/>
        <v>4980000</v>
      </c>
      <c r="Z439" s="63"/>
      <c r="AA439" s="63"/>
      <c r="AB439" s="63">
        <f t="shared" si="95"/>
        <v>5000000</v>
      </c>
      <c r="AC439" s="302"/>
      <c r="AD439" s="302"/>
      <c r="AE439" s="63"/>
      <c r="AF439" s="63"/>
      <c r="AG439" s="63"/>
      <c r="AH439" s="63"/>
      <c r="AJ439" s="63"/>
      <c r="AK439" s="63"/>
      <c r="AL439" s="63"/>
    </row>
    <row r="440" spans="1:38" x14ac:dyDescent="0.25">
      <c r="B440" s="42">
        <v>45759</v>
      </c>
      <c r="C440" s="38"/>
      <c r="D440" s="38">
        <f t="shared" si="127"/>
        <v>58322.579999999842</v>
      </c>
      <c r="E440" s="38"/>
      <c r="F440" s="38"/>
      <c r="G440" s="38">
        <f t="shared" si="128"/>
        <v>58322.579999999842</v>
      </c>
      <c r="H440" s="38">
        <f t="shared" si="129"/>
        <v>17100000</v>
      </c>
      <c r="I440" s="38"/>
      <c r="J440" s="38"/>
      <c r="K440" s="38"/>
      <c r="L440" s="38"/>
      <c r="M440" s="38"/>
      <c r="N440" s="38"/>
      <c r="O440" s="38">
        <f t="shared" si="145"/>
        <v>65000000</v>
      </c>
      <c r="P440" s="38">
        <f t="shared" ref="P440:R440" si="168">P439</f>
        <v>0</v>
      </c>
      <c r="Q440" s="38">
        <f t="shared" si="168"/>
        <v>0</v>
      </c>
      <c r="R440" s="38">
        <f t="shared" si="168"/>
        <v>0</v>
      </c>
      <c r="S440" s="78">
        <v>45759</v>
      </c>
      <c r="T440" s="63"/>
      <c r="U440" s="63">
        <f t="shared" si="131"/>
        <v>109903.10000000003</v>
      </c>
      <c r="V440" s="63"/>
      <c r="W440" s="63"/>
      <c r="X440" s="63">
        <f t="shared" si="132"/>
        <v>109903.10000000003</v>
      </c>
      <c r="Y440" s="63">
        <f t="shared" si="133"/>
        <v>4980000</v>
      </c>
      <c r="Z440" s="63"/>
      <c r="AA440" s="63"/>
      <c r="AB440" s="63">
        <f t="shared" si="95"/>
        <v>5000000</v>
      </c>
      <c r="AC440" s="302"/>
      <c r="AD440" s="302"/>
      <c r="AE440" s="63"/>
      <c r="AF440" s="63"/>
      <c r="AG440" s="63"/>
      <c r="AH440" s="63"/>
      <c r="AJ440" s="63"/>
      <c r="AK440" s="63"/>
      <c r="AL440" s="63"/>
    </row>
    <row r="441" spans="1:38" x14ac:dyDescent="0.25">
      <c r="B441" s="42">
        <v>45760</v>
      </c>
      <c r="C441" s="38"/>
      <c r="D441" s="38">
        <f t="shared" si="127"/>
        <v>58322.579999999842</v>
      </c>
      <c r="E441" s="38"/>
      <c r="F441" s="38">
        <v>236522.70000000024</v>
      </c>
      <c r="G441" s="38">
        <f t="shared" si="128"/>
        <v>294845.28000000009</v>
      </c>
      <c r="H441" s="38">
        <f t="shared" si="129"/>
        <v>17100000</v>
      </c>
      <c r="I441" s="38"/>
      <c r="J441" s="38"/>
      <c r="K441" s="38"/>
      <c r="L441" s="38"/>
      <c r="M441" s="38"/>
      <c r="N441" s="38"/>
      <c r="O441" s="38">
        <f t="shared" si="145"/>
        <v>65000000</v>
      </c>
      <c r="P441" s="38">
        <f t="shared" ref="P441:R441" si="169">P440</f>
        <v>0</v>
      </c>
      <c r="Q441" s="38">
        <f t="shared" si="169"/>
        <v>0</v>
      </c>
      <c r="R441" s="38">
        <f t="shared" si="169"/>
        <v>0</v>
      </c>
      <c r="S441" s="78">
        <v>45760</v>
      </c>
      <c r="T441" s="63"/>
      <c r="U441" s="63">
        <f t="shared" si="131"/>
        <v>109903.10000000003</v>
      </c>
      <c r="V441" s="63"/>
      <c r="W441" s="63"/>
      <c r="X441" s="63">
        <f t="shared" si="132"/>
        <v>109903.10000000003</v>
      </c>
      <c r="Y441" s="63">
        <f t="shared" si="133"/>
        <v>4980000</v>
      </c>
      <c r="Z441" s="63"/>
      <c r="AA441" s="63"/>
      <c r="AB441" s="63">
        <f t="shared" ref="AB441:AB463" si="170">AB440</f>
        <v>5000000</v>
      </c>
      <c r="AC441" s="302"/>
      <c r="AD441" s="302"/>
      <c r="AE441" s="63"/>
      <c r="AF441" s="63"/>
      <c r="AG441" s="63"/>
      <c r="AH441" s="63"/>
      <c r="AJ441" s="63"/>
      <c r="AK441" s="63"/>
      <c r="AL441" s="63"/>
    </row>
    <row r="442" spans="1:38" x14ac:dyDescent="0.25">
      <c r="B442" s="42">
        <v>45761</v>
      </c>
      <c r="C442" s="38">
        <v>-2198081.6800000002</v>
      </c>
      <c r="D442" s="38">
        <f t="shared" si="127"/>
        <v>-1903236.4000000001</v>
      </c>
      <c r="E442" s="83">
        <f>2200000-230000</f>
        <v>1970000</v>
      </c>
      <c r="F442" s="38"/>
      <c r="G442" s="38">
        <f t="shared" si="128"/>
        <v>66763.59999999986</v>
      </c>
      <c r="H442" s="38">
        <f t="shared" si="129"/>
        <v>15130000</v>
      </c>
      <c r="I442" s="38"/>
      <c r="J442" s="38"/>
      <c r="K442" s="38"/>
      <c r="L442" s="38"/>
      <c r="M442" s="38"/>
      <c r="N442" s="38"/>
      <c r="O442" s="38">
        <f t="shared" si="145"/>
        <v>65000000</v>
      </c>
      <c r="P442" s="38">
        <f t="shared" ref="P442:R442" si="171">P441</f>
        <v>0</v>
      </c>
      <c r="Q442" s="38">
        <f t="shared" si="171"/>
        <v>0</v>
      </c>
      <c r="R442" s="38">
        <f t="shared" si="171"/>
        <v>0</v>
      </c>
      <c r="S442" s="78">
        <v>45761</v>
      </c>
      <c r="T442" s="63"/>
      <c r="U442" s="63">
        <f t="shared" si="131"/>
        <v>109903.10000000003</v>
      </c>
      <c r="V442" s="63"/>
      <c r="W442" s="63"/>
      <c r="X442" s="63">
        <f t="shared" si="132"/>
        <v>109903.10000000003</v>
      </c>
      <c r="Y442" s="63">
        <f t="shared" si="133"/>
        <v>4980000</v>
      </c>
      <c r="Z442" s="63"/>
      <c r="AA442" s="63"/>
      <c r="AB442" s="63">
        <f t="shared" si="170"/>
        <v>5000000</v>
      </c>
      <c r="AC442" s="302"/>
      <c r="AD442" s="302"/>
      <c r="AE442" s="63"/>
      <c r="AF442" s="63"/>
      <c r="AG442" s="63"/>
      <c r="AH442" s="63"/>
      <c r="AJ442" s="63"/>
      <c r="AK442" s="63"/>
      <c r="AL442" s="63"/>
    </row>
    <row r="443" spans="1:38" x14ac:dyDescent="0.25">
      <c r="B443" s="42">
        <v>45762</v>
      </c>
      <c r="C443" s="38">
        <f>-582949.44+40000</f>
        <v>-542949.43999999994</v>
      </c>
      <c r="D443" s="38">
        <f t="shared" si="127"/>
        <v>-476185.84000000008</v>
      </c>
      <c r="E443" s="83">
        <f>580000-40000</f>
        <v>540000</v>
      </c>
      <c r="F443" s="38"/>
      <c r="G443" s="38">
        <f t="shared" si="128"/>
        <v>63814.159999999916</v>
      </c>
      <c r="H443" s="38">
        <f t="shared" si="129"/>
        <v>14590000</v>
      </c>
      <c r="I443" s="38"/>
      <c r="J443" s="38"/>
      <c r="K443" s="38"/>
      <c r="L443" s="38"/>
      <c r="M443" s="38"/>
      <c r="N443" s="38"/>
      <c r="O443" s="38">
        <f t="shared" si="145"/>
        <v>65000000</v>
      </c>
      <c r="P443" s="38">
        <f t="shared" ref="P443:R443" si="172">P442</f>
        <v>0</v>
      </c>
      <c r="Q443" s="38">
        <f t="shared" si="172"/>
        <v>0</v>
      </c>
      <c r="R443" s="38">
        <f t="shared" si="172"/>
        <v>0</v>
      </c>
      <c r="S443" s="78">
        <v>45762</v>
      </c>
      <c r="T443" s="63">
        <v>-102800</v>
      </c>
      <c r="U443" s="63">
        <f t="shared" si="131"/>
        <v>7103.1000000000349</v>
      </c>
      <c r="V443" s="84">
        <v>30000</v>
      </c>
      <c r="W443" s="63"/>
      <c r="X443" s="63">
        <f t="shared" si="132"/>
        <v>37103.100000000035</v>
      </c>
      <c r="Y443" s="63">
        <f t="shared" si="133"/>
        <v>4950000</v>
      </c>
      <c r="Z443" s="63"/>
      <c r="AA443" s="63"/>
      <c r="AB443" s="63">
        <f t="shared" si="170"/>
        <v>5000000</v>
      </c>
      <c r="AC443" s="302"/>
      <c r="AD443" s="302"/>
      <c r="AE443" s="63"/>
      <c r="AF443" s="63"/>
      <c r="AG443" s="63"/>
      <c r="AH443" s="63"/>
      <c r="AJ443" s="63"/>
      <c r="AK443" s="63"/>
      <c r="AL443" s="63"/>
    </row>
    <row r="444" spans="1:38" x14ac:dyDescent="0.25">
      <c r="B444" s="42">
        <v>45763</v>
      </c>
      <c r="C444" s="38"/>
      <c r="D444" s="38">
        <f t="shared" si="127"/>
        <v>63814.159999999916</v>
      </c>
      <c r="E444" s="83">
        <v>80000</v>
      </c>
      <c r="F444" s="38">
        <v>-50444.329999999914</v>
      </c>
      <c r="G444" s="38">
        <f t="shared" si="128"/>
        <v>93369.83</v>
      </c>
      <c r="H444" s="38">
        <f t="shared" si="129"/>
        <v>14510000</v>
      </c>
      <c r="I444" s="38"/>
      <c r="J444" s="38"/>
      <c r="K444" s="38"/>
      <c r="L444" s="38"/>
      <c r="M444" s="38"/>
      <c r="N444" s="38"/>
      <c r="O444" s="38">
        <f t="shared" si="145"/>
        <v>65000000</v>
      </c>
      <c r="P444" s="38">
        <f t="shared" ref="P444:R444" si="173">P443</f>
        <v>0</v>
      </c>
      <c r="Q444" s="38">
        <f t="shared" si="173"/>
        <v>0</v>
      </c>
      <c r="R444" s="38">
        <f t="shared" si="173"/>
        <v>0</v>
      </c>
      <c r="S444" s="78">
        <v>45763</v>
      </c>
      <c r="T444" s="63"/>
      <c r="U444" s="63">
        <f t="shared" si="131"/>
        <v>37103.100000000035</v>
      </c>
      <c r="V444" s="63"/>
      <c r="W444" s="63"/>
      <c r="X444" s="63">
        <f t="shared" si="132"/>
        <v>37103.100000000035</v>
      </c>
      <c r="Y444" s="63">
        <f t="shared" si="133"/>
        <v>4950000</v>
      </c>
      <c r="Z444" s="63"/>
      <c r="AA444" s="63"/>
      <c r="AB444" s="63">
        <f t="shared" si="170"/>
        <v>5000000</v>
      </c>
      <c r="AC444" s="302"/>
      <c r="AD444" s="302"/>
      <c r="AE444" s="63"/>
      <c r="AF444" s="63"/>
      <c r="AG444" s="63"/>
      <c r="AH444" s="63"/>
      <c r="AJ444" s="63"/>
      <c r="AK444" s="63"/>
      <c r="AL444" s="63"/>
    </row>
    <row r="445" spans="1:38" x14ac:dyDescent="0.25">
      <c r="B445" s="42">
        <v>45764</v>
      </c>
      <c r="C445" s="38"/>
      <c r="D445" s="38">
        <f t="shared" si="127"/>
        <v>93369.83</v>
      </c>
      <c r="E445" s="38"/>
      <c r="F445" s="38"/>
      <c r="G445" s="38">
        <f t="shared" si="128"/>
        <v>93369.83</v>
      </c>
      <c r="H445" s="38">
        <f t="shared" si="129"/>
        <v>14510000</v>
      </c>
      <c r="I445" s="38"/>
      <c r="J445" s="38"/>
      <c r="K445" s="38"/>
      <c r="L445" s="38"/>
      <c r="M445" s="38"/>
      <c r="N445" s="38"/>
      <c r="O445" s="38">
        <f t="shared" si="145"/>
        <v>65000000</v>
      </c>
      <c r="P445" s="38">
        <f t="shared" ref="P445:R445" si="174">P444</f>
        <v>0</v>
      </c>
      <c r="Q445" s="38">
        <f t="shared" si="174"/>
        <v>0</v>
      </c>
      <c r="R445" s="38">
        <f t="shared" si="174"/>
        <v>0</v>
      </c>
      <c r="S445" s="78">
        <v>45764</v>
      </c>
      <c r="T445" s="63"/>
      <c r="U445" s="63">
        <f t="shared" si="131"/>
        <v>37103.100000000035</v>
      </c>
      <c r="V445" s="63"/>
      <c r="W445" s="63"/>
      <c r="X445" s="63">
        <f t="shared" si="132"/>
        <v>37103.100000000035</v>
      </c>
      <c r="Y445" s="63">
        <f t="shared" si="133"/>
        <v>4950000</v>
      </c>
      <c r="Z445" s="63"/>
      <c r="AA445" s="63"/>
      <c r="AB445" s="63">
        <f t="shared" si="170"/>
        <v>5000000</v>
      </c>
      <c r="AC445" s="302"/>
      <c r="AD445" s="302"/>
      <c r="AE445" s="63"/>
      <c r="AF445" s="63"/>
      <c r="AG445" s="63"/>
      <c r="AH445" s="63"/>
      <c r="AJ445" s="63"/>
      <c r="AK445" s="63"/>
      <c r="AL445" s="63"/>
    </row>
    <row r="446" spans="1:38" x14ac:dyDescent="0.25">
      <c r="B446" s="42">
        <v>45765</v>
      </c>
      <c r="C446" s="38"/>
      <c r="D446" s="38">
        <f t="shared" si="127"/>
        <v>93369.83</v>
      </c>
      <c r="E446" s="38"/>
      <c r="F446" s="38"/>
      <c r="G446" s="38">
        <f t="shared" si="128"/>
        <v>93369.83</v>
      </c>
      <c r="H446" s="38">
        <f t="shared" si="129"/>
        <v>14510000</v>
      </c>
      <c r="I446" s="38"/>
      <c r="J446" s="38"/>
      <c r="K446" s="38"/>
      <c r="L446" s="38"/>
      <c r="M446" s="38"/>
      <c r="N446" s="38"/>
      <c r="O446" s="38">
        <f t="shared" si="145"/>
        <v>65000000</v>
      </c>
      <c r="P446" s="38">
        <f t="shared" ref="P446:R446" si="175">P445</f>
        <v>0</v>
      </c>
      <c r="Q446" s="38">
        <f t="shared" si="175"/>
        <v>0</v>
      </c>
      <c r="R446" s="38">
        <f t="shared" si="175"/>
        <v>0</v>
      </c>
      <c r="S446" s="78">
        <v>45765</v>
      </c>
      <c r="T446" s="63"/>
      <c r="U446" s="63">
        <f t="shared" si="131"/>
        <v>37103.100000000035</v>
      </c>
      <c r="V446" s="63"/>
      <c r="W446" s="63"/>
      <c r="X446" s="63">
        <f t="shared" si="132"/>
        <v>37103.100000000035</v>
      </c>
      <c r="Y446" s="63">
        <f t="shared" si="133"/>
        <v>4950000</v>
      </c>
      <c r="Z446" s="63"/>
      <c r="AA446" s="63"/>
      <c r="AB446" s="63">
        <f t="shared" si="170"/>
        <v>5000000</v>
      </c>
      <c r="AC446" s="302"/>
      <c r="AD446" s="302"/>
      <c r="AE446" s="63"/>
      <c r="AF446" s="63"/>
      <c r="AG446" s="63"/>
      <c r="AH446" s="63"/>
      <c r="AJ446" s="63"/>
      <c r="AK446" s="63"/>
      <c r="AL446" s="63"/>
    </row>
    <row r="447" spans="1:38" x14ac:dyDescent="0.25">
      <c r="B447" s="42">
        <v>45766</v>
      </c>
      <c r="C447" s="38"/>
      <c r="D447" s="38">
        <f t="shared" si="127"/>
        <v>93369.83</v>
      </c>
      <c r="E447" s="38"/>
      <c r="F447" s="38"/>
      <c r="G447" s="38">
        <f t="shared" si="128"/>
        <v>93369.83</v>
      </c>
      <c r="H447" s="38">
        <f t="shared" si="129"/>
        <v>14510000</v>
      </c>
      <c r="I447" s="38"/>
      <c r="J447" s="38"/>
      <c r="K447" s="38"/>
      <c r="L447" s="38"/>
      <c r="M447" s="38"/>
      <c r="N447" s="38"/>
      <c r="O447" s="38">
        <f t="shared" si="145"/>
        <v>65000000</v>
      </c>
      <c r="P447" s="38">
        <f t="shared" ref="P447:R447" si="176">P446</f>
        <v>0</v>
      </c>
      <c r="Q447" s="38">
        <f t="shared" si="176"/>
        <v>0</v>
      </c>
      <c r="R447" s="38">
        <f t="shared" si="176"/>
        <v>0</v>
      </c>
      <c r="S447" s="78">
        <v>45766</v>
      </c>
      <c r="T447" s="63"/>
      <c r="U447" s="63">
        <f t="shared" si="131"/>
        <v>37103.100000000035</v>
      </c>
      <c r="V447" s="63"/>
      <c r="W447" s="63"/>
      <c r="X447" s="63">
        <f t="shared" si="132"/>
        <v>37103.100000000035</v>
      </c>
      <c r="Y447" s="63">
        <f t="shared" si="133"/>
        <v>4950000</v>
      </c>
      <c r="Z447" s="63"/>
      <c r="AA447" s="63"/>
      <c r="AB447" s="63">
        <f t="shared" si="170"/>
        <v>5000000</v>
      </c>
      <c r="AC447" s="302"/>
      <c r="AD447" s="302"/>
      <c r="AE447" s="63"/>
      <c r="AF447" s="63"/>
      <c r="AG447" s="63"/>
      <c r="AH447" s="63"/>
      <c r="AJ447" s="63"/>
      <c r="AK447" s="63"/>
      <c r="AL447" s="63"/>
    </row>
    <row r="448" spans="1:38" x14ac:dyDescent="0.25">
      <c r="B448" s="42">
        <v>45767</v>
      </c>
      <c r="C448" s="38"/>
      <c r="D448" s="38">
        <f t="shared" si="127"/>
        <v>93369.83</v>
      </c>
      <c r="E448" s="38"/>
      <c r="F448" s="38"/>
      <c r="G448" s="38">
        <f t="shared" si="128"/>
        <v>93369.83</v>
      </c>
      <c r="H448" s="38">
        <f t="shared" si="129"/>
        <v>14510000</v>
      </c>
      <c r="I448" s="38"/>
      <c r="J448" s="38"/>
      <c r="K448" s="38"/>
      <c r="L448" s="38"/>
      <c r="M448" s="38"/>
      <c r="N448" s="38"/>
      <c r="O448" s="38">
        <f t="shared" si="145"/>
        <v>65000000</v>
      </c>
      <c r="P448" s="38">
        <f t="shared" ref="P448:R448" si="177">P447</f>
        <v>0</v>
      </c>
      <c r="Q448" s="38">
        <f t="shared" si="177"/>
        <v>0</v>
      </c>
      <c r="R448" s="38">
        <f t="shared" si="177"/>
        <v>0</v>
      </c>
      <c r="S448" s="78">
        <v>45767</v>
      </c>
      <c r="T448" s="63"/>
      <c r="U448" s="63">
        <f t="shared" si="131"/>
        <v>37103.100000000035</v>
      </c>
      <c r="V448" s="63"/>
      <c r="W448" s="63"/>
      <c r="X448" s="63">
        <f t="shared" si="132"/>
        <v>37103.100000000035</v>
      </c>
      <c r="Y448" s="63">
        <f t="shared" si="133"/>
        <v>4950000</v>
      </c>
      <c r="Z448" s="63"/>
      <c r="AA448" s="63"/>
      <c r="AB448" s="63">
        <f t="shared" si="170"/>
        <v>5000000</v>
      </c>
      <c r="AC448" s="302"/>
      <c r="AD448" s="302"/>
      <c r="AE448" s="63"/>
      <c r="AF448" s="63"/>
      <c r="AG448" s="63"/>
      <c r="AH448" s="63"/>
      <c r="AJ448" s="63"/>
      <c r="AK448" s="63"/>
      <c r="AL448" s="63"/>
    </row>
    <row r="449" spans="2:38" x14ac:dyDescent="0.25">
      <c r="B449" s="42">
        <v>45768</v>
      </c>
      <c r="C449" s="38"/>
      <c r="D449" s="38">
        <f t="shared" si="127"/>
        <v>93369.83</v>
      </c>
      <c r="E449" s="38"/>
      <c r="F449" s="38"/>
      <c r="G449" s="38">
        <f t="shared" si="128"/>
        <v>93369.83</v>
      </c>
      <c r="H449" s="38">
        <f t="shared" si="129"/>
        <v>14510000</v>
      </c>
      <c r="I449" s="38"/>
      <c r="J449" s="38"/>
      <c r="K449" s="38"/>
      <c r="L449" s="38"/>
      <c r="M449" s="38"/>
      <c r="N449" s="38"/>
      <c r="O449" s="38">
        <f t="shared" si="145"/>
        <v>65000000</v>
      </c>
      <c r="P449" s="38">
        <f t="shared" ref="P449:R449" si="178">P448</f>
        <v>0</v>
      </c>
      <c r="Q449" s="38">
        <f t="shared" si="178"/>
        <v>0</v>
      </c>
      <c r="R449" s="38">
        <f t="shared" si="178"/>
        <v>0</v>
      </c>
      <c r="S449" s="78">
        <v>45768</v>
      </c>
      <c r="T449" s="63"/>
      <c r="U449" s="63">
        <f t="shared" si="131"/>
        <v>37103.100000000035</v>
      </c>
      <c r="V449" s="63"/>
      <c r="W449" s="63"/>
      <c r="X449" s="63">
        <f t="shared" si="132"/>
        <v>37103.100000000035</v>
      </c>
      <c r="Y449" s="63">
        <f t="shared" si="133"/>
        <v>4950000</v>
      </c>
      <c r="Z449" s="63"/>
      <c r="AA449" s="63"/>
      <c r="AB449" s="63">
        <f t="shared" si="170"/>
        <v>5000000</v>
      </c>
      <c r="AC449" s="302"/>
      <c r="AD449" s="302"/>
      <c r="AE449" s="63"/>
      <c r="AF449" s="63"/>
      <c r="AG449" s="63"/>
      <c r="AH449" s="63"/>
      <c r="AJ449" s="63"/>
      <c r="AK449" s="63"/>
      <c r="AL449" s="63"/>
    </row>
    <row r="450" spans="2:38" x14ac:dyDescent="0.25">
      <c r="B450" s="42">
        <v>45769</v>
      </c>
      <c r="C450" s="38"/>
      <c r="D450" s="38">
        <f t="shared" si="127"/>
        <v>93369.83</v>
      </c>
      <c r="E450" s="38"/>
      <c r="F450" s="38"/>
      <c r="G450" s="38">
        <f t="shared" si="128"/>
        <v>93369.83</v>
      </c>
      <c r="H450" s="38">
        <f t="shared" si="129"/>
        <v>14510000</v>
      </c>
      <c r="I450" s="38"/>
      <c r="J450" s="38"/>
      <c r="K450" s="38"/>
      <c r="L450" s="38"/>
      <c r="M450" s="38"/>
      <c r="N450" s="38"/>
      <c r="O450" s="38">
        <f t="shared" si="145"/>
        <v>65000000</v>
      </c>
      <c r="P450" s="38">
        <f t="shared" ref="P450:R450" si="179">P449</f>
        <v>0</v>
      </c>
      <c r="Q450" s="38">
        <f t="shared" si="179"/>
        <v>0</v>
      </c>
      <c r="R450" s="38">
        <f t="shared" si="179"/>
        <v>0</v>
      </c>
      <c r="S450" s="78">
        <v>45769</v>
      </c>
      <c r="T450" s="63"/>
      <c r="U450" s="63">
        <f t="shared" si="131"/>
        <v>37103.100000000035</v>
      </c>
      <c r="V450" s="63"/>
      <c r="W450" s="63"/>
      <c r="X450" s="63">
        <f t="shared" si="132"/>
        <v>37103.100000000035</v>
      </c>
      <c r="Y450" s="63">
        <f t="shared" si="133"/>
        <v>4950000</v>
      </c>
      <c r="Z450" s="63"/>
      <c r="AA450" s="63"/>
      <c r="AB450" s="63">
        <f t="shared" si="170"/>
        <v>5000000</v>
      </c>
      <c r="AC450" s="302"/>
      <c r="AD450" s="302"/>
      <c r="AE450" s="63"/>
      <c r="AF450" s="63"/>
      <c r="AG450" s="63"/>
      <c r="AH450" s="63"/>
      <c r="AJ450" s="63"/>
      <c r="AK450" s="63"/>
      <c r="AL450" s="63"/>
    </row>
    <row r="451" spans="2:38" x14ac:dyDescent="0.25">
      <c r="B451" s="42">
        <v>45770</v>
      </c>
      <c r="C451" s="38"/>
      <c r="D451" s="38">
        <f t="shared" si="127"/>
        <v>93369.83</v>
      </c>
      <c r="E451" s="38"/>
      <c r="F451" s="38">
        <v>-26376.910000000003</v>
      </c>
      <c r="G451" s="38">
        <f t="shared" si="128"/>
        <v>66992.92</v>
      </c>
      <c r="H451" s="38">
        <f t="shared" si="129"/>
        <v>14510000</v>
      </c>
      <c r="I451" s="38"/>
      <c r="J451" s="38"/>
      <c r="K451" s="38"/>
      <c r="L451" s="38"/>
      <c r="M451" s="38"/>
      <c r="N451" s="38"/>
      <c r="O451" s="38">
        <f t="shared" si="145"/>
        <v>65000000</v>
      </c>
      <c r="P451" s="38">
        <f t="shared" ref="P451:R451" si="180">P450</f>
        <v>0</v>
      </c>
      <c r="Q451" s="38">
        <f t="shared" si="180"/>
        <v>0</v>
      </c>
      <c r="R451" s="38">
        <f t="shared" si="180"/>
        <v>0</v>
      </c>
      <c r="S451" s="78">
        <v>45770</v>
      </c>
      <c r="T451" s="63"/>
      <c r="U451" s="63">
        <f t="shared" si="131"/>
        <v>37103.100000000035</v>
      </c>
      <c r="V451" s="63"/>
      <c r="W451" s="63"/>
      <c r="X451" s="63">
        <f t="shared" si="132"/>
        <v>37103.100000000035</v>
      </c>
      <c r="Y451" s="63">
        <f t="shared" si="133"/>
        <v>4950000</v>
      </c>
      <c r="Z451" s="63"/>
      <c r="AA451" s="63"/>
      <c r="AB451" s="63">
        <f t="shared" si="170"/>
        <v>5000000</v>
      </c>
      <c r="AC451" s="302"/>
      <c r="AD451" s="302"/>
      <c r="AE451" s="63"/>
      <c r="AF451" s="63"/>
      <c r="AG451" s="63"/>
      <c r="AH451" s="63"/>
      <c r="AI451" s="80"/>
      <c r="AJ451" s="63"/>
      <c r="AK451" s="63"/>
      <c r="AL451" s="63"/>
    </row>
    <row r="452" spans="2:38" x14ac:dyDescent="0.25">
      <c r="B452" s="42">
        <v>45771</v>
      </c>
      <c r="C452" s="38">
        <f>-231180.96</f>
        <v>-231180.96</v>
      </c>
      <c r="D452" s="38">
        <f t="shared" si="127"/>
        <v>-164188.03999999998</v>
      </c>
      <c r="E452" s="83">
        <v>220000</v>
      </c>
      <c r="F452" s="38">
        <f>57118.33-55811.96</f>
        <v>1306.3700000000026</v>
      </c>
      <c r="G452" s="38">
        <f t="shared" si="128"/>
        <v>57118.330000000024</v>
      </c>
      <c r="H452" s="38">
        <f t="shared" si="129"/>
        <v>14290000</v>
      </c>
      <c r="I452" s="38"/>
      <c r="J452" s="38"/>
      <c r="K452" s="38"/>
      <c r="L452" s="38"/>
      <c r="M452" s="38"/>
      <c r="N452" s="38"/>
      <c r="O452" s="38">
        <f t="shared" si="145"/>
        <v>65000000</v>
      </c>
      <c r="P452" s="38">
        <f t="shared" ref="P452:R452" si="181">P451</f>
        <v>0</v>
      </c>
      <c r="Q452" s="38">
        <f t="shared" si="181"/>
        <v>0</v>
      </c>
      <c r="R452" s="38">
        <f t="shared" si="181"/>
        <v>0</v>
      </c>
      <c r="S452" s="78">
        <v>45771</v>
      </c>
      <c r="T452" s="63"/>
      <c r="U452" s="63">
        <f t="shared" si="131"/>
        <v>42426.350000000035</v>
      </c>
      <c r="V452" s="63"/>
      <c r="W452" s="63">
        <f>42426.35-37103.1</f>
        <v>5323.25</v>
      </c>
      <c r="X452" s="63">
        <f t="shared" si="132"/>
        <v>42426.350000000035</v>
      </c>
      <c r="Y452" s="63">
        <f t="shared" si="133"/>
        <v>4950000</v>
      </c>
      <c r="Z452" s="63"/>
      <c r="AA452" s="63"/>
      <c r="AB452" s="63">
        <f t="shared" si="170"/>
        <v>5000000</v>
      </c>
      <c r="AC452" s="302"/>
      <c r="AD452" s="302"/>
      <c r="AE452" s="63"/>
      <c r="AF452" s="63"/>
      <c r="AG452" s="63"/>
      <c r="AH452" s="63"/>
      <c r="AJ452" s="63"/>
      <c r="AK452" s="63"/>
      <c r="AL452" s="63"/>
    </row>
    <row r="453" spans="2:38" x14ac:dyDescent="0.25">
      <c r="B453" s="42">
        <v>45772</v>
      </c>
      <c r="C453" s="38">
        <v>-2085643.41</v>
      </c>
      <c r="D453" s="38">
        <f t="shared" si="127"/>
        <v>-2028525.0799999998</v>
      </c>
      <c r="E453" s="83">
        <v>2090000</v>
      </c>
      <c r="F453" s="38"/>
      <c r="G453" s="38">
        <f t="shared" si="128"/>
        <v>61474.920000000158</v>
      </c>
      <c r="H453" s="38">
        <f t="shared" si="129"/>
        <v>12200000</v>
      </c>
      <c r="I453" s="38"/>
      <c r="J453" s="38"/>
      <c r="K453" s="38"/>
      <c r="L453" s="38"/>
      <c r="M453" s="38"/>
      <c r="N453" s="38"/>
      <c r="O453" s="38">
        <f t="shared" si="145"/>
        <v>65000000</v>
      </c>
      <c r="P453" s="38">
        <f t="shared" ref="P453:R453" si="182">P452</f>
        <v>0</v>
      </c>
      <c r="Q453" s="38">
        <f t="shared" si="182"/>
        <v>0</v>
      </c>
      <c r="R453" s="38">
        <f t="shared" si="182"/>
        <v>0</v>
      </c>
      <c r="S453" s="78">
        <v>45772</v>
      </c>
      <c r="T453" s="63">
        <v>-787708.52</v>
      </c>
      <c r="U453" s="63">
        <f t="shared" si="131"/>
        <v>-745282.16999999993</v>
      </c>
      <c r="V453" s="84">
        <v>780000</v>
      </c>
      <c r="W453" s="63"/>
      <c r="X453" s="63">
        <f t="shared" si="132"/>
        <v>34717.830000000075</v>
      </c>
      <c r="Y453" s="63">
        <f t="shared" si="133"/>
        <v>4170000</v>
      </c>
      <c r="Z453" s="63"/>
      <c r="AA453" s="63"/>
      <c r="AB453" s="63">
        <f t="shared" si="170"/>
        <v>5000000</v>
      </c>
      <c r="AC453" s="302"/>
      <c r="AD453" s="302"/>
      <c r="AE453" s="63"/>
      <c r="AF453" s="63"/>
      <c r="AG453" s="63"/>
      <c r="AH453" s="63"/>
      <c r="AJ453" s="63"/>
      <c r="AK453" s="63"/>
      <c r="AL453" s="63"/>
    </row>
    <row r="454" spans="2:38" x14ac:dyDescent="0.25">
      <c r="B454" s="42">
        <v>45773</v>
      </c>
      <c r="C454" s="38"/>
      <c r="D454" s="38">
        <f t="shared" si="127"/>
        <v>61474.920000000158</v>
      </c>
      <c r="E454" s="38"/>
      <c r="F454" s="38"/>
      <c r="G454" s="38">
        <f t="shared" si="128"/>
        <v>61474.920000000158</v>
      </c>
      <c r="H454" s="38">
        <f t="shared" si="129"/>
        <v>12200000</v>
      </c>
      <c r="I454" s="38"/>
      <c r="J454" s="38"/>
      <c r="K454" s="38"/>
      <c r="L454" s="38"/>
      <c r="M454" s="38"/>
      <c r="N454" s="38"/>
      <c r="O454" s="38">
        <f t="shared" si="145"/>
        <v>65000000</v>
      </c>
      <c r="P454" s="38">
        <f t="shared" ref="P454:R454" si="183">P453</f>
        <v>0</v>
      </c>
      <c r="Q454" s="38">
        <f t="shared" si="183"/>
        <v>0</v>
      </c>
      <c r="R454" s="38">
        <f t="shared" si="183"/>
        <v>0</v>
      </c>
      <c r="S454" s="78">
        <v>45773</v>
      </c>
      <c r="T454" s="63"/>
      <c r="U454" s="63">
        <f t="shared" si="131"/>
        <v>34717.830000000075</v>
      </c>
      <c r="V454" s="63"/>
      <c r="W454" s="63"/>
      <c r="X454" s="63">
        <f t="shared" si="132"/>
        <v>34717.830000000075</v>
      </c>
      <c r="Y454" s="63">
        <f t="shared" si="133"/>
        <v>4170000</v>
      </c>
      <c r="Z454" s="63"/>
      <c r="AA454" s="63"/>
      <c r="AB454" s="63">
        <f t="shared" si="170"/>
        <v>5000000</v>
      </c>
      <c r="AC454" s="302"/>
      <c r="AD454" s="302"/>
      <c r="AE454" s="63"/>
      <c r="AF454" s="63"/>
      <c r="AG454" s="63"/>
      <c r="AH454" s="63"/>
      <c r="AJ454" s="63"/>
      <c r="AK454" s="63"/>
      <c r="AL454" s="63"/>
    </row>
    <row r="455" spans="2:38" x14ac:dyDescent="0.25">
      <c r="B455" s="42">
        <v>45774</v>
      </c>
      <c r="C455" s="38"/>
      <c r="D455" s="38">
        <f t="shared" si="127"/>
        <v>61474.920000000158</v>
      </c>
      <c r="E455" s="38"/>
      <c r="F455" s="38">
        <f>62995.54-G454</f>
        <v>1520.6199999998425</v>
      </c>
      <c r="G455" s="38">
        <f t="shared" si="128"/>
        <v>62995.54</v>
      </c>
      <c r="H455" s="38">
        <f t="shared" si="129"/>
        <v>12200000</v>
      </c>
      <c r="I455" s="38"/>
      <c r="J455" s="38"/>
      <c r="K455" s="38"/>
      <c r="L455" s="38"/>
      <c r="M455" s="38"/>
      <c r="N455" s="38"/>
      <c r="O455" s="38">
        <f t="shared" si="145"/>
        <v>65000000</v>
      </c>
      <c r="P455" s="38">
        <f t="shared" ref="P455:R455" si="184">P454</f>
        <v>0</v>
      </c>
      <c r="Q455" s="38">
        <f t="shared" si="184"/>
        <v>0</v>
      </c>
      <c r="R455" s="38">
        <f t="shared" si="184"/>
        <v>0</v>
      </c>
      <c r="S455" s="78">
        <v>45774</v>
      </c>
      <c r="T455" s="63"/>
      <c r="U455" s="63">
        <f t="shared" si="131"/>
        <v>34717.830000000075</v>
      </c>
      <c r="V455" s="63"/>
      <c r="W455" s="63"/>
      <c r="X455" s="63">
        <f t="shared" si="132"/>
        <v>34717.830000000075</v>
      </c>
      <c r="Y455" s="63">
        <f t="shared" si="133"/>
        <v>4170000</v>
      </c>
      <c r="Z455" s="63"/>
      <c r="AA455" s="63"/>
      <c r="AB455" s="63">
        <f t="shared" si="170"/>
        <v>5000000</v>
      </c>
      <c r="AC455" s="302"/>
      <c r="AD455" s="302"/>
      <c r="AE455" s="63"/>
      <c r="AF455" s="63"/>
      <c r="AG455" s="63"/>
      <c r="AH455" s="63"/>
      <c r="AJ455" s="63"/>
      <c r="AK455" s="63"/>
      <c r="AL455" s="63"/>
    </row>
    <row r="456" spans="2:38" x14ac:dyDescent="0.25">
      <c r="B456" s="42">
        <v>45775</v>
      </c>
      <c r="C456" s="38">
        <v>-262548.31</v>
      </c>
      <c r="D456" s="38">
        <f t="shared" si="127"/>
        <v>-199552.77</v>
      </c>
      <c r="E456" s="83">
        <v>260000</v>
      </c>
      <c r="F456" s="38"/>
      <c r="G456" s="38">
        <f t="shared" si="128"/>
        <v>60447.23000000001</v>
      </c>
      <c r="H456" s="38">
        <f t="shared" si="129"/>
        <v>11940000</v>
      </c>
      <c r="I456" s="38"/>
      <c r="J456" s="38"/>
      <c r="K456" s="38"/>
      <c r="L456" s="38"/>
      <c r="M456" s="38"/>
      <c r="N456" s="38"/>
      <c r="O456" s="38">
        <f t="shared" si="145"/>
        <v>65000000</v>
      </c>
      <c r="P456" s="38">
        <f t="shared" ref="P456:R456" si="185">P455</f>
        <v>0</v>
      </c>
      <c r="Q456" s="38">
        <f t="shared" si="185"/>
        <v>0</v>
      </c>
      <c r="R456" s="38">
        <f t="shared" si="185"/>
        <v>0</v>
      </c>
      <c r="S456" s="78">
        <v>45775</v>
      </c>
      <c r="T456" s="63"/>
      <c r="U456" s="63">
        <f t="shared" si="131"/>
        <v>34717.830000000075</v>
      </c>
      <c r="V456" s="63"/>
      <c r="W456" s="63"/>
      <c r="X456" s="63">
        <f t="shared" si="132"/>
        <v>34717.830000000075</v>
      </c>
      <c r="Y456" s="63">
        <f t="shared" si="133"/>
        <v>4170000</v>
      </c>
      <c r="Z456" s="63"/>
      <c r="AA456" s="63"/>
      <c r="AB456" s="63">
        <f t="shared" si="170"/>
        <v>5000000</v>
      </c>
      <c r="AC456" s="302"/>
      <c r="AD456" s="302"/>
      <c r="AE456" s="63"/>
      <c r="AF456" s="63"/>
      <c r="AG456" s="63"/>
      <c r="AH456" s="63"/>
      <c r="AJ456" s="63"/>
      <c r="AK456" s="63"/>
      <c r="AL456" s="63"/>
    </row>
    <row r="457" spans="2:38" x14ac:dyDescent="0.25">
      <c r="B457" s="42">
        <v>45776</v>
      </c>
      <c r="C457" s="38">
        <v>-250871.48</v>
      </c>
      <c r="D457" s="38">
        <f t="shared" si="127"/>
        <v>-190424.25</v>
      </c>
      <c r="E457" s="83">
        <v>250000</v>
      </c>
      <c r="F457" s="38"/>
      <c r="G457" s="38">
        <f t="shared" si="128"/>
        <v>59575.75</v>
      </c>
      <c r="H457" s="38">
        <f t="shared" si="129"/>
        <v>11690000</v>
      </c>
      <c r="I457" s="38"/>
      <c r="J457" s="38"/>
      <c r="K457" s="38"/>
      <c r="L457" s="38"/>
      <c r="M457" s="38"/>
      <c r="N457" s="38"/>
      <c r="O457" s="38">
        <f t="shared" si="145"/>
        <v>65000000</v>
      </c>
      <c r="P457" s="38">
        <f t="shared" ref="P457:R457" si="186">P456</f>
        <v>0</v>
      </c>
      <c r="Q457" s="38">
        <f t="shared" si="186"/>
        <v>0</v>
      </c>
      <c r="R457" s="38">
        <f t="shared" si="186"/>
        <v>0</v>
      </c>
      <c r="S457" s="78">
        <v>45776</v>
      </c>
      <c r="T457" s="63"/>
      <c r="U457" s="63">
        <f t="shared" si="131"/>
        <v>34717.830000000075</v>
      </c>
      <c r="V457" s="63"/>
      <c r="W457" s="63"/>
      <c r="X457" s="63">
        <f t="shared" si="132"/>
        <v>34717.830000000075</v>
      </c>
      <c r="Y457" s="63">
        <f t="shared" si="133"/>
        <v>4170000</v>
      </c>
      <c r="Z457" s="63"/>
      <c r="AA457" s="63"/>
      <c r="AB457" s="63">
        <f t="shared" si="170"/>
        <v>5000000</v>
      </c>
      <c r="AC457" s="302"/>
      <c r="AD457" s="302"/>
      <c r="AE457" s="63"/>
      <c r="AF457" s="63"/>
      <c r="AG457" s="63"/>
      <c r="AH457" s="63"/>
      <c r="AJ457" s="63"/>
      <c r="AK457" s="63"/>
      <c r="AL457" s="63"/>
    </row>
    <row r="458" spans="2:38" x14ac:dyDescent="0.25">
      <c r="B458" s="42">
        <v>45777</v>
      </c>
      <c r="C458" s="38"/>
      <c r="D458" s="38">
        <f t="shared" si="127"/>
        <v>59575.75</v>
      </c>
      <c r="E458" s="38"/>
      <c r="F458" s="38">
        <v>23760.929999999993</v>
      </c>
      <c r="G458" s="38">
        <f t="shared" si="128"/>
        <v>83336.679999999993</v>
      </c>
      <c r="H458" s="38">
        <f t="shared" si="129"/>
        <v>11690000</v>
      </c>
      <c r="I458" s="38"/>
      <c r="J458" s="38"/>
      <c r="K458" s="38"/>
      <c r="L458" s="38"/>
      <c r="M458" s="38"/>
      <c r="N458" s="38"/>
      <c r="O458" s="38">
        <f t="shared" si="145"/>
        <v>65000000</v>
      </c>
      <c r="P458" s="38">
        <f t="shared" ref="P458:R458" si="187">P457</f>
        <v>0</v>
      </c>
      <c r="Q458" s="38">
        <f t="shared" si="187"/>
        <v>0</v>
      </c>
      <c r="R458" s="38">
        <f t="shared" si="187"/>
        <v>0</v>
      </c>
      <c r="S458" s="78">
        <v>45777</v>
      </c>
      <c r="T458" s="63"/>
      <c r="U458" s="63">
        <f t="shared" si="131"/>
        <v>34717.830000000075</v>
      </c>
      <c r="V458" s="63"/>
      <c r="W458" s="63"/>
      <c r="X458" s="63">
        <f t="shared" si="132"/>
        <v>34717.830000000075</v>
      </c>
      <c r="Y458" s="63">
        <f t="shared" si="133"/>
        <v>4170000</v>
      </c>
      <c r="Z458" s="63"/>
      <c r="AA458" s="63"/>
      <c r="AB458" s="63">
        <f t="shared" si="170"/>
        <v>5000000</v>
      </c>
      <c r="AC458" s="302"/>
      <c r="AD458" s="302"/>
      <c r="AE458" s="63"/>
      <c r="AF458" s="63"/>
      <c r="AG458" s="63"/>
      <c r="AH458" s="63"/>
      <c r="AJ458" s="63"/>
      <c r="AK458" s="63"/>
      <c r="AL458" s="63"/>
    </row>
    <row r="459" spans="2:38" x14ac:dyDescent="0.25">
      <c r="B459" s="42">
        <v>45778</v>
      </c>
      <c r="C459" s="38"/>
      <c r="D459" s="38">
        <f t="shared" si="127"/>
        <v>83336.679999999993</v>
      </c>
      <c r="E459" s="38"/>
      <c r="F459" s="38"/>
      <c r="G459" s="38">
        <f t="shared" si="128"/>
        <v>83336.679999999993</v>
      </c>
      <c r="H459" s="38">
        <f t="shared" si="129"/>
        <v>11690000</v>
      </c>
      <c r="I459" s="38"/>
      <c r="J459" s="38"/>
      <c r="K459" s="38"/>
      <c r="L459" s="38"/>
      <c r="M459" s="38"/>
      <c r="N459" s="38"/>
      <c r="O459" s="38">
        <f t="shared" si="145"/>
        <v>65000000</v>
      </c>
      <c r="P459" s="38">
        <f t="shared" ref="P459:R459" si="188">P458</f>
        <v>0</v>
      </c>
      <c r="Q459" s="38">
        <f t="shared" si="188"/>
        <v>0</v>
      </c>
      <c r="R459" s="38">
        <f t="shared" si="188"/>
        <v>0</v>
      </c>
      <c r="S459" s="78">
        <v>45778</v>
      </c>
      <c r="T459" s="63"/>
      <c r="U459" s="63">
        <f t="shared" si="131"/>
        <v>34717.830000000075</v>
      </c>
      <c r="V459" s="63"/>
      <c r="W459" s="63"/>
      <c r="X459" s="63">
        <f t="shared" si="132"/>
        <v>34717.830000000075</v>
      </c>
      <c r="Y459" s="63">
        <f t="shared" si="133"/>
        <v>4170000</v>
      </c>
      <c r="Z459" s="63"/>
      <c r="AA459" s="63"/>
      <c r="AB459" s="63">
        <f t="shared" si="170"/>
        <v>5000000</v>
      </c>
      <c r="AC459" s="302"/>
      <c r="AD459" s="302"/>
      <c r="AE459" s="63"/>
      <c r="AF459" s="63"/>
      <c r="AG459" s="63"/>
      <c r="AH459" s="63"/>
      <c r="AJ459" s="63"/>
      <c r="AK459" s="63"/>
      <c r="AL459" s="63"/>
    </row>
    <row r="460" spans="2:38" x14ac:dyDescent="0.25">
      <c r="B460" s="42">
        <v>45779</v>
      </c>
      <c r="C460" s="38">
        <v>-2182152.7184370901</v>
      </c>
      <c r="D460" s="38">
        <f t="shared" si="127"/>
        <v>-2098816.0384370899</v>
      </c>
      <c r="E460" s="83">
        <f>2100000+50000</f>
        <v>2150000</v>
      </c>
      <c r="F460" s="38">
        <f>-650.48-1183.96</f>
        <v>-1834.44</v>
      </c>
      <c r="G460" s="38">
        <f t="shared" si="128"/>
        <v>49349.521562910115</v>
      </c>
      <c r="H460" s="38">
        <f t="shared" si="129"/>
        <v>9540000</v>
      </c>
      <c r="I460" s="38"/>
      <c r="J460" s="38"/>
      <c r="K460" s="38"/>
      <c r="L460" s="38"/>
      <c r="M460" s="38"/>
      <c r="N460" s="38"/>
      <c r="O460" s="38">
        <f t="shared" si="145"/>
        <v>65000000</v>
      </c>
      <c r="P460" s="38">
        <f t="shared" ref="P460:R460" si="189">P459</f>
        <v>0</v>
      </c>
      <c r="Q460" s="38">
        <f t="shared" si="189"/>
        <v>0</v>
      </c>
      <c r="R460" s="38">
        <f t="shared" si="189"/>
        <v>0</v>
      </c>
      <c r="S460" s="78">
        <v>45779</v>
      </c>
      <c r="T460" s="63"/>
      <c r="U460" s="63">
        <f t="shared" si="131"/>
        <v>34717.830000000075</v>
      </c>
      <c r="V460" s="63"/>
      <c r="W460" s="63"/>
      <c r="X460" s="63">
        <f t="shared" si="132"/>
        <v>34717.830000000075</v>
      </c>
      <c r="Y460" s="63">
        <f t="shared" si="133"/>
        <v>4170000</v>
      </c>
      <c r="Z460" s="63"/>
      <c r="AA460" s="63"/>
      <c r="AB460" s="63">
        <f t="shared" si="170"/>
        <v>5000000</v>
      </c>
      <c r="AC460" s="302"/>
      <c r="AD460" s="302"/>
      <c r="AE460" s="63"/>
      <c r="AF460" s="63"/>
      <c r="AG460" s="63"/>
      <c r="AH460" s="63"/>
      <c r="AJ460" s="63"/>
      <c r="AK460" s="63"/>
      <c r="AL460" s="63"/>
    </row>
    <row r="461" spans="2:38" x14ac:dyDescent="0.25">
      <c r="B461" s="42">
        <v>45780</v>
      </c>
      <c r="C461" s="38"/>
      <c r="D461" s="38">
        <f t="shared" si="127"/>
        <v>49349.521562910115</v>
      </c>
      <c r="E461" s="38"/>
      <c r="F461" s="38"/>
      <c r="G461" s="38">
        <f t="shared" si="128"/>
        <v>49349.521562910115</v>
      </c>
      <c r="H461" s="38">
        <f t="shared" si="129"/>
        <v>9540000</v>
      </c>
      <c r="I461" s="38"/>
      <c r="J461" s="38"/>
      <c r="K461" s="38"/>
      <c r="L461" s="38"/>
      <c r="M461" s="38"/>
      <c r="N461" s="38"/>
      <c r="O461" s="38">
        <f t="shared" si="145"/>
        <v>65000000</v>
      </c>
      <c r="P461" s="38">
        <f t="shared" ref="P461:R461" si="190">P460</f>
        <v>0</v>
      </c>
      <c r="Q461" s="38">
        <f t="shared" si="190"/>
        <v>0</v>
      </c>
      <c r="R461" s="38">
        <f t="shared" si="190"/>
        <v>0</v>
      </c>
      <c r="S461" s="78">
        <v>45780</v>
      </c>
      <c r="T461" s="63"/>
      <c r="U461" s="63">
        <f t="shared" si="131"/>
        <v>34717.830000000075</v>
      </c>
      <c r="V461" s="63"/>
      <c r="W461" s="63"/>
      <c r="X461" s="63">
        <f t="shared" si="132"/>
        <v>34717.830000000075</v>
      </c>
      <c r="Y461" s="63">
        <f t="shared" si="133"/>
        <v>4170000</v>
      </c>
      <c r="Z461" s="63"/>
      <c r="AA461" s="63"/>
      <c r="AB461" s="63">
        <f t="shared" si="170"/>
        <v>5000000</v>
      </c>
      <c r="AC461" s="302"/>
      <c r="AD461" s="302"/>
      <c r="AE461" s="63"/>
      <c r="AF461" s="63"/>
      <c r="AG461" s="63"/>
      <c r="AH461" s="63"/>
      <c r="AJ461" s="63"/>
      <c r="AK461" s="63"/>
      <c r="AL461" s="63"/>
    </row>
    <row r="462" spans="2:38" x14ac:dyDescent="0.25">
      <c r="B462" s="42">
        <v>45781</v>
      </c>
      <c r="C462" s="38"/>
      <c r="D462" s="38">
        <f t="shared" si="127"/>
        <v>49349.521562910115</v>
      </c>
      <c r="E462" s="38"/>
      <c r="F462" s="38"/>
      <c r="G462" s="38">
        <f t="shared" si="128"/>
        <v>49349.521562910115</v>
      </c>
      <c r="H462" s="38">
        <f t="shared" si="129"/>
        <v>9540000</v>
      </c>
      <c r="I462" s="38"/>
      <c r="J462" s="38"/>
      <c r="K462" s="38"/>
      <c r="L462" s="38"/>
      <c r="M462" s="38"/>
      <c r="N462" s="38"/>
      <c r="O462" s="38">
        <f t="shared" si="145"/>
        <v>65000000</v>
      </c>
      <c r="P462" s="38">
        <f t="shared" ref="P462:R462" si="191">P461</f>
        <v>0</v>
      </c>
      <c r="Q462" s="38">
        <f t="shared" si="191"/>
        <v>0</v>
      </c>
      <c r="R462" s="38">
        <f t="shared" si="191"/>
        <v>0</v>
      </c>
      <c r="S462" s="78">
        <v>45781</v>
      </c>
      <c r="T462" s="63"/>
      <c r="U462" s="63">
        <f t="shared" si="131"/>
        <v>34717.830000000075</v>
      </c>
      <c r="V462" s="63"/>
      <c r="W462" s="63"/>
      <c r="X462" s="63">
        <f t="shared" si="132"/>
        <v>34717.830000000075</v>
      </c>
      <c r="Y462" s="63">
        <f t="shared" si="133"/>
        <v>4170000</v>
      </c>
      <c r="Z462" s="63"/>
      <c r="AA462" s="63"/>
      <c r="AB462" s="63">
        <f t="shared" si="170"/>
        <v>5000000</v>
      </c>
      <c r="AC462" s="302"/>
      <c r="AD462" s="302"/>
      <c r="AE462" s="63"/>
      <c r="AF462" s="63"/>
      <c r="AG462" s="63"/>
      <c r="AH462" s="63"/>
      <c r="AJ462" s="63"/>
      <c r="AK462" s="63"/>
      <c r="AL462" s="63"/>
    </row>
    <row r="463" spans="2:38" x14ac:dyDescent="0.25">
      <c r="B463" s="42">
        <v>45782</v>
      </c>
      <c r="C463" s="38"/>
      <c r="D463" s="38">
        <f t="shared" si="127"/>
        <v>49349.521562910115</v>
      </c>
      <c r="E463" s="38"/>
      <c r="F463" s="38"/>
      <c r="G463" s="38">
        <f t="shared" si="128"/>
        <v>49349.521562910115</v>
      </c>
      <c r="H463" s="38">
        <f t="shared" si="129"/>
        <v>9540000</v>
      </c>
      <c r="I463" s="38"/>
      <c r="J463" s="38"/>
      <c r="K463" s="38"/>
      <c r="L463" s="38"/>
      <c r="M463" s="38"/>
      <c r="N463" s="38"/>
      <c r="O463" s="38">
        <f t="shared" si="145"/>
        <v>65000000</v>
      </c>
      <c r="P463" s="38">
        <f t="shared" ref="P463:R463" si="192">P462</f>
        <v>0</v>
      </c>
      <c r="Q463" s="38">
        <f t="shared" si="192"/>
        <v>0</v>
      </c>
      <c r="R463" s="38">
        <f t="shared" si="192"/>
        <v>0</v>
      </c>
      <c r="S463" s="78">
        <v>45782</v>
      </c>
      <c r="T463" s="63"/>
      <c r="U463" s="63">
        <f t="shared" si="131"/>
        <v>34717.830000000075</v>
      </c>
      <c r="V463" s="63"/>
      <c r="W463" s="63"/>
      <c r="X463" s="63">
        <f t="shared" si="132"/>
        <v>34717.830000000075</v>
      </c>
      <c r="Y463" s="63">
        <f t="shared" si="133"/>
        <v>4170000</v>
      </c>
      <c r="Z463" s="63"/>
      <c r="AA463" s="63"/>
      <c r="AB463" s="63">
        <f t="shared" si="170"/>
        <v>5000000</v>
      </c>
      <c r="AC463" s="302"/>
      <c r="AD463" s="302"/>
      <c r="AE463" s="63"/>
      <c r="AF463" s="63"/>
      <c r="AG463" s="63"/>
      <c r="AH463" s="63"/>
      <c r="AJ463" s="63"/>
      <c r="AK463" s="63"/>
      <c r="AL463" s="63"/>
    </row>
    <row r="464" spans="2:38" x14ac:dyDescent="0.25">
      <c r="B464" s="42">
        <v>45783</v>
      </c>
      <c r="C464" s="38"/>
      <c r="D464" s="38">
        <f t="shared" si="127"/>
        <v>49349.521562910115</v>
      </c>
      <c r="E464" s="38"/>
      <c r="F464" s="38"/>
      <c r="G464" s="38">
        <f t="shared" si="128"/>
        <v>49349.521562910115</v>
      </c>
      <c r="H464" s="38">
        <f t="shared" si="129"/>
        <v>9540000</v>
      </c>
      <c r="I464" s="38"/>
      <c r="J464" s="38"/>
      <c r="K464" s="38"/>
      <c r="L464" s="38"/>
      <c r="M464" s="38"/>
      <c r="N464" s="38"/>
      <c r="O464" s="38">
        <f t="shared" si="145"/>
        <v>65000000</v>
      </c>
      <c r="P464" s="38">
        <f t="shared" ref="P464:R464" si="193">P463</f>
        <v>0</v>
      </c>
      <c r="Q464" s="38">
        <f t="shared" si="193"/>
        <v>0</v>
      </c>
      <c r="R464" s="38">
        <f t="shared" si="193"/>
        <v>0</v>
      </c>
      <c r="S464" s="78">
        <v>45783</v>
      </c>
      <c r="T464" s="63">
        <v>5053770.83</v>
      </c>
      <c r="U464" s="63">
        <f t="shared" si="131"/>
        <v>5088488.66</v>
      </c>
      <c r="V464" s="63"/>
      <c r="W464" s="63"/>
      <c r="X464" s="63">
        <f t="shared" si="132"/>
        <v>5088488.66</v>
      </c>
      <c r="Y464" s="63">
        <f t="shared" si="133"/>
        <v>4170000</v>
      </c>
      <c r="Z464" s="63"/>
      <c r="AA464" s="63"/>
      <c r="AB464" s="63"/>
      <c r="AC464" s="302"/>
      <c r="AD464" s="302"/>
      <c r="AE464" s="63"/>
      <c r="AF464" s="63"/>
      <c r="AG464" s="63"/>
      <c r="AH464" s="63"/>
      <c r="AJ464" s="63"/>
      <c r="AK464" s="63"/>
      <c r="AL464" s="63"/>
    </row>
    <row r="465" spans="2:38" x14ac:dyDescent="0.25">
      <c r="B465" s="42">
        <v>45784</v>
      </c>
      <c r="C465" s="38">
        <v>-42489</v>
      </c>
      <c r="D465" s="38">
        <f t="shared" si="127"/>
        <v>6860.5215629101149</v>
      </c>
      <c r="E465" s="56"/>
      <c r="F465" s="38">
        <f>87310.92-G464</f>
        <v>37961.398437089883</v>
      </c>
      <c r="G465" s="38">
        <f t="shared" si="128"/>
        <v>44821.919999999998</v>
      </c>
      <c r="H465" s="38">
        <f t="shared" si="129"/>
        <v>9540000</v>
      </c>
      <c r="I465" s="38"/>
      <c r="J465" s="38"/>
      <c r="K465" s="38"/>
      <c r="L465" s="38"/>
      <c r="M465" s="38"/>
      <c r="N465" s="38"/>
      <c r="O465" s="38">
        <f t="shared" si="145"/>
        <v>65000000</v>
      </c>
      <c r="P465" s="38">
        <f t="shared" ref="P465:R465" si="194">P464</f>
        <v>0</v>
      </c>
      <c r="Q465" s="38">
        <f t="shared" si="194"/>
        <v>0</v>
      </c>
      <c r="R465" s="38">
        <f t="shared" si="194"/>
        <v>0</v>
      </c>
      <c r="S465" s="78">
        <v>45784</v>
      </c>
      <c r="T465" s="63">
        <v>-4500000</v>
      </c>
      <c r="U465" s="63">
        <f t="shared" si="131"/>
        <v>588488.66000000015</v>
      </c>
      <c r="V465" s="84">
        <v>-550000</v>
      </c>
      <c r="W465" s="63"/>
      <c r="X465" s="63">
        <f t="shared" si="132"/>
        <v>38488.660000000149</v>
      </c>
      <c r="Y465" s="63">
        <f t="shared" si="133"/>
        <v>4720000</v>
      </c>
      <c r="Z465" s="63"/>
      <c r="AA465" s="63"/>
      <c r="AB465" s="63">
        <v>4500000</v>
      </c>
      <c r="AC465" s="302"/>
      <c r="AD465" s="302"/>
      <c r="AE465" s="63"/>
      <c r="AF465" s="63"/>
      <c r="AG465" s="63"/>
      <c r="AH465" s="63"/>
      <c r="AJ465" s="63"/>
      <c r="AK465" s="63"/>
      <c r="AL465" s="63"/>
    </row>
    <row r="466" spans="2:38" x14ac:dyDescent="0.25">
      <c r="B466" s="42">
        <v>45785</v>
      </c>
      <c r="C466" s="38"/>
      <c r="D466" s="38">
        <f t="shared" si="127"/>
        <v>44821.919999999998</v>
      </c>
      <c r="E466" s="38"/>
      <c r="F466" s="38"/>
      <c r="G466" s="38">
        <f t="shared" si="128"/>
        <v>44821.919999999998</v>
      </c>
      <c r="H466" s="38">
        <f t="shared" si="129"/>
        <v>9540000</v>
      </c>
      <c r="I466" s="38"/>
      <c r="J466" s="38"/>
      <c r="K466" s="38"/>
      <c r="L466" s="38"/>
      <c r="M466" s="38"/>
      <c r="N466" s="38"/>
      <c r="O466" s="38">
        <f t="shared" si="145"/>
        <v>65000000</v>
      </c>
      <c r="P466" s="38">
        <f t="shared" ref="P466:R466" si="195">P465</f>
        <v>0</v>
      </c>
      <c r="Q466" s="38">
        <f t="shared" si="195"/>
        <v>0</v>
      </c>
      <c r="R466" s="38">
        <f t="shared" si="195"/>
        <v>0</v>
      </c>
      <c r="S466" s="78">
        <v>45785</v>
      </c>
      <c r="T466" s="63"/>
      <c r="U466" s="63">
        <f t="shared" si="131"/>
        <v>38488.660000000149</v>
      </c>
      <c r="V466" s="63"/>
      <c r="W466" s="63"/>
      <c r="X466" s="63">
        <f t="shared" si="132"/>
        <v>38488.660000000149</v>
      </c>
      <c r="Y466" s="63">
        <f t="shared" si="133"/>
        <v>4720000</v>
      </c>
      <c r="Z466" s="63"/>
      <c r="AA466" s="63"/>
      <c r="AB466" s="63">
        <f>AB465</f>
        <v>4500000</v>
      </c>
      <c r="AC466" s="302"/>
      <c r="AD466" s="302"/>
      <c r="AE466" s="63"/>
      <c r="AF466" s="63"/>
      <c r="AG466" s="63"/>
      <c r="AH466" s="63"/>
      <c r="AJ466" s="63"/>
      <c r="AK466" s="63"/>
      <c r="AL466" s="63"/>
    </row>
    <row r="467" spans="2:38" x14ac:dyDescent="0.25">
      <c r="B467" s="42">
        <v>45786</v>
      </c>
      <c r="C467" s="38"/>
      <c r="D467" s="38">
        <f t="shared" si="127"/>
        <v>44821.919999999998</v>
      </c>
      <c r="E467" s="38"/>
      <c r="F467" s="38"/>
      <c r="G467" s="38">
        <f t="shared" si="128"/>
        <v>44821.919999999998</v>
      </c>
      <c r="H467" s="38">
        <f t="shared" si="129"/>
        <v>9540000</v>
      </c>
      <c r="I467" s="38"/>
      <c r="J467" s="38"/>
      <c r="K467" s="38"/>
      <c r="L467" s="38"/>
      <c r="M467" s="38"/>
      <c r="N467" s="38"/>
      <c r="O467" s="38">
        <f t="shared" si="145"/>
        <v>65000000</v>
      </c>
      <c r="P467" s="38">
        <f t="shared" ref="P467:R467" si="196">P466</f>
        <v>0</v>
      </c>
      <c r="Q467" s="38">
        <f t="shared" si="196"/>
        <v>0</v>
      </c>
      <c r="R467" s="38">
        <f t="shared" si="196"/>
        <v>0</v>
      </c>
      <c r="S467" s="78">
        <v>45786</v>
      </c>
      <c r="T467" s="63"/>
      <c r="U467" s="63">
        <f t="shared" si="131"/>
        <v>38488.660000000149</v>
      </c>
      <c r="V467" s="63"/>
      <c r="W467" s="63"/>
      <c r="X467" s="63">
        <f t="shared" si="132"/>
        <v>38488.660000000149</v>
      </c>
      <c r="Y467" s="63">
        <f t="shared" si="133"/>
        <v>4720000</v>
      </c>
      <c r="Z467" s="63"/>
      <c r="AA467" s="63"/>
      <c r="AB467" s="63">
        <f t="shared" ref="AB467:AB530" si="197">AB466</f>
        <v>4500000</v>
      </c>
      <c r="AC467" s="302"/>
      <c r="AD467" s="302"/>
      <c r="AE467" s="63"/>
      <c r="AF467" s="63"/>
      <c r="AG467" s="63"/>
      <c r="AH467" s="63"/>
      <c r="AJ467" s="63"/>
      <c r="AK467" s="63"/>
      <c r="AL467" s="63"/>
    </row>
    <row r="468" spans="2:38" x14ac:dyDescent="0.25">
      <c r="B468" s="42">
        <v>45787</v>
      </c>
      <c r="C468" s="38"/>
      <c r="D468" s="38">
        <f t="shared" si="127"/>
        <v>44821.919999999998</v>
      </c>
      <c r="E468" s="38"/>
      <c r="F468" s="38"/>
      <c r="G468" s="38">
        <f t="shared" si="128"/>
        <v>44821.919999999998</v>
      </c>
      <c r="H468" s="38">
        <f t="shared" si="129"/>
        <v>9540000</v>
      </c>
      <c r="I468" s="38"/>
      <c r="J468" s="38"/>
      <c r="K468" s="38"/>
      <c r="L468" s="38"/>
      <c r="M468" s="38"/>
      <c r="N468" s="38"/>
      <c r="O468" s="38">
        <f t="shared" si="145"/>
        <v>65000000</v>
      </c>
      <c r="P468" s="38">
        <f t="shared" ref="P468:R468" si="198">P467</f>
        <v>0</v>
      </c>
      <c r="Q468" s="38">
        <f t="shared" si="198"/>
        <v>0</v>
      </c>
      <c r="R468" s="38">
        <f t="shared" si="198"/>
        <v>0</v>
      </c>
      <c r="S468" s="78">
        <v>45787</v>
      </c>
      <c r="T468" s="63"/>
      <c r="U468" s="63">
        <f t="shared" si="131"/>
        <v>38488.660000000149</v>
      </c>
      <c r="V468" s="63"/>
      <c r="W468" s="63"/>
      <c r="X468" s="63">
        <f t="shared" si="132"/>
        <v>38488.660000000149</v>
      </c>
      <c r="Y468" s="63">
        <f t="shared" si="133"/>
        <v>4720000</v>
      </c>
      <c r="Z468" s="63"/>
      <c r="AA468" s="63"/>
      <c r="AB468" s="63">
        <f t="shared" si="197"/>
        <v>4500000</v>
      </c>
      <c r="AC468" s="302"/>
      <c r="AD468" s="302"/>
      <c r="AE468" s="63"/>
      <c r="AF468" s="63"/>
      <c r="AG468" s="63"/>
      <c r="AH468" s="63"/>
      <c r="AJ468" s="63"/>
      <c r="AK468" s="63"/>
      <c r="AL468" s="63"/>
    </row>
    <row r="469" spans="2:38" x14ac:dyDescent="0.25">
      <c r="B469" s="42">
        <v>45788</v>
      </c>
      <c r="C469" s="38"/>
      <c r="D469" s="38">
        <f t="shared" si="127"/>
        <v>44821.919999999998</v>
      </c>
      <c r="E469" s="38"/>
      <c r="F469" s="38">
        <v>580.9800000000032</v>
      </c>
      <c r="G469" s="38">
        <f t="shared" si="128"/>
        <v>45402.9</v>
      </c>
      <c r="H469" s="38">
        <f t="shared" si="129"/>
        <v>9540000</v>
      </c>
      <c r="I469" s="38"/>
      <c r="J469" s="38"/>
      <c r="K469" s="38"/>
      <c r="L469" s="38"/>
      <c r="M469" s="38"/>
      <c r="N469" s="38"/>
      <c r="O469" s="38">
        <f t="shared" si="145"/>
        <v>65000000</v>
      </c>
      <c r="P469" s="38">
        <f t="shared" ref="P469:R469" si="199">P468</f>
        <v>0</v>
      </c>
      <c r="Q469" s="38">
        <f t="shared" si="199"/>
        <v>0</v>
      </c>
      <c r="R469" s="38">
        <f t="shared" si="199"/>
        <v>0</v>
      </c>
      <c r="S469" s="78">
        <v>45788</v>
      </c>
      <c r="T469" s="63"/>
      <c r="U469" s="63">
        <f t="shared" si="131"/>
        <v>57629.95</v>
      </c>
      <c r="V469" s="63"/>
      <c r="W469" s="63">
        <v>19141.289999999848</v>
      </c>
      <c r="X469" s="63">
        <f t="shared" si="132"/>
        <v>57629.95</v>
      </c>
      <c r="Y469" s="63">
        <f t="shared" si="133"/>
        <v>4720000</v>
      </c>
      <c r="Z469" s="63"/>
      <c r="AA469" s="63"/>
      <c r="AB469" s="63">
        <f t="shared" si="197"/>
        <v>4500000</v>
      </c>
      <c r="AC469" s="302"/>
      <c r="AD469" s="302"/>
      <c r="AE469" s="63"/>
      <c r="AF469" s="63"/>
      <c r="AG469" s="63"/>
      <c r="AH469" s="63"/>
      <c r="AJ469" s="63"/>
      <c r="AK469" s="63"/>
      <c r="AL469" s="63"/>
    </row>
    <row r="470" spans="2:38" x14ac:dyDescent="0.25">
      <c r="B470" s="42">
        <v>45789</v>
      </c>
      <c r="C470" s="38">
        <v>-1588340.25</v>
      </c>
      <c r="D470" s="38">
        <f t="shared" si="127"/>
        <v>-1542937.35</v>
      </c>
      <c r="E470" s="83">
        <v>1590000</v>
      </c>
      <c r="F470" s="38"/>
      <c r="G470" s="38">
        <f t="shared" si="128"/>
        <v>47062.649999999907</v>
      </c>
      <c r="H470" s="38">
        <f t="shared" si="129"/>
        <v>7950000</v>
      </c>
      <c r="I470" s="38"/>
      <c r="J470" s="38"/>
      <c r="K470" s="38"/>
      <c r="L470" s="38"/>
      <c r="M470" s="38"/>
      <c r="N470" s="38"/>
      <c r="O470" s="38">
        <f t="shared" si="145"/>
        <v>65000000</v>
      </c>
      <c r="P470" s="38">
        <f t="shared" ref="P470:R470" si="200">P469</f>
        <v>0</v>
      </c>
      <c r="Q470" s="38">
        <f t="shared" si="200"/>
        <v>0</v>
      </c>
      <c r="R470" s="38">
        <f t="shared" si="200"/>
        <v>0</v>
      </c>
      <c r="S470" s="78">
        <v>45789</v>
      </c>
      <c r="T470" s="63">
        <v>-739599.79</v>
      </c>
      <c r="U470" s="63">
        <f t="shared" si="131"/>
        <v>-681969.84000000008</v>
      </c>
      <c r="V470" s="84">
        <v>710000</v>
      </c>
      <c r="W470" s="63"/>
      <c r="X470" s="63">
        <f t="shared" si="132"/>
        <v>28030.159999999916</v>
      </c>
      <c r="Y470" s="63">
        <f t="shared" si="133"/>
        <v>4010000</v>
      </c>
      <c r="Z470" s="63"/>
      <c r="AA470" s="63"/>
      <c r="AB470" s="63">
        <f t="shared" si="197"/>
        <v>4500000</v>
      </c>
      <c r="AC470" s="302"/>
      <c r="AD470" s="302"/>
      <c r="AE470" s="63"/>
      <c r="AF470" s="63"/>
      <c r="AG470" s="63"/>
      <c r="AH470" s="63"/>
      <c r="AJ470" s="63"/>
      <c r="AK470" s="63"/>
      <c r="AL470" s="63"/>
    </row>
    <row r="471" spans="2:38" x14ac:dyDescent="0.25">
      <c r="B471" s="42">
        <v>45790</v>
      </c>
      <c r="C471" s="38"/>
      <c r="D471" s="38">
        <f t="shared" ref="D471:D508" si="201">C471+G470</f>
        <v>47062.649999999907</v>
      </c>
      <c r="E471" s="83">
        <v>-2840000</v>
      </c>
      <c r="F471" s="38">
        <f>2884450.42-G470</f>
        <v>2837387.77</v>
      </c>
      <c r="G471" s="38">
        <f t="shared" ref="G471:G508" si="202">D471+E471+F471</f>
        <v>44450.419999999925</v>
      </c>
      <c r="H471" s="38">
        <f t="shared" ref="H471:H508" si="203">H470-E471</f>
        <v>10790000</v>
      </c>
      <c r="I471" s="38"/>
      <c r="J471" s="38"/>
      <c r="K471" s="38"/>
      <c r="L471" s="38"/>
      <c r="M471" s="38"/>
      <c r="N471" s="38"/>
      <c r="O471" s="38">
        <f t="shared" si="145"/>
        <v>65000000</v>
      </c>
      <c r="P471" s="38">
        <f t="shared" ref="P471:R471" si="204">P470</f>
        <v>0</v>
      </c>
      <c r="Q471" s="38">
        <f t="shared" si="204"/>
        <v>0</v>
      </c>
      <c r="R471" s="38">
        <f t="shared" si="204"/>
        <v>0</v>
      </c>
      <c r="S471" s="78">
        <v>45790</v>
      </c>
      <c r="T471" s="63"/>
      <c r="U471" s="63">
        <f t="shared" ref="U471:U508" si="205">T471+X470+W471</f>
        <v>28030.159999999916</v>
      </c>
      <c r="V471" s="63"/>
      <c r="W471" s="63"/>
      <c r="X471" s="63">
        <f t="shared" ref="X471:X508" si="206">V471+U471</f>
        <v>28030.159999999916</v>
      </c>
      <c r="Y471" s="63">
        <f t="shared" ref="Y471:Y508" si="207">Y470-V471</f>
        <v>4010000</v>
      </c>
      <c r="Z471" s="63"/>
      <c r="AA471" s="63"/>
      <c r="AB471" s="63">
        <f t="shared" si="197"/>
        <v>4500000</v>
      </c>
      <c r="AC471" s="302"/>
      <c r="AD471" s="302"/>
      <c r="AE471" s="63"/>
      <c r="AF471" s="63"/>
      <c r="AG471" s="63"/>
      <c r="AH471" s="63"/>
      <c r="AJ471" s="63"/>
      <c r="AK471" s="63"/>
      <c r="AL471" s="63"/>
    </row>
    <row r="472" spans="2:38" x14ac:dyDescent="0.25">
      <c r="B472" s="42">
        <v>45791</v>
      </c>
      <c r="C472" s="38"/>
      <c r="D472" s="38">
        <f t="shared" si="201"/>
        <v>44450.419999999925</v>
      </c>
      <c r="E472" s="38"/>
      <c r="F472" s="38">
        <v>4919.920000000071</v>
      </c>
      <c r="G472" s="38">
        <f t="shared" si="202"/>
        <v>49370.34</v>
      </c>
      <c r="H472" s="38">
        <f t="shared" si="203"/>
        <v>10790000</v>
      </c>
      <c r="I472" s="38"/>
      <c r="J472" s="38"/>
      <c r="K472" s="38"/>
      <c r="L472" s="38"/>
      <c r="M472" s="38"/>
      <c r="N472" s="38"/>
      <c r="O472" s="38">
        <f t="shared" si="145"/>
        <v>65000000</v>
      </c>
      <c r="P472" s="38">
        <f t="shared" ref="P472:R472" si="208">P471</f>
        <v>0</v>
      </c>
      <c r="Q472" s="38">
        <f t="shared" si="208"/>
        <v>0</v>
      </c>
      <c r="R472" s="38">
        <f t="shared" si="208"/>
        <v>0</v>
      </c>
      <c r="S472" s="78">
        <v>45791</v>
      </c>
      <c r="T472" s="63"/>
      <c r="U472" s="63">
        <f t="shared" si="205"/>
        <v>28030.159999999916</v>
      </c>
      <c r="V472" s="63"/>
      <c r="W472" s="63"/>
      <c r="X472" s="63">
        <f t="shared" si="206"/>
        <v>28030.159999999916</v>
      </c>
      <c r="Y472" s="63">
        <f t="shared" si="207"/>
        <v>4010000</v>
      </c>
      <c r="Z472" s="63"/>
      <c r="AA472" s="63"/>
      <c r="AB472" s="63">
        <f t="shared" si="197"/>
        <v>4500000</v>
      </c>
      <c r="AC472" s="302"/>
      <c r="AD472" s="302"/>
      <c r="AE472" s="63"/>
      <c r="AF472" s="63"/>
      <c r="AG472" s="63"/>
      <c r="AH472" s="63"/>
      <c r="AJ472" s="63"/>
      <c r="AK472" s="63"/>
      <c r="AL472" s="63"/>
    </row>
    <row r="473" spans="2:38" x14ac:dyDescent="0.25">
      <c r="B473" s="42">
        <v>45792</v>
      </c>
      <c r="C473" s="38">
        <v>-1817632.19</v>
      </c>
      <c r="D473" s="38">
        <f t="shared" si="201"/>
        <v>-1768261.8499999999</v>
      </c>
      <c r="E473" s="83">
        <f>1830000-360000</f>
        <v>1470000</v>
      </c>
      <c r="F473" s="38">
        <v>354000</v>
      </c>
      <c r="G473" s="38">
        <f t="shared" si="202"/>
        <v>55738.15000000014</v>
      </c>
      <c r="H473" s="38">
        <f t="shared" si="203"/>
        <v>9320000</v>
      </c>
      <c r="I473" s="38"/>
      <c r="J473" s="38"/>
      <c r="K473" s="38"/>
      <c r="L473" s="38"/>
      <c r="M473" s="38"/>
      <c r="N473" s="38"/>
      <c r="O473" s="38">
        <f t="shared" si="145"/>
        <v>65000000</v>
      </c>
      <c r="P473" s="38">
        <f t="shared" ref="P473:R473" si="209">P472</f>
        <v>0</v>
      </c>
      <c r="Q473" s="38">
        <f t="shared" si="209"/>
        <v>0</v>
      </c>
      <c r="R473" s="38">
        <f t="shared" si="209"/>
        <v>0</v>
      </c>
      <c r="S473" s="78">
        <v>45792</v>
      </c>
      <c r="T473" s="63"/>
      <c r="U473" s="63">
        <f t="shared" si="205"/>
        <v>28030.159999999916</v>
      </c>
      <c r="V473" s="63"/>
      <c r="W473" s="63"/>
      <c r="X473" s="63">
        <f t="shared" si="206"/>
        <v>28030.159999999916</v>
      </c>
      <c r="Y473" s="63">
        <f t="shared" si="207"/>
        <v>4010000</v>
      </c>
      <c r="Z473" s="63"/>
      <c r="AA473" s="63"/>
      <c r="AB473" s="63">
        <f t="shared" si="197"/>
        <v>4500000</v>
      </c>
      <c r="AC473" s="302"/>
      <c r="AD473" s="302"/>
      <c r="AE473" s="63"/>
      <c r="AF473" s="63"/>
      <c r="AG473" s="63"/>
      <c r="AH473" s="63"/>
      <c r="AJ473" s="63"/>
      <c r="AK473" s="63"/>
      <c r="AL473" s="63"/>
    </row>
    <row r="474" spans="2:38" x14ac:dyDescent="0.25">
      <c r="B474" s="42">
        <v>45793</v>
      </c>
      <c r="C474" s="38"/>
      <c r="D474" s="38">
        <f t="shared" si="201"/>
        <v>55738.15000000014</v>
      </c>
      <c r="E474" s="83">
        <v>40000</v>
      </c>
      <c r="F474" s="38">
        <v>-39722.540000000139</v>
      </c>
      <c r="G474" s="38">
        <f t="shared" si="202"/>
        <v>56015.61</v>
      </c>
      <c r="H474" s="38">
        <f t="shared" si="203"/>
        <v>9280000</v>
      </c>
      <c r="I474" s="38"/>
      <c r="J474" s="38"/>
      <c r="K474" s="38"/>
      <c r="L474" s="38"/>
      <c r="M474" s="38"/>
      <c r="N474" s="38"/>
      <c r="O474" s="38">
        <f t="shared" si="145"/>
        <v>65000000</v>
      </c>
      <c r="P474" s="38">
        <f t="shared" ref="P474:R474" si="210">P473</f>
        <v>0</v>
      </c>
      <c r="Q474" s="38">
        <f t="shared" si="210"/>
        <v>0</v>
      </c>
      <c r="R474" s="38">
        <f t="shared" si="210"/>
        <v>0</v>
      </c>
      <c r="S474" s="78">
        <v>45793</v>
      </c>
      <c r="T474" s="63"/>
      <c r="U474" s="63">
        <f t="shared" si="205"/>
        <v>28030.159999999916</v>
      </c>
      <c r="V474" s="63"/>
      <c r="W474" s="63"/>
      <c r="X474" s="63">
        <f t="shared" si="206"/>
        <v>28030.159999999916</v>
      </c>
      <c r="Y474" s="63">
        <f t="shared" si="207"/>
        <v>4010000</v>
      </c>
      <c r="Z474" s="63"/>
      <c r="AA474" s="63"/>
      <c r="AB474" s="63">
        <f t="shared" si="197"/>
        <v>4500000</v>
      </c>
      <c r="AC474" s="302"/>
      <c r="AD474" s="302"/>
      <c r="AE474" s="63"/>
      <c r="AF474" s="63"/>
      <c r="AG474" s="63"/>
      <c r="AH474" s="63"/>
      <c r="AJ474" s="63"/>
      <c r="AK474" s="63"/>
      <c r="AL474" s="63"/>
    </row>
    <row r="475" spans="2:38" x14ac:dyDescent="0.25">
      <c r="B475" s="42">
        <v>45794</v>
      </c>
      <c r="C475" s="38"/>
      <c r="D475" s="38">
        <f t="shared" si="201"/>
        <v>56015.61</v>
      </c>
      <c r="E475" s="38"/>
      <c r="F475" s="38"/>
      <c r="G475" s="38">
        <f t="shared" si="202"/>
        <v>56015.61</v>
      </c>
      <c r="H475" s="38">
        <f t="shared" si="203"/>
        <v>9280000</v>
      </c>
      <c r="I475" s="38"/>
      <c r="J475" s="38"/>
      <c r="K475" s="38"/>
      <c r="L475" s="38"/>
      <c r="M475" s="38"/>
      <c r="N475" s="38"/>
      <c r="O475" s="38">
        <f t="shared" si="145"/>
        <v>65000000</v>
      </c>
      <c r="P475" s="38">
        <f t="shared" ref="P475:R475" si="211">P474</f>
        <v>0</v>
      </c>
      <c r="Q475" s="38">
        <f t="shared" si="211"/>
        <v>0</v>
      </c>
      <c r="R475" s="38">
        <f t="shared" si="211"/>
        <v>0</v>
      </c>
      <c r="S475" s="78">
        <v>45794</v>
      </c>
      <c r="T475" s="63"/>
      <c r="U475" s="63">
        <f t="shared" si="205"/>
        <v>28030.159999999916</v>
      </c>
      <c r="V475" s="63"/>
      <c r="W475" s="63"/>
      <c r="X475" s="63">
        <f t="shared" si="206"/>
        <v>28030.159999999916</v>
      </c>
      <c r="Y475" s="63">
        <f t="shared" si="207"/>
        <v>4010000</v>
      </c>
      <c r="Z475" s="63"/>
      <c r="AA475" s="63"/>
      <c r="AB475" s="63">
        <f t="shared" si="197"/>
        <v>4500000</v>
      </c>
      <c r="AC475" s="302"/>
      <c r="AD475" s="302"/>
      <c r="AE475" s="63"/>
      <c r="AF475" s="63"/>
      <c r="AG475" s="63"/>
      <c r="AH475" s="63"/>
      <c r="AJ475" s="63"/>
      <c r="AK475" s="63"/>
      <c r="AL475" s="63"/>
    </row>
    <row r="476" spans="2:38" x14ac:dyDescent="0.25">
      <c r="B476" s="42">
        <v>45795</v>
      </c>
      <c r="C476" s="38"/>
      <c r="D476" s="38">
        <f t="shared" si="201"/>
        <v>56015.61</v>
      </c>
      <c r="E476" s="38"/>
      <c r="F476" s="38"/>
      <c r="G476" s="38">
        <f t="shared" si="202"/>
        <v>56015.61</v>
      </c>
      <c r="H476" s="38">
        <f t="shared" si="203"/>
        <v>9280000</v>
      </c>
      <c r="I476" s="38"/>
      <c r="J476" s="38"/>
      <c r="K476" s="38"/>
      <c r="L476" s="38"/>
      <c r="M476" s="38"/>
      <c r="N476" s="38"/>
      <c r="O476" s="38">
        <f t="shared" si="145"/>
        <v>65000000</v>
      </c>
      <c r="P476" s="38">
        <f t="shared" ref="P476:R476" si="212">P475</f>
        <v>0</v>
      </c>
      <c r="Q476" s="38">
        <f t="shared" si="212"/>
        <v>0</v>
      </c>
      <c r="R476" s="38">
        <f t="shared" si="212"/>
        <v>0</v>
      </c>
      <c r="S476" s="78">
        <v>45795</v>
      </c>
      <c r="T476" s="63"/>
      <c r="U476" s="63">
        <f t="shared" si="205"/>
        <v>28030.159999999916</v>
      </c>
      <c r="V476" s="63"/>
      <c r="W476" s="63"/>
      <c r="X476" s="63">
        <f t="shared" si="206"/>
        <v>28030.159999999916</v>
      </c>
      <c r="Y476" s="63">
        <f t="shared" si="207"/>
        <v>4010000</v>
      </c>
      <c r="Z476" s="63"/>
      <c r="AA476" s="63"/>
      <c r="AB476" s="63">
        <f t="shared" si="197"/>
        <v>4500000</v>
      </c>
      <c r="AC476" s="302"/>
      <c r="AD476" s="302"/>
      <c r="AE476" s="63"/>
      <c r="AF476" s="63"/>
      <c r="AG476" s="63"/>
      <c r="AH476" s="63"/>
      <c r="AJ476" s="63"/>
      <c r="AK476" s="63"/>
      <c r="AL476" s="63"/>
    </row>
    <row r="477" spans="2:38" x14ac:dyDescent="0.25">
      <c r="B477" s="42">
        <v>45796</v>
      </c>
      <c r="C477" s="38"/>
      <c r="D477" s="38">
        <f t="shared" si="201"/>
        <v>56015.61</v>
      </c>
      <c r="E477" s="38"/>
      <c r="F477" s="38"/>
      <c r="G477" s="38">
        <f t="shared" si="202"/>
        <v>56015.61</v>
      </c>
      <c r="H477" s="38">
        <f t="shared" si="203"/>
        <v>9280000</v>
      </c>
      <c r="I477" s="38"/>
      <c r="J477" s="38"/>
      <c r="K477" s="38"/>
      <c r="L477" s="38"/>
      <c r="M477" s="38"/>
      <c r="N477" s="38"/>
      <c r="O477" s="38">
        <f t="shared" si="145"/>
        <v>65000000</v>
      </c>
      <c r="P477" s="38">
        <f t="shared" ref="P477:R477" si="213">P476</f>
        <v>0</v>
      </c>
      <c r="Q477" s="38">
        <f t="shared" si="213"/>
        <v>0</v>
      </c>
      <c r="R477" s="38">
        <f t="shared" si="213"/>
        <v>0</v>
      </c>
      <c r="S477" s="78">
        <v>45796</v>
      </c>
      <c r="T477" s="63"/>
      <c r="U477" s="63">
        <f t="shared" si="205"/>
        <v>28030.159999999916</v>
      </c>
      <c r="V477" s="63"/>
      <c r="W477" s="63"/>
      <c r="X477" s="63">
        <f t="shared" si="206"/>
        <v>28030.159999999916</v>
      </c>
      <c r="Y477" s="63">
        <f t="shared" si="207"/>
        <v>4010000</v>
      </c>
      <c r="Z477" s="63"/>
      <c r="AA477" s="63"/>
      <c r="AB477" s="63">
        <f t="shared" si="197"/>
        <v>4500000</v>
      </c>
      <c r="AC477" s="302"/>
      <c r="AD477" s="302"/>
      <c r="AE477" s="63"/>
      <c r="AF477" s="63"/>
      <c r="AG477" s="63"/>
      <c r="AH477" s="63"/>
      <c r="AJ477" s="63"/>
      <c r="AK477" s="63"/>
      <c r="AL477" s="63"/>
    </row>
    <row r="478" spans="2:38" x14ac:dyDescent="0.25">
      <c r="B478" s="42">
        <v>45797</v>
      </c>
      <c r="C478" s="38"/>
      <c r="D478" s="38">
        <f t="shared" si="201"/>
        <v>56015.61</v>
      </c>
      <c r="E478" s="38"/>
      <c r="F478" s="38"/>
      <c r="G478" s="38">
        <f t="shared" si="202"/>
        <v>56015.61</v>
      </c>
      <c r="H478" s="38">
        <f t="shared" si="203"/>
        <v>9280000</v>
      </c>
      <c r="I478" s="38"/>
      <c r="J478" s="38"/>
      <c r="K478" s="38"/>
      <c r="L478" s="38"/>
      <c r="M478" s="38"/>
      <c r="N478" s="38"/>
      <c r="O478" s="38">
        <f t="shared" si="145"/>
        <v>65000000</v>
      </c>
      <c r="P478" s="38">
        <f t="shared" ref="P478:R478" si="214">P477</f>
        <v>0</v>
      </c>
      <c r="Q478" s="38">
        <f t="shared" si="214"/>
        <v>0</v>
      </c>
      <c r="R478" s="38">
        <f t="shared" si="214"/>
        <v>0</v>
      </c>
      <c r="S478" s="78">
        <v>45797</v>
      </c>
      <c r="T478" s="63"/>
      <c r="U478" s="63">
        <f t="shared" si="205"/>
        <v>28030.159999999916</v>
      </c>
      <c r="V478" s="63"/>
      <c r="W478" s="63"/>
      <c r="X478" s="63">
        <f t="shared" si="206"/>
        <v>28030.159999999916</v>
      </c>
      <c r="Y478" s="63">
        <f t="shared" si="207"/>
        <v>4010000</v>
      </c>
      <c r="Z478" s="63"/>
      <c r="AA478" s="63"/>
      <c r="AB478" s="63">
        <f t="shared" si="197"/>
        <v>4500000</v>
      </c>
      <c r="AC478" s="302"/>
      <c r="AD478" s="302"/>
      <c r="AE478" s="63"/>
      <c r="AF478" s="63"/>
      <c r="AG478" s="63"/>
      <c r="AH478" s="63"/>
      <c r="AJ478" s="63"/>
      <c r="AK478" s="63"/>
      <c r="AL478" s="63"/>
    </row>
    <row r="479" spans="2:38" x14ac:dyDescent="0.25">
      <c r="B479" s="42">
        <v>45798</v>
      </c>
      <c r="C479" s="38">
        <v>-61904.22</v>
      </c>
      <c r="D479" s="38">
        <f t="shared" si="201"/>
        <v>-5888.6100000000006</v>
      </c>
      <c r="E479" s="83">
        <v>60000</v>
      </c>
      <c r="F479" s="38">
        <v>-5366.63</v>
      </c>
      <c r="G479" s="38">
        <f t="shared" si="202"/>
        <v>48744.76</v>
      </c>
      <c r="H479" s="38">
        <f t="shared" si="203"/>
        <v>9220000</v>
      </c>
      <c r="I479" s="38"/>
      <c r="J479" s="38"/>
      <c r="K479" s="38"/>
      <c r="L479" s="38"/>
      <c r="M479" s="38"/>
      <c r="N479" s="38"/>
      <c r="O479" s="38">
        <f t="shared" si="145"/>
        <v>65000000</v>
      </c>
      <c r="P479" s="38">
        <f t="shared" ref="P479:R479" si="215">P478</f>
        <v>0</v>
      </c>
      <c r="Q479" s="38">
        <f t="shared" si="215"/>
        <v>0</v>
      </c>
      <c r="R479" s="38">
        <f t="shared" si="215"/>
        <v>0</v>
      </c>
      <c r="S479" s="78">
        <v>45798</v>
      </c>
      <c r="T479" s="63"/>
      <c r="U479" s="63">
        <f t="shared" si="205"/>
        <v>28030.159999999916</v>
      </c>
      <c r="V479" s="63"/>
      <c r="W479" s="63"/>
      <c r="X479" s="63">
        <f t="shared" si="206"/>
        <v>28030.159999999916</v>
      </c>
      <c r="Y479" s="63">
        <f t="shared" si="207"/>
        <v>4010000</v>
      </c>
      <c r="Z479" s="63"/>
      <c r="AA479" s="63"/>
      <c r="AB479" s="63">
        <f t="shared" si="197"/>
        <v>4500000</v>
      </c>
      <c r="AC479" s="302"/>
      <c r="AD479" s="302"/>
      <c r="AE479" s="63"/>
      <c r="AF479" s="63"/>
      <c r="AG479" s="63"/>
      <c r="AH479" s="63"/>
      <c r="AJ479" s="63"/>
      <c r="AK479" s="63"/>
      <c r="AL479" s="63"/>
    </row>
    <row r="480" spans="2:38" x14ac:dyDescent="0.25">
      <c r="B480" s="42">
        <v>45799</v>
      </c>
      <c r="C480" s="38"/>
      <c r="D480" s="38">
        <f t="shared" si="201"/>
        <v>48744.76</v>
      </c>
      <c r="E480" s="38"/>
      <c r="F480" s="38">
        <v>1255.239999999998</v>
      </c>
      <c r="G480" s="38">
        <f t="shared" si="202"/>
        <v>50000</v>
      </c>
      <c r="H480" s="38">
        <f t="shared" si="203"/>
        <v>9220000</v>
      </c>
      <c r="I480" s="38"/>
      <c r="J480" s="38"/>
      <c r="K480" s="38"/>
      <c r="L480" s="38"/>
      <c r="M480" s="38"/>
      <c r="N480" s="38"/>
      <c r="O480" s="38">
        <f t="shared" si="145"/>
        <v>65000000</v>
      </c>
      <c r="P480" s="38">
        <f t="shared" ref="P480:R480" si="216">P479</f>
        <v>0</v>
      </c>
      <c r="Q480" s="38">
        <f t="shared" si="216"/>
        <v>0</v>
      </c>
      <c r="R480" s="38">
        <f t="shared" si="216"/>
        <v>0</v>
      </c>
      <c r="S480" s="78">
        <v>45799</v>
      </c>
      <c r="T480" s="63"/>
      <c r="U480" s="63">
        <f t="shared" si="205"/>
        <v>28030.159999999916</v>
      </c>
      <c r="V480" s="63"/>
      <c r="W480" s="63"/>
      <c r="X480" s="63">
        <f t="shared" si="206"/>
        <v>28030.159999999916</v>
      </c>
      <c r="Y480" s="63">
        <f t="shared" si="207"/>
        <v>4010000</v>
      </c>
      <c r="Z480" s="63"/>
      <c r="AA480" s="63"/>
      <c r="AB480" s="63">
        <f t="shared" si="197"/>
        <v>4500000</v>
      </c>
      <c r="AC480" s="302"/>
      <c r="AD480" s="302"/>
      <c r="AE480" s="63"/>
      <c r="AF480" s="63"/>
      <c r="AG480" s="63"/>
      <c r="AH480" s="63"/>
      <c r="AJ480" s="63"/>
      <c r="AK480" s="63"/>
      <c r="AL480" s="63"/>
    </row>
    <row r="481" spans="2:38" x14ac:dyDescent="0.25">
      <c r="B481" s="42">
        <v>45800</v>
      </c>
      <c r="C481" s="38">
        <v>-2926669.85</v>
      </c>
      <c r="D481" s="38">
        <f t="shared" si="201"/>
        <v>-2876669.85</v>
      </c>
      <c r="E481" s="83">
        <v>2930000</v>
      </c>
      <c r="F481" s="38"/>
      <c r="G481" s="38">
        <f t="shared" si="202"/>
        <v>53330.149999999907</v>
      </c>
      <c r="H481" s="38">
        <f t="shared" si="203"/>
        <v>6290000</v>
      </c>
      <c r="I481" s="38"/>
      <c r="J481" s="38"/>
      <c r="K481" s="38"/>
      <c r="L481" s="38"/>
      <c r="M481" s="38"/>
      <c r="N481" s="38"/>
      <c r="O481" s="38">
        <f t="shared" si="145"/>
        <v>65000000</v>
      </c>
      <c r="P481" s="38">
        <f t="shared" ref="P481:R481" si="217">P480</f>
        <v>0</v>
      </c>
      <c r="Q481" s="38">
        <f t="shared" si="217"/>
        <v>0</v>
      </c>
      <c r="R481" s="38">
        <f t="shared" si="217"/>
        <v>0</v>
      </c>
      <c r="S481" s="78">
        <v>45800</v>
      </c>
      <c r="T481" s="251">
        <v>-1325896.1000000001</v>
      </c>
      <c r="U481" s="63">
        <f t="shared" si="205"/>
        <v>-1297865.9400000002</v>
      </c>
      <c r="V481" s="84">
        <v>1330000</v>
      </c>
      <c r="W481" s="63"/>
      <c r="X481" s="63">
        <f t="shared" si="206"/>
        <v>32134.059999999823</v>
      </c>
      <c r="Y481" s="63">
        <f t="shared" si="207"/>
        <v>2680000</v>
      </c>
      <c r="Z481" s="63"/>
      <c r="AA481" s="63"/>
      <c r="AB481" s="63">
        <f t="shared" si="197"/>
        <v>4500000</v>
      </c>
      <c r="AC481" s="302"/>
      <c r="AD481" s="302"/>
      <c r="AE481" s="63"/>
      <c r="AF481" s="63"/>
      <c r="AG481" s="63"/>
      <c r="AH481" s="63"/>
      <c r="AJ481" s="63"/>
      <c r="AK481" s="63"/>
      <c r="AL481" s="63"/>
    </row>
    <row r="482" spans="2:38" x14ac:dyDescent="0.25">
      <c r="B482" s="42">
        <v>45801</v>
      </c>
      <c r="C482" s="38"/>
      <c r="D482" s="38">
        <f t="shared" si="201"/>
        <v>53330.149999999907</v>
      </c>
      <c r="E482" s="38"/>
      <c r="F482" s="38"/>
      <c r="G482" s="38">
        <f t="shared" si="202"/>
        <v>53330.149999999907</v>
      </c>
      <c r="H482" s="38">
        <f t="shared" si="203"/>
        <v>6290000</v>
      </c>
      <c r="I482" s="38"/>
      <c r="J482" s="38"/>
      <c r="K482" s="38"/>
      <c r="L482" s="38"/>
      <c r="M482" s="38"/>
      <c r="N482" s="38"/>
      <c r="O482" s="38">
        <f t="shared" ref="O482:R509" si="218">O481</f>
        <v>65000000</v>
      </c>
      <c r="P482" s="38">
        <f t="shared" ref="P482:R482" si="219">P481</f>
        <v>0</v>
      </c>
      <c r="Q482" s="38">
        <f t="shared" si="219"/>
        <v>0</v>
      </c>
      <c r="R482" s="38">
        <f t="shared" si="219"/>
        <v>0</v>
      </c>
      <c r="S482" s="78">
        <v>45801</v>
      </c>
      <c r="T482" s="63"/>
      <c r="U482" s="63">
        <f t="shared" si="205"/>
        <v>32134.059999999823</v>
      </c>
      <c r="V482" s="63"/>
      <c r="W482" s="63"/>
      <c r="X482" s="63">
        <f t="shared" si="206"/>
        <v>32134.059999999823</v>
      </c>
      <c r="Y482" s="63">
        <f t="shared" si="207"/>
        <v>2680000</v>
      </c>
      <c r="Z482" s="63"/>
      <c r="AA482" s="63"/>
      <c r="AB482" s="63">
        <f t="shared" si="197"/>
        <v>4500000</v>
      </c>
      <c r="AC482" s="302"/>
      <c r="AD482" s="302"/>
      <c r="AE482" s="63"/>
      <c r="AF482" s="63"/>
      <c r="AG482" s="63"/>
      <c r="AH482" s="63"/>
      <c r="AJ482" s="63"/>
      <c r="AK482" s="63"/>
      <c r="AL482" s="63"/>
    </row>
    <row r="483" spans="2:38" x14ac:dyDescent="0.25">
      <c r="B483" s="42">
        <v>45802</v>
      </c>
      <c r="C483" s="38"/>
      <c r="D483" s="38">
        <f t="shared" si="201"/>
        <v>53330.149999999907</v>
      </c>
      <c r="E483" s="56"/>
      <c r="F483" s="38"/>
      <c r="G483" s="38">
        <f t="shared" si="202"/>
        <v>53330.149999999907</v>
      </c>
      <c r="H483" s="38">
        <f t="shared" si="203"/>
        <v>6290000</v>
      </c>
      <c r="I483" s="38"/>
      <c r="J483" s="38"/>
      <c r="K483" s="38"/>
      <c r="L483" s="38"/>
      <c r="M483" s="38"/>
      <c r="N483" s="38"/>
      <c r="O483" s="38">
        <f t="shared" si="218"/>
        <v>65000000</v>
      </c>
      <c r="P483" s="38">
        <f t="shared" ref="P483:R483" si="220">P482</f>
        <v>0</v>
      </c>
      <c r="Q483" s="38">
        <f t="shared" si="220"/>
        <v>0</v>
      </c>
      <c r="R483" s="38">
        <f t="shared" si="220"/>
        <v>0</v>
      </c>
      <c r="S483" s="78">
        <v>45802</v>
      </c>
      <c r="T483" s="63"/>
      <c r="U483" s="63">
        <f t="shared" si="205"/>
        <v>32134.059999999823</v>
      </c>
      <c r="V483" s="63"/>
      <c r="W483" s="63"/>
      <c r="X483" s="63">
        <f t="shared" si="206"/>
        <v>32134.059999999823</v>
      </c>
      <c r="Y483" s="63">
        <f t="shared" si="207"/>
        <v>2680000</v>
      </c>
      <c r="Z483" s="63"/>
      <c r="AA483" s="63"/>
      <c r="AB483" s="63">
        <f t="shared" si="197"/>
        <v>4500000</v>
      </c>
      <c r="AC483" s="302"/>
      <c r="AD483" s="302"/>
      <c r="AE483" s="63"/>
      <c r="AF483" s="63"/>
      <c r="AG483" s="63"/>
      <c r="AH483" s="63"/>
      <c r="AJ483" s="63"/>
      <c r="AK483" s="63"/>
      <c r="AL483" s="63"/>
    </row>
    <row r="484" spans="2:38" x14ac:dyDescent="0.25">
      <c r="B484" s="42">
        <v>45803</v>
      </c>
      <c r="C484" s="38">
        <v>-407674.65</v>
      </c>
      <c r="D484" s="38">
        <f t="shared" si="201"/>
        <v>-354344.50000000012</v>
      </c>
      <c r="E484" s="83">
        <v>410000</v>
      </c>
      <c r="F484" s="38">
        <v>-6000</v>
      </c>
      <c r="G484" s="38">
        <f t="shared" si="202"/>
        <v>49655.499999999884</v>
      </c>
      <c r="H484" s="38">
        <f t="shared" si="203"/>
        <v>5880000</v>
      </c>
      <c r="I484" s="38"/>
      <c r="J484" s="38"/>
      <c r="K484" s="38"/>
      <c r="L484" s="38"/>
      <c r="M484" s="38"/>
      <c r="N484" s="38"/>
      <c r="O484" s="38">
        <f t="shared" si="218"/>
        <v>65000000</v>
      </c>
      <c r="P484" s="38">
        <f t="shared" ref="P484:R484" si="221">P483</f>
        <v>0</v>
      </c>
      <c r="Q484" s="38">
        <f t="shared" si="221"/>
        <v>0</v>
      </c>
      <c r="R484" s="38">
        <f t="shared" si="221"/>
        <v>0</v>
      </c>
      <c r="S484" s="78">
        <v>45803</v>
      </c>
      <c r="T484" s="63"/>
      <c r="U484" s="63">
        <f t="shared" si="205"/>
        <v>32134.059999999823</v>
      </c>
      <c r="V484" s="63"/>
      <c r="W484" s="63"/>
      <c r="X484" s="63">
        <f t="shared" si="206"/>
        <v>32134.059999999823</v>
      </c>
      <c r="Y484" s="63">
        <f t="shared" si="207"/>
        <v>2680000</v>
      </c>
      <c r="Z484" s="63"/>
      <c r="AA484" s="63"/>
      <c r="AB484" s="63">
        <f t="shared" si="197"/>
        <v>4500000</v>
      </c>
      <c r="AC484" s="302"/>
      <c r="AD484" s="302"/>
      <c r="AE484" s="63"/>
      <c r="AF484" s="63"/>
      <c r="AG484" s="63"/>
      <c r="AH484" s="63"/>
      <c r="AJ484" s="63"/>
      <c r="AK484" s="63"/>
      <c r="AL484" s="63"/>
    </row>
    <row r="485" spans="2:38" x14ac:dyDescent="0.25">
      <c r="B485" s="42">
        <v>45804</v>
      </c>
      <c r="C485" s="38"/>
      <c r="D485" s="38">
        <f t="shared" si="201"/>
        <v>49655.499999999884</v>
      </c>
      <c r="E485" s="38"/>
      <c r="F485" s="38"/>
      <c r="G485" s="38">
        <f t="shared" si="202"/>
        <v>49655.499999999884</v>
      </c>
      <c r="H485" s="38">
        <f t="shared" si="203"/>
        <v>5880000</v>
      </c>
      <c r="I485" s="38"/>
      <c r="J485" s="38"/>
      <c r="K485" s="38"/>
      <c r="L485" s="38"/>
      <c r="M485" s="38"/>
      <c r="N485" s="38"/>
      <c r="O485" s="38">
        <f t="shared" si="218"/>
        <v>65000000</v>
      </c>
      <c r="P485" s="38">
        <f t="shared" ref="P485:R485" si="222">P484</f>
        <v>0</v>
      </c>
      <c r="Q485" s="38">
        <f t="shared" si="222"/>
        <v>0</v>
      </c>
      <c r="R485" s="38">
        <f t="shared" si="222"/>
        <v>0</v>
      </c>
      <c r="S485" s="78">
        <v>45804</v>
      </c>
      <c r="T485" s="63"/>
      <c r="U485" s="63">
        <f t="shared" si="205"/>
        <v>32134.059999999823</v>
      </c>
      <c r="V485" s="63"/>
      <c r="W485" s="63"/>
      <c r="X485" s="63">
        <f t="shared" si="206"/>
        <v>32134.059999999823</v>
      </c>
      <c r="Y485" s="63">
        <f t="shared" si="207"/>
        <v>2680000</v>
      </c>
      <c r="Z485" s="63"/>
      <c r="AA485" s="63"/>
      <c r="AB485" s="63">
        <f t="shared" si="197"/>
        <v>4500000</v>
      </c>
      <c r="AC485" s="302"/>
      <c r="AD485" s="302"/>
      <c r="AE485" s="63"/>
      <c r="AF485" s="63"/>
      <c r="AG485" s="63"/>
      <c r="AH485" s="63"/>
      <c r="AJ485" s="63"/>
      <c r="AK485" s="63"/>
      <c r="AL485" s="63"/>
    </row>
    <row r="486" spans="2:38" x14ac:dyDescent="0.25">
      <c r="B486" s="42">
        <v>45805</v>
      </c>
      <c r="C486" s="38">
        <v>-279157.73</v>
      </c>
      <c r="D486" s="38">
        <f t="shared" si="201"/>
        <v>-229502.2300000001</v>
      </c>
      <c r="E486" s="83">
        <f>280000-830000</f>
        <v>-550000</v>
      </c>
      <c r="F486" s="38">
        <f>880928.73-50497.77</f>
        <v>830430.96</v>
      </c>
      <c r="G486" s="38">
        <f t="shared" si="202"/>
        <v>50928.729999999865</v>
      </c>
      <c r="H486" s="38">
        <f t="shared" si="203"/>
        <v>6430000</v>
      </c>
      <c r="I486" s="38"/>
      <c r="J486" s="38"/>
      <c r="K486" s="38"/>
      <c r="L486" s="38"/>
      <c r="M486" s="38"/>
      <c r="N486" s="38"/>
      <c r="O486" s="38">
        <f t="shared" si="218"/>
        <v>65000000</v>
      </c>
      <c r="P486" s="38">
        <f t="shared" ref="P486:R486" si="223">P485</f>
        <v>0</v>
      </c>
      <c r="Q486" s="38">
        <f t="shared" si="223"/>
        <v>0</v>
      </c>
      <c r="R486" s="38">
        <f t="shared" si="223"/>
        <v>0</v>
      </c>
      <c r="S486" s="78">
        <v>45805</v>
      </c>
      <c r="T486" s="63"/>
      <c r="U486" s="63">
        <f t="shared" si="205"/>
        <v>32134.059999999823</v>
      </c>
      <c r="V486" s="63"/>
      <c r="W486" s="63"/>
      <c r="X486" s="63">
        <f t="shared" si="206"/>
        <v>32134.059999999823</v>
      </c>
      <c r="Y486" s="63">
        <f t="shared" si="207"/>
        <v>2680000</v>
      </c>
      <c r="Z486" s="63"/>
      <c r="AA486" s="63"/>
      <c r="AB486" s="63">
        <f t="shared" si="197"/>
        <v>4500000</v>
      </c>
      <c r="AC486" s="302"/>
      <c r="AD486" s="302"/>
      <c r="AE486" s="63"/>
      <c r="AF486" s="63"/>
      <c r="AG486" s="63"/>
      <c r="AH486" s="63"/>
      <c r="AJ486" s="252">
        <v>1.1355999999999999</v>
      </c>
      <c r="AK486" s="316">
        <f>SUM(G486:O486)+SUM(X486:AB486)</f>
        <v>78693062.790000007</v>
      </c>
      <c r="AL486" s="316">
        <f>SUM(H486:P486)+SUM(Y486:AC486)</f>
        <v>78610000</v>
      </c>
    </row>
    <row r="487" spans="2:38" x14ac:dyDescent="0.25">
      <c r="B487" s="42">
        <v>45806</v>
      </c>
      <c r="C487" s="38"/>
      <c r="D487" s="38">
        <f t="shared" si="201"/>
        <v>50928.729999999865</v>
      </c>
      <c r="E487" s="38"/>
      <c r="F487" s="38"/>
      <c r="G487" s="38">
        <f t="shared" si="202"/>
        <v>50928.729999999865</v>
      </c>
      <c r="H487" s="38">
        <f t="shared" si="203"/>
        <v>6430000</v>
      </c>
      <c r="I487" s="38"/>
      <c r="J487" s="38"/>
      <c r="K487" s="38"/>
      <c r="L487" s="38"/>
      <c r="M487" s="38"/>
      <c r="N487" s="38"/>
      <c r="O487" s="38">
        <f t="shared" si="218"/>
        <v>65000000</v>
      </c>
      <c r="P487" s="38">
        <f t="shared" ref="P487:R487" si="224">P486</f>
        <v>0</v>
      </c>
      <c r="Q487" s="38">
        <f t="shared" si="224"/>
        <v>0</v>
      </c>
      <c r="R487" s="38">
        <f t="shared" si="224"/>
        <v>0</v>
      </c>
      <c r="S487" s="78">
        <v>45806</v>
      </c>
      <c r="T487" s="63"/>
      <c r="U487" s="63">
        <f t="shared" si="205"/>
        <v>32134.059999999823</v>
      </c>
      <c r="V487" s="63"/>
      <c r="W487" s="63"/>
      <c r="X487" s="63">
        <f t="shared" si="206"/>
        <v>32134.059999999823</v>
      </c>
      <c r="Y487" s="63">
        <f t="shared" si="207"/>
        <v>2680000</v>
      </c>
      <c r="Z487" s="63"/>
      <c r="AA487" s="63"/>
      <c r="AB487" s="63">
        <f t="shared" si="197"/>
        <v>4500000</v>
      </c>
      <c r="AC487" s="302"/>
      <c r="AD487" s="302"/>
      <c r="AE487" s="63"/>
      <c r="AF487" s="63"/>
      <c r="AG487" s="63"/>
      <c r="AH487" s="63"/>
      <c r="AJ487" s="63"/>
      <c r="AK487" s="316"/>
      <c r="AL487" s="316"/>
    </row>
    <row r="488" spans="2:38" x14ac:dyDescent="0.25">
      <c r="B488" s="42">
        <v>45807</v>
      </c>
      <c r="C488" s="38"/>
      <c r="D488" s="38">
        <f t="shared" si="201"/>
        <v>50928.729999999865</v>
      </c>
      <c r="E488" s="38"/>
      <c r="F488" s="38">
        <v>9534.8099999999977</v>
      </c>
      <c r="G488" s="38">
        <f t="shared" si="202"/>
        <v>60463.539999999863</v>
      </c>
      <c r="H488" s="38">
        <f t="shared" si="203"/>
        <v>6430000</v>
      </c>
      <c r="I488" s="38"/>
      <c r="J488" s="38"/>
      <c r="K488" s="38"/>
      <c r="L488" s="38"/>
      <c r="M488" s="38"/>
      <c r="N488" s="38"/>
      <c r="O488" s="38">
        <f t="shared" si="218"/>
        <v>65000000</v>
      </c>
      <c r="P488" s="38">
        <f t="shared" ref="P488:R488" si="225">P487</f>
        <v>0</v>
      </c>
      <c r="Q488" s="38">
        <f t="shared" si="225"/>
        <v>0</v>
      </c>
      <c r="R488" s="38">
        <f t="shared" si="225"/>
        <v>0</v>
      </c>
      <c r="S488" s="78">
        <v>45807</v>
      </c>
      <c r="T488" s="63"/>
      <c r="U488" s="63">
        <f t="shared" si="205"/>
        <v>110033.44</v>
      </c>
      <c r="V488" s="63"/>
      <c r="W488" s="63">
        <v>77899.380000000179</v>
      </c>
      <c r="X488" s="63">
        <f t="shared" si="206"/>
        <v>110033.44</v>
      </c>
      <c r="Y488" s="63">
        <f t="shared" si="207"/>
        <v>2680000</v>
      </c>
      <c r="Z488" s="63"/>
      <c r="AA488" s="63"/>
      <c r="AB488" s="63">
        <f t="shared" si="197"/>
        <v>4500000</v>
      </c>
      <c r="AC488" s="302"/>
      <c r="AD488" s="302"/>
      <c r="AE488" s="63"/>
      <c r="AF488" s="63"/>
      <c r="AG488" s="63"/>
      <c r="AH488" s="63"/>
      <c r="AJ488" s="63"/>
      <c r="AK488" s="316"/>
      <c r="AL488" s="316"/>
    </row>
    <row r="489" spans="2:38" x14ac:dyDescent="0.25">
      <c r="B489" s="42">
        <v>45808</v>
      </c>
      <c r="C489" s="38"/>
      <c r="D489" s="38">
        <f t="shared" si="201"/>
        <v>60463.539999999863</v>
      </c>
      <c r="E489" s="38"/>
      <c r="F489" s="38"/>
      <c r="G489" s="38">
        <f t="shared" si="202"/>
        <v>60463.539999999863</v>
      </c>
      <c r="H489" s="38">
        <f t="shared" si="203"/>
        <v>6430000</v>
      </c>
      <c r="I489" s="38"/>
      <c r="J489" s="38"/>
      <c r="K489" s="38"/>
      <c r="L489" s="38"/>
      <c r="M489" s="38"/>
      <c r="N489" s="38"/>
      <c r="O489" s="38">
        <f t="shared" si="218"/>
        <v>65000000</v>
      </c>
      <c r="P489" s="38">
        <f t="shared" ref="P489:R489" si="226">P488</f>
        <v>0</v>
      </c>
      <c r="Q489" s="38">
        <f t="shared" si="226"/>
        <v>0</v>
      </c>
      <c r="R489" s="38">
        <f t="shared" si="226"/>
        <v>0</v>
      </c>
      <c r="S489" s="78">
        <v>45808</v>
      </c>
      <c r="T489" s="63"/>
      <c r="U489" s="63">
        <f t="shared" si="205"/>
        <v>110033.44</v>
      </c>
      <c r="V489" s="63"/>
      <c r="W489" s="63"/>
      <c r="X489" s="63">
        <f t="shared" si="206"/>
        <v>110033.44</v>
      </c>
      <c r="Y489" s="63">
        <f t="shared" si="207"/>
        <v>2680000</v>
      </c>
      <c r="Z489" s="63"/>
      <c r="AA489" s="63"/>
      <c r="AB489" s="63">
        <f t="shared" si="197"/>
        <v>4500000</v>
      </c>
      <c r="AC489" s="302"/>
      <c r="AD489" s="302"/>
      <c r="AE489" s="63"/>
      <c r="AF489" s="63"/>
      <c r="AG489" s="63"/>
      <c r="AH489" s="63"/>
      <c r="AJ489" s="63"/>
      <c r="AK489" s="316"/>
      <c r="AL489" s="316"/>
    </row>
    <row r="490" spans="2:38" x14ac:dyDescent="0.25">
      <c r="B490" s="42">
        <v>45809</v>
      </c>
      <c r="C490" s="38"/>
      <c r="D490" s="38">
        <f t="shared" si="201"/>
        <v>60463.539999999863</v>
      </c>
      <c r="E490" s="38"/>
      <c r="F490" s="38"/>
      <c r="G490" s="38">
        <f t="shared" si="202"/>
        <v>60463.539999999863</v>
      </c>
      <c r="H490" s="38">
        <f t="shared" si="203"/>
        <v>6430000</v>
      </c>
      <c r="I490" s="38"/>
      <c r="J490" s="38"/>
      <c r="K490" s="38"/>
      <c r="L490" s="38"/>
      <c r="M490" s="38"/>
      <c r="N490" s="38"/>
      <c r="O490" s="38">
        <f t="shared" si="218"/>
        <v>65000000</v>
      </c>
      <c r="P490" s="38">
        <f t="shared" ref="P490:R490" si="227">P489</f>
        <v>0</v>
      </c>
      <c r="Q490" s="38">
        <f t="shared" si="227"/>
        <v>0</v>
      </c>
      <c r="R490" s="38">
        <f t="shared" si="227"/>
        <v>0</v>
      </c>
      <c r="S490" s="78">
        <v>45809</v>
      </c>
      <c r="T490" s="63"/>
      <c r="U490" s="63">
        <f t="shared" si="205"/>
        <v>110033.44</v>
      </c>
      <c r="V490" s="63"/>
      <c r="W490" s="63"/>
      <c r="X490" s="63">
        <f t="shared" si="206"/>
        <v>110033.44</v>
      </c>
      <c r="Y490" s="63">
        <f t="shared" si="207"/>
        <v>2680000</v>
      </c>
      <c r="Z490" s="63"/>
      <c r="AA490" s="63"/>
      <c r="AB490" s="63">
        <f t="shared" si="197"/>
        <v>4500000</v>
      </c>
      <c r="AC490" s="302"/>
      <c r="AD490" s="302"/>
      <c r="AE490" s="63"/>
      <c r="AF490" s="63"/>
      <c r="AG490" s="63"/>
      <c r="AH490" s="63"/>
      <c r="AJ490" s="63"/>
      <c r="AK490" s="316"/>
      <c r="AL490" s="316"/>
    </row>
    <row r="491" spans="2:38" x14ac:dyDescent="0.25">
      <c r="B491" s="42">
        <v>45810</v>
      </c>
      <c r="C491" s="38">
        <v>-2128992.7999999998</v>
      </c>
      <c r="D491" s="38">
        <f t="shared" si="201"/>
        <v>-2068529.26</v>
      </c>
      <c r="E491" s="105">
        <v>2120000</v>
      </c>
      <c r="F491" s="38"/>
      <c r="G491" s="38">
        <f t="shared" si="202"/>
        <v>51470.739999999991</v>
      </c>
      <c r="H491" s="38">
        <f t="shared" si="203"/>
        <v>4310000</v>
      </c>
      <c r="I491" s="38"/>
      <c r="J491" s="38"/>
      <c r="K491" s="38"/>
      <c r="L491" s="38"/>
      <c r="M491" s="38"/>
      <c r="N491" s="38"/>
      <c r="O491" s="38">
        <f t="shared" si="218"/>
        <v>65000000</v>
      </c>
      <c r="P491" s="38">
        <f t="shared" ref="P491:R491" si="228">P490</f>
        <v>0</v>
      </c>
      <c r="Q491" s="38">
        <f t="shared" si="228"/>
        <v>0</v>
      </c>
      <c r="R491" s="38">
        <f t="shared" si="228"/>
        <v>0</v>
      </c>
      <c r="S491" s="78">
        <v>45810</v>
      </c>
      <c r="T491" s="63"/>
      <c r="U491" s="63">
        <f t="shared" si="205"/>
        <v>110033.44</v>
      </c>
      <c r="V491" s="63"/>
      <c r="W491" s="63"/>
      <c r="X491" s="63">
        <f t="shared" si="206"/>
        <v>110033.44</v>
      </c>
      <c r="Y491" s="63">
        <f t="shared" si="207"/>
        <v>2680000</v>
      </c>
      <c r="Z491" s="63"/>
      <c r="AA491" s="63"/>
      <c r="AB491" s="63">
        <f t="shared" si="197"/>
        <v>4500000</v>
      </c>
      <c r="AC491" s="302"/>
      <c r="AD491" s="302"/>
      <c r="AE491" s="63"/>
      <c r="AF491" s="63"/>
      <c r="AG491" s="63"/>
      <c r="AH491" s="63"/>
      <c r="AJ491" s="63"/>
      <c r="AK491" s="316"/>
      <c r="AL491" s="316"/>
    </row>
    <row r="492" spans="2:38" x14ac:dyDescent="0.25">
      <c r="B492" s="42">
        <v>45811</v>
      </c>
      <c r="C492" s="38"/>
      <c r="D492" s="38">
        <f t="shared" si="201"/>
        <v>51470.739999999991</v>
      </c>
      <c r="E492" s="105">
        <v>-530000</v>
      </c>
      <c r="F492" s="38">
        <f>580000-G491</f>
        <v>528529.26</v>
      </c>
      <c r="G492" s="38">
        <f t="shared" si="202"/>
        <v>50000</v>
      </c>
      <c r="H492" s="38">
        <f t="shared" si="203"/>
        <v>4840000</v>
      </c>
      <c r="I492" s="38"/>
      <c r="J492" s="38"/>
      <c r="K492" s="38"/>
      <c r="L492" s="38"/>
      <c r="M492" s="38"/>
      <c r="N492" s="38"/>
      <c r="O492" s="38">
        <f t="shared" si="218"/>
        <v>65000000</v>
      </c>
      <c r="P492" s="38">
        <f t="shared" ref="P492:R492" si="229">P491</f>
        <v>0</v>
      </c>
      <c r="Q492" s="38">
        <f t="shared" si="229"/>
        <v>0</v>
      </c>
      <c r="R492" s="38">
        <f t="shared" si="229"/>
        <v>0</v>
      </c>
      <c r="S492" s="78">
        <v>45811</v>
      </c>
      <c r="T492" s="63"/>
      <c r="U492" s="63">
        <f t="shared" si="205"/>
        <v>110033.44</v>
      </c>
      <c r="V492" s="63"/>
      <c r="W492" s="63"/>
      <c r="X492" s="63">
        <f t="shared" si="206"/>
        <v>110033.44</v>
      </c>
      <c r="Y492" s="63">
        <f t="shared" si="207"/>
        <v>2680000</v>
      </c>
      <c r="Z492" s="63"/>
      <c r="AA492" s="63"/>
      <c r="AB492" s="63">
        <f t="shared" si="197"/>
        <v>4500000</v>
      </c>
      <c r="AC492" s="302"/>
      <c r="AD492" s="302"/>
      <c r="AE492" s="63"/>
      <c r="AF492" s="63"/>
      <c r="AG492" s="63"/>
      <c r="AH492" s="63"/>
      <c r="AJ492" s="63"/>
      <c r="AK492" s="316"/>
      <c r="AL492" s="316"/>
    </row>
    <row r="493" spans="2:38" x14ac:dyDescent="0.25">
      <c r="B493" s="42">
        <v>45812</v>
      </c>
      <c r="C493" s="38"/>
      <c r="D493" s="38">
        <f t="shared" si="201"/>
        <v>50000</v>
      </c>
      <c r="E493" s="38"/>
      <c r="F493" s="38"/>
      <c r="G493" s="38">
        <f t="shared" si="202"/>
        <v>50000</v>
      </c>
      <c r="H493" s="38">
        <f t="shared" si="203"/>
        <v>4840000</v>
      </c>
      <c r="I493" s="38"/>
      <c r="J493" s="38"/>
      <c r="K493" s="38"/>
      <c r="L493" s="38"/>
      <c r="M493" s="38"/>
      <c r="N493" s="38"/>
      <c r="O493" s="38">
        <f t="shared" si="218"/>
        <v>65000000</v>
      </c>
      <c r="P493" s="38">
        <f t="shared" ref="P493:R493" si="230">P492</f>
        <v>0</v>
      </c>
      <c r="Q493" s="38">
        <f t="shared" si="230"/>
        <v>0</v>
      </c>
      <c r="R493" s="38">
        <f t="shared" si="230"/>
        <v>0</v>
      </c>
      <c r="S493" s="78">
        <v>45812</v>
      </c>
      <c r="T493" s="63"/>
      <c r="U493" s="63">
        <f t="shared" si="205"/>
        <v>110033.44</v>
      </c>
      <c r="V493" s="63"/>
      <c r="W493" s="63"/>
      <c r="X493" s="63">
        <f t="shared" si="206"/>
        <v>110033.44</v>
      </c>
      <c r="Y493" s="63">
        <f t="shared" si="207"/>
        <v>2680000</v>
      </c>
      <c r="Z493" s="63"/>
      <c r="AA493" s="63"/>
      <c r="AB493" s="63">
        <f t="shared" si="197"/>
        <v>4500000</v>
      </c>
      <c r="AC493" s="302"/>
      <c r="AD493" s="302"/>
      <c r="AE493" s="63"/>
      <c r="AF493" s="63"/>
      <c r="AG493" s="63"/>
      <c r="AH493" s="63"/>
      <c r="AJ493" s="63"/>
      <c r="AK493" s="316"/>
      <c r="AL493" s="316"/>
    </row>
    <row r="494" spans="2:38" x14ac:dyDescent="0.25">
      <c r="B494" s="42">
        <v>45813</v>
      </c>
      <c r="C494" s="38"/>
      <c r="D494" s="38">
        <f t="shared" si="201"/>
        <v>50000</v>
      </c>
      <c r="E494" s="38"/>
      <c r="F494" s="38"/>
      <c r="G494" s="38">
        <f t="shared" si="202"/>
        <v>50000</v>
      </c>
      <c r="H494" s="38">
        <f t="shared" si="203"/>
        <v>4840000</v>
      </c>
      <c r="I494" s="38"/>
      <c r="J494" s="38"/>
      <c r="K494" s="38"/>
      <c r="L494" s="38"/>
      <c r="M494" s="38"/>
      <c r="N494" s="38"/>
      <c r="O494" s="38">
        <f t="shared" si="218"/>
        <v>65000000</v>
      </c>
      <c r="P494" s="38">
        <f t="shared" ref="P494:R494" si="231">P493</f>
        <v>0</v>
      </c>
      <c r="Q494" s="38">
        <f t="shared" si="231"/>
        <v>0</v>
      </c>
      <c r="R494" s="38">
        <f t="shared" si="231"/>
        <v>0</v>
      </c>
      <c r="S494" s="78">
        <v>45813</v>
      </c>
      <c r="T494" s="63"/>
      <c r="U494" s="63">
        <f t="shared" si="205"/>
        <v>110033.44</v>
      </c>
      <c r="V494" s="63"/>
      <c r="W494" s="63"/>
      <c r="X494" s="63">
        <f t="shared" si="206"/>
        <v>110033.44</v>
      </c>
      <c r="Y494" s="63">
        <f t="shared" si="207"/>
        <v>2680000</v>
      </c>
      <c r="Z494" s="63"/>
      <c r="AA494" s="63"/>
      <c r="AB494" s="63">
        <f t="shared" si="197"/>
        <v>4500000</v>
      </c>
      <c r="AC494" s="302"/>
      <c r="AD494" s="302"/>
      <c r="AE494" s="63"/>
      <c r="AF494" s="63"/>
      <c r="AG494" s="63"/>
      <c r="AH494" s="63"/>
      <c r="AJ494" s="63"/>
      <c r="AK494" s="316"/>
      <c r="AL494" s="316"/>
    </row>
    <row r="495" spans="2:38" x14ac:dyDescent="0.25">
      <c r="B495" s="42">
        <v>45814</v>
      </c>
      <c r="C495" s="38"/>
      <c r="D495" s="38">
        <f t="shared" si="201"/>
        <v>50000</v>
      </c>
      <c r="E495" s="38"/>
      <c r="F495" s="38"/>
      <c r="G495" s="38">
        <f t="shared" si="202"/>
        <v>50000</v>
      </c>
      <c r="H495" s="38">
        <f t="shared" si="203"/>
        <v>4840000</v>
      </c>
      <c r="I495" s="38"/>
      <c r="J495" s="38"/>
      <c r="K495" s="38"/>
      <c r="L495" s="38"/>
      <c r="M495" s="38"/>
      <c r="N495" s="38"/>
      <c r="O495" s="38">
        <f t="shared" si="218"/>
        <v>65000000</v>
      </c>
      <c r="P495" s="38">
        <f t="shared" ref="P495:R495" si="232">P494</f>
        <v>0</v>
      </c>
      <c r="Q495" s="38">
        <f t="shared" si="232"/>
        <v>0</v>
      </c>
      <c r="R495" s="38">
        <f t="shared" si="232"/>
        <v>0</v>
      </c>
      <c r="S495" s="78">
        <v>45814</v>
      </c>
      <c r="T495" s="63"/>
      <c r="U495" s="63">
        <f t="shared" si="205"/>
        <v>110033.44</v>
      </c>
      <c r="V495" s="63"/>
      <c r="W495" s="63"/>
      <c r="X495" s="63">
        <f t="shared" si="206"/>
        <v>110033.44</v>
      </c>
      <c r="Y495" s="63">
        <f t="shared" si="207"/>
        <v>2680000</v>
      </c>
      <c r="Z495" s="63"/>
      <c r="AA495" s="63"/>
      <c r="AB495" s="63">
        <f t="shared" si="197"/>
        <v>4500000</v>
      </c>
      <c r="AC495" s="302"/>
      <c r="AD495" s="302"/>
      <c r="AE495" s="63"/>
      <c r="AF495" s="63"/>
      <c r="AG495" s="63"/>
      <c r="AH495" s="63"/>
      <c r="AJ495" s="63"/>
      <c r="AK495" s="316"/>
      <c r="AL495" s="316"/>
    </row>
    <row r="496" spans="2:38" x14ac:dyDescent="0.25">
      <c r="B496" s="42">
        <v>45815</v>
      </c>
      <c r="C496" s="38"/>
      <c r="D496" s="38">
        <f t="shared" si="201"/>
        <v>50000</v>
      </c>
      <c r="E496" s="38"/>
      <c r="F496" s="38"/>
      <c r="G496" s="38">
        <f t="shared" si="202"/>
        <v>50000</v>
      </c>
      <c r="H496" s="38">
        <f t="shared" si="203"/>
        <v>4840000</v>
      </c>
      <c r="I496" s="38"/>
      <c r="J496" s="38"/>
      <c r="K496" s="38"/>
      <c r="L496" s="38"/>
      <c r="M496" s="38"/>
      <c r="N496" s="38"/>
      <c r="O496" s="38">
        <f t="shared" si="218"/>
        <v>65000000</v>
      </c>
      <c r="P496" s="38">
        <f t="shared" ref="P496:R496" si="233">P495</f>
        <v>0</v>
      </c>
      <c r="Q496" s="38">
        <f t="shared" si="233"/>
        <v>0</v>
      </c>
      <c r="R496" s="38">
        <f t="shared" si="233"/>
        <v>0</v>
      </c>
      <c r="S496" s="78">
        <v>45815</v>
      </c>
      <c r="T496" s="63"/>
      <c r="U496" s="63">
        <f t="shared" si="205"/>
        <v>110033.44</v>
      </c>
      <c r="V496" s="63"/>
      <c r="W496" s="63"/>
      <c r="X496" s="63">
        <f t="shared" si="206"/>
        <v>110033.44</v>
      </c>
      <c r="Y496" s="63">
        <f t="shared" si="207"/>
        <v>2680000</v>
      </c>
      <c r="Z496" s="63"/>
      <c r="AA496" s="63"/>
      <c r="AB496" s="63">
        <f t="shared" si="197"/>
        <v>4500000</v>
      </c>
      <c r="AC496" s="302"/>
      <c r="AD496" s="302"/>
      <c r="AE496" s="63"/>
      <c r="AF496" s="63"/>
      <c r="AG496" s="63"/>
      <c r="AH496" s="63"/>
      <c r="AJ496" s="63"/>
      <c r="AK496" s="316"/>
      <c r="AL496" s="316"/>
    </row>
    <row r="497" spans="1:38" x14ac:dyDescent="0.25">
      <c r="B497" s="42">
        <v>45816</v>
      </c>
      <c r="C497" s="38"/>
      <c r="D497" s="38">
        <f t="shared" si="201"/>
        <v>50000</v>
      </c>
      <c r="E497" s="38"/>
      <c r="F497" s="38"/>
      <c r="G497" s="38">
        <f t="shared" si="202"/>
        <v>50000</v>
      </c>
      <c r="H497" s="38">
        <f t="shared" si="203"/>
        <v>4840000</v>
      </c>
      <c r="I497" s="38"/>
      <c r="J497" s="38"/>
      <c r="K497" s="38"/>
      <c r="L497" s="38"/>
      <c r="M497" s="38"/>
      <c r="N497" s="38"/>
      <c r="O497" s="38">
        <f t="shared" si="218"/>
        <v>65000000</v>
      </c>
      <c r="P497" s="38">
        <f t="shared" ref="P497:R497" si="234">P496</f>
        <v>0</v>
      </c>
      <c r="Q497" s="38">
        <f t="shared" si="234"/>
        <v>0</v>
      </c>
      <c r="R497" s="38">
        <f t="shared" si="234"/>
        <v>0</v>
      </c>
      <c r="S497" s="78">
        <v>45816</v>
      </c>
      <c r="T497" s="63"/>
      <c r="U497" s="63">
        <f t="shared" si="205"/>
        <v>110033.44</v>
      </c>
      <c r="V497" s="63"/>
      <c r="W497" s="63"/>
      <c r="X497" s="63">
        <f t="shared" si="206"/>
        <v>110033.44</v>
      </c>
      <c r="Y497" s="63">
        <f t="shared" si="207"/>
        <v>2680000</v>
      </c>
      <c r="Z497" s="63"/>
      <c r="AA497" s="63"/>
      <c r="AB497" s="63">
        <f t="shared" si="197"/>
        <v>4500000</v>
      </c>
      <c r="AC497" s="302"/>
      <c r="AD497" s="302"/>
      <c r="AE497" s="63"/>
      <c r="AF497" s="63"/>
      <c r="AG497" s="63"/>
      <c r="AH497" s="63"/>
      <c r="AJ497" s="63"/>
      <c r="AK497" s="316"/>
      <c r="AL497" s="316"/>
    </row>
    <row r="498" spans="1:38" x14ac:dyDescent="0.25">
      <c r="A498" s="45" t="s">
        <v>105</v>
      </c>
      <c r="B498" s="42">
        <v>45817</v>
      </c>
      <c r="C498" s="38"/>
      <c r="D498" s="38">
        <f t="shared" si="201"/>
        <v>50000</v>
      </c>
      <c r="E498" s="38"/>
      <c r="F498" s="38"/>
      <c r="G498" s="38">
        <f t="shared" si="202"/>
        <v>50000</v>
      </c>
      <c r="H498" s="38">
        <f t="shared" si="203"/>
        <v>4840000</v>
      </c>
      <c r="I498" s="38"/>
      <c r="J498" s="38"/>
      <c r="K498" s="38"/>
      <c r="L498" s="38"/>
      <c r="M498" s="38"/>
      <c r="N498" s="38"/>
      <c r="O498" s="38">
        <f t="shared" si="218"/>
        <v>65000000</v>
      </c>
      <c r="P498" s="38">
        <f t="shared" ref="P498:R498" si="235">P497</f>
        <v>0</v>
      </c>
      <c r="Q498" s="38">
        <f t="shared" si="235"/>
        <v>0</v>
      </c>
      <c r="R498" s="38">
        <f t="shared" si="235"/>
        <v>0</v>
      </c>
      <c r="S498" s="78">
        <v>45817</v>
      </c>
      <c r="T498" s="63"/>
      <c r="U498" s="63">
        <f t="shared" si="205"/>
        <v>110033.44</v>
      </c>
      <c r="V498" s="63"/>
      <c r="W498" s="63"/>
      <c r="X498" s="63">
        <f t="shared" si="206"/>
        <v>110033.44</v>
      </c>
      <c r="Y498" s="63">
        <f t="shared" si="207"/>
        <v>2680000</v>
      </c>
      <c r="Z498" s="63"/>
      <c r="AA498" s="63"/>
      <c r="AB498" s="63">
        <f t="shared" si="197"/>
        <v>4500000</v>
      </c>
      <c r="AC498" s="302"/>
      <c r="AD498" s="302"/>
      <c r="AE498" s="63"/>
      <c r="AF498" s="63"/>
      <c r="AG498" s="63"/>
      <c r="AH498" s="63"/>
      <c r="AJ498" s="63"/>
      <c r="AK498" s="316"/>
      <c r="AL498" s="316"/>
    </row>
    <row r="499" spans="1:38" x14ac:dyDescent="0.25">
      <c r="B499" s="42">
        <v>45818</v>
      </c>
      <c r="C499" s="38"/>
      <c r="D499" s="38">
        <f t="shared" si="201"/>
        <v>50000</v>
      </c>
      <c r="E499" s="38"/>
      <c r="F499" s="38"/>
      <c r="G499" s="38">
        <f t="shared" si="202"/>
        <v>50000</v>
      </c>
      <c r="H499" s="38">
        <f t="shared" si="203"/>
        <v>4840000</v>
      </c>
      <c r="I499" s="38"/>
      <c r="J499" s="38"/>
      <c r="K499" s="38"/>
      <c r="L499" s="38"/>
      <c r="M499" s="38"/>
      <c r="N499" s="38"/>
      <c r="O499" s="38">
        <f t="shared" si="218"/>
        <v>65000000</v>
      </c>
      <c r="P499" s="38">
        <f t="shared" ref="P499:R499" si="236">P498</f>
        <v>0</v>
      </c>
      <c r="Q499" s="38">
        <f t="shared" si="236"/>
        <v>0</v>
      </c>
      <c r="R499" s="38">
        <f t="shared" si="236"/>
        <v>0</v>
      </c>
      <c r="S499" s="78">
        <v>45818</v>
      </c>
      <c r="T499" s="63"/>
      <c r="U499" s="63">
        <f t="shared" si="205"/>
        <v>110033.44</v>
      </c>
      <c r="V499" s="63"/>
      <c r="W499" s="63"/>
      <c r="X499" s="63">
        <f t="shared" si="206"/>
        <v>110033.44</v>
      </c>
      <c r="Y499" s="63">
        <f t="shared" si="207"/>
        <v>2680000</v>
      </c>
      <c r="Z499" s="63"/>
      <c r="AA499" s="63"/>
      <c r="AB499" s="63">
        <f t="shared" si="197"/>
        <v>4500000</v>
      </c>
      <c r="AC499" s="302"/>
      <c r="AD499" s="302"/>
      <c r="AE499" s="63"/>
      <c r="AF499" s="63"/>
      <c r="AG499" s="63"/>
      <c r="AH499" s="63"/>
      <c r="AJ499" s="63"/>
      <c r="AK499" s="316"/>
      <c r="AL499" s="316"/>
    </row>
    <row r="500" spans="1:38" x14ac:dyDescent="0.25">
      <c r="B500" s="42">
        <v>45819</v>
      </c>
      <c r="C500" s="38">
        <f>25000000-1293249.7-17434632.33</f>
        <v>6272117.9700000025</v>
      </c>
      <c r="D500" s="38">
        <f t="shared" si="201"/>
        <v>6322117.9700000025</v>
      </c>
      <c r="E500" s="83">
        <v>-6270000</v>
      </c>
      <c r="F500" s="38"/>
      <c r="G500" s="38">
        <f t="shared" si="202"/>
        <v>52117.970000002533</v>
      </c>
      <c r="H500" s="38">
        <f t="shared" si="203"/>
        <v>11110000</v>
      </c>
      <c r="I500" s="38"/>
      <c r="J500" s="38"/>
      <c r="K500" s="38"/>
      <c r="L500" s="38"/>
      <c r="M500" s="38"/>
      <c r="N500" s="38"/>
      <c r="O500" s="114">
        <f>O499-24837214.04</f>
        <v>40162785.960000001</v>
      </c>
      <c r="P500" s="38">
        <f t="shared" ref="P500:R500" si="237">P499</f>
        <v>0</v>
      </c>
      <c r="Q500" s="38">
        <f t="shared" si="237"/>
        <v>0</v>
      </c>
      <c r="R500" s="38">
        <f t="shared" si="237"/>
        <v>0</v>
      </c>
      <c r="S500" s="78">
        <v>45819</v>
      </c>
      <c r="T500" s="63"/>
      <c r="U500" s="63">
        <f t="shared" si="205"/>
        <v>85935</v>
      </c>
      <c r="V500" s="63"/>
      <c r="W500" s="63">
        <f>-(110033.44-85935)</f>
        <v>-24098.440000000002</v>
      </c>
      <c r="X500" s="63">
        <f t="shared" si="206"/>
        <v>85935</v>
      </c>
      <c r="Y500" s="63">
        <f t="shared" si="207"/>
        <v>2680000</v>
      </c>
      <c r="Z500" s="63"/>
      <c r="AA500" s="63"/>
      <c r="AB500" s="63">
        <f t="shared" si="197"/>
        <v>4500000</v>
      </c>
      <c r="AC500" s="302"/>
      <c r="AD500" s="302"/>
      <c r="AE500" s="63"/>
      <c r="AF500" s="63"/>
      <c r="AG500" s="63"/>
      <c r="AH500" s="63"/>
      <c r="AJ500" s="63"/>
      <c r="AK500" s="316"/>
      <c r="AL500" s="316"/>
    </row>
    <row r="501" spans="1:38" x14ac:dyDescent="0.25">
      <c r="B501" s="42">
        <v>45820</v>
      </c>
      <c r="C501" s="38">
        <v>-1339254.48</v>
      </c>
      <c r="D501" s="38">
        <f t="shared" si="201"/>
        <v>-1287136.5099999974</v>
      </c>
      <c r="E501" s="83">
        <v>1340000</v>
      </c>
      <c r="F501" s="38"/>
      <c r="G501" s="38">
        <f t="shared" si="202"/>
        <v>52863.490000002552</v>
      </c>
      <c r="H501" s="38">
        <f t="shared" si="203"/>
        <v>9770000</v>
      </c>
      <c r="I501" s="38"/>
      <c r="J501" s="38"/>
      <c r="K501" s="38"/>
      <c r="L501" s="38"/>
      <c r="M501" s="38"/>
      <c r="N501" s="38"/>
      <c r="O501" s="38">
        <f t="shared" si="218"/>
        <v>40162785.960000001</v>
      </c>
      <c r="P501" s="38">
        <f t="shared" ref="P501:R501" si="238">P500</f>
        <v>0</v>
      </c>
      <c r="Q501" s="38">
        <f t="shared" si="238"/>
        <v>0</v>
      </c>
      <c r="R501" s="38">
        <f t="shared" si="238"/>
        <v>0</v>
      </c>
      <c r="S501" s="78">
        <v>45820</v>
      </c>
      <c r="T501" s="63">
        <f>-574156.91-41300</f>
        <v>-615456.91</v>
      </c>
      <c r="U501" s="63">
        <f t="shared" si="205"/>
        <v>-529521.91</v>
      </c>
      <c r="V501" s="84">
        <v>560000</v>
      </c>
      <c r="W501" s="63"/>
      <c r="X501" s="63">
        <f t="shared" si="206"/>
        <v>30478.089999999967</v>
      </c>
      <c r="Y501" s="63">
        <f t="shared" si="207"/>
        <v>2120000</v>
      </c>
      <c r="Z501" s="63"/>
      <c r="AA501" s="63"/>
      <c r="AB501" s="63">
        <f t="shared" si="197"/>
        <v>4500000</v>
      </c>
      <c r="AC501" s="302"/>
      <c r="AD501" s="302"/>
      <c r="AE501" s="63"/>
      <c r="AF501" s="63"/>
      <c r="AG501" s="63"/>
      <c r="AH501" s="63"/>
      <c r="AJ501" s="63"/>
      <c r="AK501" s="316"/>
      <c r="AL501" s="316"/>
    </row>
    <row r="502" spans="1:38" x14ac:dyDescent="0.25">
      <c r="B502" s="42">
        <v>45821</v>
      </c>
      <c r="C502" s="38"/>
      <c r="D502" s="38">
        <f t="shared" si="201"/>
        <v>52863.490000002552</v>
      </c>
      <c r="E502" s="38"/>
      <c r="F502" s="38"/>
      <c r="G502" s="38">
        <f t="shared" si="202"/>
        <v>52863.490000002552</v>
      </c>
      <c r="H502" s="38">
        <f t="shared" si="203"/>
        <v>9770000</v>
      </c>
      <c r="I502" s="38"/>
      <c r="J502" s="38"/>
      <c r="K502" s="38"/>
      <c r="L502" s="38"/>
      <c r="M502" s="38"/>
      <c r="N502" s="38"/>
      <c r="O502" s="38">
        <f t="shared" si="218"/>
        <v>40162785.960000001</v>
      </c>
      <c r="P502" s="38">
        <f t="shared" ref="P502:R502" si="239">P501</f>
        <v>0</v>
      </c>
      <c r="Q502" s="38">
        <f t="shared" si="239"/>
        <v>0</v>
      </c>
      <c r="R502" s="38">
        <f t="shared" si="239"/>
        <v>0</v>
      </c>
      <c r="S502" s="78">
        <v>45821</v>
      </c>
      <c r="T502" s="63"/>
      <c r="U502" s="63">
        <f t="shared" si="205"/>
        <v>30478.089999999967</v>
      </c>
      <c r="V502" s="63"/>
      <c r="W502" s="63"/>
      <c r="X502" s="63">
        <f t="shared" si="206"/>
        <v>30478.089999999967</v>
      </c>
      <c r="Y502" s="63">
        <f t="shared" si="207"/>
        <v>2120000</v>
      </c>
      <c r="Z502" s="63"/>
      <c r="AA502" s="63"/>
      <c r="AB502" s="63">
        <f t="shared" si="197"/>
        <v>4500000</v>
      </c>
      <c r="AC502" s="302"/>
      <c r="AD502" s="302"/>
      <c r="AE502" s="63"/>
      <c r="AF502" s="63"/>
      <c r="AG502" s="63"/>
      <c r="AH502" s="63"/>
      <c r="AJ502" s="63"/>
      <c r="AK502" s="316"/>
      <c r="AL502" s="316"/>
    </row>
    <row r="503" spans="1:38" x14ac:dyDescent="0.25">
      <c r="B503" s="42">
        <v>45822</v>
      </c>
      <c r="C503" s="38"/>
      <c r="D503" s="38">
        <f t="shared" si="201"/>
        <v>52863.490000002552</v>
      </c>
      <c r="E503" s="38"/>
      <c r="F503" s="38"/>
      <c r="G503" s="38">
        <f t="shared" si="202"/>
        <v>52863.490000002552</v>
      </c>
      <c r="H503" s="38">
        <f t="shared" si="203"/>
        <v>9770000</v>
      </c>
      <c r="I503" s="38"/>
      <c r="J503" s="38"/>
      <c r="K503" s="38"/>
      <c r="L503" s="38"/>
      <c r="M503" s="38"/>
      <c r="N503" s="38"/>
      <c r="O503" s="38">
        <f t="shared" si="218"/>
        <v>40162785.960000001</v>
      </c>
      <c r="P503" s="38">
        <f t="shared" ref="P503:R503" si="240">P502</f>
        <v>0</v>
      </c>
      <c r="Q503" s="38">
        <f t="shared" si="240"/>
        <v>0</v>
      </c>
      <c r="R503" s="38">
        <f t="shared" si="240"/>
        <v>0</v>
      </c>
      <c r="S503" s="78">
        <v>45822</v>
      </c>
      <c r="T503" s="63"/>
      <c r="U503" s="63">
        <f t="shared" si="205"/>
        <v>30478.089999999967</v>
      </c>
      <c r="V503" s="63"/>
      <c r="W503" s="63"/>
      <c r="X503" s="63">
        <f t="shared" si="206"/>
        <v>30478.089999999967</v>
      </c>
      <c r="Y503" s="63">
        <f t="shared" si="207"/>
        <v>2120000</v>
      </c>
      <c r="Z503" s="63"/>
      <c r="AA503" s="63"/>
      <c r="AB503" s="63">
        <f t="shared" si="197"/>
        <v>4500000</v>
      </c>
      <c r="AC503" s="302"/>
      <c r="AD503" s="302"/>
      <c r="AE503" s="63"/>
      <c r="AF503" s="63"/>
      <c r="AG503" s="63"/>
      <c r="AH503" s="63"/>
      <c r="AJ503" s="63"/>
      <c r="AK503" s="316"/>
      <c r="AL503" s="316"/>
    </row>
    <row r="504" spans="1:38" x14ac:dyDescent="0.25">
      <c r="B504" s="42">
        <v>45823</v>
      </c>
      <c r="C504" s="38"/>
      <c r="D504" s="38">
        <f t="shared" si="201"/>
        <v>52863.490000002552</v>
      </c>
      <c r="E504" s="38"/>
      <c r="F504" s="38">
        <f>28780.64-52863.49</f>
        <v>-24082.85</v>
      </c>
      <c r="G504" s="38">
        <f t="shared" si="202"/>
        <v>28780.640000002553</v>
      </c>
      <c r="H504" s="38">
        <f t="shared" si="203"/>
        <v>9770000</v>
      </c>
      <c r="I504" s="38"/>
      <c r="J504" s="38"/>
      <c r="K504" s="38"/>
      <c r="L504" s="38"/>
      <c r="M504" s="38"/>
      <c r="N504" s="38"/>
      <c r="O504" s="38">
        <f t="shared" si="218"/>
        <v>40162785.960000001</v>
      </c>
      <c r="P504" s="38">
        <f t="shared" ref="P504:R504" si="241">P503</f>
        <v>0</v>
      </c>
      <c r="Q504" s="38">
        <f t="shared" si="241"/>
        <v>0</v>
      </c>
      <c r="R504" s="38">
        <f t="shared" si="241"/>
        <v>0</v>
      </c>
      <c r="S504" s="78">
        <v>45823</v>
      </c>
      <c r="T504" s="63"/>
      <c r="U504" s="63">
        <f t="shared" si="205"/>
        <v>30478.089999999967</v>
      </c>
      <c r="V504" s="63"/>
      <c r="W504" s="63"/>
      <c r="X504" s="63">
        <f t="shared" si="206"/>
        <v>30478.089999999967</v>
      </c>
      <c r="Y504" s="63">
        <f t="shared" si="207"/>
        <v>2120000</v>
      </c>
      <c r="Z504" s="63"/>
      <c r="AA504" s="63"/>
      <c r="AB504" s="63">
        <f t="shared" si="197"/>
        <v>4500000</v>
      </c>
      <c r="AC504" s="302"/>
      <c r="AD504" s="302"/>
      <c r="AE504" s="63"/>
      <c r="AF504" s="63"/>
      <c r="AG504" s="63"/>
      <c r="AH504" s="63"/>
      <c r="AJ504" s="63"/>
      <c r="AK504" s="316"/>
      <c r="AL504" s="316"/>
    </row>
    <row r="505" spans="1:38" x14ac:dyDescent="0.25">
      <c r="B505" s="42">
        <v>45824</v>
      </c>
      <c r="C505" s="38">
        <v>-173191.4</v>
      </c>
      <c r="D505" s="38">
        <f t="shared" si="201"/>
        <v>-144410.75999999745</v>
      </c>
      <c r="E505" s="83">
        <v>200000</v>
      </c>
      <c r="F505" s="38"/>
      <c r="G505" s="38">
        <f t="shared" si="202"/>
        <v>55589.240000002552</v>
      </c>
      <c r="H505" s="38">
        <f t="shared" si="203"/>
        <v>9570000</v>
      </c>
      <c r="I505" s="38"/>
      <c r="J505" s="38"/>
      <c r="K505" s="38"/>
      <c r="L505" s="38"/>
      <c r="M505" s="38"/>
      <c r="N505" s="38"/>
      <c r="O505" s="38">
        <f t="shared" si="218"/>
        <v>40162785.960000001</v>
      </c>
      <c r="P505" s="38">
        <f t="shared" ref="P505:R505" si="242">P504</f>
        <v>0</v>
      </c>
      <c r="Q505" s="38">
        <f t="shared" si="242"/>
        <v>0</v>
      </c>
      <c r="R505" s="38">
        <f t="shared" si="242"/>
        <v>0</v>
      </c>
      <c r="S505" s="78">
        <v>45824</v>
      </c>
      <c r="T505" s="63"/>
      <c r="U505" s="63">
        <f t="shared" si="205"/>
        <v>30478.089999999967</v>
      </c>
      <c r="V505" s="63"/>
      <c r="W505" s="63"/>
      <c r="X505" s="63">
        <f t="shared" si="206"/>
        <v>30478.089999999967</v>
      </c>
      <c r="Y505" s="63">
        <f t="shared" si="207"/>
        <v>2120000</v>
      </c>
      <c r="Z505" s="63"/>
      <c r="AA505" s="63"/>
      <c r="AB505" s="63">
        <f t="shared" si="197"/>
        <v>4500000</v>
      </c>
      <c r="AC505" s="302"/>
      <c r="AD505" s="302"/>
      <c r="AE505" s="63"/>
      <c r="AF505" s="63"/>
      <c r="AG505" s="63"/>
      <c r="AH505" s="63"/>
      <c r="AJ505" s="63"/>
      <c r="AK505" s="316"/>
      <c r="AL505" s="316"/>
    </row>
    <row r="506" spans="1:38" x14ac:dyDescent="0.25">
      <c r="B506" s="42">
        <v>45825</v>
      </c>
      <c r="C506" s="38"/>
      <c r="D506" s="38">
        <f t="shared" si="201"/>
        <v>55589.240000002552</v>
      </c>
      <c r="E506" s="38"/>
      <c r="F506" s="38"/>
      <c r="G506" s="38">
        <f t="shared" si="202"/>
        <v>55589.240000002552</v>
      </c>
      <c r="H506" s="38">
        <f t="shared" si="203"/>
        <v>9570000</v>
      </c>
      <c r="I506" s="38"/>
      <c r="J506" s="38"/>
      <c r="K506" s="38"/>
      <c r="L506" s="38"/>
      <c r="M506" s="38"/>
      <c r="N506" s="38"/>
      <c r="O506" s="38">
        <f t="shared" si="218"/>
        <v>40162785.960000001</v>
      </c>
      <c r="P506" s="38">
        <f t="shared" ref="P506:R506" si="243">P505</f>
        <v>0</v>
      </c>
      <c r="Q506" s="38">
        <f t="shared" si="243"/>
        <v>0</v>
      </c>
      <c r="R506" s="38">
        <f t="shared" si="243"/>
        <v>0</v>
      </c>
      <c r="S506" s="78">
        <v>45825</v>
      </c>
      <c r="T506" s="63"/>
      <c r="U506" s="63">
        <f t="shared" si="205"/>
        <v>30478.089999999967</v>
      </c>
      <c r="V506" s="63"/>
      <c r="W506" s="63"/>
      <c r="X506" s="63">
        <f t="shared" si="206"/>
        <v>30478.089999999967</v>
      </c>
      <c r="Y506" s="63">
        <f t="shared" si="207"/>
        <v>2120000</v>
      </c>
      <c r="Z506" s="63"/>
      <c r="AA506" s="63"/>
      <c r="AB506" s="63">
        <f t="shared" si="197"/>
        <v>4500000</v>
      </c>
      <c r="AC506" s="302"/>
      <c r="AD506" s="302"/>
      <c r="AE506" s="63"/>
      <c r="AF506" s="63"/>
      <c r="AG506" s="63"/>
      <c r="AH506" s="63"/>
      <c r="AJ506" s="63"/>
      <c r="AK506" s="316"/>
      <c r="AL506" s="316"/>
    </row>
    <row r="507" spans="1:38" x14ac:dyDescent="0.25">
      <c r="B507" s="42">
        <v>45826</v>
      </c>
      <c r="C507" s="38">
        <v>5638974</v>
      </c>
      <c r="D507" s="38">
        <f t="shared" si="201"/>
        <v>5694563.2400000021</v>
      </c>
      <c r="E507" s="83">
        <v>-5640000</v>
      </c>
      <c r="F507" s="38"/>
      <c r="G507" s="38">
        <f t="shared" si="202"/>
        <v>54563.240000002086</v>
      </c>
      <c r="H507" s="38">
        <f t="shared" si="203"/>
        <v>15210000</v>
      </c>
      <c r="I507" s="38"/>
      <c r="J507" s="38"/>
      <c r="K507" s="38"/>
      <c r="L507" s="38"/>
      <c r="M507" s="38"/>
      <c r="N507" s="38"/>
      <c r="O507" s="38">
        <f t="shared" si="218"/>
        <v>40162785.960000001</v>
      </c>
      <c r="P507" s="38">
        <f t="shared" ref="P507:R507" si="244">P506</f>
        <v>0</v>
      </c>
      <c r="Q507" s="38">
        <f t="shared" si="244"/>
        <v>0</v>
      </c>
      <c r="R507" s="38">
        <f t="shared" si="244"/>
        <v>0</v>
      </c>
      <c r="S507" s="78">
        <v>45826</v>
      </c>
      <c r="T507" s="63"/>
      <c r="U507" s="63">
        <f t="shared" si="205"/>
        <v>30478.089999999967</v>
      </c>
      <c r="V507" s="63"/>
      <c r="W507" s="63"/>
      <c r="X507" s="63">
        <f t="shared" si="206"/>
        <v>30478.089999999967</v>
      </c>
      <c r="Y507" s="63">
        <f t="shared" si="207"/>
        <v>2120000</v>
      </c>
      <c r="Z507" s="63"/>
      <c r="AA507" s="63"/>
      <c r="AB507" s="63">
        <f t="shared" si="197"/>
        <v>4500000</v>
      </c>
      <c r="AC507" s="302"/>
      <c r="AD507" s="302"/>
      <c r="AE507" s="63"/>
      <c r="AF507" s="63"/>
      <c r="AG507" s="63"/>
      <c r="AH507" s="63"/>
      <c r="AJ507" s="63"/>
      <c r="AK507" s="316"/>
      <c r="AL507" s="316"/>
    </row>
    <row r="508" spans="1:38" x14ac:dyDescent="0.25">
      <c r="B508" s="42">
        <v>45827</v>
      </c>
      <c r="C508" s="38"/>
      <c r="D508" s="38">
        <f t="shared" si="201"/>
        <v>54563.240000002086</v>
      </c>
      <c r="E508" s="38"/>
      <c r="F508" s="38"/>
      <c r="G508" s="38">
        <f t="shared" si="202"/>
        <v>54563.240000002086</v>
      </c>
      <c r="H508" s="38">
        <f t="shared" si="203"/>
        <v>15210000</v>
      </c>
      <c r="I508" s="38"/>
      <c r="J508" s="38"/>
      <c r="K508" s="38"/>
      <c r="L508" s="38"/>
      <c r="M508" s="38"/>
      <c r="N508" s="38"/>
      <c r="O508" s="38">
        <f t="shared" si="218"/>
        <v>40162785.960000001</v>
      </c>
      <c r="P508" s="38">
        <f t="shared" ref="P508:R508" si="245">P507</f>
        <v>0</v>
      </c>
      <c r="Q508" s="38">
        <f t="shared" si="245"/>
        <v>0</v>
      </c>
      <c r="R508" s="38">
        <f t="shared" si="245"/>
        <v>0</v>
      </c>
      <c r="S508" s="78">
        <v>45827</v>
      </c>
      <c r="T508" s="63"/>
      <c r="U508" s="63">
        <f t="shared" si="205"/>
        <v>30478.089999999967</v>
      </c>
      <c r="V508" s="63"/>
      <c r="W508" s="63"/>
      <c r="X508" s="63">
        <f t="shared" si="206"/>
        <v>30478.089999999967</v>
      </c>
      <c r="Y508" s="63">
        <f t="shared" si="207"/>
        <v>2120000</v>
      </c>
      <c r="Z508" s="63"/>
      <c r="AA508" s="63"/>
      <c r="AB508" s="63">
        <f t="shared" si="197"/>
        <v>4500000</v>
      </c>
      <c r="AC508" s="302"/>
      <c r="AD508" s="302"/>
      <c r="AE508" s="63"/>
      <c r="AF508" s="63"/>
      <c r="AG508" s="63"/>
      <c r="AH508" s="63"/>
      <c r="AJ508" s="63"/>
      <c r="AK508" s="316"/>
      <c r="AL508" s="316"/>
    </row>
    <row r="509" spans="1:38" x14ac:dyDescent="0.25">
      <c r="B509" s="42">
        <v>45828</v>
      </c>
      <c r="C509" s="38"/>
      <c r="D509" s="38">
        <f t="shared" ref="D509:D572" si="246">C509+G508</f>
        <v>54563.240000002086</v>
      </c>
      <c r="E509" s="38"/>
      <c r="F509" s="38"/>
      <c r="G509" s="38">
        <f t="shared" ref="G509:G572" si="247">D509+E509+F509</f>
        <v>54563.240000002086</v>
      </c>
      <c r="H509" s="38">
        <f t="shared" ref="H509:H572" si="248">H508-E509</f>
        <v>15210000</v>
      </c>
      <c r="I509" s="38"/>
      <c r="J509" s="38"/>
      <c r="K509" s="38"/>
      <c r="L509" s="38"/>
      <c r="M509" s="38"/>
      <c r="N509" s="38"/>
      <c r="O509" s="38">
        <f t="shared" si="218"/>
        <v>40162785.960000001</v>
      </c>
      <c r="P509" s="38">
        <f t="shared" si="218"/>
        <v>0</v>
      </c>
      <c r="Q509" s="38">
        <f t="shared" si="218"/>
        <v>0</v>
      </c>
      <c r="R509" s="38">
        <f t="shared" si="218"/>
        <v>0</v>
      </c>
      <c r="S509" s="78">
        <v>45828</v>
      </c>
      <c r="T509" s="63"/>
      <c r="U509" s="63">
        <f t="shared" ref="U509:U572" si="249">T509+X508+W509</f>
        <v>30478.089999999967</v>
      </c>
      <c r="V509" s="63"/>
      <c r="W509" s="63"/>
      <c r="X509" s="63">
        <f t="shared" ref="X509:X572" si="250">V509+U509</f>
        <v>30478.089999999967</v>
      </c>
      <c r="Y509" s="63">
        <f t="shared" ref="Y509:Y572" si="251">Y508-V509</f>
        <v>2120000</v>
      </c>
      <c r="Z509" s="63"/>
      <c r="AA509" s="63"/>
      <c r="AB509" s="63">
        <f t="shared" si="197"/>
        <v>4500000</v>
      </c>
      <c r="AC509" s="302"/>
      <c r="AD509" s="302"/>
      <c r="AE509" s="63"/>
      <c r="AF509" s="63"/>
      <c r="AG509" s="63"/>
      <c r="AH509" s="63"/>
      <c r="AJ509" s="63"/>
      <c r="AK509" s="316"/>
      <c r="AL509" s="316"/>
    </row>
    <row r="510" spans="1:38" x14ac:dyDescent="0.25">
      <c r="B510" s="42">
        <v>45829</v>
      </c>
      <c r="C510" s="38"/>
      <c r="D510" s="38">
        <f t="shared" si="246"/>
        <v>54563.240000002086</v>
      </c>
      <c r="E510" s="38"/>
      <c r="F510" s="38"/>
      <c r="G510" s="38">
        <f t="shared" si="247"/>
        <v>54563.240000002086</v>
      </c>
      <c r="H510" s="38">
        <f t="shared" si="248"/>
        <v>15210000</v>
      </c>
      <c r="I510" s="38"/>
      <c r="J510" s="38"/>
      <c r="K510" s="38"/>
      <c r="L510" s="38"/>
      <c r="M510" s="38"/>
      <c r="N510" s="38"/>
      <c r="O510" s="38">
        <f t="shared" ref="O510:R525" si="252">O509</f>
        <v>40162785.960000001</v>
      </c>
      <c r="P510" s="38">
        <f t="shared" si="252"/>
        <v>0</v>
      </c>
      <c r="Q510" s="38">
        <f t="shared" si="252"/>
        <v>0</v>
      </c>
      <c r="R510" s="38">
        <f t="shared" si="252"/>
        <v>0</v>
      </c>
      <c r="S510" s="78">
        <v>45829</v>
      </c>
      <c r="T510" s="63"/>
      <c r="U510" s="63">
        <f t="shared" si="249"/>
        <v>30478.089999999967</v>
      </c>
      <c r="V510" s="63"/>
      <c r="W510" s="63"/>
      <c r="X510" s="63">
        <f t="shared" si="250"/>
        <v>30478.089999999967</v>
      </c>
      <c r="Y510" s="63">
        <f t="shared" si="251"/>
        <v>2120000</v>
      </c>
      <c r="Z510" s="63"/>
      <c r="AA510" s="63"/>
      <c r="AB510" s="63">
        <f t="shared" si="197"/>
        <v>4500000</v>
      </c>
      <c r="AC510" s="302"/>
      <c r="AD510" s="302"/>
      <c r="AE510" s="63"/>
      <c r="AF510" s="63"/>
      <c r="AG510" s="63"/>
      <c r="AH510" s="63"/>
      <c r="AJ510" s="63"/>
      <c r="AK510" s="316"/>
      <c r="AL510" s="316"/>
    </row>
    <row r="511" spans="1:38" x14ac:dyDescent="0.25">
      <c r="B511" s="42">
        <v>45830</v>
      </c>
      <c r="C511" s="38"/>
      <c r="D511" s="38">
        <f t="shared" si="246"/>
        <v>54563.240000002086</v>
      </c>
      <c r="E511" s="38"/>
      <c r="F511" s="38"/>
      <c r="G511" s="38">
        <f t="shared" si="247"/>
        <v>54563.240000002086</v>
      </c>
      <c r="H511" s="38">
        <f t="shared" si="248"/>
        <v>15210000</v>
      </c>
      <c r="I511" s="38"/>
      <c r="J511" s="38"/>
      <c r="K511" s="38"/>
      <c r="L511" s="38"/>
      <c r="M511" s="38"/>
      <c r="N511" s="38"/>
      <c r="O511" s="38">
        <f t="shared" si="252"/>
        <v>40162785.960000001</v>
      </c>
      <c r="P511" s="38">
        <f t="shared" si="252"/>
        <v>0</v>
      </c>
      <c r="Q511" s="38">
        <f t="shared" si="252"/>
        <v>0</v>
      </c>
      <c r="R511" s="38">
        <f t="shared" si="252"/>
        <v>0</v>
      </c>
      <c r="S511" s="78">
        <v>45830</v>
      </c>
      <c r="T511" s="63"/>
      <c r="U511" s="63">
        <f t="shared" si="249"/>
        <v>30478.089999999967</v>
      </c>
      <c r="V511" s="63"/>
      <c r="W511" s="63"/>
      <c r="X511" s="63">
        <f t="shared" si="250"/>
        <v>30478.089999999967</v>
      </c>
      <c r="Y511" s="63">
        <f t="shared" si="251"/>
        <v>2120000</v>
      </c>
      <c r="Z511" s="63"/>
      <c r="AA511" s="63"/>
      <c r="AB511" s="63">
        <f t="shared" si="197"/>
        <v>4500000</v>
      </c>
      <c r="AC511" s="302"/>
      <c r="AD511" s="302"/>
      <c r="AE511" s="63"/>
      <c r="AF511" s="63"/>
      <c r="AG511" s="63"/>
      <c r="AH511" s="63"/>
      <c r="AJ511" s="63"/>
      <c r="AK511" s="316"/>
      <c r="AL511" s="316"/>
    </row>
    <row r="512" spans="1:38" x14ac:dyDescent="0.25">
      <c r="B512" s="42">
        <v>45831</v>
      </c>
      <c r="C512" s="38"/>
      <c r="D512" s="38">
        <f t="shared" si="246"/>
        <v>54563.240000002086</v>
      </c>
      <c r="E512" s="38"/>
      <c r="F512" s="38"/>
      <c r="G512" s="38">
        <f t="shared" si="247"/>
        <v>54563.240000002086</v>
      </c>
      <c r="H512" s="38">
        <f t="shared" si="248"/>
        <v>15210000</v>
      </c>
      <c r="I512" s="38"/>
      <c r="J512" s="38"/>
      <c r="K512" s="38"/>
      <c r="L512" s="38"/>
      <c r="M512" s="38"/>
      <c r="N512" s="38"/>
      <c r="O512" s="38">
        <f t="shared" si="252"/>
        <v>40162785.960000001</v>
      </c>
      <c r="P512" s="38">
        <f t="shared" si="252"/>
        <v>0</v>
      </c>
      <c r="Q512" s="38">
        <f t="shared" si="252"/>
        <v>0</v>
      </c>
      <c r="R512" s="38">
        <f t="shared" si="252"/>
        <v>0</v>
      </c>
      <c r="S512" s="78">
        <v>45831</v>
      </c>
      <c r="T512" s="63"/>
      <c r="U512" s="63">
        <f t="shared" si="249"/>
        <v>30478.089999999967</v>
      </c>
      <c r="V512" s="63"/>
      <c r="W512" s="63"/>
      <c r="X512" s="63">
        <f t="shared" si="250"/>
        <v>30478.089999999967</v>
      </c>
      <c r="Y512" s="63">
        <f t="shared" si="251"/>
        <v>2120000</v>
      </c>
      <c r="Z512" s="63"/>
      <c r="AA512" s="63"/>
      <c r="AB512" s="63">
        <f t="shared" si="197"/>
        <v>4500000</v>
      </c>
      <c r="AC512" s="302"/>
      <c r="AD512" s="302"/>
      <c r="AE512" s="63"/>
      <c r="AF512" s="63"/>
      <c r="AG512" s="63"/>
      <c r="AH512" s="63"/>
      <c r="AJ512" s="63"/>
      <c r="AK512" s="316"/>
      <c r="AL512" s="316"/>
    </row>
    <row r="513" spans="2:38" x14ac:dyDescent="0.25">
      <c r="B513" s="42">
        <v>45832</v>
      </c>
      <c r="C513" s="38">
        <v>-62481.03</v>
      </c>
      <c r="D513" s="38">
        <f t="shared" si="246"/>
        <v>-7917.7899999979127</v>
      </c>
      <c r="E513" s="83">
        <v>50000</v>
      </c>
      <c r="F513" s="38"/>
      <c r="G513" s="38">
        <f t="shared" si="247"/>
        <v>42082.210000002087</v>
      </c>
      <c r="H513" s="38">
        <f t="shared" si="248"/>
        <v>15160000</v>
      </c>
      <c r="I513" s="38"/>
      <c r="J513" s="38"/>
      <c r="K513" s="38"/>
      <c r="L513" s="38"/>
      <c r="M513" s="38"/>
      <c r="N513" s="38"/>
      <c r="O513" s="38">
        <f t="shared" si="252"/>
        <v>40162785.960000001</v>
      </c>
      <c r="P513" s="38">
        <f t="shared" si="252"/>
        <v>0</v>
      </c>
      <c r="Q513" s="38">
        <f t="shared" si="252"/>
        <v>0</v>
      </c>
      <c r="R513" s="38">
        <f t="shared" si="252"/>
        <v>0</v>
      </c>
      <c r="S513" s="78">
        <v>45832</v>
      </c>
      <c r="T513" s="63"/>
      <c r="U513" s="63">
        <f t="shared" si="249"/>
        <v>30478.089999999967</v>
      </c>
      <c r="V513" s="63"/>
      <c r="W513" s="63"/>
      <c r="X513" s="63">
        <f t="shared" si="250"/>
        <v>30478.089999999967</v>
      </c>
      <c r="Y513" s="63">
        <f t="shared" si="251"/>
        <v>2120000</v>
      </c>
      <c r="Z513" s="63"/>
      <c r="AA513" s="63"/>
      <c r="AB513" s="63">
        <f t="shared" si="197"/>
        <v>4500000</v>
      </c>
      <c r="AC513" s="302"/>
      <c r="AD513" s="302"/>
      <c r="AE513" s="63"/>
      <c r="AF513" s="63"/>
      <c r="AG513" s="63"/>
      <c r="AH513" s="63"/>
      <c r="AJ513" s="63"/>
      <c r="AK513" s="316"/>
      <c r="AL513" s="316"/>
    </row>
    <row r="514" spans="2:38" x14ac:dyDescent="0.25">
      <c r="B514" s="42">
        <v>45833</v>
      </c>
      <c r="C514" s="38">
        <v>-3335841.6439999999</v>
      </c>
      <c r="D514" s="38">
        <f t="shared" si="246"/>
        <v>-3293759.4339999976</v>
      </c>
      <c r="E514" s="83">
        <v>3350000</v>
      </c>
      <c r="F514" s="38"/>
      <c r="G514" s="38">
        <f t="shared" si="247"/>
        <v>56240.566000002436</v>
      </c>
      <c r="H514" s="38">
        <f t="shared" si="248"/>
        <v>11810000</v>
      </c>
      <c r="I514" s="38"/>
      <c r="J514" s="38"/>
      <c r="K514" s="38"/>
      <c r="L514" s="38"/>
      <c r="M514" s="38"/>
      <c r="N514" s="38"/>
      <c r="O514" s="38">
        <f t="shared" si="252"/>
        <v>40162785.960000001</v>
      </c>
      <c r="P514" s="38">
        <f t="shared" si="252"/>
        <v>0</v>
      </c>
      <c r="Q514" s="38">
        <f t="shared" si="252"/>
        <v>0</v>
      </c>
      <c r="R514" s="38">
        <f t="shared" si="252"/>
        <v>0</v>
      </c>
      <c r="S514" s="78">
        <v>45833</v>
      </c>
      <c r="T514" s="63">
        <v>-774962.29</v>
      </c>
      <c r="U514" s="63">
        <f t="shared" si="249"/>
        <v>-744484.20000000007</v>
      </c>
      <c r="V514" s="84">
        <v>780000</v>
      </c>
      <c r="W514" s="63"/>
      <c r="X514" s="63">
        <f t="shared" si="250"/>
        <v>35515.79999999993</v>
      </c>
      <c r="Y514" s="63">
        <f t="shared" si="251"/>
        <v>1340000</v>
      </c>
      <c r="Z514" s="63"/>
      <c r="AA514" s="63"/>
      <c r="AB514" s="63">
        <f t="shared" si="197"/>
        <v>4500000</v>
      </c>
      <c r="AC514" s="302"/>
      <c r="AD514" s="302"/>
      <c r="AE514" s="63"/>
      <c r="AF514" s="63"/>
      <c r="AG514" s="63"/>
      <c r="AH514" s="63"/>
      <c r="AJ514" s="63"/>
      <c r="AK514" s="316"/>
      <c r="AL514" s="316"/>
    </row>
    <row r="515" spans="2:38" x14ac:dyDescent="0.25">
      <c r="B515" s="42">
        <v>45834</v>
      </c>
      <c r="C515" s="38">
        <v>-283084.94</v>
      </c>
      <c r="D515" s="38">
        <f t="shared" si="246"/>
        <v>-226844.37399999757</v>
      </c>
      <c r="E515" s="83">
        <v>280000</v>
      </c>
      <c r="F515" s="38"/>
      <c r="G515" s="38">
        <f t="shared" si="247"/>
        <v>53155.626000002434</v>
      </c>
      <c r="H515" s="38">
        <f t="shared" si="248"/>
        <v>11530000</v>
      </c>
      <c r="I515" s="38"/>
      <c r="J515" s="38"/>
      <c r="K515" s="38"/>
      <c r="L515" s="38"/>
      <c r="M515" s="38"/>
      <c r="N515" s="38"/>
      <c r="O515" s="38">
        <f t="shared" si="252"/>
        <v>40162785.960000001</v>
      </c>
      <c r="P515" s="38">
        <f t="shared" si="252"/>
        <v>0</v>
      </c>
      <c r="Q515" s="38">
        <f t="shared" si="252"/>
        <v>0</v>
      </c>
      <c r="R515" s="38">
        <f t="shared" si="252"/>
        <v>0</v>
      </c>
      <c r="S515" s="78">
        <v>45834</v>
      </c>
      <c r="T515" s="63"/>
      <c r="U515" s="63">
        <f t="shared" si="249"/>
        <v>63515.79999999993</v>
      </c>
      <c r="V515" s="81"/>
      <c r="W515" s="63">
        <v>28000</v>
      </c>
      <c r="X515" s="63">
        <f t="shared" si="250"/>
        <v>63515.79999999993</v>
      </c>
      <c r="Y515" s="63">
        <f t="shared" si="251"/>
        <v>1340000</v>
      </c>
      <c r="Z515" s="63"/>
      <c r="AA515" s="63"/>
      <c r="AB515" s="63">
        <f t="shared" si="197"/>
        <v>4500000</v>
      </c>
      <c r="AC515" s="302"/>
      <c r="AD515" s="302"/>
      <c r="AE515" s="63"/>
      <c r="AF515" s="63"/>
      <c r="AG515" s="63"/>
      <c r="AH515" s="63"/>
      <c r="AJ515" s="63"/>
      <c r="AK515" s="316"/>
      <c r="AL515" s="316"/>
    </row>
    <row r="516" spans="2:38" x14ac:dyDescent="0.25">
      <c r="B516" s="42">
        <v>45835</v>
      </c>
      <c r="C516" s="38"/>
      <c r="D516" s="38">
        <f t="shared" si="246"/>
        <v>53155.626000002434</v>
      </c>
      <c r="E516" s="38"/>
      <c r="F516" s="38"/>
      <c r="G516" s="38">
        <f t="shared" si="247"/>
        <v>53155.626000002434</v>
      </c>
      <c r="H516" s="38">
        <f t="shared" si="248"/>
        <v>11530000</v>
      </c>
      <c r="I516" s="38"/>
      <c r="J516" s="38"/>
      <c r="K516" s="38"/>
      <c r="L516" s="38"/>
      <c r="M516" s="38"/>
      <c r="N516" s="38"/>
      <c r="O516" s="38">
        <f t="shared" si="252"/>
        <v>40162785.960000001</v>
      </c>
      <c r="P516" s="38">
        <f t="shared" si="252"/>
        <v>0</v>
      </c>
      <c r="Q516" s="38">
        <f t="shared" si="252"/>
        <v>0</v>
      </c>
      <c r="R516" s="38">
        <f t="shared" si="252"/>
        <v>0</v>
      </c>
      <c r="S516" s="78">
        <v>45835</v>
      </c>
      <c r="T516" s="63"/>
      <c r="U516" s="63">
        <f t="shared" si="249"/>
        <v>63515.79999999993</v>
      </c>
      <c r="V516" s="63"/>
      <c r="W516" s="63"/>
      <c r="X516" s="63">
        <f t="shared" si="250"/>
        <v>63515.79999999993</v>
      </c>
      <c r="Y516" s="63">
        <f t="shared" si="251"/>
        <v>1340000</v>
      </c>
      <c r="Z516" s="63"/>
      <c r="AA516" s="63"/>
      <c r="AB516" s="63">
        <f t="shared" si="197"/>
        <v>4500000</v>
      </c>
      <c r="AC516" s="302"/>
      <c r="AD516" s="302"/>
      <c r="AE516" s="63"/>
      <c r="AF516" s="63"/>
      <c r="AG516" s="63"/>
      <c r="AH516" s="63"/>
      <c r="AJ516" s="63"/>
      <c r="AK516" s="316"/>
      <c r="AL516" s="316"/>
    </row>
    <row r="517" spans="2:38" x14ac:dyDescent="0.25">
      <c r="B517" s="42">
        <v>45836</v>
      </c>
      <c r="C517" s="38"/>
      <c r="D517" s="38">
        <f t="shared" si="246"/>
        <v>53155.626000002434</v>
      </c>
      <c r="E517" s="38"/>
      <c r="F517" s="38"/>
      <c r="G517" s="38">
        <f t="shared" si="247"/>
        <v>53155.626000002434</v>
      </c>
      <c r="H517" s="38">
        <f t="shared" si="248"/>
        <v>11530000</v>
      </c>
      <c r="I517" s="38"/>
      <c r="J517" s="38"/>
      <c r="K517" s="38"/>
      <c r="L517" s="38"/>
      <c r="M517" s="38"/>
      <c r="N517" s="38"/>
      <c r="O517" s="38">
        <f t="shared" si="252"/>
        <v>40162785.960000001</v>
      </c>
      <c r="P517" s="38">
        <f t="shared" si="252"/>
        <v>0</v>
      </c>
      <c r="Q517" s="38">
        <f t="shared" si="252"/>
        <v>0</v>
      </c>
      <c r="R517" s="38">
        <f t="shared" si="252"/>
        <v>0</v>
      </c>
      <c r="S517" s="78">
        <v>45836</v>
      </c>
      <c r="T517" s="63"/>
      <c r="U517" s="63">
        <f t="shared" si="249"/>
        <v>63515.79999999993</v>
      </c>
      <c r="V517" s="63"/>
      <c r="W517" s="63"/>
      <c r="X517" s="63">
        <f t="shared" si="250"/>
        <v>63515.79999999993</v>
      </c>
      <c r="Y517" s="63">
        <f t="shared" si="251"/>
        <v>1340000</v>
      </c>
      <c r="Z517" s="63"/>
      <c r="AA517" s="63"/>
      <c r="AB517" s="63">
        <f t="shared" si="197"/>
        <v>4500000</v>
      </c>
      <c r="AC517" s="302"/>
      <c r="AD517" s="302"/>
      <c r="AE517" s="63"/>
      <c r="AF517" s="63"/>
      <c r="AG517" s="63"/>
      <c r="AH517" s="63"/>
      <c r="AJ517" s="63"/>
      <c r="AK517" s="316"/>
      <c r="AL517" s="316"/>
    </row>
    <row r="518" spans="2:38" x14ac:dyDescent="0.25">
      <c r="B518" s="42">
        <v>45837</v>
      </c>
      <c r="C518" s="38"/>
      <c r="D518" s="38">
        <f t="shared" si="246"/>
        <v>53155.626000002434</v>
      </c>
      <c r="E518" s="38"/>
      <c r="F518" s="38"/>
      <c r="G518" s="38">
        <f t="shared" si="247"/>
        <v>53155.626000002434</v>
      </c>
      <c r="H518" s="38">
        <f t="shared" si="248"/>
        <v>11530000</v>
      </c>
      <c r="I518" s="38"/>
      <c r="J518" s="38"/>
      <c r="K518" s="38"/>
      <c r="L518" s="38"/>
      <c r="M518" s="38"/>
      <c r="N518" s="38"/>
      <c r="O518" s="38">
        <f t="shared" si="252"/>
        <v>40162785.960000001</v>
      </c>
      <c r="P518" s="38">
        <f t="shared" si="252"/>
        <v>0</v>
      </c>
      <c r="Q518" s="38">
        <f t="shared" si="252"/>
        <v>0</v>
      </c>
      <c r="R518" s="38">
        <f t="shared" si="252"/>
        <v>0</v>
      </c>
      <c r="S518" s="78">
        <v>45837</v>
      </c>
      <c r="T518" s="63"/>
      <c r="U518" s="63">
        <f t="shared" si="249"/>
        <v>63515.79999999993</v>
      </c>
      <c r="V518" s="63"/>
      <c r="W518" s="63"/>
      <c r="X518" s="63">
        <f t="shared" si="250"/>
        <v>63515.79999999993</v>
      </c>
      <c r="Y518" s="63">
        <f t="shared" si="251"/>
        <v>1340000</v>
      </c>
      <c r="Z518" s="63"/>
      <c r="AA518" s="63"/>
      <c r="AB518" s="63">
        <f t="shared" si="197"/>
        <v>4500000</v>
      </c>
      <c r="AC518" s="302"/>
      <c r="AD518" s="302"/>
      <c r="AE518" s="63"/>
      <c r="AF518" s="63"/>
      <c r="AG518" s="63"/>
      <c r="AH518" s="63"/>
      <c r="AJ518" s="63"/>
      <c r="AK518" s="316"/>
      <c r="AL518" s="316"/>
    </row>
    <row r="519" spans="2:38" x14ac:dyDescent="0.25">
      <c r="B519" s="42">
        <v>45838</v>
      </c>
      <c r="C519" s="38"/>
      <c r="D519" s="38">
        <f t="shared" si="246"/>
        <v>53155.626000002434</v>
      </c>
      <c r="E519" s="38"/>
      <c r="F519" s="38"/>
      <c r="G519" s="38">
        <f t="shared" si="247"/>
        <v>53155.626000002434</v>
      </c>
      <c r="H519" s="38">
        <f t="shared" si="248"/>
        <v>11530000</v>
      </c>
      <c r="I519" s="38"/>
      <c r="J519" s="38"/>
      <c r="K519" s="38"/>
      <c r="L519" s="38"/>
      <c r="M519" s="38"/>
      <c r="N519" s="38"/>
      <c r="O519" s="38">
        <f>O518</f>
        <v>40162785.960000001</v>
      </c>
      <c r="P519" s="38">
        <f t="shared" si="252"/>
        <v>0</v>
      </c>
      <c r="Q519" s="38">
        <f t="shared" si="252"/>
        <v>0</v>
      </c>
      <c r="R519" s="38">
        <f t="shared" si="252"/>
        <v>0</v>
      </c>
      <c r="S519" s="78">
        <v>45838</v>
      </c>
      <c r="T519" s="63"/>
      <c r="U519" s="63">
        <f t="shared" si="249"/>
        <v>70815.79999999993</v>
      </c>
      <c r="V519" s="84">
        <v>-40000</v>
      </c>
      <c r="W519" s="63">
        <v>7300</v>
      </c>
      <c r="X519" s="63">
        <f t="shared" si="250"/>
        <v>30815.79999999993</v>
      </c>
      <c r="Y519" s="63">
        <f t="shared" si="251"/>
        <v>1380000</v>
      </c>
      <c r="Z519" s="63"/>
      <c r="AA519" s="63"/>
      <c r="AB519" s="63">
        <f t="shared" si="197"/>
        <v>4500000</v>
      </c>
      <c r="AC519" s="302"/>
      <c r="AD519" s="302"/>
      <c r="AE519" s="63"/>
      <c r="AF519" s="63"/>
      <c r="AG519" s="63"/>
      <c r="AH519" s="63"/>
      <c r="AJ519" s="63"/>
      <c r="AK519" s="316"/>
      <c r="AL519" s="316"/>
    </row>
    <row r="520" spans="2:38" x14ac:dyDescent="0.25">
      <c r="B520" s="42">
        <v>45839</v>
      </c>
      <c r="C520" s="38">
        <v>-2691492.79101709</v>
      </c>
      <c r="D520" s="38">
        <f t="shared" si="246"/>
        <v>-2638337.1650170875</v>
      </c>
      <c r="E520" s="83">
        <v>2700000</v>
      </c>
      <c r="F520" s="38"/>
      <c r="G520" s="38">
        <f t="shared" si="247"/>
        <v>61662.834982912522</v>
      </c>
      <c r="H520" s="38">
        <f t="shared" si="248"/>
        <v>8830000</v>
      </c>
      <c r="I520" s="38"/>
      <c r="J520" s="38"/>
      <c r="K520" s="38"/>
      <c r="L520" s="38"/>
      <c r="M520" s="38"/>
      <c r="N520" s="38"/>
      <c r="O520" s="38">
        <f t="shared" si="252"/>
        <v>40162785.960000001</v>
      </c>
      <c r="P520" s="38">
        <f t="shared" si="252"/>
        <v>0</v>
      </c>
      <c r="Q520" s="38">
        <f t="shared" si="252"/>
        <v>0</v>
      </c>
      <c r="R520" s="38">
        <f t="shared" si="252"/>
        <v>0</v>
      </c>
      <c r="S520" s="78">
        <v>45839</v>
      </c>
      <c r="T520" s="63"/>
      <c r="U520" s="63">
        <f t="shared" si="249"/>
        <v>30815.79999999993</v>
      </c>
      <c r="V520" s="63"/>
      <c r="W520" s="63"/>
      <c r="X520" s="63">
        <f t="shared" si="250"/>
        <v>30815.79999999993</v>
      </c>
      <c r="Y520" s="63">
        <f t="shared" si="251"/>
        <v>1380000</v>
      </c>
      <c r="Z520" s="63"/>
      <c r="AA520" s="63"/>
      <c r="AB520" s="63">
        <f t="shared" si="197"/>
        <v>4500000</v>
      </c>
      <c r="AC520" s="302"/>
      <c r="AD520" s="302"/>
      <c r="AE520" s="63"/>
      <c r="AF520" s="63"/>
      <c r="AG520" s="63"/>
      <c r="AH520" s="63"/>
      <c r="AJ520" s="63"/>
      <c r="AK520" s="316"/>
      <c r="AL520" s="316"/>
    </row>
    <row r="521" spans="2:38" x14ac:dyDescent="0.25">
      <c r="B521" s="42">
        <v>45840</v>
      </c>
      <c r="C521" s="38"/>
      <c r="D521" s="38">
        <f t="shared" si="246"/>
        <v>61662.834982912522</v>
      </c>
      <c r="E521" s="38"/>
      <c r="F521" s="38"/>
      <c r="G521" s="38">
        <f t="shared" si="247"/>
        <v>61662.834982912522</v>
      </c>
      <c r="H521" s="38">
        <f t="shared" si="248"/>
        <v>8830000</v>
      </c>
      <c r="I521" s="38"/>
      <c r="J521" s="38"/>
      <c r="K521" s="38"/>
      <c r="L521" s="38"/>
      <c r="M521" s="38"/>
      <c r="N521" s="38"/>
      <c r="O521" s="38">
        <f t="shared" si="252"/>
        <v>40162785.960000001</v>
      </c>
      <c r="P521" s="38">
        <f t="shared" si="252"/>
        <v>0</v>
      </c>
      <c r="Q521" s="38">
        <f t="shared" si="252"/>
        <v>0</v>
      </c>
      <c r="R521" s="38">
        <f t="shared" si="252"/>
        <v>0</v>
      </c>
      <c r="S521" s="78">
        <v>45840</v>
      </c>
      <c r="T521" s="63"/>
      <c r="U521" s="63">
        <f t="shared" si="249"/>
        <v>30815.79999999993</v>
      </c>
      <c r="V521" s="63"/>
      <c r="W521" s="63"/>
      <c r="X521" s="63">
        <f t="shared" si="250"/>
        <v>30815.79999999993</v>
      </c>
      <c r="Y521" s="63">
        <f t="shared" si="251"/>
        <v>1380000</v>
      </c>
      <c r="Z521" s="63"/>
      <c r="AA521" s="63"/>
      <c r="AB521" s="63">
        <f t="shared" si="197"/>
        <v>4500000</v>
      </c>
      <c r="AC521" s="302"/>
      <c r="AD521" s="302"/>
      <c r="AE521" s="63"/>
      <c r="AF521" s="63"/>
      <c r="AG521" s="63"/>
      <c r="AH521" s="63"/>
      <c r="AJ521" s="63"/>
      <c r="AK521" s="316"/>
      <c r="AL521" s="316"/>
    </row>
    <row r="522" spans="2:38" x14ac:dyDescent="0.25">
      <c r="B522" s="42">
        <v>45841</v>
      </c>
      <c r="C522" s="38"/>
      <c r="D522" s="38">
        <f t="shared" si="246"/>
        <v>61662.834982912522</v>
      </c>
      <c r="E522" s="83">
        <v>-720000</v>
      </c>
      <c r="F522" s="38">
        <f>778228.59-G521</f>
        <v>716565.75501708745</v>
      </c>
      <c r="G522" s="38">
        <f t="shared" si="247"/>
        <v>58228.589999999967</v>
      </c>
      <c r="H522" s="38">
        <f t="shared" si="248"/>
        <v>9550000</v>
      </c>
      <c r="I522" s="38"/>
      <c r="J522" s="38"/>
      <c r="K522" s="38"/>
      <c r="L522" s="38"/>
      <c r="M522" s="38"/>
      <c r="N522" s="38"/>
      <c r="O522" s="38">
        <f t="shared" si="252"/>
        <v>40162785.960000001</v>
      </c>
      <c r="P522" s="38">
        <f t="shared" si="252"/>
        <v>0</v>
      </c>
      <c r="Q522" s="38">
        <f t="shared" si="252"/>
        <v>0</v>
      </c>
      <c r="R522" s="38">
        <f t="shared" si="252"/>
        <v>0</v>
      </c>
      <c r="S522" s="78">
        <v>45841</v>
      </c>
      <c r="T522" s="63"/>
      <c r="U522" s="63">
        <f t="shared" si="249"/>
        <v>30815.79999999993</v>
      </c>
      <c r="V522" s="63"/>
      <c r="W522" s="63"/>
      <c r="X522" s="63">
        <f t="shared" si="250"/>
        <v>30815.79999999993</v>
      </c>
      <c r="Y522" s="63">
        <f t="shared" si="251"/>
        <v>1380000</v>
      </c>
      <c r="Z522" s="63"/>
      <c r="AA522" s="63"/>
      <c r="AB522" s="63">
        <f t="shared" si="197"/>
        <v>4500000</v>
      </c>
      <c r="AC522" s="302"/>
      <c r="AD522" s="302"/>
      <c r="AE522" s="63"/>
      <c r="AF522" s="63"/>
      <c r="AG522" s="63"/>
      <c r="AH522" s="63"/>
      <c r="AJ522" s="63"/>
      <c r="AK522" s="316"/>
      <c r="AL522" s="316"/>
    </row>
    <row r="523" spans="2:38" x14ac:dyDescent="0.25">
      <c r="B523" s="42">
        <v>45842</v>
      </c>
      <c r="C523" s="38"/>
      <c r="D523" s="38">
        <f t="shared" si="246"/>
        <v>58228.589999999967</v>
      </c>
      <c r="E523" s="38"/>
      <c r="F523" s="38"/>
      <c r="G523" s="38">
        <f t="shared" si="247"/>
        <v>58228.589999999967</v>
      </c>
      <c r="H523" s="38">
        <f t="shared" si="248"/>
        <v>9550000</v>
      </c>
      <c r="I523" s="38"/>
      <c r="J523" s="38"/>
      <c r="K523" s="38"/>
      <c r="L523" s="38"/>
      <c r="M523" s="38"/>
      <c r="N523" s="38"/>
      <c r="O523" s="38">
        <f t="shared" si="252"/>
        <v>40162785.960000001</v>
      </c>
      <c r="P523" s="38">
        <f t="shared" si="252"/>
        <v>0</v>
      </c>
      <c r="Q523" s="38">
        <f t="shared" si="252"/>
        <v>0</v>
      </c>
      <c r="R523" s="38">
        <f t="shared" si="252"/>
        <v>0</v>
      </c>
      <c r="S523" s="78">
        <v>45842</v>
      </c>
      <c r="T523" s="63"/>
      <c r="U523" s="63">
        <f t="shared" si="249"/>
        <v>30815.79999999993</v>
      </c>
      <c r="V523" s="63"/>
      <c r="W523" s="63"/>
      <c r="X523" s="63">
        <f t="shared" si="250"/>
        <v>30815.79999999993</v>
      </c>
      <c r="Y523" s="63">
        <f t="shared" si="251"/>
        <v>1380000</v>
      </c>
      <c r="Z523" s="63"/>
      <c r="AA523" s="63"/>
      <c r="AB523" s="63">
        <f t="shared" si="197"/>
        <v>4500000</v>
      </c>
      <c r="AC523" s="302"/>
      <c r="AD523" s="302"/>
      <c r="AE523" s="63"/>
      <c r="AF523" s="63"/>
      <c r="AG523" s="63"/>
      <c r="AH523" s="63"/>
      <c r="AJ523" s="63"/>
      <c r="AK523" s="316"/>
      <c r="AL523" s="316"/>
    </row>
    <row r="524" spans="2:38" x14ac:dyDescent="0.25">
      <c r="B524" s="42">
        <v>45843</v>
      </c>
      <c r="C524" s="38"/>
      <c r="D524" s="38">
        <f t="shared" si="246"/>
        <v>58228.589999999967</v>
      </c>
      <c r="E524" s="38"/>
      <c r="F524" s="38"/>
      <c r="G524" s="38">
        <f t="shared" si="247"/>
        <v>58228.589999999967</v>
      </c>
      <c r="H524" s="38">
        <f t="shared" si="248"/>
        <v>9550000</v>
      </c>
      <c r="I524" s="38"/>
      <c r="J524" s="38"/>
      <c r="K524" s="38"/>
      <c r="L524" s="38"/>
      <c r="M524" s="38"/>
      <c r="N524" s="38"/>
      <c r="O524" s="38">
        <f t="shared" si="252"/>
        <v>40162785.960000001</v>
      </c>
      <c r="P524" s="38">
        <f t="shared" si="252"/>
        <v>0</v>
      </c>
      <c r="Q524" s="38">
        <f t="shared" si="252"/>
        <v>0</v>
      </c>
      <c r="R524" s="38">
        <f t="shared" si="252"/>
        <v>0</v>
      </c>
      <c r="S524" s="78">
        <v>45843</v>
      </c>
      <c r="T524" s="63"/>
      <c r="U524" s="63">
        <f t="shared" si="249"/>
        <v>30815.79999999993</v>
      </c>
      <c r="V524" s="63"/>
      <c r="W524" s="63"/>
      <c r="X524" s="63">
        <f t="shared" si="250"/>
        <v>30815.79999999993</v>
      </c>
      <c r="Y524" s="63">
        <f t="shared" si="251"/>
        <v>1380000</v>
      </c>
      <c r="Z524" s="63"/>
      <c r="AA524" s="63"/>
      <c r="AB524" s="63">
        <f t="shared" si="197"/>
        <v>4500000</v>
      </c>
      <c r="AC524" s="302"/>
      <c r="AD524" s="302"/>
      <c r="AE524" s="63"/>
      <c r="AF524" s="63"/>
      <c r="AG524" s="63"/>
      <c r="AH524" s="63"/>
      <c r="AJ524" s="63"/>
      <c r="AK524" s="316"/>
      <c r="AL524" s="316"/>
    </row>
    <row r="525" spans="2:38" x14ac:dyDescent="0.25">
      <c r="B525" s="42">
        <v>45844</v>
      </c>
      <c r="C525" s="38"/>
      <c r="D525" s="38">
        <f t="shared" si="246"/>
        <v>58228.589999999967</v>
      </c>
      <c r="E525" s="38"/>
      <c r="F525" s="38"/>
      <c r="G525" s="38">
        <f t="shared" si="247"/>
        <v>58228.589999999967</v>
      </c>
      <c r="H525" s="38">
        <f t="shared" si="248"/>
        <v>9550000</v>
      </c>
      <c r="I525" s="38"/>
      <c r="J525" s="38"/>
      <c r="K525" s="38"/>
      <c r="L525" s="38"/>
      <c r="M525" s="38"/>
      <c r="N525" s="38"/>
      <c r="O525" s="38">
        <f t="shared" si="252"/>
        <v>40162785.960000001</v>
      </c>
      <c r="P525" s="38">
        <f t="shared" si="252"/>
        <v>0</v>
      </c>
      <c r="Q525" s="38">
        <f t="shared" si="252"/>
        <v>0</v>
      </c>
      <c r="R525" s="38">
        <f t="shared" si="252"/>
        <v>0</v>
      </c>
      <c r="S525" s="78">
        <v>45844</v>
      </c>
      <c r="T525" s="63"/>
      <c r="U525" s="63">
        <f t="shared" si="249"/>
        <v>30815.79999999993</v>
      </c>
      <c r="V525" s="63"/>
      <c r="W525" s="63"/>
      <c r="X525" s="63">
        <f t="shared" si="250"/>
        <v>30815.79999999993</v>
      </c>
      <c r="Y525" s="63">
        <f t="shared" si="251"/>
        <v>1380000</v>
      </c>
      <c r="Z525" s="63"/>
      <c r="AA525" s="63"/>
      <c r="AB525" s="63">
        <f t="shared" si="197"/>
        <v>4500000</v>
      </c>
      <c r="AC525" s="302"/>
      <c r="AD525" s="302"/>
      <c r="AE525" s="63"/>
      <c r="AF525" s="63"/>
      <c r="AG525" s="63"/>
      <c r="AH525" s="63"/>
      <c r="AJ525" s="63"/>
      <c r="AK525" s="316"/>
      <c r="AL525" s="316"/>
    </row>
    <row r="526" spans="2:38" x14ac:dyDescent="0.25">
      <c r="B526" s="42">
        <v>45845</v>
      </c>
      <c r="C526" s="38"/>
      <c r="D526" s="38">
        <f t="shared" si="246"/>
        <v>58228.589999999967</v>
      </c>
      <c r="E526" s="38"/>
      <c r="F526" s="38"/>
      <c r="G526" s="38">
        <f t="shared" si="247"/>
        <v>58228.589999999967</v>
      </c>
      <c r="H526" s="38">
        <f t="shared" si="248"/>
        <v>9550000</v>
      </c>
      <c r="I526" s="38"/>
      <c r="J526" s="38"/>
      <c r="K526" s="38"/>
      <c r="L526" s="38"/>
      <c r="M526" s="38"/>
      <c r="N526" s="38"/>
      <c r="O526" s="38">
        <f t="shared" ref="O526:R541" si="253">O525</f>
        <v>40162785.960000001</v>
      </c>
      <c r="P526" s="38">
        <f t="shared" si="253"/>
        <v>0</v>
      </c>
      <c r="Q526" s="38">
        <f t="shared" si="253"/>
        <v>0</v>
      </c>
      <c r="R526" s="38">
        <f t="shared" si="253"/>
        <v>0</v>
      </c>
      <c r="S526" s="78">
        <v>45845</v>
      </c>
      <c r="T526" s="260">
        <f>4500000+32406</f>
        <v>4532406</v>
      </c>
      <c r="U526" s="63">
        <f t="shared" si="249"/>
        <v>4563221.8</v>
      </c>
      <c r="V526" s="84">
        <f>-4530000+3000000</f>
        <v>-1530000</v>
      </c>
      <c r="W526" s="63"/>
      <c r="X526" s="270">
        <f>V526+U526-3000000</f>
        <v>33221.799999999814</v>
      </c>
      <c r="Y526" s="63">
        <f t="shared" si="251"/>
        <v>2910000</v>
      </c>
      <c r="Z526" s="63"/>
      <c r="AA526" s="63"/>
      <c r="AB526" s="63">
        <v>3000000</v>
      </c>
      <c r="AC526" s="302"/>
      <c r="AD526" s="302"/>
      <c r="AE526" s="63"/>
      <c r="AF526" s="63"/>
      <c r="AG526" s="63"/>
      <c r="AH526" s="63"/>
      <c r="AJ526" s="63"/>
      <c r="AK526" s="316"/>
      <c r="AL526" s="316"/>
    </row>
    <row r="527" spans="2:38" x14ac:dyDescent="0.25">
      <c r="B527" s="42">
        <v>45846</v>
      </c>
      <c r="C527" s="38"/>
      <c r="D527" s="38">
        <f t="shared" si="246"/>
        <v>58228.589999999967</v>
      </c>
      <c r="E527" s="38"/>
      <c r="F527" s="38"/>
      <c r="G527" s="38">
        <f t="shared" si="247"/>
        <v>58228.589999999967</v>
      </c>
      <c r="H527" s="38">
        <f t="shared" si="248"/>
        <v>9550000</v>
      </c>
      <c r="I527" s="38"/>
      <c r="J527" s="38"/>
      <c r="K527" s="38"/>
      <c r="L527" s="38"/>
      <c r="M527" s="38"/>
      <c r="N527" s="38"/>
      <c r="O527" s="38">
        <f t="shared" si="253"/>
        <v>40162785.960000001</v>
      </c>
      <c r="P527" s="38">
        <f t="shared" si="253"/>
        <v>0</v>
      </c>
      <c r="Q527" s="38">
        <f t="shared" si="253"/>
        <v>0</v>
      </c>
      <c r="R527" s="38">
        <f t="shared" si="253"/>
        <v>0</v>
      </c>
      <c r="S527" s="78">
        <v>45846</v>
      </c>
      <c r="T527" s="63"/>
      <c r="U527" s="63">
        <f t="shared" si="249"/>
        <v>33221.799999999814</v>
      </c>
      <c r="V527" s="63"/>
      <c r="W527" s="63"/>
      <c r="X527" s="63">
        <f t="shared" si="250"/>
        <v>33221.799999999814</v>
      </c>
      <c r="Y527" s="63">
        <f t="shared" si="251"/>
        <v>2910000</v>
      </c>
      <c r="Z527" s="63"/>
      <c r="AA527" s="63"/>
      <c r="AB527" s="63">
        <f t="shared" si="197"/>
        <v>3000000</v>
      </c>
      <c r="AC527" s="302"/>
      <c r="AD527" s="302"/>
      <c r="AE527" s="63"/>
      <c r="AF527" s="63"/>
      <c r="AG527" s="63"/>
      <c r="AH527" s="63"/>
      <c r="AJ527" s="63">
        <v>1.1718</v>
      </c>
      <c r="AK527" s="316">
        <f>SUM(G527:O527)+SUM(X527:AB527)/AJ527</f>
        <v>54842888.419260964</v>
      </c>
      <c r="AL527" s="316">
        <f>SUM(H527:P527)+SUM(Y527:AC527)/AK527</f>
        <v>49712786.067762375</v>
      </c>
    </row>
    <row r="528" spans="2:38" x14ac:dyDescent="0.25">
      <c r="B528" s="42">
        <v>45847</v>
      </c>
      <c r="C528" s="38"/>
      <c r="D528" s="38">
        <f t="shared" si="246"/>
        <v>58228.589999999967</v>
      </c>
      <c r="E528" s="38"/>
      <c r="F528" s="38">
        <v>-30000</v>
      </c>
      <c r="G528" s="38">
        <f t="shared" si="247"/>
        <v>28228.589999999967</v>
      </c>
      <c r="H528" s="38">
        <f t="shared" si="248"/>
        <v>9550000</v>
      </c>
      <c r="I528" s="38"/>
      <c r="J528" s="38"/>
      <c r="K528" s="38"/>
      <c r="L528" s="38"/>
      <c r="M528" s="38"/>
      <c r="N528" s="38"/>
      <c r="O528" s="38">
        <f t="shared" si="253"/>
        <v>40162785.960000001</v>
      </c>
      <c r="P528" s="38">
        <f t="shared" si="253"/>
        <v>0</v>
      </c>
      <c r="Q528" s="38">
        <f t="shared" si="253"/>
        <v>0</v>
      </c>
      <c r="R528" s="38">
        <f t="shared" si="253"/>
        <v>0</v>
      </c>
      <c r="S528" s="78">
        <v>45847</v>
      </c>
      <c r="T528" s="63"/>
      <c r="U528" s="63">
        <f t="shared" si="249"/>
        <v>33221.799999999814</v>
      </c>
      <c r="V528" s="63"/>
      <c r="W528" s="63"/>
      <c r="X528" s="63">
        <f t="shared" si="250"/>
        <v>33221.799999999814</v>
      </c>
      <c r="Y528" s="63">
        <f t="shared" si="251"/>
        <v>2910000</v>
      </c>
      <c r="Z528" s="63"/>
      <c r="AA528" s="63"/>
      <c r="AB528" s="63">
        <f t="shared" si="197"/>
        <v>3000000</v>
      </c>
      <c r="AC528" s="302"/>
      <c r="AD528" s="302"/>
      <c r="AE528" s="63"/>
      <c r="AF528" s="63"/>
      <c r="AG528" s="63"/>
      <c r="AH528" s="63"/>
      <c r="AJ528" s="63"/>
      <c r="AK528" s="316"/>
      <c r="AL528" s="316"/>
    </row>
    <row r="529" spans="1:38" x14ac:dyDescent="0.25">
      <c r="B529" s="42">
        <v>45848</v>
      </c>
      <c r="C529" s="38">
        <v>-794303.49</v>
      </c>
      <c r="D529" s="38">
        <f t="shared" si="246"/>
        <v>-766074.9</v>
      </c>
      <c r="E529" s="272">
        <v>820000</v>
      </c>
      <c r="F529" s="38"/>
      <c r="G529" s="38">
        <f t="shared" si="247"/>
        <v>53925.099999999977</v>
      </c>
      <c r="H529" s="38">
        <f t="shared" si="248"/>
        <v>8730000</v>
      </c>
      <c r="I529" s="38"/>
      <c r="J529" s="38"/>
      <c r="K529" s="38"/>
      <c r="L529" s="38"/>
      <c r="M529" s="38"/>
      <c r="N529" s="38"/>
      <c r="O529" s="38">
        <f t="shared" si="253"/>
        <v>40162785.960000001</v>
      </c>
      <c r="P529" s="38">
        <f t="shared" si="253"/>
        <v>0</v>
      </c>
      <c r="Q529" s="38">
        <f t="shared" si="253"/>
        <v>0</v>
      </c>
      <c r="R529" s="38">
        <f t="shared" si="253"/>
        <v>0</v>
      </c>
      <c r="S529" s="78">
        <v>45848</v>
      </c>
      <c r="T529" s="63">
        <v>-423139.19</v>
      </c>
      <c r="U529" s="63">
        <f t="shared" si="249"/>
        <v>-389917.39000000019</v>
      </c>
      <c r="V529" s="273">
        <v>450000</v>
      </c>
      <c r="W529" s="63"/>
      <c r="X529" s="63">
        <f t="shared" si="250"/>
        <v>60082.609999999811</v>
      </c>
      <c r="Y529" s="63">
        <f t="shared" si="251"/>
        <v>2460000</v>
      </c>
      <c r="Z529" s="63"/>
      <c r="AA529" s="63"/>
      <c r="AB529" s="63">
        <f t="shared" si="197"/>
        <v>3000000</v>
      </c>
      <c r="AC529" s="302"/>
      <c r="AD529" s="302"/>
      <c r="AE529" s="63"/>
      <c r="AF529" s="63"/>
      <c r="AG529" s="63"/>
      <c r="AH529" s="63"/>
      <c r="AJ529" s="63"/>
      <c r="AK529" s="316"/>
      <c r="AL529" s="316"/>
    </row>
    <row r="530" spans="1:38" x14ac:dyDescent="0.25">
      <c r="B530" s="42">
        <v>45849</v>
      </c>
      <c r="C530" s="38">
        <v>2556860.1800000002</v>
      </c>
      <c r="D530" s="38">
        <f t="shared" si="246"/>
        <v>2610785.2800000003</v>
      </c>
      <c r="E530" s="272">
        <v>-2550000</v>
      </c>
      <c r="F530" s="38"/>
      <c r="G530" s="38">
        <f t="shared" si="247"/>
        <v>60785.280000000261</v>
      </c>
      <c r="H530" s="38">
        <f t="shared" si="248"/>
        <v>11280000</v>
      </c>
      <c r="I530" s="38"/>
      <c r="J530" s="38"/>
      <c r="K530" s="38"/>
      <c r="L530" s="38"/>
      <c r="M530" s="38"/>
      <c r="N530" s="38"/>
      <c r="O530" s="114">
        <f>O529-19838156.61</f>
        <v>20324629.350000001</v>
      </c>
      <c r="P530" s="38">
        <f t="shared" si="253"/>
        <v>0</v>
      </c>
      <c r="Q530" s="38">
        <f t="shared" si="253"/>
        <v>0</v>
      </c>
      <c r="R530" s="38">
        <f t="shared" si="253"/>
        <v>0</v>
      </c>
      <c r="S530" s="78">
        <v>45849</v>
      </c>
      <c r="T530" s="63"/>
      <c r="U530" s="63">
        <f t="shared" si="249"/>
        <v>60082.609999999811</v>
      </c>
      <c r="V530" s="63"/>
      <c r="W530" s="63"/>
      <c r="X530" s="63">
        <f t="shared" si="250"/>
        <v>60082.609999999811</v>
      </c>
      <c r="Y530" s="63">
        <f t="shared" si="251"/>
        <v>2460000</v>
      </c>
      <c r="Z530" s="63"/>
      <c r="AA530" s="63"/>
      <c r="AB530" s="63">
        <f t="shared" si="197"/>
        <v>3000000</v>
      </c>
      <c r="AC530" s="302"/>
      <c r="AD530" s="302"/>
      <c r="AE530" s="63"/>
      <c r="AF530" s="63"/>
      <c r="AG530" s="63"/>
      <c r="AH530" s="63"/>
      <c r="AJ530" s="63"/>
      <c r="AK530" s="316"/>
      <c r="AL530" s="316"/>
    </row>
    <row r="531" spans="1:38" x14ac:dyDescent="0.25">
      <c r="B531" s="42">
        <v>45850</v>
      </c>
      <c r="C531" s="38"/>
      <c r="D531" s="38">
        <f t="shared" si="246"/>
        <v>60785.280000000261</v>
      </c>
      <c r="E531" s="38"/>
      <c r="F531" s="38"/>
      <c r="G531" s="38">
        <f t="shared" si="247"/>
        <v>60785.280000000261</v>
      </c>
      <c r="H531" s="38">
        <f t="shared" si="248"/>
        <v>11280000</v>
      </c>
      <c r="I531" s="38"/>
      <c r="J531" s="38"/>
      <c r="K531" s="38"/>
      <c r="L531" s="38"/>
      <c r="M531" s="38"/>
      <c r="N531" s="38"/>
      <c r="O531" s="38">
        <f t="shared" si="253"/>
        <v>20324629.350000001</v>
      </c>
      <c r="P531" s="38">
        <f t="shared" si="253"/>
        <v>0</v>
      </c>
      <c r="Q531" s="38">
        <f t="shared" si="253"/>
        <v>0</v>
      </c>
      <c r="R531" s="38">
        <f t="shared" si="253"/>
        <v>0</v>
      </c>
      <c r="S531" s="78">
        <v>45850</v>
      </c>
      <c r="T531" s="63"/>
      <c r="U531" s="63">
        <f t="shared" si="249"/>
        <v>60082.609999999811</v>
      </c>
      <c r="V531" s="63"/>
      <c r="W531" s="63"/>
      <c r="X531" s="63">
        <f t="shared" si="250"/>
        <v>60082.609999999811</v>
      </c>
      <c r="Y531" s="63">
        <f t="shared" si="251"/>
        <v>2460000</v>
      </c>
      <c r="Z531" s="63"/>
      <c r="AA531" s="63"/>
      <c r="AB531" s="63">
        <f t="shared" ref="AB531:AB588" si="254">AB530</f>
        <v>3000000</v>
      </c>
      <c r="AC531" s="302"/>
      <c r="AD531" s="302"/>
      <c r="AE531" s="63"/>
      <c r="AF531" s="63"/>
      <c r="AG531" s="63"/>
      <c r="AH531" s="63"/>
      <c r="AJ531" s="63"/>
      <c r="AK531" s="316"/>
      <c r="AL531" s="316"/>
    </row>
    <row r="532" spans="1:38" x14ac:dyDescent="0.25">
      <c r="B532" s="42">
        <v>45851</v>
      </c>
      <c r="C532" s="38"/>
      <c r="D532" s="38">
        <f t="shared" si="246"/>
        <v>60785.280000000261</v>
      </c>
      <c r="E532" s="38"/>
      <c r="F532" s="38"/>
      <c r="G532" s="38">
        <f t="shared" si="247"/>
        <v>60785.280000000261</v>
      </c>
      <c r="H532" s="38">
        <f t="shared" si="248"/>
        <v>11280000</v>
      </c>
      <c r="I532" s="38"/>
      <c r="J532" s="38"/>
      <c r="K532" s="38"/>
      <c r="L532" s="38"/>
      <c r="M532" s="38"/>
      <c r="N532" s="38"/>
      <c r="O532" s="38">
        <f t="shared" si="253"/>
        <v>20324629.350000001</v>
      </c>
      <c r="P532" s="38">
        <f t="shared" si="253"/>
        <v>0</v>
      </c>
      <c r="Q532" s="38">
        <f t="shared" si="253"/>
        <v>0</v>
      </c>
      <c r="R532" s="38">
        <f t="shared" si="253"/>
        <v>0</v>
      </c>
      <c r="S532" s="78">
        <v>45851</v>
      </c>
      <c r="T532" s="63"/>
      <c r="U532" s="63">
        <f t="shared" si="249"/>
        <v>60082.609999999811</v>
      </c>
      <c r="V532" s="63"/>
      <c r="W532" s="63"/>
      <c r="X532" s="63">
        <f t="shared" si="250"/>
        <v>60082.609999999811</v>
      </c>
      <c r="Y532" s="63">
        <f t="shared" si="251"/>
        <v>2460000</v>
      </c>
      <c r="Z532" s="63"/>
      <c r="AA532" s="63"/>
      <c r="AB532" s="63">
        <f t="shared" si="254"/>
        <v>3000000</v>
      </c>
      <c r="AC532" s="302"/>
      <c r="AD532" s="302"/>
      <c r="AE532" s="63"/>
      <c r="AF532" s="63"/>
      <c r="AG532" s="63"/>
      <c r="AH532" s="63"/>
      <c r="AJ532" s="63"/>
      <c r="AK532" s="316"/>
      <c r="AL532" s="316"/>
    </row>
    <row r="533" spans="1:38" x14ac:dyDescent="0.25">
      <c r="B533" s="42">
        <v>45852</v>
      </c>
      <c r="C533" s="38"/>
      <c r="D533" s="38">
        <f t="shared" si="246"/>
        <v>60785.280000000261</v>
      </c>
      <c r="E533" s="38"/>
      <c r="F533" s="38"/>
      <c r="G533" s="38">
        <f t="shared" si="247"/>
        <v>60785.280000000261</v>
      </c>
      <c r="H533" s="38">
        <f t="shared" si="248"/>
        <v>11280000</v>
      </c>
      <c r="I533" s="38"/>
      <c r="J533" s="38"/>
      <c r="K533" s="38"/>
      <c r="L533" s="38"/>
      <c r="M533" s="38"/>
      <c r="N533" s="38"/>
      <c r="O533" s="38">
        <f t="shared" si="253"/>
        <v>20324629.350000001</v>
      </c>
      <c r="P533" s="38">
        <f t="shared" si="253"/>
        <v>0</v>
      </c>
      <c r="Q533" s="38">
        <f t="shared" si="253"/>
        <v>0</v>
      </c>
      <c r="R533" s="38">
        <f t="shared" si="253"/>
        <v>0</v>
      </c>
      <c r="S533" s="78">
        <v>45852</v>
      </c>
      <c r="T533" s="63"/>
      <c r="U533" s="63">
        <f t="shared" si="249"/>
        <v>60082.609999999811</v>
      </c>
      <c r="V533" s="63"/>
      <c r="W533" s="63"/>
      <c r="X533" s="63">
        <f t="shared" si="250"/>
        <v>60082.609999999811</v>
      </c>
      <c r="Y533" s="63">
        <f t="shared" si="251"/>
        <v>2460000</v>
      </c>
      <c r="Z533" s="63"/>
      <c r="AA533" s="63"/>
      <c r="AB533" s="63">
        <f t="shared" si="254"/>
        <v>3000000</v>
      </c>
      <c r="AC533" s="302"/>
      <c r="AD533" s="302"/>
      <c r="AE533" s="63"/>
      <c r="AF533" s="63"/>
      <c r="AG533" s="63"/>
      <c r="AH533" s="63"/>
      <c r="AJ533" s="63"/>
      <c r="AK533" s="316"/>
      <c r="AL533" s="316"/>
    </row>
    <row r="534" spans="1:38" x14ac:dyDescent="0.25">
      <c r="B534" s="42">
        <v>45853</v>
      </c>
      <c r="C534" s="38">
        <v>-299542.28999999998</v>
      </c>
      <c r="D534" s="38">
        <f t="shared" si="246"/>
        <v>-238757.00999999972</v>
      </c>
      <c r="E534" s="83">
        <v>290000</v>
      </c>
      <c r="F534" s="38"/>
      <c r="G534" s="38">
        <f t="shared" si="247"/>
        <v>51242.990000000282</v>
      </c>
      <c r="H534" s="38">
        <f t="shared" si="248"/>
        <v>10990000</v>
      </c>
      <c r="I534" s="38"/>
      <c r="J534" s="38"/>
      <c r="K534" s="38"/>
      <c r="L534" s="38"/>
      <c r="M534" s="38"/>
      <c r="N534" s="38"/>
      <c r="O534" s="38">
        <f t="shared" si="253"/>
        <v>20324629.350000001</v>
      </c>
      <c r="P534" s="38">
        <f t="shared" si="253"/>
        <v>0</v>
      </c>
      <c r="Q534" s="38">
        <f t="shared" si="253"/>
        <v>0</v>
      </c>
      <c r="R534" s="38">
        <f t="shared" si="253"/>
        <v>0</v>
      </c>
      <c r="S534" s="78">
        <v>45853</v>
      </c>
      <c r="T534" s="63"/>
      <c r="U534" s="63">
        <f t="shared" si="249"/>
        <v>60082.609999999811</v>
      </c>
      <c r="V534" s="63"/>
      <c r="W534" s="63"/>
      <c r="X534" s="63">
        <f t="shared" si="250"/>
        <v>60082.609999999811</v>
      </c>
      <c r="Y534" s="63">
        <f t="shared" si="251"/>
        <v>2460000</v>
      </c>
      <c r="Z534" s="63"/>
      <c r="AA534" s="63"/>
      <c r="AB534" s="63">
        <f t="shared" si="254"/>
        <v>3000000</v>
      </c>
      <c r="AC534" s="302"/>
      <c r="AD534" s="302"/>
      <c r="AE534" s="63"/>
      <c r="AF534" s="63"/>
      <c r="AG534" s="63"/>
      <c r="AH534" s="63"/>
      <c r="AJ534" s="63"/>
      <c r="AK534" s="316"/>
      <c r="AL534" s="316"/>
    </row>
    <row r="535" spans="1:38" ht="17.25" customHeight="1" x14ac:dyDescent="0.25">
      <c r="A535" s="280" t="s">
        <v>108</v>
      </c>
      <c r="B535" s="42">
        <v>45854</v>
      </c>
      <c r="C535" s="38"/>
      <c r="D535" s="38">
        <f t="shared" si="246"/>
        <v>51242.990000000282</v>
      </c>
      <c r="E535" s="38"/>
      <c r="F535" s="38">
        <f>70000-G534</f>
        <v>18757.009999999718</v>
      </c>
      <c r="G535" s="38">
        <f t="shared" si="247"/>
        <v>70000</v>
      </c>
      <c r="H535" s="38">
        <f t="shared" si="248"/>
        <v>10990000</v>
      </c>
      <c r="I535" s="38"/>
      <c r="J535" s="38"/>
      <c r="K535" s="38"/>
      <c r="L535" s="38"/>
      <c r="M535" s="38"/>
      <c r="N535" s="38"/>
      <c r="O535" s="38">
        <f t="shared" si="253"/>
        <v>20324629.350000001</v>
      </c>
      <c r="P535" s="38">
        <f t="shared" si="253"/>
        <v>0</v>
      </c>
      <c r="Q535" s="38">
        <f t="shared" si="253"/>
        <v>0</v>
      </c>
      <c r="R535" s="38">
        <f t="shared" si="253"/>
        <v>0</v>
      </c>
      <c r="S535" s="78">
        <v>45854</v>
      </c>
      <c r="T535" s="63"/>
      <c r="U535" s="63">
        <f t="shared" si="249"/>
        <v>60082.609999999811</v>
      </c>
      <c r="V535" s="63"/>
      <c r="W535" s="63"/>
      <c r="X535" s="63">
        <f t="shared" si="250"/>
        <v>60082.609999999811</v>
      </c>
      <c r="Y535" s="63">
        <f t="shared" si="251"/>
        <v>2460000</v>
      </c>
      <c r="Z535" s="63"/>
      <c r="AA535" s="63"/>
      <c r="AB535" s="63">
        <f t="shared" si="254"/>
        <v>3000000</v>
      </c>
      <c r="AC535" s="302"/>
      <c r="AD535" s="302"/>
      <c r="AE535" s="63"/>
      <c r="AF535" s="63"/>
      <c r="AG535" s="63"/>
      <c r="AH535" s="63"/>
      <c r="AJ535" s="63"/>
      <c r="AK535" s="316"/>
      <c r="AL535" s="316"/>
    </row>
    <row r="536" spans="1:38" x14ac:dyDescent="0.25">
      <c r="B536" s="42">
        <v>45855</v>
      </c>
      <c r="C536" s="38"/>
      <c r="D536" s="38">
        <f t="shared" si="246"/>
        <v>70000</v>
      </c>
      <c r="E536" s="38"/>
      <c r="F536" s="38"/>
      <c r="G536" s="38">
        <f t="shared" si="247"/>
        <v>70000</v>
      </c>
      <c r="H536" s="38">
        <f t="shared" si="248"/>
        <v>10990000</v>
      </c>
      <c r="I536" s="38"/>
      <c r="J536" s="38"/>
      <c r="K536" s="38"/>
      <c r="L536" s="38"/>
      <c r="M536" s="38"/>
      <c r="N536" s="38"/>
      <c r="O536" s="38">
        <f t="shared" si="253"/>
        <v>20324629.350000001</v>
      </c>
      <c r="P536" s="38">
        <f t="shared" si="253"/>
        <v>0</v>
      </c>
      <c r="Q536" s="38">
        <f t="shared" si="253"/>
        <v>0</v>
      </c>
      <c r="R536" s="38">
        <f t="shared" si="253"/>
        <v>0</v>
      </c>
      <c r="S536" s="78">
        <v>45855</v>
      </c>
      <c r="T536" s="63"/>
      <c r="U536" s="63">
        <f t="shared" si="249"/>
        <v>60082.609999999811</v>
      </c>
      <c r="V536" s="63"/>
      <c r="W536" s="63"/>
      <c r="X536" s="63">
        <f t="shared" si="250"/>
        <v>60082.609999999811</v>
      </c>
      <c r="Y536" s="63">
        <f t="shared" si="251"/>
        <v>2460000</v>
      </c>
      <c r="Z536" s="63"/>
      <c r="AA536" s="63"/>
      <c r="AB536" s="63">
        <f t="shared" si="254"/>
        <v>3000000</v>
      </c>
      <c r="AC536" s="302"/>
      <c r="AD536" s="302"/>
      <c r="AE536" s="63"/>
      <c r="AF536" s="63"/>
      <c r="AG536" s="63"/>
      <c r="AH536" s="63"/>
      <c r="AJ536" s="63"/>
      <c r="AK536" s="316"/>
      <c r="AL536" s="316"/>
    </row>
    <row r="537" spans="1:38" x14ac:dyDescent="0.25">
      <c r="B537" s="42">
        <v>45856</v>
      </c>
      <c r="C537" s="38"/>
      <c r="D537" s="38">
        <f t="shared" si="246"/>
        <v>70000</v>
      </c>
      <c r="E537" s="38"/>
      <c r="F537" s="38"/>
      <c r="G537" s="38">
        <f t="shared" si="247"/>
        <v>70000</v>
      </c>
      <c r="H537" s="38">
        <f t="shared" si="248"/>
        <v>10990000</v>
      </c>
      <c r="I537" s="38"/>
      <c r="J537" s="38"/>
      <c r="K537" s="38"/>
      <c r="L537" s="38"/>
      <c r="M537" s="38"/>
      <c r="N537" s="38"/>
      <c r="O537" s="38">
        <f t="shared" si="253"/>
        <v>20324629.350000001</v>
      </c>
      <c r="P537" s="38">
        <f t="shared" si="253"/>
        <v>0</v>
      </c>
      <c r="Q537" s="38">
        <f t="shared" si="253"/>
        <v>0</v>
      </c>
      <c r="R537" s="38">
        <f t="shared" si="253"/>
        <v>0</v>
      </c>
      <c r="S537" s="78">
        <v>45856</v>
      </c>
      <c r="T537" s="63"/>
      <c r="U537" s="63">
        <f t="shared" si="249"/>
        <v>60082.609999999811</v>
      </c>
      <c r="V537" s="63"/>
      <c r="W537" s="63"/>
      <c r="X537" s="63">
        <f t="shared" si="250"/>
        <v>60082.609999999811</v>
      </c>
      <c r="Y537" s="63">
        <f t="shared" si="251"/>
        <v>2460000</v>
      </c>
      <c r="Z537" s="63"/>
      <c r="AA537" s="63"/>
      <c r="AB537" s="63">
        <f t="shared" si="254"/>
        <v>3000000</v>
      </c>
      <c r="AC537" s="302"/>
      <c r="AD537" s="302"/>
      <c r="AE537" s="63"/>
      <c r="AF537" s="63"/>
      <c r="AG537" s="63"/>
      <c r="AH537" s="63"/>
      <c r="AJ537" s="63"/>
      <c r="AK537" s="316"/>
      <c r="AL537" s="316"/>
    </row>
    <row r="538" spans="1:38" x14ac:dyDescent="0.25">
      <c r="B538" s="42">
        <v>45857</v>
      </c>
      <c r="C538" s="38"/>
      <c r="D538" s="38">
        <f t="shared" si="246"/>
        <v>70000</v>
      </c>
      <c r="E538" s="38"/>
      <c r="F538" s="38"/>
      <c r="G538" s="38">
        <f t="shared" si="247"/>
        <v>70000</v>
      </c>
      <c r="H538" s="38">
        <f t="shared" si="248"/>
        <v>10990000</v>
      </c>
      <c r="I538" s="38"/>
      <c r="J538" s="38"/>
      <c r="K538" s="38"/>
      <c r="L538" s="38"/>
      <c r="M538" s="38"/>
      <c r="N538" s="38"/>
      <c r="O538" s="38">
        <f t="shared" si="253"/>
        <v>20324629.350000001</v>
      </c>
      <c r="P538" s="38">
        <f t="shared" si="253"/>
        <v>0</v>
      </c>
      <c r="Q538" s="38">
        <f t="shared" si="253"/>
        <v>0</v>
      </c>
      <c r="R538" s="38">
        <f t="shared" si="253"/>
        <v>0</v>
      </c>
      <c r="S538" s="78">
        <v>45857</v>
      </c>
      <c r="T538" s="63"/>
      <c r="U538" s="63">
        <f t="shared" si="249"/>
        <v>60082.609999999811</v>
      </c>
      <c r="V538" s="63"/>
      <c r="W538" s="63"/>
      <c r="X538" s="63">
        <f t="shared" si="250"/>
        <v>60082.609999999811</v>
      </c>
      <c r="Y538" s="63">
        <f t="shared" si="251"/>
        <v>2460000</v>
      </c>
      <c r="Z538" s="63"/>
      <c r="AA538" s="63"/>
      <c r="AB538" s="63">
        <f t="shared" si="254"/>
        <v>3000000</v>
      </c>
      <c r="AC538" s="302"/>
      <c r="AD538" s="302"/>
      <c r="AE538" s="63"/>
      <c r="AF538" s="63"/>
      <c r="AG538" s="63"/>
      <c r="AH538" s="63"/>
      <c r="AJ538" s="63"/>
      <c r="AK538" s="316"/>
      <c r="AL538" s="316"/>
    </row>
    <row r="539" spans="1:38" x14ac:dyDescent="0.25">
      <c r="B539" s="42">
        <v>45858</v>
      </c>
      <c r="C539" s="38"/>
      <c r="D539" s="38">
        <f t="shared" si="246"/>
        <v>70000</v>
      </c>
      <c r="E539" s="38"/>
      <c r="F539" s="38"/>
      <c r="G539" s="38">
        <f t="shared" si="247"/>
        <v>70000</v>
      </c>
      <c r="H539" s="38">
        <f t="shared" si="248"/>
        <v>10990000</v>
      </c>
      <c r="I539" s="38"/>
      <c r="J539" s="38"/>
      <c r="K539" s="38"/>
      <c r="L539" s="38"/>
      <c r="M539" s="38"/>
      <c r="N539" s="38"/>
      <c r="O539" s="38">
        <f t="shared" si="253"/>
        <v>20324629.350000001</v>
      </c>
      <c r="P539" s="38">
        <f t="shared" si="253"/>
        <v>0</v>
      </c>
      <c r="Q539" s="38">
        <f t="shared" si="253"/>
        <v>0</v>
      </c>
      <c r="R539" s="38">
        <f t="shared" si="253"/>
        <v>0</v>
      </c>
      <c r="S539" s="78">
        <v>45858</v>
      </c>
      <c r="T539" s="63"/>
      <c r="U539" s="63">
        <f t="shared" si="249"/>
        <v>60082.609999999811</v>
      </c>
      <c r="V539" s="63"/>
      <c r="W539" s="63"/>
      <c r="X539" s="63">
        <f t="shared" si="250"/>
        <v>60082.609999999811</v>
      </c>
      <c r="Y539" s="63">
        <f t="shared" si="251"/>
        <v>2460000</v>
      </c>
      <c r="Z539" s="63"/>
      <c r="AA539" s="63"/>
      <c r="AB539" s="63">
        <f t="shared" si="254"/>
        <v>3000000</v>
      </c>
      <c r="AC539" s="302"/>
      <c r="AD539" s="302"/>
      <c r="AE539" s="63"/>
      <c r="AF539" s="63"/>
      <c r="AG539" s="63"/>
      <c r="AH539" s="63"/>
      <c r="AJ539" s="63"/>
      <c r="AK539" s="316"/>
      <c r="AL539" s="316"/>
    </row>
    <row r="540" spans="1:38" x14ac:dyDescent="0.25">
      <c r="B540" s="42">
        <v>45859</v>
      </c>
      <c r="C540" s="38"/>
      <c r="D540" s="38">
        <f t="shared" si="246"/>
        <v>70000</v>
      </c>
      <c r="E540" s="38"/>
      <c r="F540" s="38"/>
      <c r="G540" s="38">
        <f t="shared" si="247"/>
        <v>70000</v>
      </c>
      <c r="H540" s="38">
        <f t="shared" si="248"/>
        <v>10990000</v>
      </c>
      <c r="I540" s="38"/>
      <c r="J540" s="38"/>
      <c r="K540" s="38"/>
      <c r="L540" s="38"/>
      <c r="M540" s="38"/>
      <c r="N540" s="38"/>
      <c r="O540" s="38">
        <f t="shared" si="253"/>
        <v>20324629.350000001</v>
      </c>
      <c r="P540" s="38">
        <f t="shared" si="253"/>
        <v>0</v>
      </c>
      <c r="Q540" s="38">
        <f t="shared" si="253"/>
        <v>0</v>
      </c>
      <c r="R540" s="38">
        <f t="shared" si="253"/>
        <v>0</v>
      </c>
      <c r="S540" s="78">
        <v>45859</v>
      </c>
      <c r="T540" s="281">
        <v>-1000000</v>
      </c>
      <c r="U540" s="63">
        <f t="shared" si="249"/>
        <v>-939917.39000000013</v>
      </c>
      <c r="V540" s="84">
        <v>1000000</v>
      </c>
      <c r="W540" s="63"/>
      <c r="X540" s="63">
        <f t="shared" si="250"/>
        <v>60082.60999999987</v>
      </c>
      <c r="Y540" s="63">
        <f t="shared" si="251"/>
        <v>1460000</v>
      </c>
      <c r="Z540" s="63"/>
      <c r="AA540" s="63"/>
      <c r="AB540" s="63">
        <f t="shared" si="254"/>
        <v>3000000</v>
      </c>
      <c r="AC540" s="302"/>
      <c r="AD540" s="302"/>
      <c r="AE540" s="63"/>
      <c r="AF540" s="63"/>
      <c r="AG540" s="63"/>
      <c r="AH540" s="63"/>
      <c r="AJ540" s="63"/>
      <c r="AK540" s="316"/>
      <c r="AL540" s="316"/>
    </row>
    <row r="541" spans="1:38" x14ac:dyDescent="0.25">
      <c r="B541" s="42">
        <v>45860</v>
      </c>
      <c r="C541" s="38"/>
      <c r="D541" s="38">
        <f t="shared" si="246"/>
        <v>70000</v>
      </c>
      <c r="E541" s="38"/>
      <c r="F541" s="38"/>
      <c r="G541" s="38">
        <f t="shared" si="247"/>
        <v>70000</v>
      </c>
      <c r="H541" s="38">
        <f t="shared" si="248"/>
        <v>10990000</v>
      </c>
      <c r="I541" s="38"/>
      <c r="J541" s="38"/>
      <c r="K541" s="38"/>
      <c r="L541" s="38"/>
      <c r="M541" s="38"/>
      <c r="N541" s="38"/>
      <c r="O541" s="38">
        <f t="shared" si="253"/>
        <v>20324629.350000001</v>
      </c>
      <c r="P541" s="38">
        <f t="shared" si="253"/>
        <v>0</v>
      </c>
      <c r="Q541" s="38">
        <f t="shared" si="253"/>
        <v>0</v>
      </c>
      <c r="R541" s="38">
        <f t="shared" si="253"/>
        <v>0</v>
      </c>
      <c r="S541" s="78">
        <v>45860</v>
      </c>
      <c r="T541" s="63"/>
      <c r="U541" s="63">
        <f t="shared" si="249"/>
        <v>60082.60999999987</v>
      </c>
      <c r="V541" s="63"/>
      <c r="W541" s="63"/>
      <c r="X541" s="63">
        <f t="shared" si="250"/>
        <v>60082.60999999987</v>
      </c>
      <c r="Y541" s="63">
        <f t="shared" si="251"/>
        <v>1460000</v>
      </c>
      <c r="Z541" s="63"/>
      <c r="AA541" s="63"/>
      <c r="AB541" s="63">
        <f t="shared" si="254"/>
        <v>3000000</v>
      </c>
      <c r="AC541" s="302"/>
      <c r="AD541" s="302"/>
      <c r="AE541" s="63"/>
      <c r="AF541" s="63"/>
      <c r="AG541" s="63"/>
      <c r="AH541" s="63"/>
      <c r="AJ541" s="63"/>
      <c r="AK541" s="316"/>
      <c r="AL541" s="316"/>
    </row>
    <row r="542" spans="1:38" x14ac:dyDescent="0.25">
      <c r="B542" s="42">
        <v>45861</v>
      </c>
      <c r="C542" s="38">
        <v>-63087.82</v>
      </c>
      <c r="D542" s="38">
        <f t="shared" si="246"/>
        <v>6912.18</v>
      </c>
      <c r="E542" s="83">
        <v>50000</v>
      </c>
      <c r="F542" s="38"/>
      <c r="G542" s="38">
        <f t="shared" si="247"/>
        <v>56912.18</v>
      </c>
      <c r="H542" s="38">
        <f t="shared" si="248"/>
        <v>10940000</v>
      </c>
      <c r="I542" s="38"/>
      <c r="J542" s="38"/>
      <c r="K542" s="38"/>
      <c r="L542" s="38"/>
      <c r="M542" s="38"/>
      <c r="N542" s="38"/>
      <c r="O542" s="38">
        <f t="shared" ref="O542:R557" si="255">O541</f>
        <v>20324629.350000001</v>
      </c>
      <c r="P542" s="38">
        <f t="shared" si="255"/>
        <v>0</v>
      </c>
      <c r="Q542" s="38">
        <f t="shared" si="255"/>
        <v>0</v>
      </c>
      <c r="R542" s="38">
        <f t="shared" si="255"/>
        <v>0</v>
      </c>
      <c r="S542" s="78">
        <v>45861</v>
      </c>
      <c r="T542" s="63">
        <f>3005495.67-1500000</f>
        <v>1505495.67</v>
      </c>
      <c r="U542" s="63">
        <f t="shared" si="249"/>
        <v>1565578.2799999998</v>
      </c>
      <c r="V542" s="84">
        <v>-1500000</v>
      </c>
      <c r="W542" s="63"/>
      <c r="X542" s="63">
        <f t="shared" si="250"/>
        <v>65578.279999999795</v>
      </c>
      <c r="Y542" s="63">
        <f t="shared" si="251"/>
        <v>2960000</v>
      </c>
      <c r="Z542" s="63"/>
      <c r="AA542" s="63"/>
      <c r="AB542" s="63">
        <v>0</v>
      </c>
      <c r="AC542" s="302"/>
      <c r="AD542" s="302"/>
      <c r="AE542" s="63"/>
      <c r="AF542" s="63"/>
      <c r="AG542" s="63"/>
      <c r="AH542" s="63"/>
      <c r="AJ542" s="63"/>
      <c r="AK542" s="316"/>
      <c r="AL542" s="316"/>
    </row>
    <row r="543" spans="1:38" x14ac:dyDescent="0.25">
      <c r="B543" s="42">
        <v>45862</v>
      </c>
      <c r="C543" s="38"/>
      <c r="D543" s="38">
        <f t="shared" si="246"/>
        <v>56912.18</v>
      </c>
      <c r="E543" s="38"/>
      <c r="F543" s="38">
        <f>63800-G542</f>
        <v>6887.82</v>
      </c>
      <c r="G543" s="38">
        <f t="shared" si="247"/>
        <v>63800</v>
      </c>
      <c r="H543" s="38">
        <f t="shared" si="248"/>
        <v>10940000</v>
      </c>
      <c r="I543" s="38"/>
      <c r="J543" s="38"/>
      <c r="K543" s="38"/>
      <c r="L543" s="38"/>
      <c r="M543" s="38"/>
      <c r="N543" s="38"/>
      <c r="O543" s="38">
        <f t="shared" si="255"/>
        <v>20324629.350000001</v>
      </c>
      <c r="P543" s="38">
        <f t="shared" si="255"/>
        <v>0</v>
      </c>
      <c r="Q543" s="38">
        <f t="shared" si="255"/>
        <v>0</v>
      </c>
      <c r="R543" s="38">
        <f t="shared" si="255"/>
        <v>0</v>
      </c>
      <c r="S543" s="78">
        <v>45862</v>
      </c>
      <c r="T543" s="63"/>
      <c r="U543" s="63">
        <f t="shared" si="249"/>
        <v>65578.279999999795</v>
      </c>
      <c r="V543" s="63"/>
      <c r="W543" s="63"/>
      <c r="X543" s="63">
        <f t="shared" si="250"/>
        <v>65578.279999999795</v>
      </c>
      <c r="Y543" s="63">
        <f t="shared" si="251"/>
        <v>2960000</v>
      </c>
      <c r="Z543" s="63"/>
      <c r="AA543" s="63"/>
      <c r="AB543" s="63">
        <f t="shared" si="254"/>
        <v>0</v>
      </c>
      <c r="AC543" s="302"/>
      <c r="AD543" s="302"/>
      <c r="AE543" s="63"/>
      <c r="AF543" s="63"/>
      <c r="AG543" s="63"/>
      <c r="AH543" s="63"/>
      <c r="AJ543" s="63"/>
      <c r="AK543" s="316"/>
      <c r="AL543" s="316"/>
    </row>
    <row r="544" spans="1:38" x14ac:dyDescent="0.25">
      <c r="B544" s="42">
        <v>45863</v>
      </c>
      <c r="C544" s="284">
        <v>-4623935.71</v>
      </c>
      <c r="D544" s="38">
        <f t="shared" si="246"/>
        <v>-4560135.71</v>
      </c>
      <c r="E544" s="83">
        <v>4630000</v>
      </c>
      <c r="F544" s="38"/>
      <c r="G544" s="38">
        <f t="shared" si="247"/>
        <v>69864.290000000037</v>
      </c>
      <c r="H544" s="38">
        <f t="shared" si="248"/>
        <v>6310000</v>
      </c>
      <c r="I544" s="38"/>
      <c r="J544" s="38"/>
      <c r="K544" s="38"/>
      <c r="L544" s="38"/>
      <c r="M544" s="38"/>
      <c r="N544" s="38"/>
      <c r="O544" s="38">
        <f t="shared" si="255"/>
        <v>20324629.350000001</v>
      </c>
      <c r="P544" s="38">
        <f t="shared" si="255"/>
        <v>0</v>
      </c>
      <c r="Q544" s="38">
        <f t="shared" si="255"/>
        <v>0</v>
      </c>
      <c r="R544" s="38">
        <f t="shared" si="255"/>
        <v>0</v>
      </c>
      <c r="S544" s="78">
        <v>45863</v>
      </c>
      <c r="T544" s="63">
        <v>-1399159.51</v>
      </c>
      <c r="U544" s="63">
        <f t="shared" si="249"/>
        <v>-1333581.2300000002</v>
      </c>
      <c r="V544" s="84">
        <v>1400000</v>
      </c>
      <c r="W544" s="63"/>
      <c r="X544" s="63">
        <f t="shared" si="250"/>
        <v>66418.769999999786</v>
      </c>
      <c r="Y544" s="63">
        <f t="shared" si="251"/>
        <v>1560000</v>
      </c>
      <c r="Z544" s="63"/>
      <c r="AA544" s="63"/>
      <c r="AB544" s="63">
        <f t="shared" si="254"/>
        <v>0</v>
      </c>
      <c r="AC544" s="302"/>
      <c r="AD544" s="302"/>
      <c r="AE544" s="63"/>
      <c r="AF544" s="63"/>
      <c r="AG544" s="63"/>
      <c r="AH544" s="63"/>
      <c r="AJ544" s="63"/>
      <c r="AK544" s="316"/>
      <c r="AL544" s="316"/>
    </row>
    <row r="545" spans="1:38" x14ac:dyDescent="0.25">
      <c r="B545" s="42">
        <v>45864</v>
      </c>
      <c r="C545" s="38"/>
      <c r="D545" s="38">
        <f t="shared" si="246"/>
        <v>69864.290000000037</v>
      </c>
      <c r="E545" s="38"/>
      <c r="F545" s="38"/>
      <c r="G545" s="38">
        <f t="shared" si="247"/>
        <v>69864.290000000037</v>
      </c>
      <c r="H545" s="38">
        <f t="shared" si="248"/>
        <v>6310000</v>
      </c>
      <c r="I545" s="38"/>
      <c r="J545" s="38"/>
      <c r="K545" s="38"/>
      <c r="L545" s="38"/>
      <c r="M545" s="38"/>
      <c r="N545" s="38"/>
      <c r="O545" s="38">
        <f t="shared" si="255"/>
        <v>20324629.350000001</v>
      </c>
      <c r="P545" s="38">
        <f t="shared" si="255"/>
        <v>0</v>
      </c>
      <c r="Q545" s="38">
        <f t="shared" si="255"/>
        <v>0</v>
      </c>
      <c r="R545" s="38">
        <f t="shared" si="255"/>
        <v>0</v>
      </c>
      <c r="S545" s="78">
        <v>45864</v>
      </c>
      <c r="T545" s="63"/>
      <c r="U545" s="63">
        <f t="shared" si="249"/>
        <v>66418.769999999786</v>
      </c>
      <c r="V545" s="63"/>
      <c r="W545" s="63"/>
      <c r="X545" s="63">
        <f t="shared" si="250"/>
        <v>66418.769999999786</v>
      </c>
      <c r="Y545" s="63">
        <f t="shared" si="251"/>
        <v>1560000</v>
      </c>
      <c r="Z545" s="63"/>
      <c r="AA545" s="63"/>
      <c r="AB545" s="63">
        <f t="shared" si="254"/>
        <v>0</v>
      </c>
      <c r="AC545" s="302"/>
      <c r="AD545" s="302"/>
      <c r="AE545" s="63"/>
      <c r="AF545" s="63"/>
      <c r="AG545" s="63"/>
      <c r="AH545" s="63"/>
      <c r="AJ545" s="63"/>
      <c r="AK545" s="316"/>
      <c r="AL545" s="316"/>
    </row>
    <row r="546" spans="1:38" x14ac:dyDescent="0.25">
      <c r="B546" s="42">
        <v>45865</v>
      </c>
      <c r="C546" s="38"/>
      <c r="D546" s="38">
        <f t="shared" si="246"/>
        <v>69864.290000000037</v>
      </c>
      <c r="E546" s="38"/>
      <c r="F546" s="38"/>
      <c r="G546" s="38">
        <f t="shared" si="247"/>
        <v>69864.290000000037</v>
      </c>
      <c r="H546" s="38">
        <f t="shared" si="248"/>
        <v>6310000</v>
      </c>
      <c r="I546" s="38"/>
      <c r="J546" s="38"/>
      <c r="K546" s="38"/>
      <c r="L546" s="38"/>
      <c r="M546" s="38"/>
      <c r="N546" s="38"/>
      <c r="O546" s="38">
        <f t="shared" si="255"/>
        <v>20324629.350000001</v>
      </c>
      <c r="P546" s="38">
        <f t="shared" si="255"/>
        <v>0</v>
      </c>
      <c r="Q546" s="38">
        <f t="shared" si="255"/>
        <v>0</v>
      </c>
      <c r="R546" s="38">
        <f t="shared" si="255"/>
        <v>0</v>
      </c>
      <c r="S546" s="78">
        <v>45865</v>
      </c>
      <c r="T546" s="63"/>
      <c r="U546" s="63">
        <f t="shared" si="249"/>
        <v>66418.769999999786</v>
      </c>
      <c r="V546" s="63"/>
      <c r="W546" s="63"/>
      <c r="X546" s="63">
        <f t="shared" si="250"/>
        <v>66418.769999999786</v>
      </c>
      <c r="Y546" s="63">
        <f t="shared" si="251"/>
        <v>1560000</v>
      </c>
      <c r="Z546" s="63"/>
      <c r="AA546" s="63"/>
      <c r="AB546" s="63">
        <f t="shared" si="254"/>
        <v>0</v>
      </c>
      <c r="AC546" s="302"/>
      <c r="AD546" s="302"/>
      <c r="AE546" s="63"/>
      <c r="AF546" s="63"/>
      <c r="AG546" s="63"/>
      <c r="AH546" s="63"/>
      <c r="AJ546" s="63"/>
      <c r="AK546" s="316"/>
      <c r="AL546" s="316"/>
    </row>
    <row r="547" spans="1:38" x14ac:dyDescent="0.25">
      <c r="B547" s="42">
        <v>45866</v>
      </c>
      <c r="C547" s="38">
        <v>-274000</v>
      </c>
      <c r="D547" s="38">
        <f t="shared" si="246"/>
        <v>-204135.70999999996</v>
      </c>
      <c r="E547" s="83">
        <v>300000</v>
      </c>
      <c r="F547" s="38"/>
      <c r="G547" s="38">
        <f t="shared" si="247"/>
        <v>95864.290000000037</v>
      </c>
      <c r="H547" s="38">
        <f t="shared" si="248"/>
        <v>6010000</v>
      </c>
      <c r="I547" s="38"/>
      <c r="J547" s="38"/>
      <c r="K547" s="38"/>
      <c r="L547" s="38"/>
      <c r="M547" s="38"/>
      <c r="N547" s="38"/>
      <c r="O547" s="38">
        <f t="shared" si="255"/>
        <v>20324629.350000001</v>
      </c>
      <c r="P547" s="38">
        <f t="shared" si="255"/>
        <v>0</v>
      </c>
      <c r="Q547" s="38">
        <f t="shared" si="255"/>
        <v>0</v>
      </c>
      <c r="R547" s="38">
        <f t="shared" si="255"/>
        <v>0</v>
      </c>
      <c r="S547" s="78">
        <v>45866</v>
      </c>
      <c r="T547" s="63"/>
      <c r="U547" s="63">
        <f t="shared" si="249"/>
        <v>66418.769999999786</v>
      </c>
      <c r="V547" s="63"/>
      <c r="W547" s="63"/>
      <c r="X547" s="63">
        <f t="shared" si="250"/>
        <v>66418.769999999786</v>
      </c>
      <c r="Y547" s="63">
        <f t="shared" si="251"/>
        <v>1560000</v>
      </c>
      <c r="Z547" s="63"/>
      <c r="AA547" s="63"/>
      <c r="AB547" s="63">
        <f t="shared" si="254"/>
        <v>0</v>
      </c>
      <c r="AC547" s="302"/>
      <c r="AD547" s="302"/>
      <c r="AE547" s="63"/>
      <c r="AF547" s="63"/>
      <c r="AG547" s="63"/>
      <c r="AH547" s="63"/>
      <c r="AJ547" s="63"/>
      <c r="AK547" s="316"/>
      <c r="AL547" s="316"/>
    </row>
    <row r="548" spans="1:38" x14ac:dyDescent="0.25">
      <c r="B548" s="42">
        <v>45867</v>
      </c>
      <c r="C548" s="38"/>
      <c r="D548" s="38">
        <f t="shared" si="246"/>
        <v>95864.290000000037</v>
      </c>
      <c r="E548" s="38"/>
      <c r="F548" s="38">
        <v>35000</v>
      </c>
      <c r="G548" s="38">
        <f t="shared" si="247"/>
        <v>130864.29000000004</v>
      </c>
      <c r="H548" s="38">
        <f t="shared" si="248"/>
        <v>6010000</v>
      </c>
      <c r="I548" s="38"/>
      <c r="J548" s="38"/>
      <c r="K548" s="38"/>
      <c r="L548" s="38"/>
      <c r="M548" s="38"/>
      <c r="N548" s="38"/>
      <c r="O548" s="38">
        <f t="shared" si="255"/>
        <v>20324629.350000001</v>
      </c>
      <c r="P548" s="38">
        <f t="shared" si="255"/>
        <v>0</v>
      </c>
      <c r="Q548" s="38">
        <f t="shared" si="255"/>
        <v>0</v>
      </c>
      <c r="R548" s="38">
        <f t="shared" si="255"/>
        <v>0</v>
      </c>
      <c r="S548" s="78">
        <v>45867</v>
      </c>
      <c r="T548" s="63">
        <v>702632704</v>
      </c>
      <c r="U548" s="63">
        <f t="shared" si="249"/>
        <v>702699122.76999998</v>
      </c>
      <c r="V548" s="84">
        <v>-702640000</v>
      </c>
      <c r="W548" s="63"/>
      <c r="X548" s="63">
        <f t="shared" si="250"/>
        <v>59122.769999980927</v>
      </c>
      <c r="Y548" s="63">
        <f t="shared" si="251"/>
        <v>704200000</v>
      </c>
      <c r="Z548" s="63"/>
      <c r="AA548" s="63"/>
      <c r="AB548" s="63">
        <f t="shared" si="254"/>
        <v>0</v>
      </c>
      <c r="AC548" s="302"/>
      <c r="AD548" s="302"/>
      <c r="AE548" s="63"/>
      <c r="AF548" s="63"/>
      <c r="AG548" s="63"/>
      <c r="AH548" s="63"/>
      <c r="AJ548" s="63"/>
      <c r="AK548" s="316"/>
      <c r="AL548" s="316"/>
    </row>
    <row r="549" spans="1:38" x14ac:dyDescent="0.25">
      <c r="B549" s="42">
        <v>45868</v>
      </c>
      <c r="C549" s="38"/>
      <c r="D549" s="38">
        <f t="shared" si="246"/>
        <v>130864.29000000004</v>
      </c>
      <c r="E549" s="38"/>
      <c r="F549" s="38"/>
      <c r="G549" s="38">
        <f t="shared" si="247"/>
        <v>130864.29000000004</v>
      </c>
      <c r="H549" s="38">
        <f t="shared" si="248"/>
        <v>6010000</v>
      </c>
      <c r="I549" s="38"/>
      <c r="J549" s="38"/>
      <c r="K549" s="38"/>
      <c r="L549" s="38"/>
      <c r="M549" s="38"/>
      <c r="N549" s="38"/>
      <c r="O549" s="38">
        <f t="shared" si="255"/>
        <v>20324629.350000001</v>
      </c>
      <c r="P549" s="38">
        <f t="shared" si="255"/>
        <v>0</v>
      </c>
      <c r="Q549" s="38">
        <f t="shared" si="255"/>
        <v>0</v>
      </c>
      <c r="R549" s="38">
        <f t="shared" si="255"/>
        <v>0</v>
      </c>
      <c r="S549" s="78">
        <v>45868</v>
      </c>
      <c r="T549" s="63"/>
      <c r="U549" s="63">
        <f t="shared" si="249"/>
        <v>59122.769999980927</v>
      </c>
      <c r="V549" s="63"/>
      <c r="W549" s="63"/>
      <c r="X549" s="63">
        <f t="shared" si="250"/>
        <v>59122.769999980927</v>
      </c>
      <c r="Y549" s="63">
        <f t="shared" si="251"/>
        <v>704200000</v>
      </c>
      <c r="Z549" s="63"/>
      <c r="AA549" s="63"/>
      <c r="AB549" s="63">
        <f t="shared" si="254"/>
        <v>0</v>
      </c>
      <c r="AC549" s="302"/>
      <c r="AD549" s="302"/>
      <c r="AE549" s="63"/>
      <c r="AF549" s="63"/>
      <c r="AG549" s="63"/>
      <c r="AH549" s="63"/>
      <c r="AJ549" s="63"/>
      <c r="AK549" s="316"/>
      <c r="AL549" s="316"/>
    </row>
    <row r="550" spans="1:38" x14ac:dyDescent="0.25">
      <c r="A550" s="45" t="s">
        <v>111</v>
      </c>
      <c r="B550" s="42">
        <v>45869</v>
      </c>
      <c r="C550" s="286">
        <f>176929.87-D549</f>
        <v>46065.579999999958</v>
      </c>
      <c r="D550" s="38">
        <f t="shared" si="246"/>
        <v>176929.87</v>
      </c>
      <c r="E550" s="83">
        <v>-110000</v>
      </c>
      <c r="F550" s="38"/>
      <c r="G550" s="38">
        <f t="shared" si="247"/>
        <v>66929.87</v>
      </c>
      <c r="H550" s="38">
        <f t="shared" si="248"/>
        <v>6120000</v>
      </c>
      <c r="I550" s="38"/>
      <c r="J550" s="38"/>
      <c r="K550" s="38"/>
      <c r="L550" s="38"/>
      <c r="M550" s="38"/>
      <c r="N550" s="38"/>
      <c r="O550" s="38">
        <f t="shared" si="255"/>
        <v>20324629.350000001</v>
      </c>
      <c r="P550" s="38">
        <f t="shared" si="255"/>
        <v>0</v>
      </c>
      <c r="Q550" s="38">
        <f t="shared" si="255"/>
        <v>0</v>
      </c>
      <c r="R550" s="38">
        <f t="shared" si="255"/>
        <v>0</v>
      </c>
      <c r="S550" s="78">
        <v>45869</v>
      </c>
      <c r="T550" s="63">
        <f>222156.53-X549</f>
        <v>163033.76000001907</v>
      </c>
      <c r="U550" s="63">
        <f t="shared" si="249"/>
        <v>222156.53</v>
      </c>
      <c r="V550" s="102">
        <v>-180000</v>
      </c>
      <c r="W550" s="63"/>
      <c r="X550" s="63">
        <f t="shared" si="250"/>
        <v>42156.53</v>
      </c>
      <c r="Y550" s="63">
        <f t="shared" si="251"/>
        <v>704380000</v>
      </c>
      <c r="Z550" s="63"/>
      <c r="AA550" s="63"/>
      <c r="AB550" s="63">
        <f t="shared" si="254"/>
        <v>0</v>
      </c>
      <c r="AC550" s="302"/>
      <c r="AD550" s="302"/>
      <c r="AE550" s="63"/>
      <c r="AF550" s="63"/>
      <c r="AG550" s="63"/>
      <c r="AH550" s="63"/>
      <c r="AJ550" s="63"/>
      <c r="AK550" s="316"/>
      <c r="AL550" s="316"/>
    </row>
    <row r="551" spans="1:38" x14ac:dyDescent="0.25">
      <c r="B551" s="42">
        <v>45870</v>
      </c>
      <c r="C551" s="287">
        <v>214003107.12</v>
      </c>
      <c r="D551" s="38">
        <f t="shared" si="246"/>
        <v>214070036.99000001</v>
      </c>
      <c r="E551" s="83">
        <v>-214000000</v>
      </c>
      <c r="F551" s="38"/>
      <c r="G551" s="38">
        <f t="shared" si="247"/>
        <v>70036.990000009537</v>
      </c>
      <c r="H551" s="38">
        <f t="shared" si="248"/>
        <v>220120000</v>
      </c>
      <c r="I551" s="38"/>
      <c r="J551" s="38"/>
      <c r="K551" s="56"/>
      <c r="L551" s="56"/>
      <c r="M551" s="56"/>
      <c r="N551" s="56"/>
      <c r="O551" s="38">
        <f t="shared" si="255"/>
        <v>20324629.350000001</v>
      </c>
      <c r="P551" s="38">
        <f t="shared" si="255"/>
        <v>0</v>
      </c>
      <c r="Q551" s="38">
        <f t="shared" si="255"/>
        <v>0</v>
      </c>
      <c r="R551" s="38">
        <f t="shared" si="255"/>
        <v>0</v>
      </c>
      <c r="S551" s="78">
        <v>45870</v>
      </c>
      <c r="T551" s="63">
        <v>-250000000</v>
      </c>
      <c r="U551" s="63">
        <f t="shared" si="249"/>
        <v>-249957843.47</v>
      </c>
      <c r="V551" s="102">
        <v>250000000</v>
      </c>
      <c r="W551" s="63"/>
      <c r="X551" s="63">
        <f t="shared" si="250"/>
        <v>42156.530000001192</v>
      </c>
      <c r="Y551" s="63">
        <f t="shared" si="251"/>
        <v>454380000</v>
      </c>
      <c r="Z551" s="63"/>
      <c r="AA551" s="63"/>
      <c r="AB551" s="63">
        <f t="shared" si="254"/>
        <v>0</v>
      </c>
      <c r="AC551" s="302"/>
      <c r="AD551" s="302"/>
      <c r="AE551" s="63"/>
      <c r="AF551" s="63"/>
      <c r="AG551" s="63"/>
      <c r="AH551" s="63"/>
      <c r="AJ551" s="63"/>
      <c r="AK551" s="316"/>
      <c r="AL551" s="316"/>
    </row>
    <row r="552" spans="1:38" x14ac:dyDescent="0.25">
      <c r="A552" s="45">
        <v>222156.53</v>
      </c>
      <c r="B552" s="42">
        <v>45871</v>
      </c>
      <c r="C552" s="38"/>
      <c r="D552" s="38">
        <f t="shared" si="246"/>
        <v>70036.990000009537</v>
      </c>
      <c r="E552" s="38"/>
      <c r="F552" s="38"/>
      <c r="G552" s="38">
        <f t="shared" si="247"/>
        <v>70036.990000009537</v>
      </c>
      <c r="H552" s="38">
        <f t="shared" si="248"/>
        <v>220120000</v>
      </c>
      <c r="I552" s="38"/>
      <c r="J552" s="38"/>
      <c r="K552" s="38"/>
      <c r="L552" s="38"/>
      <c r="M552" s="38"/>
      <c r="N552" s="38"/>
      <c r="O552" s="38">
        <f t="shared" si="255"/>
        <v>20324629.350000001</v>
      </c>
      <c r="P552" s="38">
        <f t="shared" si="255"/>
        <v>0</v>
      </c>
      <c r="Q552" s="38">
        <f t="shared" si="255"/>
        <v>0</v>
      </c>
      <c r="R552" s="38">
        <f t="shared" si="255"/>
        <v>0</v>
      </c>
      <c r="S552" s="78">
        <v>45871</v>
      </c>
      <c r="T552" s="63"/>
      <c r="U552" s="63">
        <f t="shared" si="249"/>
        <v>42156.530000001192</v>
      </c>
      <c r="V552" s="63"/>
      <c r="W552" s="63"/>
      <c r="X552" s="63">
        <f t="shared" si="250"/>
        <v>42156.530000001192</v>
      </c>
      <c r="Y552" s="63">
        <f t="shared" si="251"/>
        <v>454380000</v>
      </c>
      <c r="Z552" s="63"/>
      <c r="AA552" s="63"/>
      <c r="AB552" s="63">
        <f t="shared" si="254"/>
        <v>0</v>
      </c>
      <c r="AC552" s="302"/>
      <c r="AD552" s="302"/>
      <c r="AE552" s="63"/>
      <c r="AF552" s="63"/>
      <c r="AG552" s="63"/>
      <c r="AH552" s="63"/>
      <c r="AJ552" s="63"/>
      <c r="AK552" s="316"/>
      <c r="AL552" s="316"/>
    </row>
    <row r="553" spans="1:38" x14ac:dyDescent="0.25">
      <c r="B553" s="42">
        <v>45872</v>
      </c>
      <c r="C553" s="38"/>
      <c r="D553" s="38">
        <f t="shared" si="246"/>
        <v>70036.990000009537</v>
      </c>
      <c r="E553" s="38"/>
      <c r="F553" s="38"/>
      <c r="G553" s="38">
        <f t="shared" si="247"/>
        <v>70036.990000009537</v>
      </c>
      <c r="H553" s="38">
        <f t="shared" si="248"/>
        <v>220120000</v>
      </c>
      <c r="I553" s="38"/>
      <c r="J553" s="38"/>
      <c r="K553" s="38"/>
      <c r="L553" s="38"/>
      <c r="M553" s="38"/>
      <c r="N553" s="38"/>
      <c r="O553" s="38">
        <f t="shared" si="255"/>
        <v>20324629.350000001</v>
      </c>
      <c r="P553" s="38">
        <f t="shared" si="255"/>
        <v>0</v>
      </c>
      <c r="Q553" s="38">
        <f t="shared" si="255"/>
        <v>0</v>
      </c>
      <c r="R553" s="38">
        <f t="shared" si="255"/>
        <v>0</v>
      </c>
      <c r="S553" s="78">
        <v>45872</v>
      </c>
      <c r="T553" s="63"/>
      <c r="U553" s="63">
        <f t="shared" si="249"/>
        <v>42156.530000001192</v>
      </c>
      <c r="V553" s="63"/>
      <c r="W553" s="63"/>
      <c r="X553" s="63">
        <f t="shared" si="250"/>
        <v>42156.530000001192</v>
      </c>
      <c r="Y553" s="63">
        <f t="shared" si="251"/>
        <v>454380000</v>
      </c>
      <c r="Z553" s="63"/>
      <c r="AA553" s="63"/>
      <c r="AB553" s="63">
        <f t="shared" si="254"/>
        <v>0</v>
      </c>
      <c r="AC553" s="302"/>
      <c r="AD553" s="302"/>
      <c r="AE553" s="63"/>
      <c r="AF553" s="63"/>
      <c r="AG553" s="63"/>
      <c r="AH553" s="63"/>
      <c r="AJ553" s="63"/>
      <c r="AK553" s="316"/>
      <c r="AL553" s="316"/>
    </row>
    <row r="554" spans="1:38" x14ac:dyDescent="0.25">
      <c r="A554" s="45" t="s">
        <v>116</v>
      </c>
      <c r="B554" s="42">
        <v>45873</v>
      </c>
      <c r="C554" s="38">
        <v>-39447</v>
      </c>
      <c r="D554" s="38">
        <f t="shared" si="246"/>
        <v>30589.990000009537</v>
      </c>
      <c r="E554" s="38"/>
      <c r="F554" s="38"/>
      <c r="G554" s="38">
        <f t="shared" si="247"/>
        <v>30589.990000009537</v>
      </c>
      <c r="H554" s="38">
        <f t="shared" si="248"/>
        <v>220120000</v>
      </c>
      <c r="I554" s="38"/>
      <c r="J554" s="38"/>
      <c r="K554" s="38"/>
      <c r="L554" s="38"/>
      <c r="M554" s="38"/>
      <c r="N554" s="38"/>
      <c r="O554" s="38">
        <f t="shared" si="255"/>
        <v>20324629.350000001</v>
      </c>
      <c r="P554" s="38">
        <f t="shared" si="255"/>
        <v>0</v>
      </c>
      <c r="Q554" s="38">
        <f t="shared" si="255"/>
        <v>0</v>
      </c>
      <c r="R554" s="38">
        <f t="shared" si="255"/>
        <v>0</v>
      </c>
      <c r="S554" s="78">
        <v>45873</v>
      </c>
      <c r="T554" s="63"/>
      <c r="U554" s="63">
        <f t="shared" si="249"/>
        <v>42156.530000001192</v>
      </c>
      <c r="V554" s="63"/>
      <c r="W554" s="63"/>
      <c r="X554" s="63">
        <f t="shared" si="250"/>
        <v>42156.530000001192</v>
      </c>
      <c r="Y554" s="63">
        <f t="shared" si="251"/>
        <v>454380000</v>
      </c>
      <c r="Z554" s="63"/>
      <c r="AA554" s="63"/>
      <c r="AB554" s="63">
        <f t="shared" si="254"/>
        <v>0</v>
      </c>
      <c r="AC554" s="302"/>
      <c r="AD554" s="302"/>
      <c r="AE554" s="63"/>
      <c r="AF554" s="63"/>
      <c r="AG554" s="63"/>
      <c r="AH554" s="63"/>
      <c r="AJ554" s="63"/>
      <c r="AK554" s="316"/>
      <c r="AL554" s="316"/>
    </row>
    <row r="555" spans="1:38" x14ac:dyDescent="0.25">
      <c r="B555" s="42">
        <v>45874</v>
      </c>
      <c r="C555" s="38">
        <v>-112000000</v>
      </c>
      <c r="D555" s="38">
        <f t="shared" si="246"/>
        <v>-111969410.00999999</v>
      </c>
      <c r="E555" s="83">
        <v>112000000</v>
      </c>
      <c r="F555" s="38">
        <f>116000-G554</f>
        <v>85410.009999990463</v>
      </c>
      <c r="G555" s="38">
        <f t="shared" si="247"/>
        <v>116000</v>
      </c>
      <c r="H555" s="38">
        <f t="shared" si="248"/>
        <v>108120000</v>
      </c>
      <c r="I555" s="38"/>
      <c r="J555" s="38"/>
      <c r="K555" s="38">
        <v>12000000</v>
      </c>
      <c r="L555" s="38">
        <v>100000000</v>
      </c>
      <c r="M555" s="38"/>
      <c r="N555" s="38"/>
      <c r="O555" s="38">
        <f t="shared" si="255"/>
        <v>20324629.350000001</v>
      </c>
      <c r="P555" s="38">
        <f t="shared" si="255"/>
        <v>0</v>
      </c>
      <c r="Q555" s="38">
        <f t="shared" si="255"/>
        <v>0</v>
      </c>
      <c r="R555" s="38">
        <f t="shared" si="255"/>
        <v>0</v>
      </c>
      <c r="S555" s="78">
        <v>45874</v>
      </c>
      <c r="T555" s="63"/>
      <c r="U555" s="63">
        <f t="shared" si="249"/>
        <v>42156.530000001192</v>
      </c>
      <c r="V555" s="63"/>
      <c r="W555" s="63"/>
      <c r="X555" s="63">
        <f t="shared" si="250"/>
        <v>42156.530000001192</v>
      </c>
      <c r="Y555" s="63">
        <f t="shared" si="251"/>
        <v>454380000</v>
      </c>
      <c r="Z555" s="63"/>
      <c r="AA555" s="63"/>
      <c r="AB555" s="63">
        <f t="shared" si="254"/>
        <v>0</v>
      </c>
      <c r="AC555" s="302"/>
      <c r="AD555" s="302"/>
      <c r="AE555" s="63"/>
      <c r="AF555" s="63"/>
      <c r="AG555" s="63"/>
      <c r="AH555" s="63"/>
      <c r="AJ555" s="63"/>
      <c r="AK555" s="316"/>
      <c r="AL555" s="316"/>
    </row>
    <row r="556" spans="1:38" x14ac:dyDescent="0.25">
      <c r="B556" s="42">
        <v>45875</v>
      </c>
      <c r="C556" s="38">
        <v>-2820949.72</v>
      </c>
      <c r="D556" s="38">
        <f t="shared" si="246"/>
        <v>-2704949.72</v>
      </c>
      <c r="E556" s="83">
        <v>2800000</v>
      </c>
      <c r="F556" s="38"/>
      <c r="G556" s="38">
        <f t="shared" si="247"/>
        <v>95050.279999999795</v>
      </c>
      <c r="H556" s="38">
        <f t="shared" si="248"/>
        <v>105320000</v>
      </c>
      <c r="I556" s="38"/>
      <c r="J556" s="38"/>
      <c r="K556" s="38">
        <v>12000000</v>
      </c>
      <c r="L556" s="38">
        <v>100000000</v>
      </c>
      <c r="M556" s="38"/>
      <c r="N556" s="38"/>
      <c r="O556" s="38">
        <f t="shared" si="255"/>
        <v>20324629.350000001</v>
      </c>
      <c r="P556" s="38">
        <f t="shared" si="255"/>
        <v>0</v>
      </c>
      <c r="Q556" s="38">
        <f t="shared" si="255"/>
        <v>0</v>
      </c>
      <c r="R556" s="38">
        <f t="shared" si="255"/>
        <v>0</v>
      </c>
      <c r="S556" s="78">
        <v>45875</v>
      </c>
      <c r="T556" s="63">
        <v>-212488.65</v>
      </c>
      <c r="U556" s="63">
        <f t="shared" si="249"/>
        <v>-170332.1199999988</v>
      </c>
      <c r="V556" s="84">
        <v>220000</v>
      </c>
      <c r="W556" s="63"/>
      <c r="X556" s="63">
        <f t="shared" si="250"/>
        <v>49667.880000001198</v>
      </c>
      <c r="Y556" s="63">
        <f t="shared" si="251"/>
        <v>454160000</v>
      </c>
      <c r="Z556" s="63"/>
      <c r="AA556" s="63"/>
      <c r="AB556" s="63">
        <f t="shared" si="254"/>
        <v>0</v>
      </c>
      <c r="AC556" s="302"/>
      <c r="AD556" s="302"/>
      <c r="AE556" s="63"/>
      <c r="AF556" s="63"/>
      <c r="AG556" s="63"/>
      <c r="AH556" s="63"/>
      <c r="AJ556" s="63"/>
      <c r="AK556" s="316"/>
      <c r="AL556" s="316"/>
    </row>
    <row r="557" spans="1:38" x14ac:dyDescent="0.25">
      <c r="B557" s="42">
        <v>45876</v>
      </c>
      <c r="C557" s="38"/>
      <c r="D557" s="38">
        <f t="shared" si="246"/>
        <v>95050.279999999795</v>
      </c>
      <c r="E557" s="38"/>
      <c r="F557" s="38"/>
      <c r="G557" s="38">
        <f t="shared" si="247"/>
        <v>95050.279999999795</v>
      </c>
      <c r="H557" s="38">
        <f t="shared" si="248"/>
        <v>105320000</v>
      </c>
      <c r="I557" s="38"/>
      <c r="J557" s="38"/>
      <c r="K557" s="38">
        <v>12000000</v>
      </c>
      <c r="L557" s="38">
        <v>100000000</v>
      </c>
      <c r="M557" s="38"/>
      <c r="N557" s="38"/>
      <c r="O557" s="38">
        <f t="shared" si="255"/>
        <v>20324629.350000001</v>
      </c>
      <c r="P557" s="38">
        <f t="shared" si="255"/>
        <v>0</v>
      </c>
      <c r="Q557" s="38">
        <f t="shared" si="255"/>
        <v>0</v>
      </c>
      <c r="R557" s="38">
        <f t="shared" si="255"/>
        <v>0</v>
      </c>
      <c r="S557" s="78">
        <v>45876</v>
      </c>
      <c r="T557" s="81"/>
      <c r="U557" s="63">
        <f t="shared" si="249"/>
        <v>49667.880000001198</v>
      </c>
      <c r="V557" s="63"/>
      <c r="W557" s="63"/>
      <c r="X557" s="63">
        <f t="shared" si="250"/>
        <v>49667.880000001198</v>
      </c>
      <c r="Y557" s="63">
        <f t="shared" si="251"/>
        <v>454160000</v>
      </c>
      <c r="Z557" s="63"/>
      <c r="AA557" s="63"/>
      <c r="AB557" s="63">
        <f t="shared" si="254"/>
        <v>0</v>
      </c>
      <c r="AC557" s="302"/>
      <c r="AD557" s="302"/>
      <c r="AE557" s="63"/>
      <c r="AF557" s="63"/>
      <c r="AG557" s="63"/>
      <c r="AH557" s="63"/>
      <c r="AJ557" s="63"/>
      <c r="AK557" s="316"/>
      <c r="AL557" s="316"/>
    </row>
    <row r="558" spans="1:38" x14ac:dyDescent="0.25">
      <c r="B558" s="42">
        <v>45877</v>
      </c>
      <c r="C558" s="38"/>
      <c r="D558" s="38">
        <f t="shared" si="246"/>
        <v>95050.279999999795</v>
      </c>
      <c r="E558" s="38"/>
      <c r="F558" s="38"/>
      <c r="G558" s="38">
        <f t="shared" si="247"/>
        <v>95050.279999999795</v>
      </c>
      <c r="H558" s="38">
        <f t="shared" si="248"/>
        <v>105320000</v>
      </c>
      <c r="I558" s="38"/>
      <c r="J558" s="38"/>
      <c r="K558" s="38">
        <v>12000000</v>
      </c>
      <c r="L558" s="38">
        <v>100000000</v>
      </c>
      <c r="M558" s="38"/>
      <c r="N558" s="38"/>
      <c r="O558" s="38">
        <f t="shared" ref="O558:R573" si="256">O557</f>
        <v>20324629.350000001</v>
      </c>
      <c r="P558" s="38">
        <f t="shared" si="256"/>
        <v>0</v>
      </c>
      <c r="Q558" s="38">
        <f t="shared" si="256"/>
        <v>0</v>
      </c>
      <c r="R558" s="38">
        <f t="shared" si="256"/>
        <v>0</v>
      </c>
      <c r="S558" s="78">
        <v>45877</v>
      </c>
      <c r="T558" s="63"/>
      <c r="U558" s="63">
        <f t="shared" si="249"/>
        <v>49667.880000001198</v>
      </c>
      <c r="V558" s="63"/>
      <c r="W558" s="63"/>
      <c r="X558" s="63">
        <f t="shared" si="250"/>
        <v>49667.880000001198</v>
      </c>
      <c r="Y558" s="63">
        <f t="shared" si="251"/>
        <v>454160000</v>
      </c>
      <c r="Z558" s="63"/>
      <c r="AA558" s="63"/>
      <c r="AB558" s="63">
        <f t="shared" si="254"/>
        <v>0</v>
      </c>
      <c r="AC558" s="302"/>
      <c r="AD558" s="302"/>
      <c r="AE558" s="63"/>
      <c r="AF558" s="63"/>
      <c r="AG558" s="63"/>
      <c r="AH558" s="63"/>
      <c r="AJ558" s="63"/>
      <c r="AK558" s="316"/>
      <c r="AL558" s="316"/>
    </row>
    <row r="559" spans="1:38" x14ac:dyDescent="0.25">
      <c r="B559" s="42">
        <v>45878</v>
      </c>
      <c r="C559" s="38"/>
      <c r="D559" s="38">
        <f t="shared" si="246"/>
        <v>95050.279999999795</v>
      </c>
      <c r="E559" s="38"/>
      <c r="F559" s="38"/>
      <c r="G559" s="38">
        <f t="shared" si="247"/>
        <v>95050.279999999795</v>
      </c>
      <c r="H559" s="38">
        <f t="shared" si="248"/>
        <v>105320000</v>
      </c>
      <c r="I559" s="38"/>
      <c r="J559" s="38"/>
      <c r="K559" s="38">
        <v>12000000</v>
      </c>
      <c r="L559" s="38">
        <v>100000000</v>
      </c>
      <c r="M559" s="38"/>
      <c r="N559" s="38"/>
      <c r="O559" s="38">
        <f t="shared" si="256"/>
        <v>20324629.350000001</v>
      </c>
      <c r="P559" s="38">
        <f t="shared" si="256"/>
        <v>0</v>
      </c>
      <c r="Q559" s="38">
        <f t="shared" si="256"/>
        <v>0</v>
      </c>
      <c r="R559" s="38">
        <f t="shared" si="256"/>
        <v>0</v>
      </c>
      <c r="S559" s="78">
        <v>45878</v>
      </c>
      <c r="T559" s="63"/>
      <c r="U559" s="63">
        <f t="shared" si="249"/>
        <v>49667.880000001198</v>
      </c>
      <c r="V559" s="63"/>
      <c r="W559" s="63"/>
      <c r="X559" s="63">
        <f t="shared" si="250"/>
        <v>49667.880000001198</v>
      </c>
      <c r="Y559" s="63">
        <f t="shared" si="251"/>
        <v>454160000</v>
      </c>
      <c r="Z559" s="63"/>
      <c r="AA559" s="63"/>
      <c r="AB559" s="63">
        <f t="shared" si="254"/>
        <v>0</v>
      </c>
      <c r="AC559" s="302"/>
      <c r="AD559" s="302"/>
      <c r="AE559" s="63"/>
      <c r="AF559" s="63"/>
      <c r="AG559" s="63"/>
      <c r="AH559" s="63"/>
      <c r="AJ559" s="63"/>
      <c r="AK559" s="316"/>
      <c r="AL559" s="316"/>
    </row>
    <row r="560" spans="1:38" x14ac:dyDescent="0.25">
      <c r="B560" s="42">
        <v>45879</v>
      </c>
      <c r="C560" s="38"/>
      <c r="D560" s="38">
        <f t="shared" si="246"/>
        <v>95050.279999999795</v>
      </c>
      <c r="E560" s="38"/>
      <c r="F560" s="38"/>
      <c r="G560" s="38">
        <f t="shared" si="247"/>
        <v>95050.279999999795</v>
      </c>
      <c r="H560" s="38">
        <f t="shared" si="248"/>
        <v>105320000</v>
      </c>
      <c r="I560" s="38"/>
      <c r="J560" s="38"/>
      <c r="K560" s="38">
        <v>12000000</v>
      </c>
      <c r="L560" s="38">
        <v>100000000</v>
      </c>
      <c r="M560" s="38"/>
      <c r="N560" s="38"/>
      <c r="O560" s="38">
        <f t="shared" si="256"/>
        <v>20324629.350000001</v>
      </c>
      <c r="P560" s="38">
        <f t="shared" si="256"/>
        <v>0</v>
      </c>
      <c r="Q560" s="38">
        <f t="shared" si="256"/>
        <v>0</v>
      </c>
      <c r="R560" s="38">
        <f t="shared" si="256"/>
        <v>0</v>
      </c>
      <c r="S560" s="78">
        <v>45879</v>
      </c>
      <c r="T560" s="63"/>
      <c r="U560" s="63">
        <f t="shared" si="249"/>
        <v>49667.880000001198</v>
      </c>
      <c r="V560" s="63"/>
      <c r="W560" s="63"/>
      <c r="X560" s="63">
        <f t="shared" si="250"/>
        <v>49667.880000001198</v>
      </c>
      <c r="Y560" s="63">
        <f t="shared" si="251"/>
        <v>454160000</v>
      </c>
      <c r="Z560" s="63"/>
      <c r="AA560" s="63"/>
      <c r="AB560" s="63">
        <f t="shared" si="254"/>
        <v>0</v>
      </c>
      <c r="AC560" s="302"/>
      <c r="AD560" s="302"/>
      <c r="AE560" s="63"/>
      <c r="AF560" s="63"/>
      <c r="AG560" s="63"/>
      <c r="AH560" s="63"/>
      <c r="AJ560" s="63"/>
      <c r="AK560" s="316"/>
      <c r="AL560" s="316"/>
    </row>
    <row r="561" spans="2:38" x14ac:dyDescent="0.25">
      <c r="B561" s="42">
        <v>45880</v>
      </c>
      <c r="C561" s="38">
        <v>-90000000</v>
      </c>
      <c r="D561" s="38">
        <f t="shared" si="246"/>
        <v>-89904949.719999999</v>
      </c>
      <c r="E561" s="83">
        <v>90000000</v>
      </c>
      <c r="F561" s="38"/>
      <c r="G561" s="38">
        <f t="shared" si="247"/>
        <v>95050.280000001192</v>
      </c>
      <c r="H561" s="38">
        <f t="shared" si="248"/>
        <v>15320000</v>
      </c>
      <c r="I561" s="38">
        <v>90000000</v>
      </c>
      <c r="J561" s="38"/>
      <c r="K561" s="38">
        <v>12000000</v>
      </c>
      <c r="L561" s="38">
        <v>100000000</v>
      </c>
      <c r="M561" s="38"/>
      <c r="N561" s="38"/>
      <c r="O561" s="38">
        <f t="shared" si="256"/>
        <v>20324629.350000001</v>
      </c>
      <c r="P561" s="38">
        <f t="shared" si="256"/>
        <v>0</v>
      </c>
      <c r="Q561" s="38">
        <f t="shared" si="256"/>
        <v>0</v>
      </c>
      <c r="R561" s="38">
        <f t="shared" si="256"/>
        <v>0</v>
      </c>
      <c r="S561" s="78">
        <v>45880</v>
      </c>
      <c r="T561" s="63">
        <v>-440000000</v>
      </c>
      <c r="U561" s="63">
        <f t="shared" si="249"/>
        <v>-439950332.12</v>
      </c>
      <c r="V561" s="63">
        <f>440000000</f>
        <v>440000000</v>
      </c>
      <c r="W561" s="63"/>
      <c r="X561" s="63">
        <f t="shared" si="250"/>
        <v>49667.879999995232</v>
      </c>
      <c r="Y561" s="63">
        <f t="shared" si="251"/>
        <v>14160000</v>
      </c>
      <c r="Z561" s="63"/>
      <c r="AA561" s="63"/>
      <c r="AB561" s="63">
        <v>440000000</v>
      </c>
      <c r="AC561" s="302"/>
      <c r="AD561" s="302"/>
      <c r="AE561" s="63"/>
      <c r="AF561" s="63"/>
      <c r="AG561" s="63"/>
      <c r="AH561" s="63"/>
      <c r="AJ561" s="63"/>
      <c r="AK561" s="316"/>
      <c r="AL561" s="316"/>
    </row>
    <row r="562" spans="2:38" x14ac:dyDescent="0.25">
      <c r="B562" s="42">
        <v>45881</v>
      </c>
      <c r="C562" s="38"/>
      <c r="D562" s="38">
        <f t="shared" si="246"/>
        <v>95050.280000001192</v>
      </c>
      <c r="E562" s="38"/>
      <c r="F562" s="38"/>
      <c r="G562" s="38">
        <f t="shared" si="247"/>
        <v>95050.280000001192</v>
      </c>
      <c r="H562" s="38">
        <f t="shared" si="248"/>
        <v>15320000</v>
      </c>
      <c r="I562" s="38">
        <v>90000000</v>
      </c>
      <c r="J562" s="38"/>
      <c r="K562" s="38">
        <v>12000000</v>
      </c>
      <c r="L562" s="38">
        <v>100000000</v>
      </c>
      <c r="M562" s="38"/>
      <c r="N562" s="38"/>
      <c r="O562" s="38">
        <f t="shared" si="256"/>
        <v>20324629.350000001</v>
      </c>
      <c r="P562" s="38">
        <f t="shared" si="256"/>
        <v>0</v>
      </c>
      <c r="Q562" s="38">
        <f t="shared" si="256"/>
        <v>0</v>
      </c>
      <c r="R562" s="38">
        <f t="shared" si="256"/>
        <v>0</v>
      </c>
      <c r="S562" s="78">
        <v>45881</v>
      </c>
      <c r="T562" s="63"/>
      <c r="U562" s="63">
        <f t="shared" si="249"/>
        <v>49667.879999995232</v>
      </c>
      <c r="V562" s="63"/>
      <c r="W562" s="63"/>
      <c r="X562" s="63">
        <f t="shared" si="250"/>
        <v>49667.879999995232</v>
      </c>
      <c r="Y562" s="63">
        <f t="shared" si="251"/>
        <v>14160000</v>
      </c>
      <c r="Z562" s="63"/>
      <c r="AA562" s="63"/>
      <c r="AB562" s="63">
        <f t="shared" si="254"/>
        <v>440000000</v>
      </c>
      <c r="AC562" s="302"/>
      <c r="AD562" s="302"/>
      <c r="AE562" s="63"/>
      <c r="AF562" s="63"/>
      <c r="AG562" s="63"/>
      <c r="AH562" s="63"/>
      <c r="AJ562" s="63"/>
      <c r="AK562" s="316"/>
      <c r="AL562" s="316"/>
    </row>
    <row r="563" spans="2:38" x14ac:dyDescent="0.25">
      <c r="B563" s="42">
        <v>45882</v>
      </c>
      <c r="C563" s="38"/>
      <c r="D563" s="38">
        <f t="shared" si="246"/>
        <v>95050.280000001192</v>
      </c>
      <c r="E563" s="38"/>
      <c r="F563" s="38"/>
      <c r="G563" s="38">
        <f t="shared" si="247"/>
        <v>95050.280000001192</v>
      </c>
      <c r="H563" s="38">
        <f t="shared" si="248"/>
        <v>15320000</v>
      </c>
      <c r="I563" s="38">
        <v>90000000</v>
      </c>
      <c r="J563" s="38"/>
      <c r="K563" s="38">
        <v>12000000</v>
      </c>
      <c r="L563" s="38">
        <v>100000000</v>
      </c>
      <c r="M563" s="38"/>
      <c r="N563" s="38"/>
      <c r="O563" s="38">
        <f t="shared" si="256"/>
        <v>20324629.350000001</v>
      </c>
      <c r="P563" s="38">
        <f t="shared" si="256"/>
        <v>0</v>
      </c>
      <c r="Q563" s="38">
        <f t="shared" si="256"/>
        <v>0</v>
      </c>
      <c r="R563" s="38">
        <f t="shared" si="256"/>
        <v>0</v>
      </c>
      <c r="S563" s="78">
        <v>45882</v>
      </c>
      <c r="T563" s="63"/>
      <c r="U563" s="63">
        <f t="shared" si="249"/>
        <v>49667.879999995232</v>
      </c>
      <c r="V563" s="63"/>
      <c r="W563" s="63"/>
      <c r="X563" s="63">
        <f t="shared" si="250"/>
        <v>49667.879999995232</v>
      </c>
      <c r="Y563" s="63">
        <f t="shared" si="251"/>
        <v>14160000</v>
      </c>
      <c r="Z563" s="63"/>
      <c r="AA563" s="63"/>
      <c r="AB563" s="63">
        <f t="shared" si="254"/>
        <v>440000000</v>
      </c>
      <c r="AC563" s="302"/>
      <c r="AD563" s="302"/>
      <c r="AE563" s="63"/>
      <c r="AF563" s="63"/>
      <c r="AG563" s="63"/>
      <c r="AH563" s="63"/>
      <c r="AJ563" s="63"/>
      <c r="AK563" s="316"/>
      <c r="AL563" s="316"/>
    </row>
    <row r="564" spans="2:38" x14ac:dyDescent="0.25">
      <c r="B564" s="42">
        <v>45883</v>
      </c>
      <c r="C564" s="38"/>
      <c r="D564" s="38">
        <f t="shared" si="246"/>
        <v>95050.280000001192</v>
      </c>
      <c r="E564" s="38"/>
      <c r="F564" s="38"/>
      <c r="G564" s="38">
        <f t="shared" si="247"/>
        <v>95050.280000001192</v>
      </c>
      <c r="H564" s="38">
        <f t="shared" si="248"/>
        <v>15320000</v>
      </c>
      <c r="I564" s="38">
        <v>90000000</v>
      </c>
      <c r="J564" s="38"/>
      <c r="K564" s="38">
        <v>12000000</v>
      </c>
      <c r="L564" s="38">
        <v>100000000</v>
      </c>
      <c r="M564" s="38"/>
      <c r="N564" s="38"/>
      <c r="O564" s="38">
        <f t="shared" si="256"/>
        <v>20324629.350000001</v>
      </c>
      <c r="P564" s="38">
        <f t="shared" si="256"/>
        <v>0</v>
      </c>
      <c r="Q564" s="38">
        <f t="shared" si="256"/>
        <v>0</v>
      </c>
      <c r="R564" s="38">
        <f t="shared" si="256"/>
        <v>0</v>
      </c>
      <c r="S564" s="78">
        <v>45883</v>
      </c>
      <c r="T564" s="63"/>
      <c r="U564" s="63">
        <f t="shared" si="249"/>
        <v>49667.879999995232</v>
      </c>
      <c r="V564" s="63"/>
      <c r="W564" s="63"/>
      <c r="X564" s="63">
        <f t="shared" si="250"/>
        <v>49667.879999995232</v>
      </c>
      <c r="Y564" s="63">
        <f t="shared" si="251"/>
        <v>14160000</v>
      </c>
      <c r="Z564" s="63"/>
      <c r="AA564" s="63"/>
      <c r="AB564" s="63">
        <f t="shared" si="254"/>
        <v>440000000</v>
      </c>
      <c r="AC564" s="302"/>
      <c r="AD564" s="302"/>
      <c r="AE564" s="63"/>
      <c r="AF564" s="63"/>
      <c r="AG564" s="63"/>
      <c r="AH564" s="63"/>
      <c r="AJ564" s="63"/>
      <c r="AK564" s="316"/>
      <c r="AL564" s="316"/>
    </row>
    <row r="565" spans="2:38" x14ac:dyDescent="0.25">
      <c r="B565" s="42">
        <v>45884</v>
      </c>
      <c r="C565" s="38"/>
      <c r="D565" s="38">
        <f t="shared" si="246"/>
        <v>95050.280000001192</v>
      </c>
      <c r="E565" s="38"/>
      <c r="F565" s="38"/>
      <c r="G565" s="38">
        <f t="shared" si="247"/>
        <v>95050.280000001192</v>
      </c>
      <c r="H565" s="38">
        <f t="shared" si="248"/>
        <v>15320000</v>
      </c>
      <c r="I565" s="38">
        <v>90000000</v>
      </c>
      <c r="J565" s="38"/>
      <c r="K565" s="38">
        <v>12000000</v>
      </c>
      <c r="L565" s="38">
        <v>100000000</v>
      </c>
      <c r="M565" s="38"/>
      <c r="N565" s="38"/>
      <c r="O565" s="38">
        <f t="shared" si="256"/>
        <v>20324629.350000001</v>
      </c>
      <c r="P565" s="38">
        <f t="shared" si="256"/>
        <v>0</v>
      </c>
      <c r="Q565" s="38">
        <f t="shared" si="256"/>
        <v>0</v>
      </c>
      <c r="R565" s="38">
        <f t="shared" si="256"/>
        <v>0</v>
      </c>
      <c r="S565" s="78">
        <v>45884</v>
      </c>
      <c r="T565" s="63"/>
      <c r="U565" s="63">
        <f t="shared" si="249"/>
        <v>49667.879999995232</v>
      </c>
      <c r="V565" s="63"/>
      <c r="W565" s="63"/>
      <c r="X565" s="63">
        <f t="shared" si="250"/>
        <v>49667.879999995232</v>
      </c>
      <c r="Y565" s="63">
        <f t="shared" si="251"/>
        <v>14160000</v>
      </c>
      <c r="Z565" s="63"/>
      <c r="AA565" s="63"/>
      <c r="AB565" s="63">
        <f t="shared" si="254"/>
        <v>440000000</v>
      </c>
      <c r="AC565" s="302"/>
      <c r="AD565" s="302"/>
      <c r="AE565" s="63"/>
      <c r="AF565" s="63"/>
      <c r="AG565" s="63"/>
      <c r="AH565" s="63"/>
      <c r="AJ565" s="63"/>
      <c r="AK565" s="316"/>
      <c r="AL565" s="316"/>
    </row>
    <row r="566" spans="2:38" x14ac:dyDescent="0.25">
      <c r="B566" s="42">
        <v>45885</v>
      </c>
      <c r="C566" s="38"/>
      <c r="D566" s="38">
        <f t="shared" si="246"/>
        <v>95050.280000001192</v>
      </c>
      <c r="E566" s="38"/>
      <c r="F566" s="38"/>
      <c r="G566" s="38">
        <f t="shared" si="247"/>
        <v>95050.280000001192</v>
      </c>
      <c r="H566" s="38">
        <f t="shared" si="248"/>
        <v>15320000</v>
      </c>
      <c r="I566" s="38">
        <v>90000000</v>
      </c>
      <c r="J566" s="38"/>
      <c r="K566" s="38">
        <v>12000000</v>
      </c>
      <c r="L566" s="38">
        <v>100000000</v>
      </c>
      <c r="M566" s="38"/>
      <c r="N566" s="38"/>
      <c r="O566" s="38">
        <f t="shared" si="256"/>
        <v>20324629.350000001</v>
      </c>
      <c r="P566" s="38">
        <f t="shared" si="256"/>
        <v>0</v>
      </c>
      <c r="Q566" s="38">
        <f t="shared" si="256"/>
        <v>0</v>
      </c>
      <c r="R566" s="38">
        <f t="shared" si="256"/>
        <v>0</v>
      </c>
      <c r="S566" s="78">
        <v>45885</v>
      </c>
      <c r="T566" s="63"/>
      <c r="U566" s="63">
        <f t="shared" si="249"/>
        <v>49667.879999995232</v>
      </c>
      <c r="V566" s="63"/>
      <c r="W566" s="63"/>
      <c r="X566" s="63">
        <f t="shared" si="250"/>
        <v>49667.879999995232</v>
      </c>
      <c r="Y566" s="63">
        <f t="shared" si="251"/>
        <v>14160000</v>
      </c>
      <c r="Z566" s="63"/>
      <c r="AA566" s="63"/>
      <c r="AB566" s="63">
        <f t="shared" si="254"/>
        <v>440000000</v>
      </c>
      <c r="AC566" s="302"/>
      <c r="AD566" s="302"/>
      <c r="AE566" s="63"/>
      <c r="AF566" s="63"/>
      <c r="AG566" s="63"/>
      <c r="AH566" s="63"/>
      <c r="AJ566" s="63"/>
      <c r="AK566" s="316"/>
      <c r="AL566" s="316"/>
    </row>
    <row r="567" spans="2:38" x14ac:dyDescent="0.25">
      <c r="B567" s="42">
        <v>45886</v>
      </c>
      <c r="C567" s="38"/>
      <c r="D567" s="38">
        <f t="shared" si="246"/>
        <v>95050.280000001192</v>
      </c>
      <c r="E567" s="38"/>
      <c r="F567" s="38"/>
      <c r="G567" s="38">
        <f t="shared" si="247"/>
        <v>95050.280000001192</v>
      </c>
      <c r="H567" s="38">
        <f t="shared" si="248"/>
        <v>15320000</v>
      </c>
      <c r="I567" s="38">
        <v>90000000</v>
      </c>
      <c r="J567" s="38"/>
      <c r="K567" s="38">
        <v>12000000</v>
      </c>
      <c r="L567" s="38">
        <v>100000000</v>
      </c>
      <c r="M567" s="38"/>
      <c r="N567" s="38"/>
      <c r="O567" s="38">
        <f t="shared" si="256"/>
        <v>20324629.350000001</v>
      </c>
      <c r="P567" s="38">
        <f t="shared" si="256"/>
        <v>0</v>
      </c>
      <c r="Q567" s="38">
        <f t="shared" si="256"/>
        <v>0</v>
      </c>
      <c r="R567" s="38">
        <f t="shared" si="256"/>
        <v>0</v>
      </c>
      <c r="S567" s="78">
        <v>45886</v>
      </c>
      <c r="T567" s="63"/>
      <c r="U567" s="63">
        <f t="shared" si="249"/>
        <v>49667.879999995232</v>
      </c>
      <c r="V567" s="63"/>
      <c r="W567" s="63"/>
      <c r="X567" s="63">
        <f t="shared" si="250"/>
        <v>49667.879999995232</v>
      </c>
      <c r="Y567" s="63">
        <f t="shared" si="251"/>
        <v>14160000</v>
      </c>
      <c r="Z567" s="63"/>
      <c r="AA567" s="63"/>
      <c r="AB567" s="63">
        <f t="shared" si="254"/>
        <v>440000000</v>
      </c>
      <c r="AC567" s="302"/>
      <c r="AD567" s="302"/>
      <c r="AE567" s="63"/>
      <c r="AF567" s="63"/>
      <c r="AG567" s="63"/>
      <c r="AH567" s="63"/>
      <c r="AJ567" s="63"/>
      <c r="AK567" s="316"/>
      <c r="AL567" s="316"/>
    </row>
    <row r="568" spans="2:38" x14ac:dyDescent="0.25">
      <c r="B568" s="42">
        <v>45887</v>
      </c>
      <c r="C568" s="38">
        <v>-174235.32</v>
      </c>
      <c r="D568" s="38">
        <f t="shared" si="246"/>
        <v>-79185.039999998815</v>
      </c>
      <c r="E568" s="83">
        <v>200000</v>
      </c>
      <c r="F568" s="38"/>
      <c r="G568" s="38">
        <f t="shared" si="247"/>
        <v>120814.96000000119</v>
      </c>
      <c r="H568" s="38">
        <f t="shared" si="248"/>
        <v>15120000</v>
      </c>
      <c r="I568" s="38">
        <v>90000000</v>
      </c>
      <c r="J568" s="38"/>
      <c r="K568" s="38">
        <v>12000000</v>
      </c>
      <c r="L568" s="38">
        <v>100000000</v>
      </c>
      <c r="M568" s="38"/>
      <c r="N568" s="38"/>
      <c r="O568" s="38">
        <f t="shared" si="256"/>
        <v>20324629.350000001</v>
      </c>
      <c r="P568" s="38">
        <f t="shared" si="256"/>
        <v>0</v>
      </c>
      <c r="Q568" s="38">
        <f t="shared" si="256"/>
        <v>0</v>
      </c>
      <c r="R568" s="38">
        <f t="shared" si="256"/>
        <v>0</v>
      </c>
      <c r="S568" s="78">
        <v>45887</v>
      </c>
      <c r="T568" s="63"/>
      <c r="U568" s="63">
        <f t="shared" si="249"/>
        <v>49667.879999995232</v>
      </c>
      <c r="V568" s="63"/>
      <c r="W568" s="63"/>
      <c r="X568" s="63">
        <f t="shared" si="250"/>
        <v>49667.879999995232</v>
      </c>
      <c r="Y568" s="63">
        <f t="shared" si="251"/>
        <v>14160000</v>
      </c>
      <c r="Z568" s="63"/>
      <c r="AA568" s="63"/>
      <c r="AB568" s="63">
        <f t="shared" si="254"/>
        <v>440000000</v>
      </c>
      <c r="AC568" s="302"/>
      <c r="AD568" s="302"/>
      <c r="AE568" s="63"/>
      <c r="AF568" s="63"/>
      <c r="AG568" s="63"/>
      <c r="AH568" s="63"/>
      <c r="AJ568" s="63"/>
      <c r="AK568" s="316"/>
      <c r="AL568" s="316"/>
    </row>
    <row r="569" spans="2:38" x14ac:dyDescent="0.25">
      <c r="B569" s="42">
        <v>45888</v>
      </c>
      <c r="C569" s="38"/>
      <c r="D569" s="38">
        <f t="shared" si="246"/>
        <v>120814.96000000119</v>
      </c>
      <c r="E569" s="38"/>
      <c r="F569" s="38"/>
      <c r="G569" s="38">
        <f t="shared" si="247"/>
        <v>120814.96000000119</v>
      </c>
      <c r="H569" s="38">
        <f t="shared" si="248"/>
        <v>15120000</v>
      </c>
      <c r="I569" s="38">
        <v>90000000</v>
      </c>
      <c r="J569" s="38"/>
      <c r="K569" s="38">
        <v>12000000</v>
      </c>
      <c r="L569" s="38">
        <v>100000000</v>
      </c>
      <c r="M569" s="38"/>
      <c r="N569" s="38"/>
      <c r="O569" s="38">
        <f t="shared" si="256"/>
        <v>20324629.350000001</v>
      </c>
      <c r="P569" s="38">
        <f t="shared" si="256"/>
        <v>0</v>
      </c>
      <c r="Q569" s="38">
        <f t="shared" si="256"/>
        <v>0</v>
      </c>
      <c r="R569" s="38">
        <f t="shared" si="256"/>
        <v>0</v>
      </c>
      <c r="S569" s="78">
        <v>45888</v>
      </c>
      <c r="T569" s="63"/>
      <c r="U569" s="63">
        <f t="shared" si="249"/>
        <v>49667.879999995232</v>
      </c>
      <c r="V569" s="63"/>
      <c r="W569" s="63"/>
      <c r="X569" s="63">
        <f t="shared" si="250"/>
        <v>49667.879999995232</v>
      </c>
      <c r="Y569" s="63">
        <f t="shared" si="251"/>
        <v>14160000</v>
      </c>
      <c r="Z569" s="63"/>
      <c r="AA569" s="63"/>
      <c r="AB569" s="63">
        <f t="shared" si="254"/>
        <v>440000000</v>
      </c>
      <c r="AC569" s="302"/>
      <c r="AD569" s="302"/>
      <c r="AE569" s="63"/>
      <c r="AF569" s="63"/>
      <c r="AG569" s="63"/>
      <c r="AH569" s="63"/>
      <c r="AJ569" s="63"/>
      <c r="AK569" s="316"/>
      <c r="AL569" s="316"/>
    </row>
    <row r="570" spans="2:38" x14ac:dyDescent="0.25">
      <c r="B570" s="42">
        <v>45889</v>
      </c>
      <c r="C570" s="38"/>
      <c r="D570" s="38">
        <f t="shared" si="246"/>
        <v>120814.96000000119</v>
      </c>
      <c r="E570" s="38"/>
      <c r="F570" s="38"/>
      <c r="G570" s="38">
        <f t="shared" si="247"/>
        <v>120814.96000000119</v>
      </c>
      <c r="H570" s="38">
        <f t="shared" si="248"/>
        <v>15120000</v>
      </c>
      <c r="I570" s="38">
        <v>90000000</v>
      </c>
      <c r="J570" s="38"/>
      <c r="K570" s="38">
        <v>12000000</v>
      </c>
      <c r="L570" s="38">
        <v>100000000</v>
      </c>
      <c r="M570" s="38"/>
      <c r="N570" s="38"/>
      <c r="O570" s="38">
        <f t="shared" si="256"/>
        <v>20324629.350000001</v>
      </c>
      <c r="P570" s="38">
        <f t="shared" si="256"/>
        <v>0</v>
      </c>
      <c r="Q570" s="38">
        <f t="shared" si="256"/>
        <v>0</v>
      </c>
      <c r="R570" s="38">
        <f t="shared" si="256"/>
        <v>0</v>
      </c>
      <c r="S570" s="78">
        <v>45889</v>
      </c>
      <c r="T570" s="63"/>
      <c r="U570" s="63">
        <f t="shared" si="249"/>
        <v>49667.879999995232</v>
      </c>
      <c r="V570" s="63"/>
      <c r="W570" s="63"/>
      <c r="X570" s="63">
        <f t="shared" si="250"/>
        <v>49667.879999995232</v>
      </c>
      <c r="Y570" s="63">
        <f t="shared" si="251"/>
        <v>14160000</v>
      </c>
      <c r="Z570" s="63"/>
      <c r="AA570" s="63"/>
      <c r="AB570" s="63">
        <f t="shared" si="254"/>
        <v>440000000</v>
      </c>
      <c r="AC570" s="302"/>
      <c r="AD570" s="302"/>
      <c r="AE570" s="63"/>
      <c r="AF570" s="63"/>
      <c r="AG570" s="63"/>
      <c r="AH570" s="63"/>
      <c r="AJ570" s="63"/>
      <c r="AK570" s="316"/>
      <c r="AL570" s="316"/>
    </row>
    <row r="571" spans="2:38" x14ac:dyDescent="0.25">
      <c r="B571" s="42">
        <v>45890</v>
      </c>
      <c r="C571" s="38"/>
      <c r="D571" s="38">
        <f t="shared" si="246"/>
        <v>120814.96000000119</v>
      </c>
      <c r="E571" s="38"/>
      <c r="F571" s="38"/>
      <c r="G571" s="38">
        <f t="shared" si="247"/>
        <v>120814.96000000119</v>
      </c>
      <c r="H571" s="38">
        <f t="shared" si="248"/>
        <v>15120000</v>
      </c>
      <c r="I571" s="38">
        <v>90000000</v>
      </c>
      <c r="J571" s="38"/>
      <c r="K571" s="38">
        <v>12000000</v>
      </c>
      <c r="L571" s="38">
        <v>100000000</v>
      </c>
      <c r="M571" s="38"/>
      <c r="N571" s="38"/>
      <c r="O571" s="38">
        <f t="shared" si="256"/>
        <v>20324629.350000001</v>
      </c>
      <c r="P571" s="38">
        <f t="shared" si="256"/>
        <v>0</v>
      </c>
      <c r="Q571" s="38">
        <f t="shared" si="256"/>
        <v>0</v>
      </c>
      <c r="R571" s="38">
        <f t="shared" si="256"/>
        <v>0</v>
      </c>
      <c r="S571" s="78">
        <v>45890</v>
      </c>
      <c r="T571" s="63"/>
      <c r="U571" s="63">
        <f t="shared" si="249"/>
        <v>49667.879999995232</v>
      </c>
      <c r="V571" s="63"/>
      <c r="W571" s="63"/>
      <c r="X571" s="63">
        <f t="shared" si="250"/>
        <v>49667.879999995232</v>
      </c>
      <c r="Y571" s="63">
        <f t="shared" si="251"/>
        <v>14160000</v>
      </c>
      <c r="Z571" s="63"/>
      <c r="AA571" s="63"/>
      <c r="AB571" s="63">
        <f t="shared" si="254"/>
        <v>440000000</v>
      </c>
      <c r="AC571" s="302"/>
      <c r="AD571" s="302"/>
      <c r="AE571" s="63"/>
      <c r="AF571" s="63"/>
      <c r="AG571" s="63"/>
      <c r="AH571" s="63"/>
      <c r="AJ571" s="63"/>
      <c r="AK571" s="316"/>
      <c r="AL571" s="316"/>
    </row>
    <row r="572" spans="2:38" x14ac:dyDescent="0.25">
      <c r="B572" s="42">
        <v>45891</v>
      </c>
      <c r="C572" s="38"/>
      <c r="D572" s="38">
        <f t="shared" si="246"/>
        <v>120814.96000000119</v>
      </c>
      <c r="E572" s="38"/>
      <c r="F572" s="38"/>
      <c r="G572" s="38">
        <f t="shared" si="247"/>
        <v>120814.96000000119</v>
      </c>
      <c r="H572" s="38">
        <f t="shared" si="248"/>
        <v>15120000</v>
      </c>
      <c r="I572" s="38">
        <v>90000000</v>
      </c>
      <c r="J572" s="38"/>
      <c r="K572" s="38">
        <v>12000000</v>
      </c>
      <c r="L572" s="38">
        <v>100000000</v>
      </c>
      <c r="M572" s="38"/>
      <c r="N572" s="38"/>
      <c r="O572" s="38">
        <f t="shared" si="256"/>
        <v>20324629.350000001</v>
      </c>
      <c r="P572" s="38">
        <f t="shared" si="256"/>
        <v>0</v>
      </c>
      <c r="Q572" s="38">
        <f t="shared" si="256"/>
        <v>0</v>
      </c>
      <c r="R572" s="38">
        <f t="shared" si="256"/>
        <v>0</v>
      </c>
      <c r="S572" s="78">
        <v>45891</v>
      </c>
      <c r="T572" s="63"/>
      <c r="U572" s="63">
        <f t="shared" si="249"/>
        <v>49667.879999995232</v>
      </c>
      <c r="V572" s="63"/>
      <c r="W572" s="63"/>
      <c r="X572" s="63">
        <f t="shared" si="250"/>
        <v>49667.879999995232</v>
      </c>
      <c r="Y572" s="63">
        <f t="shared" si="251"/>
        <v>14160000</v>
      </c>
      <c r="Z572" s="63"/>
      <c r="AA572" s="63"/>
      <c r="AB572" s="63">
        <f t="shared" si="254"/>
        <v>440000000</v>
      </c>
      <c r="AC572" s="302"/>
      <c r="AD572" s="302"/>
      <c r="AE572" s="63"/>
      <c r="AF572" s="63"/>
      <c r="AG572" s="63"/>
      <c r="AH572" s="63"/>
      <c r="AJ572" s="63"/>
      <c r="AK572" s="316"/>
      <c r="AL572" s="316"/>
    </row>
    <row r="573" spans="2:38" x14ac:dyDescent="0.25">
      <c r="B573" s="42">
        <v>45892</v>
      </c>
      <c r="C573" s="38"/>
      <c r="D573" s="38">
        <f t="shared" ref="D573:D636" si="257">C573+G572</f>
        <v>120814.96000000119</v>
      </c>
      <c r="E573" s="38"/>
      <c r="F573" s="38"/>
      <c r="G573" s="38">
        <f t="shared" ref="G573:G636" si="258">D573+E573+F573</f>
        <v>120814.96000000119</v>
      </c>
      <c r="H573" s="38">
        <f t="shared" ref="H573:H636" si="259">H572-E573</f>
        <v>15120000</v>
      </c>
      <c r="I573" s="38">
        <v>90000000</v>
      </c>
      <c r="J573" s="38"/>
      <c r="K573" s="38">
        <v>12000000</v>
      </c>
      <c r="L573" s="38">
        <v>100000000</v>
      </c>
      <c r="M573" s="38"/>
      <c r="N573" s="38"/>
      <c r="O573" s="38">
        <f t="shared" si="256"/>
        <v>20324629.350000001</v>
      </c>
      <c r="P573" s="38">
        <f t="shared" si="256"/>
        <v>0</v>
      </c>
      <c r="Q573" s="38">
        <f t="shared" si="256"/>
        <v>0</v>
      </c>
      <c r="R573" s="38">
        <f t="shared" si="256"/>
        <v>0</v>
      </c>
      <c r="S573" s="78">
        <v>45892</v>
      </c>
      <c r="T573" s="63"/>
      <c r="U573" s="63">
        <f t="shared" ref="U573:U636" si="260">T573+X572+W573</f>
        <v>49667.879999995232</v>
      </c>
      <c r="V573" s="63"/>
      <c r="W573" s="63"/>
      <c r="X573" s="63">
        <f t="shared" ref="X573:X636" si="261">V573+U573</f>
        <v>49667.879999995232</v>
      </c>
      <c r="Y573" s="63">
        <f t="shared" ref="Y573:Y636" si="262">Y572-V573</f>
        <v>14160000</v>
      </c>
      <c r="Z573" s="63"/>
      <c r="AA573" s="63"/>
      <c r="AB573" s="63">
        <f t="shared" si="254"/>
        <v>440000000</v>
      </c>
      <c r="AC573" s="302"/>
      <c r="AD573" s="302"/>
      <c r="AE573" s="63"/>
      <c r="AF573" s="63"/>
      <c r="AG573" s="63"/>
      <c r="AH573" s="63"/>
      <c r="AJ573" s="63"/>
      <c r="AK573" s="316"/>
      <c r="AL573" s="316"/>
    </row>
    <row r="574" spans="2:38" x14ac:dyDescent="0.25">
      <c r="B574" s="42">
        <v>45893</v>
      </c>
      <c r="C574" s="38"/>
      <c r="D574" s="38">
        <f t="shared" si="257"/>
        <v>120814.96000000119</v>
      </c>
      <c r="E574" s="38"/>
      <c r="F574" s="38">
        <v>-8000</v>
      </c>
      <c r="G574" s="38">
        <f t="shared" si="258"/>
        <v>112814.96000000119</v>
      </c>
      <c r="H574" s="38">
        <f t="shared" si="259"/>
        <v>15120000</v>
      </c>
      <c r="I574" s="38">
        <v>90000000</v>
      </c>
      <c r="J574" s="38"/>
      <c r="K574" s="38">
        <v>12000000</v>
      </c>
      <c r="L574" s="38">
        <v>100000000</v>
      </c>
      <c r="M574" s="38"/>
      <c r="N574" s="38"/>
      <c r="O574" s="38">
        <f t="shared" ref="O574:R589" si="263">O573</f>
        <v>20324629.350000001</v>
      </c>
      <c r="P574" s="38">
        <f t="shared" si="263"/>
        <v>0</v>
      </c>
      <c r="Q574" s="38">
        <f t="shared" si="263"/>
        <v>0</v>
      </c>
      <c r="R574" s="38">
        <f t="shared" si="263"/>
        <v>0</v>
      </c>
      <c r="S574" s="78">
        <v>45893</v>
      </c>
      <c r="T574" s="63"/>
      <c r="U574" s="63">
        <f t="shared" si="260"/>
        <v>49667.879999995232</v>
      </c>
      <c r="V574" s="63"/>
      <c r="W574" s="63"/>
      <c r="X574" s="63">
        <f t="shared" si="261"/>
        <v>49667.879999995232</v>
      </c>
      <c r="Y574" s="63">
        <f t="shared" si="262"/>
        <v>14160000</v>
      </c>
      <c r="Z574" s="63"/>
      <c r="AA574" s="63"/>
      <c r="AB574" s="63">
        <f t="shared" si="254"/>
        <v>440000000</v>
      </c>
      <c r="AC574" s="302"/>
      <c r="AD574" s="302"/>
      <c r="AE574" s="63"/>
      <c r="AF574" s="63"/>
      <c r="AG574" s="63"/>
      <c r="AH574" s="63"/>
      <c r="AJ574" s="63"/>
      <c r="AK574" s="316"/>
      <c r="AL574" s="316"/>
    </row>
    <row r="575" spans="2:38" x14ac:dyDescent="0.25">
      <c r="B575" s="42">
        <v>45894</v>
      </c>
      <c r="C575" s="38">
        <v>-4000</v>
      </c>
      <c r="D575" s="38">
        <f t="shared" si="257"/>
        <v>108814.96000000119</v>
      </c>
      <c r="E575" s="56"/>
      <c r="F575" s="38"/>
      <c r="G575" s="38">
        <f t="shared" si="258"/>
        <v>108814.96000000119</v>
      </c>
      <c r="H575" s="38">
        <f t="shared" si="259"/>
        <v>15120000</v>
      </c>
      <c r="I575" s="38">
        <v>90000000</v>
      </c>
      <c r="J575" s="38"/>
      <c r="K575" s="38">
        <v>12000000</v>
      </c>
      <c r="L575" s="38">
        <v>100000000</v>
      </c>
      <c r="M575" s="38"/>
      <c r="N575" s="38"/>
      <c r="O575" s="38">
        <f t="shared" si="263"/>
        <v>20324629.350000001</v>
      </c>
      <c r="P575" s="38">
        <f t="shared" si="263"/>
        <v>0</v>
      </c>
      <c r="Q575" s="38">
        <f t="shared" si="263"/>
        <v>0</v>
      </c>
      <c r="R575" s="38">
        <f t="shared" si="263"/>
        <v>0</v>
      </c>
      <c r="S575" s="78">
        <v>45894</v>
      </c>
      <c r="T575" s="63"/>
      <c r="U575" s="63">
        <f t="shared" si="260"/>
        <v>49667.879999995232</v>
      </c>
      <c r="V575" s="63"/>
      <c r="W575" s="63"/>
      <c r="X575" s="63">
        <f t="shared" si="261"/>
        <v>49667.879999995232</v>
      </c>
      <c r="Y575" s="63">
        <f t="shared" si="262"/>
        <v>14160000</v>
      </c>
      <c r="Z575" s="63"/>
      <c r="AA575" s="63"/>
      <c r="AB575" s="63">
        <f t="shared" si="254"/>
        <v>440000000</v>
      </c>
      <c r="AC575" s="302"/>
      <c r="AD575" s="302"/>
      <c r="AE575" s="63"/>
      <c r="AF575" s="63"/>
      <c r="AG575" s="63"/>
      <c r="AH575" s="63"/>
      <c r="AJ575" s="63"/>
      <c r="AK575" s="317"/>
      <c r="AL575" s="317"/>
    </row>
    <row r="576" spans="2:38" x14ac:dyDescent="0.25">
      <c r="B576" s="42">
        <v>45895</v>
      </c>
      <c r="C576" s="38">
        <v>-2120203</v>
      </c>
      <c r="D576" s="38">
        <f t="shared" si="257"/>
        <v>-2011388.0399999989</v>
      </c>
      <c r="E576" s="83">
        <v>2070000</v>
      </c>
      <c r="F576" s="38">
        <v>4000</v>
      </c>
      <c r="G576" s="38">
        <f t="shared" si="258"/>
        <v>62611.960000001127</v>
      </c>
      <c r="H576" s="38">
        <f t="shared" si="259"/>
        <v>13050000</v>
      </c>
      <c r="I576" s="38">
        <v>90000000</v>
      </c>
      <c r="J576" s="38"/>
      <c r="K576" s="38">
        <v>12000000</v>
      </c>
      <c r="L576" s="38">
        <v>100000000</v>
      </c>
      <c r="M576" s="38"/>
      <c r="N576" s="38"/>
      <c r="O576" s="38">
        <f t="shared" si="263"/>
        <v>20324629.350000001</v>
      </c>
      <c r="P576" s="38">
        <f t="shared" si="263"/>
        <v>0</v>
      </c>
      <c r="Q576" s="38">
        <f t="shared" si="263"/>
        <v>0</v>
      </c>
      <c r="R576" s="38">
        <f t="shared" si="263"/>
        <v>0</v>
      </c>
      <c r="S576" s="78">
        <v>45895</v>
      </c>
      <c r="T576" s="294">
        <v>-440983.94</v>
      </c>
      <c r="U576" s="63">
        <f t="shared" si="260"/>
        <v>-391316.06000000477</v>
      </c>
      <c r="V576" s="84">
        <v>430000</v>
      </c>
      <c r="W576" s="63"/>
      <c r="X576" s="63">
        <f t="shared" si="261"/>
        <v>38683.939999995229</v>
      </c>
      <c r="Y576" s="63">
        <f t="shared" si="262"/>
        <v>13730000</v>
      </c>
      <c r="Z576" s="63"/>
      <c r="AA576" s="63"/>
      <c r="AB576" s="63">
        <f t="shared" si="254"/>
        <v>440000000</v>
      </c>
      <c r="AC576" s="302"/>
      <c r="AD576" s="302"/>
      <c r="AE576" s="63"/>
      <c r="AF576" s="63"/>
      <c r="AG576" s="63"/>
      <c r="AH576" s="63"/>
      <c r="AJ576" s="63">
        <v>1.1608000000000001</v>
      </c>
      <c r="AK576" s="317">
        <f>SUM(G576:O576)+SUM(X576:AB576)/AJ576</f>
        <v>626347547.94335628</v>
      </c>
      <c r="AL576" s="317">
        <f>SUM(H576:P576)+SUM(Y576:AC576)/AK576</f>
        <v>235374630.07440612</v>
      </c>
    </row>
    <row r="577" spans="2:38" x14ac:dyDescent="0.25">
      <c r="B577" s="42">
        <v>45896</v>
      </c>
      <c r="C577" s="38"/>
      <c r="D577" s="38">
        <f t="shared" si="257"/>
        <v>62611.960000001127</v>
      </c>
      <c r="E577" s="38"/>
      <c r="F577" s="38"/>
      <c r="G577" s="38">
        <f t="shared" si="258"/>
        <v>62611.960000001127</v>
      </c>
      <c r="H577" s="38">
        <f t="shared" si="259"/>
        <v>13050000</v>
      </c>
      <c r="I577" s="38">
        <v>90000000</v>
      </c>
      <c r="J577" s="38"/>
      <c r="K577" s="38">
        <v>12000000</v>
      </c>
      <c r="L577" s="38">
        <v>100000000</v>
      </c>
      <c r="M577" s="38"/>
      <c r="N577" s="38"/>
      <c r="O577" s="38">
        <f t="shared" si="263"/>
        <v>20324629.350000001</v>
      </c>
      <c r="P577" s="38">
        <f t="shared" si="263"/>
        <v>0</v>
      </c>
      <c r="Q577" s="38">
        <f t="shared" si="263"/>
        <v>0</v>
      </c>
      <c r="R577" s="38">
        <f t="shared" si="263"/>
        <v>0</v>
      </c>
      <c r="S577" s="78">
        <v>45896</v>
      </c>
      <c r="T577" s="63"/>
      <c r="U577" s="63">
        <f t="shared" si="260"/>
        <v>38683.939999995229</v>
      </c>
      <c r="V577" s="63"/>
      <c r="W577" s="63"/>
      <c r="X577" s="63">
        <f t="shared" si="261"/>
        <v>38683.939999995229</v>
      </c>
      <c r="Y577" s="63">
        <f t="shared" si="262"/>
        <v>13730000</v>
      </c>
      <c r="Z577" s="63"/>
      <c r="AA577" s="63"/>
      <c r="AB577" s="63">
        <f t="shared" si="254"/>
        <v>440000000</v>
      </c>
      <c r="AC577" s="302"/>
      <c r="AD577" s="302"/>
      <c r="AE577" s="63"/>
      <c r="AF577" s="63"/>
      <c r="AG577" s="63"/>
      <c r="AH577" s="63"/>
      <c r="AJ577" s="63"/>
      <c r="AK577" s="317"/>
      <c r="AL577" s="317"/>
    </row>
    <row r="578" spans="2:38" x14ac:dyDescent="0.25">
      <c r="B578" s="42">
        <v>45897</v>
      </c>
      <c r="C578" s="38">
        <v>2666526.2000000002</v>
      </c>
      <c r="D578" s="38">
        <f t="shared" si="257"/>
        <v>2729138.1600000011</v>
      </c>
      <c r="E578" s="83">
        <v>-2660000</v>
      </c>
      <c r="F578" s="38"/>
      <c r="G578" s="38">
        <f t="shared" si="258"/>
        <v>69138.16000000108</v>
      </c>
      <c r="H578" s="38">
        <f t="shared" si="259"/>
        <v>15710000</v>
      </c>
      <c r="I578" s="38">
        <v>90000000</v>
      </c>
      <c r="J578" s="38"/>
      <c r="K578" s="38">
        <v>12000000</v>
      </c>
      <c r="L578" s="38">
        <v>100000000</v>
      </c>
      <c r="M578" s="38"/>
      <c r="N578" s="38"/>
      <c r="O578" s="38">
        <f t="shared" si="263"/>
        <v>20324629.350000001</v>
      </c>
      <c r="P578" s="38">
        <f t="shared" si="263"/>
        <v>0</v>
      </c>
      <c r="Q578" s="38">
        <f t="shared" si="263"/>
        <v>0</v>
      </c>
      <c r="R578" s="38">
        <f t="shared" si="263"/>
        <v>0</v>
      </c>
      <c r="S578" s="78">
        <v>45897</v>
      </c>
      <c r="T578" s="63"/>
      <c r="U578" s="63">
        <f t="shared" si="260"/>
        <v>38683.939999995229</v>
      </c>
      <c r="V578" s="63"/>
      <c r="W578" s="63"/>
      <c r="X578" s="63">
        <f t="shared" si="261"/>
        <v>38683.939999995229</v>
      </c>
      <c r="Y578" s="63">
        <f t="shared" si="262"/>
        <v>13730000</v>
      </c>
      <c r="Z578" s="63"/>
      <c r="AA578" s="63"/>
      <c r="AB578" s="63">
        <f t="shared" si="254"/>
        <v>440000000</v>
      </c>
      <c r="AC578" s="302"/>
      <c r="AD578" s="302"/>
      <c r="AE578" s="63"/>
      <c r="AF578" s="63"/>
      <c r="AG578" s="63"/>
      <c r="AH578" s="63"/>
      <c r="AJ578" s="63"/>
      <c r="AK578" s="317"/>
      <c r="AL578" s="317"/>
    </row>
    <row r="579" spans="2:38" x14ac:dyDescent="0.25">
      <c r="B579" s="42">
        <v>45898</v>
      </c>
      <c r="C579" s="38">
        <v>88000</v>
      </c>
      <c r="D579" s="38">
        <f t="shared" si="257"/>
        <v>157138.16000000108</v>
      </c>
      <c r="E579" s="105">
        <v>-90000</v>
      </c>
      <c r="F579" s="38"/>
      <c r="G579" s="38">
        <f t="shared" si="258"/>
        <v>67138.16000000108</v>
      </c>
      <c r="H579" s="38">
        <f t="shared" si="259"/>
        <v>15800000</v>
      </c>
      <c r="I579" s="38">
        <v>90000000</v>
      </c>
      <c r="J579" s="38"/>
      <c r="K579" s="38">
        <v>12000000</v>
      </c>
      <c r="L579" s="38">
        <v>100000000</v>
      </c>
      <c r="M579" s="38"/>
      <c r="N579" s="38"/>
      <c r="O579" s="38">
        <f t="shared" si="263"/>
        <v>20324629.350000001</v>
      </c>
      <c r="P579" s="38">
        <f t="shared" si="263"/>
        <v>0</v>
      </c>
      <c r="Q579" s="38">
        <f t="shared" si="263"/>
        <v>0</v>
      </c>
      <c r="R579" s="38">
        <f t="shared" si="263"/>
        <v>0</v>
      </c>
      <c r="S579" s="78">
        <v>45898</v>
      </c>
      <c r="T579" s="63">
        <v>613000</v>
      </c>
      <c r="U579" s="63">
        <f t="shared" si="260"/>
        <v>651683.93999999529</v>
      </c>
      <c r="V579" s="102">
        <v>-610000</v>
      </c>
      <c r="W579" s="63"/>
      <c r="X579" s="63">
        <f t="shared" si="261"/>
        <v>41683.939999995288</v>
      </c>
      <c r="Y579" s="63">
        <f t="shared" si="262"/>
        <v>14340000</v>
      </c>
      <c r="Z579" s="63"/>
      <c r="AA579" s="63"/>
      <c r="AB579" s="63">
        <f t="shared" si="254"/>
        <v>440000000</v>
      </c>
      <c r="AC579" s="302"/>
      <c r="AD579" s="302"/>
      <c r="AE579" s="63"/>
      <c r="AF579" s="63"/>
      <c r="AG579" s="63"/>
      <c r="AH579" s="63"/>
      <c r="AJ579" s="63"/>
      <c r="AK579" s="317"/>
      <c r="AL579" s="317"/>
    </row>
    <row r="580" spans="2:38" x14ac:dyDescent="0.25">
      <c r="B580" s="42">
        <v>45899</v>
      </c>
      <c r="C580" s="38"/>
      <c r="D580" s="38">
        <f t="shared" si="257"/>
        <v>67138.16000000108</v>
      </c>
      <c r="E580" s="38"/>
      <c r="F580" s="38"/>
      <c r="G580" s="38">
        <f t="shared" si="258"/>
        <v>67138.16000000108</v>
      </c>
      <c r="H580" s="38">
        <f t="shared" si="259"/>
        <v>15800000</v>
      </c>
      <c r="I580" s="38">
        <v>90000000</v>
      </c>
      <c r="J580" s="38"/>
      <c r="K580" s="38">
        <v>12000000</v>
      </c>
      <c r="L580" s="38">
        <v>100000000</v>
      </c>
      <c r="M580" s="38"/>
      <c r="N580" s="38"/>
      <c r="O580" s="38">
        <f t="shared" si="263"/>
        <v>20324629.350000001</v>
      </c>
      <c r="P580" s="38">
        <f t="shared" si="263"/>
        <v>0</v>
      </c>
      <c r="Q580" s="38">
        <f t="shared" si="263"/>
        <v>0</v>
      </c>
      <c r="R580" s="38">
        <f t="shared" si="263"/>
        <v>0</v>
      </c>
      <c r="S580" s="78">
        <v>45899</v>
      </c>
      <c r="T580" s="63"/>
      <c r="U580" s="63">
        <f t="shared" si="260"/>
        <v>41683.939999995288</v>
      </c>
      <c r="V580" s="63"/>
      <c r="W580" s="63"/>
      <c r="X580" s="63">
        <f t="shared" si="261"/>
        <v>41683.939999995288</v>
      </c>
      <c r="Y580" s="63">
        <f t="shared" si="262"/>
        <v>14340000</v>
      </c>
      <c r="Z580" s="63"/>
      <c r="AA580" s="63"/>
      <c r="AB580" s="63">
        <f t="shared" si="254"/>
        <v>440000000</v>
      </c>
      <c r="AC580" s="302"/>
      <c r="AD580" s="309"/>
      <c r="AE580" s="63"/>
      <c r="AF580" s="63"/>
      <c r="AG580" s="63"/>
      <c r="AH580" s="63"/>
      <c r="AJ580" s="63"/>
      <c r="AK580" s="317"/>
      <c r="AL580" s="317"/>
    </row>
    <row r="581" spans="2:38" x14ac:dyDescent="0.25">
      <c r="B581" s="42">
        <v>45900</v>
      </c>
      <c r="C581" s="38"/>
      <c r="D581" s="38">
        <f t="shared" si="257"/>
        <v>67138.16000000108</v>
      </c>
      <c r="E581" s="38"/>
      <c r="F581" s="38"/>
      <c r="G581" s="38">
        <f t="shared" si="258"/>
        <v>67138.16000000108</v>
      </c>
      <c r="H581" s="38">
        <f t="shared" si="259"/>
        <v>15800000</v>
      </c>
      <c r="I581" s="38">
        <v>90000000</v>
      </c>
      <c r="J581" s="38"/>
      <c r="K581" s="38">
        <v>12000000</v>
      </c>
      <c r="L581" s="38">
        <v>100000000</v>
      </c>
      <c r="M581" s="38"/>
      <c r="N581" s="38"/>
      <c r="O581" s="38">
        <f t="shared" si="263"/>
        <v>20324629.350000001</v>
      </c>
      <c r="P581" s="38">
        <f t="shared" si="263"/>
        <v>0</v>
      </c>
      <c r="Q581" s="38">
        <f t="shared" si="263"/>
        <v>0</v>
      </c>
      <c r="R581" s="38">
        <f t="shared" si="263"/>
        <v>0</v>
      </c>
      <c r="S581" s="78">
        <v>45900</v>
      </c>
      <c r="T581" s="63"/>
      <c r="U581" s="63">
        <f t="shared" si="260"/>
        <v>41683.939999995288</v>
      </c>
      <c r="V581" s="63"/>
      <c r="W581" s="63"/>
      <c r="X581" s="63">
        <f t="shared" si="261"/>
        <v>41683.939999995288</v>
      </c>
      <c r="Y581" s="63">
        <f t="shared" si="262"/>
        <v>14340000</v>
      </c>
      <c r="Z581" s="63"/>
      <c r="AA581" s="63"/>
      <c r="AB581" s="63">
        <f t="shared" si="254"/>
        <v>440000000</v>
      </c>
      <c r="AC581" s="302"/>
      <c r="AD581" s="309">
        <v>4199113</v>
      </c>
      <c r="AE581" s="63"/>
      <c r="AF581" s="63"/>
      <c r="AG581" s="63"/>
      <c r="AH581" s="63"/>
      <c r="AJ581" s="63">
        <v>1.1657999999999999</v>
      </c>
      <c r="AK581" s="317">
        <f>SUM(G581:O581)+SUM(X581:AC581)/AJ581</f>
        <v>627951317.9817791</v>
      </c>
      <c r="AL581" s="317">
        <f>AK581+AD581/AJ581</f>
        <v>631553233.40466464</v>
      </c>
    </row>
    <row r="582" spans="2:38" x14ac:dyDescent="0.25">
      <c r="B582" s="42">
        <v>45901</v>
      </c>
      <c r="C582" s="38">
        <v>-2128992.7999999998</v>
      </c>
      <c r="D582" s="38">
        <f t="shared" si="257"/>
        <v>-2061854.6399999987</v>
      </c>
      <c r="E582" s="105">
        <v>2130000</v>
      </c>
      <c r="F582" s="38"/>
      <c r="G582" s="38">
        <f t="shared" si="258"/>
        <v>68145.360000001267</v>
      </c>
      <c r="H582" s="38">
        <f t="shared" si="259"/>
        <v>13670000</v>
      </c>
      <c r="I582" s="38">
        <v>90000000</v>
      </c>
      <c r="J582" s="38"/>
      <c r="K582" s="38">
        <v>12000000</v>
      </c>
      <c r="L582" s="38">
        <v>100000000</v>
      </c>
      <c r="M582" s="38"/>
      <c r="N582" s="38"/>
      <c r="O582" s="38">
        <f t="shared" si="263"/>
        <v>20324629.350000001</v>
      </c>
      <c r="P582" s="38">
        <f t="shared" si="263"/>
        <v>0</v>
      </c>
      <c r="Q582" s="38">
        <f t="shared" si="263"/>
        <v>0</v>
      </c>
      <c r="R582" s="38">
        <f t="shared" si="263"/>
        <v>0</v>
      </c>
      <c r="S582" s="78">
        <v>45901</v>
      </c>
      <c r="T582" s="63"/>
      <c r="U582" s="63">
        <f t="shared" si="260"/>
        <v>41683.939999995288</v>
      </c>
      <c r="V582" s="63"/>
      <c r="W582" s="63"/>
      <c r="X582" s="63">
        <f t="shared" si="261"/>
        <v>41683.939999995288</v>
      </c>
      <c r="Y582" s="63">
        <f t="shared" si="262"/>
        <v>14340000</v>
      </c>
      <c r="Z582" s="63"/>
      <c r="AA582" s="63"/>
      <c r="AB582" s="63">
        <f t="shared" si="254"/>
        <v>440000000</v>
      </c>
      <c r="AC582" s="302"/>
      <c r="AD582" s="309"/>
      <c r="AE582" s="63"/>
      <c r="AF582" s="63"/>
      <c r="AG582" s="63"/>
      <c r="AH582" s="63"/>
      <c r="AJ582" s="63"/>
      <c r="AK582" s="317"/>
      <c r="AL582" s="317"/>
    </row>
    <row r="583" spans="2:38" x14ac:dyDescent="0.25">
      <c r="B583" s="42">
        <v>45902</v>
      </c>
      <c r="C583" s="38"/>
      <c r="D583" s="38">
        <f t="shared" si="257"/>
        <v>68145.360000001267</v>
      </c>
      <c r="E583" s="38"/>
      <c r="F583" s="38"/>
      <c r="G583" s="38">
        <f t="shared" si="258"/>
        <v>68145.360000001267</v>
      </c>
      <c r="H583" s="38">
        <f t="shared" si="259"/>
        <v>13670000</v>
      </c>
      <c r="I583" s="38">
        <v>90000000</v>
      </c>
      <c r="J583" s="38"/>
      <c r="K583" s="38">
        <v>12000000</v>
      </c>
      <c r="L583" s="38">
        <v>100000000</v>
      </c>
      <c r="M583" s="38"/>
      <c r="N583" s="38"/>
      <c r="O583" s="38">
        <f t="shared" si="263"/>
        <v>20324629.350000001</v>
      </c>
      <c r="P583" s="38">
        <f t="shared" si="263"/>
        <v>0</v>
      </c>
      <c r="Q583" s="38">
        <f t="shared" si="263"/>
        <v>0</v>
      </c>
      <c r="R583" s="38">
        <f t="shared" si="263"/>
        <v>0</v>
      </c>
      <c r="S583" s="78">
        <v>45902</v>
      </c>
      <c r="T583" s="63"/>
      <c r="U583" s="63">
        <f t="shared" si="260"/>
        <v>41683.939999995288</v>
      </c>
      <c r="V583" s="63"/>
      <c r="W583" s="63"/>
      <c r="X583" s="63">
        <f t="shared" si="261"/>
        <v>41683.939999995288</v>
      </c>
      <c r="Y583" s="63">
        <f t="shared" si="262"/>
        <v>14340000</v>
      </c>
      <c r="Z583" s="63"/>
      <c r="AA583" s="63"/>
      <c r="AB583" s="63">
        <f t="shared" si="254"/>
        <v>440000000</v>
      </c>
      <c r="AC583" s="302"/>
      <c r="AD583" s="309"/>
      <c r="AE583" s="63"/>
      <c r="AF583" s="63"/>
      <c r="AG583" s="63"/>
      <c r="AH583" s="63"/>
      <c r="AJ583" s="63"/>
      <c r="AK583" s="317"/>
      <c r="AL583" s="317"/>
    </row>
    <row r="584" spans="2:38" x14ac:dyDescent="0.25">
      <c r="B584" s="42">
        <v>45903</v>
      </c>
      <c r="C584" s="38"/>
      <c r="D584" s="38">
        <f t="shared" si="257"/>
        <v>68145.360000001267</v>
      </c>
      <c r="E584" s="38"/>
      <c r="F584" s="38"/>
      <c r="G584" s="38">
        <f t="shared" si="258"/>
        <v>68145.360000001267</v>
      </c>
      <c r="H584" s="38">
        <f t="shared" si="259"/>
        <v>13670000</v>
      </c>
      <c r="I584" s="38">
        <v>90000000</v>
      </c>
      <c r="J584" s="38"/>
      <c r="K584" s="38">
        <v>12000000</v>
      </c>
      <c r="L584" s="38">
        <v>100000000</v>
      </c>
      <c r="M584" s="38"/>
      <c r="N584" s="38"/>
      <c r="O584" s="38">
        <f t="shared" si="263"/>
        <v>20324629.350000001</v>
      </c>
      <c r="P584" s="38">
        <f t="shared" si="263"/>
        <v>0</v>
      </c>
      <c r="Q584" s="38">
        <f t="shared" si="263"/>
        <v>0</v>
      </c>
      <c r="R584" s="38">
        <f t="shared" si="263"/>
        <v>0</v>
      </c>
      <c r="S584" s="78">
        <v>45903</v>
      </c>
      <c r="T584" s="63"/>
      <c r="U584" s="63">
        <f t="shared" si="260"/>
        <v>41683.939999995288</v>
      </c>
      <c r="V584" s="63"/>
      <c r="W584" s="63"/>
      <c r="X584" s="63">
        <f t="shared" si="261"/>
        <v>41683.939999995288</v>
      </c>
      <c r="Y584" s="63">
        <f t="shared" si="262"/>
        <v>14340000</v>
      </c>
      <c r="Z584" s="63"/>
      <c r="AA584" s="63"/>
      <c r="AB584" s="63">
        <f t="shared" si="254"/>
        <v>440000000</v>
      </c>
      <c r="AC584" s="302"/>
      <c r="AD584" s="309"/>
      <c r="AE584" s="63"/>
      <c r="AF584" s="63"/>
      <c r="AG584" s="63"/>
      <c r="AH584" s="63"/>
      <c r="AJ584" s="63"/>
      <c r="AK584" s="317"/>
      <c r="AL584" s="317"/>
    </row>
    <row r="585" spans="2:38" x14ac:dyDescent="0.25">
      <c r="B585" s="42">
        <v>45904</v>
      </c>
      <c r="C585" s="38">
        <v>6884359</v>
      </c>
      <c r="D585" s="38">
        <f t="shared" si="257"/>
        <v>6952504.3600000013</v>
      </c>
      <c r="E585" s="105">
        <v>-6885000</v>
      </c>
      <c r="F585" s="38">
        <v>-7000</v>
      </c>
      <c r="G585" s="38">
        <f t="shared" si="258"/>
        <v>60504.360000001267</v>
      </c>
      <c r="H585" s="38">
        <f t="shared" si="259"/>
        <v>20555000</v>
      </c>
      <c r="I585" s="38">
        <v>90000000</v>
      </c>
      <c r="J585" s="38"/>
      <c r="K585" s="38">
        <v>12000000</v>
      </c>
      <c r="L585" s="38">
        <v>100000000</v>
      </c>
      <c r="M585" s="38"/>
      <c r="N585" s="38"/>
      <c r="O585" s="38">
        <f t="shared" si="263"/>
        <v>20324629.350000001</v>
      </c>
      <c r="P585" s="38">
        <f t="shared" si="263"/>
        <v>0</v>
      </c>
      <c r="Q585" s="38">
        <f t="shared" si="263"/>
        <v>0</v>
      </c>
      <c r="R585" s="38">
        <f t="shared" si="263"/>
        <v>0</v>
      </c>
      <c r="S585" s="78">
        <v>45904</v>
      </c>
      <c r="T585" s="63"/>
      <c r="U585" s="63">
        <f t="shared" si="260"/>
        <v>41683.939999995288</v>
      </c>
      <c r="V585" s="63"/>
      <c r="W585" s="63"/>
      <c r="X585" s="63">
        <f t="shared" si="261"/>
        <v>41683.939999995288</v>
      </c>
      <c r="Y585" s="63">
        <f t="shared" si="262"/>
        <v>14340000</v>
      </c>
      <c r="Z585" s="63"/>
      <c r="AA585" s="63"/>
      <c r="AB585" s="63">
        <f t="shared" si="254"/>
        <v>440000000</v>
      </c>
      <c r="AC585" s="302"/>
      <c r="AD585" s="309"/>
      <c r="AE585" s="63"/>
      <c r="AF585" s="63"/>
      <c r="AG585" s="63"/>
      <c r="AH585" s="63"/>
      <c r="AJ585" s="63"/>
      <c r="AK585" s="317"/>
      <c r="AL585" s="317"/>
    </row>
    <row r="586" spans="2:38" x14ac:dyDescent="0.25">
      <c r="B586" s="42">
        <v>45905</v>
      </c>
      <c r="C586" s="38">
        <f>209000</f>
        <v>209000</v>
      </c>
      <c r="D586" s="38">
        <f t="shared" si="257"/>
        <v>269504.36000000127</v>
      </c>
      <c r="E586" s="83">
        <v>-200000</v>
      </c>
      <c r="F586" s="38"/>
      <c r="G586" s="38">
        <f t="shared" si="258"/>
        <v>69504.360000001267</v>
      </c>
      <c r="H586" s="38">
        <f t="shared" si="259"/>
        <v>20755000</v>
      </c>
      <c r="I586" s="38">
        <v>90000000</v>
      </c>
      <c r="J586" s="38"/>
      <c r="K586" s="38">
        <v>12000000</v>
      </c>
      <c r="L586" s="38">
        <v>100000000</v>
      </c>
      <c r="M586" s="38"/>
      <c r="N586" s="38"/>
      <c r="O586" s="38">
        <f t="shared" si="263"/>
        <v>20324629.350000001</v>
      </c>
      <c r="P586" s="38">
        <f t="shared" si="263"/>
        <v>0</v>
      </c>
      <c r="Q586" s="38">
        <f t="shared" si="263"/>
        <v>0</v>
      </c>
      <c r="R586" s="38">
        <f t="shared" si="263"/>
        <v>0</v>
      </c>
      <c r="S586" s="78">
        <v>45905</v>
      </c>
      <c r="T586" s="63"/>
      <c r="U586" s="63">
        <f t="shared" si="260"/>
        <v>41683.939999995288</v>
      </c>
      <c r="V586" s="63"/>
      <c r="W586" s="63"/>
      <c r="X586" s="63">
        <f t="shared" si="261"/>
        <v>41683.939999995288</v>
      </c>
      <c r="Y586" s="63">
        <f t="shared" si="262"/>
        <v>14340000</v>
      </c>
      <c r="Z586" s="63"/>
      <c r="AA586" s="63"/>
      <c r="AB586" s="63">
        <f t="shared" si="254"/>
        <v>440000000</v>
      </c>
      <c r="AC586" s="302"/>
      <c r="AD586" s="309"/>
      <c r="AE586" s="63"/>
      <c r="AF586" s="63"/>
      <c r="AG586" s="63"/>
      <c r="AH586" s="63"/>
      <c r="AJ586" s="63"/>
      <c r="AK586" s="317"/>
      <c r="AL586" s="317"/>
    </row>
    <row r="587" spans="2:38" x14ac:dyDescent="0.25">
      <c r="B587" s="42">
        <v>45906</v>
      </c>
      <c r="C587" s="38"/>
      <c r="D587" s="38">
        <f t="shared" si="257"/>
        <v>69504.360000001267</v>
      </c>
      <c r="E587" s="38"/>
      <c r="F587" s="38"/>
      <c r="G587" s="38">
        <f t="shared" si="258"/>
        <v>69504.360000001267</v>
      </c>
      <c r="H587" s="38">
        <f t="shared" si="259"/>
        <v>20755000</v>
      </c>
      <c r="I587" s="38">
        <v>90000000</v>
      </c>
      <c r="J587" s="38"/>
      <c r="K587" s="38">
        <v>12000000</v>
      </c>
      <c r="L587" s="38">
        <v>100000000</v>
      </c>
      <c r="M587" s="38"/>
      <c r="N587" s="38"/>
      <c r="O587" s="38">
        <f t="shared" si="263"/>
        <v>20324629.350000001</v>
      </c>
      <c r="P587" s="38">
        <f t="shared" si="263"/>
        <v>0</v>
      </c>
      <c r="Q587" s="38">
        <f t="shared" si="263"/>
        <v>0</v>
      </c>
      <c r="R587" s="38">
        <f t="shared" si="263"/>
        <v>0</v>
      </c>
      <c r="S587" s="78">
        <v>45906</v>
      </c>
      <c r="T587" s="63"/>
      <c r="U587" s="63">
        <f t="shared" si="260"/>
        <v>41683.939999995288</v>
      </c>
      <c r="V587" s="63"/>
      <c r="W587" s="63"/>
      <c r="X587" s="63">
        <f t="shared" si="261"/>
        <v>41683.939999995288</v>
      </c>
      <c r="Y587" s="63">
        <f t="shared" si="262"/>
        <v>14340000</v>
      </c>
      <c r="Z587" s="63"/>
      <c r="AA587" s="63"/>
      <c r="AB587" s="63">
        <f t="shared" si="254"/>
        <v>440000000</v>
      </c>
      <c r="AC587" s="302"/>
      <c r="AD587" s="309"/>
      <c r="AE587" s="63"/>
      <c r="AF587" s="63"/>
      <c r="AG587" s="63"/>
      <c r="AH587" s="63"/>
      <c r="AJ587" s="63"/>
      <c r="AK587" s="317"/>
      <c r="AL587" s="317"/>
    </row>
    <row r="588" spans="2:38" x14ac:dyDescent="0.25">
      <c r="B588" s="42">
        <v>45907</v>
      </c>
      <c r="C588" s="38"/>
      <c r="D588" s="38">
        <f t="shared" si="257"/>
        <v>69504.360000001267</v>
      </c>
      <c r="E588" s="38"/>
      <c r="F588" s="38"/>
      <c r="G588" s="38">
        <f t="shared" si="258"/>
        <v>69504.360000001267</v>
      </c>
      <c r="H588" s="38">
        <f t="shared" si="259"/>
        <v>20755000</v>
      </c>
      <c r="I588" s="38">
        <v>90000000</v>
      </c>
      <c r="J588" s="38"/>
      <c r="K588" s="38">
        <v>12000000</v>
      </c>
      <c r="L588" s="38">
        <v>100000000</v>
      </c>
      <c r="M588" s="38"/>
      <c r="N588" s="38"/>
      <c r="O588" s="38">
        <f t="shared" si="263"/>
        <v>20324629.350000001</v>
      </c>
      <c r="P588" s="38">
        <f t="shared" si="263"/>
        <v>0</v>
      </c>
      <c r="Q588" s="38">
        <f t="shared" si="263"/>
        <v>0</v>
      </c>
      <c r="R588" s="38">
        <f t="shared" si="263"/>
        <v>0</v>
      </c>
      <c r="S588" s="78">
        <v>45907</v>
      </c>
      <c r="T588" s="63"/>
      <c r="U588" s="63">
        <f t="shared" si="260"/>
        <v>39683.939999995288</v>
      </c>
      <c r="V588" s="63"/>
      <c r="W588" s="63">
        <v>-2000</v>
      </c>
      <c r="X588" s="63">
        <f t="shared" si="261"/>
        <v>39683.939999995288</v>
      </c>
      <c r="Y588" s="63">
        <f t="shared" si="262"/>
        <v>14340000</v>
      </c>
      <c r="Z588" s="63"/>
      <c r="AA588" s="63"/>
      <c r="AB588" s="63">
        <f t="shared" si="254"/>
        <v>440000000</v>
      </c>
      <c r="AC588" s="302"/>
      <c r="AD588" s="309"/>
      <c r="AE588" s="63"/>
      <c r="AF588" s="63"/>
      <c r="AG588" s="63"/>
      <c r="AH588" s="63"/>
      <c r="AJ588" s="63"/>
      <c r="AK588" s="317"/>
      <c r="AL588" s="317"/>
    </row>
    <row r="589" spans="2:38" x14ac:dyDescent="0.25">
      <c r="B589" s="42">
        <v>45908</v>
      </c>
      <c r="C589" s="38">
        <v>-11000</v>
      </c>
      <c r="D589" s="38">
        <f t="shared" si="257"/>
        <v>58504.360000001267</v>
      </c>
      <c r="E589" s="38"/>
      <c r="F589" s="38"/>
      <c r="G589" s="38">
        <f t="shared" si="258"/>
        <v>58504.360000001267</v>
      </c>
      <c r="H589" s="38">
        <f t="shared" si="259"/>
        <v>20755000</v>
      </c>
      <c r="I589" s="38">
        <v>90000000</v>
      </c>
      <c r="J589" s="38"/>
      <c r="K589" s="38">
        <v>12000000</v>
      </c>
      <c r="L589" s="38">
        <v>100000000</v>
      </c>
      <c r="M589" s="38"/>
      <c r="N589" s="38"/>
      <c r="O589" s="38">
        <f t="shared" si="263"/>
        <v>20324629.350000001</v>
      </c>
      <c r="P589" s="38">
        <f t="shared" si="263"/>
        <v>0</v>
      </c>
      <c r="Q589" s="38">
        <f t="shared" si="263"/>
        <v>0</v>
      </c>
      <c r="R589" s="38">
        <f t="shared" si="263"/>
        <v>0</v>
      </c>
      <c r="S589" s="78">
        <v>45908</v>
      </c>
      <c r="T589" s="63">
        <v>441457866.67000002</v>
      </c>
      <c r="U589" s="63">
        <f t="shared" si="260"/>
        <v>441497550.61000001</v>
      </c>
      <c r="V589" s="84">
        <f>4500000+40000</f>
        <v>4540000</v>
      </c>
      <c r="W589" s="63"/>
      <c r="X589" s="63">
        <f>V589+U589-AB589-AC589</f>
        <v>37550.610000014305</v>
      </c>
      <c r="Y589" s="63">
        <f t="shared" si="262"/>
        <v>9800000</v>
      </c>
      <c r="Z589" s="63"/>
      <c r="AA589" s="63"/>
      <c r="AB589" s="309">
        <v>223000000</v>
      </c>
      <c r="AC589" s="309">
        <v>223000000</v>
      </c>
      <c r="AD589" s="309"/>
      <c r="AE589" s="63"/>
      <c r="AF589" s="63"/>
      <c r="AG589" s="63"/>
      <c r="AH589" s="63"/>
      <c r="AJ589" s="63"/>
      <c r="AK589" s="317"/>
      <c r="AL589" s="317"/>
    </row>
    <row r="590" spans="2:38" x14ac:dyDescent="0.25">
      <c r="B590" s="42">
        <v>45909</v>
      </c>
      <c r="C590" s="38">
        <v>-15000</v>
      </c>
      <c r="D590" s="38">
        <f t="shared" si="257"/>
        <v>43504.360000001267</v>
      </c>
      <c r="E590" s="38"/>
      <c r="F590" s="38"/>
      <c r="G590" s="38">
        <f t="shared" si="258"/>
        <v>43504.360000001267</v>
      </c>
      <c r="H590" s="38">
        <f t="shared" si="259"/>
        <v>20755000</v>
      </c>
      <c r="I590" s="38">
        <v>90000000</v>
      </c>
      <c r="J590" s="38"/>
      <c r="K590" s="38">
        <v>12000000</v>
      </c>
      <c r="L590" s="38">
        <v>100000000</v>
      </c>
      <c r="M590" s="38"/>
      <c r="N590" s="38"/>
      <c r="O590" s="38">
        <f t="shared" ref="O590:R605" si="264">O589</f>
        <v>20324629.350000001</v>
      </c>
      <c r="P590" s="38">
        <f t="shared" si="264"/>
        <v>0</v>
      </c>
      <c r="Q590" s="38">
        <f t="shared" si="264"/>
        <v>0</v>
      </c>
      <c r="R590" s="38">
        <f t="shared" si="264"/>
        <v>0</v>
      </c>
      <c r="S590" s="78">
        <v>45909</v>
      </c>
      <c r="T590" s="63"/>
      <c r="U590" s="63">
        <f t="shared" si="260"/>
        <v>37550.610000014305</v>
      </c>
      <c r="V590" s="63"/>
      <c r="W590" s="63"/>
      <c r="X590" s="63">
        <f t="shared" si="261"/>
        <v>37550.610000014305</v>
      </c>
      <c r="Y590" s="63">
        <f t="shared" si="262"/>
        <v>9800000</v>
      </c>
      <c r="Z590" s="63"/>
      <c r="AA590" s="63"/>
      <c r="AB590" s="309">
        <v>223000000</v>
      </c>
      <c r="AC590" s="309">
        <v>223000000</v>
      </c>
      <c r="AD590" s="309"/>
      <c r="AE590" s="63"/>
      <c r="AF590" s="63"/>
      <c r="AG590" s="63"/>
      <c r="AH590" s="63"/>
      <c r="AJ590" s="63"/>
      <c r="AK590" s="317"/>
      <c r="AL590" s="317"/>
    </row>
    <row r="591" spans="2:38" x14ac:dyDescent="0.25">
      <c r="B591" s="42">
        <v>45910</v>
      </c>
      <c r="C591" s="38">
        <v>-1915635.93</v>
      </c>
      <c r="D591" s="38">
        <f t="shared" si="257"/>
        <v>-1872131.5699999987</v>
      </c>
      <c r="E591" s="105">
        <v>1920000</v>
      </c>
      <c r="F591" s="38"/>
      <c r="G591" s="38">
        <f t="shared" si="258"/>
        <v>47868.430000001332</v>
      </c>
      <c r="H591" s="38">
        <f t="shared" si="259"/>
        <v>18835000</v>
      </c>
      <c r="I591" s="38">
        <v>90000000</v>
      </c>
      <c r="J591" s="38"/>
      <c r="K591" s="38">
        <v>12000000</v>
      </c>
      <c r="L591" s="38">
        <v>100000000</v>
      </c>
      <c r="M591" s="38"/>
      <c r="N591" s="38"/>
      <c r="O591" s="38">
        <f t="shared" si="264"/>
        <v>20324629.350000001</v>
      </c>
      <c r="P591" s="38">
        <f t="shared" si="264"/>
        <v>0</v>
      </c>
      <c r="Q591" s="38">
        <f t="shared" si="264"/>
        <v>0</v>
      </c>
      <c r="R591" s="38">
        <f t="shared" si="264"/>
        <v>0</v>
      </c>
      <c r="S591" s="78">
        <v>45910</v>
      </c>
      <c r="T591" s="63">
        <v>-1020436.11</v>
      </c>
      <c r="U591" s="63">
        <f t="shared" si="260"/>
        <v>-982885.49999998568</v>
      </c>
      <c r="V591" s="102">
        <v>1010000</v>
      </c>
      <c r="W591" s="63"/>
      <c r="X591" s="63">
        <f t="shared" si="261"/>
        <v>27114.500000014319</v>
      </c>
      <c r="Y591" s="63">
        <f t="shared" si="262"/>
        <v>8790000</v>
      </c>
      <c r="Z591" s="63"/>
      <c r="AA591" s="63"/>
      <c r="AB591" s="309">
        <v>223000000</v>
      </c>
      <c r="AC591" s="309">
        <v>223000000</v>
      </c>
      <c r="AD591" s="309">
        <f>AD581</f>
        <v>4199113</v>
      </c>
      <c r="AE591" s="63"/>
      <c r="AF591" s="63"/>
      <c r="AG591" s="63"/>
      <c r="AH591" s="63"/>
      <c r="AJ591" s="63">
        <v>1.17</v>
      </c>
      <c r="AK591" s="317">
        <f>SUM(G591:O591)+SUM(X591:AC591)/AJ591</f>
        <v>629940074.27572656</v>
      </c>
      <c r="AL591" s="317">
        <f>AK591+AD591/AJ591</f>
        <v>633529059.74581206</v>
      </c>
    </row>
    <row r="592" spans="2:38" x14ac:dyDescent="0.25">
      <c r="B592" s="42">
        <v>45911</v>
      </c>
      <c r="C592" s="177">
        <v>6198731.1399999997</v>
      </c>
      <c r="D592" s="38">
        <f t="shared" si="257"/>
        <v>6246599.5700000012</v>
      </c>
      <c r="E592" s="53">
        <v>-6200000</v>
      </c>
      <c r="F592" s="38"/>
      <c r="G592" s="38">
        <f t="shared" si="258"/>
        <v>46599.570000001229</v>
      </c>
      <c r="H592" s="38">
        <f t="shared" si="259"/>
        <v>25035000</v>
      </c>
      <c r="I592" s="83"/>
      <c r="J592" s="177">
        <v>20000000</v>
      </c>
      <c r="K592" s="177">
        <v>12000000</v>
      </c>
      <c r="L592" s="177">
        <v>100000000</v>
      </c>
      <c r="M592" s="177"/>
      <c r="N592" s="177"/>
      <c r="O592" s="38">
        <v>63324629.350000001</v>
      </c>
      <c r="P592" s="38">
        <f t="shared" si="264"/>
        <v>0</v>
      </c>
      <c r="Q592" s="38">
        <f t="shared" si="264"/>
        <v>0</v>
      </c>
      <c r="R592" s="38">
        <f t="shared" si="264"/>
        <v>0</v>
      </c>
      <c r="S592" s="78">
        <v>45911</v>
      </c>
      <c r="T592" s="63"/>
      <c r="U592" s="63">
        <f t="shared" si="260"/>
        <v>27114.500000014319</v>
      </c>
      <c r="V592" s="63"/>
      <c r="W592" s="63"/>
      <c r="X592" s="63">
        <f t="shared" si="261"/>
        <v>27114.500000014319</v>
      </c>
      <c r="Y592" s="63">
        <f t="shared" si="262"/>
        <v>8790000</v>
      </c>
      <c r="Z592" s="63"/>
      <c r="AA592" s="63"/>
      <c r="AB592" s="309">
        <v>223000000</v>
      </c>
      <c r="AC592" s="309">
        <v>223000000</v>
      </c>
      <c r="AD592" s="309">
        <f>AD591</f>
        <v>4199113</v>
      </c>
      <c r="AE592" s="63"/>
      <c r="AF592" s="63"/>
      <c r="AG592" s="63"/>
      <c r="AH592" s="63"/>
      <c r="AJ592" s="63">
        <f>AJ591</f>
        <v>1.17</v>
      </c>
      <c r="AK592" s="317">
        <f>SUM(G592:O592)+SUM(X592:AC592)/AJ592</f>
        <v>609138805.41572654</v>
      </c>
      <c r="AL592" s="317">
        <f>AK592+AD592/AJ592</f>
        <v>612727790.88581204</v>
      </c>
    </row>
    <row r="593" spans="2:38" x14ac:dyDescent="0.25">
      <c r="B593" s="42">
        <v>45912</v>
      </c>
      <c r="C593" s="38"/>
      <c r="D593" s="38">
        <f t="shared" si="257"/>
        <v>46599.570000001229</v>
      </c>
      <c r="E593" s="38"/>
      <c r="F593" s="38"/>
      <c r="G593" s="38">
        <f t="shared" si="258"/>
        <v>46599.570000001229</v>
      </c>
      <c r="H593" s="38">
        <f t="shared" si="259"/>
        <v>25035000</v>
      </c>
      <c r="I593" s="38"/>
      <c r="J593" s="177">
        <v>20000000</v>
      </c>
      <c r="K593" s="177">
        <v>12000000</v>
      </c>
      <c r="L593" s="177">
        <v>100000000</v>
      </c>
      <c r="M593" s="177"/>
      <c r="N593" s="177"/>
      <c r="O593" s="38">
        <f t="shared" si="264"/>
        <v>63324629.350000001</v>
      </c>
      <c r="P593" s="38">
        <f t="shared" si="264"/>
        <v>0</v>
      </c>
      <c r="Q593" s="38">
        <f t="shared" si="264"/>
        <v>0</v>
      </c>
      <c r="R593" s="38">
        <f t="shared" si="264"/>
        <v>0</v>
      </c>
      <c r="S593" s="78">
        <v>45912</v>
      </c>
      <c r="T593" s="63"/>
      <c r="U593" s="63">
        <f t="shared" si="260"/>
        <v>27114.500000014319</v>
      </c>
      <c r="V593" s="63"/>
      <c r="W593" s="63"/>
      <c r="X593" s="63">
        <f t="shared" si="261"/>
        <v>27114.500000014319</v>
      </c>
      <c r="Y593" s="63">
        <f t="shared" si="262"/>
        <v>8790000</v>
      </c>
      <c r="Z593" s="63"/>
      <c r="AA593" s="63"/>
      <c r="AB593" s="309">
        <v>223000000</v>
      </c>
      <c r="AC593" s="309">
        <v>223000000</v>
      </c>
      <c r="AD593" s="309"/>
      <c r="AE593" s="63"/>
      <c r="AF593" s="63"/>
      <c r="AG593" s="63"/>
      <c r="AH593" s="63"/>
      <c r="AJ593" s="63"/>
      <c r="AK593" s="317"/>
      <c r="AL593" s="317"/>
    </row>
    <row r="594" spans="2:38" x14ac:dyDescent="0.25">
      <c r="B594" s="42">
        <v>45913</v>
      </c>
      <c r="C594" s="38"/>
      <c r="D594" s="38">
        <f t="shared" si="257"/>
        <v>46599.570000001229</v>
      </c>
      <c r="E594" s="38"/>
      <c r="F594" s="38"/>
      <c r="G594" s="38">
        <f t="shared" si="258"/>
        <v>46599.570000001229</v>
      </c>
      <c r="H594" s="38">
        <f t="shared" si="259"/>
        <v>25035000</v>
      </c>
      <c r="I594" s="38"/>
      <c r="J594" s="177">
        <v>20000000</v>
      </c>
      <c r="K594" s="177">
        <v>12000000</v>
      </c>
      <c r="L594" s="177">
        <v>100000000</v>
      </c>
      <c r="M594" s="177"/>
      <c r="N594" s="177"/>
      <c r="O594" s="38">
        <f t="shared" si="264"/>
        <v>63324629.350000001</v>
      </c>
      <c r="P594" s="38">
        <f t="shared" si="264"/>
        <v>0</v>
      </c>
      <c r="Q594" s="38">
        <f t="shared" si="264"/>
        <v>0</v>
      </c>
      <c r="R594" s="38">
        <f t="shared" si="264"/>
        <v>0</v>
      </c>
      <c r="S594" s="78">
        <v>45913</v>
      </c>
      <c r="T594" s="63"/>
      <c r="U594" s="63">
        <f t="shared" si="260"/>
        <v>27114.500000014319</v>
      </c>
      <c r="V594" s="63"/>
      <c r="W594" s="63"/>
      <c r="X594" s="63">
        <f t="shared" si="261"/>
        <v>27114.500000014319</v>
      </c>
      <c r="Y594" s="63">
        <f t="shared" si="262"/>
        <v>8790000</v>
      </c>
      <c r="Z594" s="63"/>
      <c r="AA594" s="63"/>
      <c r="AB594" s="309">
        <v>223000000</v>
      </c>
      <c r="AC594" s="309">
        <v>223000000</v>
      </c>
      <c r="AD594" s="309"/>
      <c r="AE594" s="63"/>
      <c r="AF594" s="63"/>
      <c r="AG594" s="63"/>
      <c r="AH594" s="63"/>
      <c r="AJ594" s="63"/>
      <c r="AK594" s="317"/>
      <c r="AL594" s="317"/>
    </row>
    <row r="595" spans="2:38" x14ac:dyDescent="0.25">
      <c r="B595" s="42">
        <v>45914</v>
      </c>
      <c r="C595" s="38"/>
      <c r="D595" s="38">
        <f t="shared" si="257"/>
        <v>46599.570000001229</v>
      </c>
      <c r="E595" s="38"/>
      <c r="F595" s="38"/>
      <c r="G595" s="38">
        <f t="shared" si="258"/>
        <v>46599.570000001229</v>
      </c>
      <c r="H595" s="38">
        <f t="shared" si="259"/>
        <v>25035000</v>
      </c>
      <c r="I595" s="38"/>
      <c r="J595" s="177">
        <v>20000000</v>
      </c>
      <c r="K595" s="177">
        <v>12000000</v>
      </c>
      <c r="L595" s="177">
        <v>100000000</v>
      </c>
      <c r="M595" s="177"/>
      <c r="N595" s="177"/>
      <c r="O595" s="38">
        <f t="shared" si="264"/>
        <v>63324629.350000001</v>
      </c>
      <c r="P595" s="38">
        <f t="shared" si="264"/>
        <v>0</v>
      </c>
      <c r="Q595" s="38">
        <f t="shared" si="264"/>
        <v>0</v>
      </c>
      <c r="R595" s="38">
        <f t="shared" si="264"/>
        <v>0</v>
      </c>
      <c r="S595" s="78">
        <v>45914</v>
      </c>
      <c r="T595" s="63"/>
      <c r="U595" s="63">
        <f t="shared" si="260"/>
        <v>27114.500000014319</v>
      </c>
      <c r="V595" s="63"/>
      <c r="W595" s="63"/>
      <c r="X595" s="63">
        <f t="shared" si="261"/>
        <v>27114.500000014319</v>
      </c>
      <c r="Y595" s="63">
        <f t="shared" si="262"/>
        <v>8790000</v>
      </c>
      <c r="Z595" s="63"/>
      <c r="AA595" s="63"/>
      <c r="AB595" s="309">
        <v>223000000</v>
      </c>
      <c r="AC595" s="309">
        <v>223000000</v>
      </c>
      <c r="AD595" s="309"/>
      <c r="AE595" s="63"/>
      <c r="AF595" s="63"/>
      <c r="AG595" s="63"/>
      <c r="AH595" s="63"/>
      <c r="AJ595" s="63"/>
      <c r="AK595" s="317"/>
      <c r="AL595" s="317"/>
    </row>
    <row r="596" spans="2:38" x14ac:dyDescent="0.25">
      <c r="B596" s="42">
        <v>45915</v>
      </c>
      <c r="C596" s="38"/>
      <c r="D596" s="38">
        <f t="shared" si="257"/>
        <v>46599.570000001229</v>
      </c>
      <c r="E596" s="38"/>
      <c r="F596" s="38">
        <v>-14000</v>
      </c>
      <c r="G596" s="38">
        <f t="shared" si="258"/>
        <v>32599.570000001229</v>
      </c>
      <c r="H596" s="38">
        <f t="shared" si="259"/>
        <v>25035000</v>
      </c>
      <c r="I596" s="38"/>
      <c r="J596" s="177">
        <v>20000000</v>
      </c>
      <c r="K596" s="177">
        <v>12000000</v>
      </c>
      <c r="L596" s="177">
        <v>100000000</v>
      </c>
      <c r="M596" s="177"/>
      <c r="N596" s="177"/>
      <c r="O596" s="38">
        <f t="shared" si="264"/>
        <v>63324629.350000001</v>
      </c>
      <c r="P596" s="38">
        <f t="shared" si="264"/>
        <v>0</v>
      </c>
      <c r="Q596" s="38">
        <f t="shared" si="264"/>
        <v>0</v>
      </c>
      <c r="R596" s="38">
        <f t="shared" si="264"/>
        <v>0</v>
      </c>
      <c r="S596" s="78">
        <v>45915</v>
      </c>
      <c r="T596" s="63"/>
      <c r="U596" s="63">
        <f t="shared" si="260"/>
        <v>27114.500000014319</v>
      </c>
      <c r="V596" s="63"/>
      <c r="W596" s="63"/>
      <c r="X596" s="63">
        <f t="shared" si="261"/>
        <v>27114.500000014319</v>
      </c>
      <c r="Y596" s="63">
        <f t="shared" si="262"/>
        <v>8790000</v>
      </c>
      <c r="Z596" s="63"/>
      <c r="AA596" s="63"/>
      <c r="AB596" s="309">
        <v>223000000</v>
      </c>
      <c r="AC596" s="309">
        <v>223000000</v>
      </c>
      <c r="AD596" s="309"/>
      <c r="AE596" s="63"/>
      <c r="AF596" s="63"/>
      <c r="AG596" s="63"/>
      <c r="AH596" s="63"/>
      <c r="AJ596" s="63"/>
      <c r="AK596" s="317"/>
      <c r="AL596" s="317"/>
    </row>
    <row r="597" spans="2:38" x14ac:dyDescent="0.25">
      <c r="B597" s="42">
        <v>45916</v>
      </c>
      <c r="C597" s="38">
        <v>-175946.83</v>
      </c>
      <c r="D597" s="38">
        <f t="shared" si="257"/>
        <v>-143347.25999999876</v>
      </c>
      <c r="E597" s="83">
        <v>190000</v>
      </c>
      <c r="F597" s="38"/>
      <c r="G597" s="38">
        <f t="shared" si="258"/>
        <v>46652.740000001242</v>
      </c>
      <c r="H597" s="38">
        <f t="shared" si="259"/>
        <v>24845000</v>
      </c>
      <c r="I597" s="38"/>
      <c r="J597" s="177">
        <v>20000000</v>
      </c>
      <c r="K597" s="177">
        <v>12000000</v>
      </c>
      <c r="L597" s="177">
        <v>100000000</v>
      </c>
      <c r="M597" s="177"/>
      <c r="N597" s="177"/>
      <c r="O597" s="38">
        <f t="shared" si="264"/>
        <v>63324629.350000001</v>
      </c>
      <c r="P597" s="38">
        <f t="shared" si="264"/>
        <v>0</v>
      </c>
      <c r="Q597" s="38">
        <f t="shared" si="264"/>
        <v>0</v>
      </c>
      <c r="R597" s="38">
        <f t="shared" si="264"/>
        <v>0</v>
      </c>
      <c r="S597" s="78">
        <v>45916</v>
      </c>
      <c r="T597" s="63"/>
      <c r="U597" s="63">
        <f t="shared" si="260"/>
        <v>27114.500000014319</v>
      </c>
      <c r="V597" s="63"/>
      <c r="W597" s="63"/>
      <c r="X597" s="63">
        <f t="shared" si="261"/>
        <v>27114.500000014319</v>
      </c>
      <c r="Y597" s="63">
        <f t="shared" si="262"/>
        <v>8790000</v>
      </c>
      <c r="Z597" s="63"/>
      <c r="AA597" s="63"/>
      <c r="AB597" s="309">
        <v>223000000</v>
      </c>
      <c r="AC597" s="309">
        <v>223000000</v>
      </c>
      <c r="AD597" s="309"/>
      <c r="AE597" s="63"/>
      <c r="AF597" s="63"/>
      <c r="AG597" s="63"/>
      <c r="AH597" s="63"/>
      <c r="AJ597" s="63"/>
      <c r="AK597" s="317"/>
      <c r="AL597" s="317"/>
    </row>
    <row r="598" spans="2:38" x14ac:dyDescent="0.25">
      <c r="B598" s="42">
        <v>45917</v>
      </c>
      <c r="C598" s="38"/>
      <c r="D598" s="38">
        <f t="shared" si="257"/>
        <v>46652.740000001242</v>
      </c>
      <c r="E598" s="38"/>
      <c r="F598" s="38"/>
      <c r="G598" s="38">
        <f t="shared" si="258"/>
        <v>46652.740000001242</v>
      </c>
      <c r="H598" s="38">
        <f t="shared" si="259"/>
        <v>24845000</v>
      </c>
      <c r="I598" s="38"/>
      <c r="J598" s="177">
        <v>20000000</v>
      </c>
      <c r="K598" s="177">
        <v>12000000</v>
      </c>
      <c r="L598" s="177">
        <v>100000000</v>
      </c>
      <c r="M598" s="177"/>
      <c r="N598" s="177"/>
      <c r="O598" s="38">
        <f t="shared" si="264"/>
        <v>63324629.350000001</v>
      </c>
      <c r="P598" s="38">
        <f t="shared" si="264"/>
        <v>0</v>
      </c>
      <c r="Q598" s="38">
        <f t="shared" si="264"/>
        <v>0</v>
      </c>
      <c r="R598" s="38">
        <f t="shared" si="264"/>
        <v>0</v>
      </c>
      <c r="S598" s="78">
        <v>45917</v>
      </c>
      <c r="T598" s="63">
        <v>223234707.5</v>
      </c>
      <c r="U598" s="63">
        <f t="shared" si="260"/>
        <v>223261822</v>
      </c>
      <c r="V598" s="84">
        <v>-223220000</v>
      </c>
      <c r="W598" s="288">
        <f>T598*V598*V597/100</f>
        <v>0</v>
      </c>
      <c r="X598" s="63">
        <f t="shared" si="261"/>
        <v>41822</v>
      </c>
      <c r="Y598" s="63">
        <f t="shared" si="262"/>
        <v>232010000</v>
      </c>
      <c r="Z598" s="63"/>
      <c r="AA598" s="63"/>
      <c r="AB598" s="309">
        <v>223000000</v>
      </c>
      <c r="AC598" s="309"/>
      <c r="AD598" s="309"/>
      <c r="AE598" s="63"/>
      <c r="AF598" s="63"/>
      <c r="AG598" s="63"/>
      <c r="AH598" s="63"/>
      <c r="AJ598" s="63"/>
      <c r="AK598" s="317"/>
      <c r="AL598" s="317"/>
    </row>
    <row r="599" spans="2:38" x14ac:dyDescent="0.25">
      <c r="B599" s="42">
        <v>45918</v>
      </c>
      <c r="C599" s="38"/>
      <c r="D599" s="38">
        <f t="shared" si="257"/>
        <v>46652.740000001242</v>
      </c>
      <c r="E599" s="38"/>
      <c r="F599" s="38"/>
      <c r="G599" s="38">
        <f t="shared" si="258"/>
        <v>46652.740000001242</v>
      </c>
      <c r="H599" s="38">
        <f t="shared" si="259"/>
        <v>24845000</v>
      </c>
      <c r="I599" s="38"/>
      <c r="J599" s="177">
        <v>20000000</v>
      </c>
      <c r="K599" s="177">
        <v>12000000</v>
      </c>
      <c r="L599" s="177">
        <v>100000000</v>
      </c>
      <c r="M599" s="177"/>
      <c r="N599" s="177"/>
      <c r="O599" s="38">
        <f t="shared" si="264"/>
        <v>63324629.350000001</v>
      </c>
      <c r="P599" s="38">
        <f t="shared" si="264"/>
        <v>0</v>
      </c>
      <c r="Q599" s="38">
        <f t="shared" si="264"/>
        <v>0</v>
      </c>
      <c r="R599" s="38">
        <f t="shared" si="264"/>
        <v>0</v>
      </c>
      <c r="S599" s="78">
        <v>45918</v>
      </c>
      <c r="T599" s="63">
        <v>-20000</v>
      </c>
      <c r="U599" s="63">
        <f t="shared" si="260"/>
        <v>21822</v>
      </c>
      <c r="V599" s="63"/>
      <c r="W599" s="63"/>
      <c r="X599" s="63">
        <f t="shared" si="261"/>
        <v>21822</v>
      </c>
      <c r="Y599" s="63">
        <f t="shared" si="262"/>
        <v>232010000</v>
      </c>
      <c r="Z599" s="63"/>
      <c r="AA599" s="63"/>
      <c r="AB599" s="309">
        <v>223000000</v>
      </c>
      <c r="AC599" s="309"/>
      <c r="AD599" s="309"/>
      <c r="AE599" s="63"/>
      <c r="AF599" s="63"/>
      <c r="AG599" s="63"/>
      <c r="AH599" s="63"/>
      <c r="AJ599" s="63"/>
      <c r="AK599" s="317"/>
      <c r="AL599" s="317"/>
    </row>
    <row r="600" spans="2:38" x14ac:dyDescent="0.25">
      <c r="B600" s="42">
        <v>45919</v>
      </c>
      <c r="C600" s="38"/>
      <c r="D600" s="38">
        <f t="shared" si="257"/>
        <v>46652.740000001242</v>
      </c>
      <c r="E600" s="38"/>
      <c r="F600" s="38"/>
      <c r="G600" s="38">
        <f t="shared" si="258"/>
        <v>46652.740000001242</v>
      </c>
      <c r="H600" s="38">
        <f t="shared" si="259"/>
        <v>24845000</v>
      </c>
      <c r="I600" s="38"/>
      <c r="J600" s="177">
        <v>20000000</v>
      </c>
      <c r="K600" s="177">
        <v>12000000</v>
      </c>
      <c r="L600" s="177">
        <v>100000000</v>
      </c>
      <c r="M600" s="177"/>
      <c r="N600" s="177"/>
      <c r="O600" s="38">
        <f t="shared" si="264"/>
        <v>63324629.350000001</v>
      </c>
      <c r="P600" s="38">
        <f t="shared" si="264"/>
        <v>0</v>
      </c>
      <c r="Q600" s="38">
        <f t="shared" si="264"/>
        <v>0</v>
      </c>
      <c r="R600" s="38">
        <f t="shared" si="264"/>
        <v>0</v>
      </c>
      <c r="S600" s="78">
        <v>45919</v>
      </c>
      <c r="T600" s="63">
        <v>-223045787</v>
      </c>
      <c r="U600" s="63">
        <f t="shared" si="260"/>
        <v>-223023965</v>
      </c>
      <c r="V600" s="84">
        <v>223050000</v>
      </c>
      <c r="W600" s="63"/>
      <c r="X600" s="63">
        <f t="shared" si="261"/>
        <v>26035</v>
      </c>
      <c r="Y600" s="63">
        <f t="shared" si="262"/>
        <v>8960000</v>
      </c>
      <c r="Z600" s="63">
        <v>223000000</v>
      </c>
      <c r="AA600" s="63"/>
      <c r="AB600" s="309">
        <v>223000000</v>
      </c>
      <c r="AC600" s="309"/>
      <c r="AD600" s="309"/>
      <c r="AE600" s="63"/>
      <c r="AF600" s="63"/>
      <c r="AG600" s="63"/>
      <c r="AH600" s="63"/>
      <c r="AJ600" s="63"/>
      <c r="AK600" s="317"/>
      <c r="AL600" s="317"/>
    </row>
    <row r="601" spans="2:38" x14ac:dyDescent="0.25">
      <c r="B601" s="42">
        <v>45920</v>
      </c>
      <c r="C601" s="38"/>
      <c r="D601" s="38">
        <f t="shared" si="257"/>
        <v>46652.740000001242</v>
      </c>
      <c r="E601" s="38"/>
      <c r="F601" s="38"/>
      <c r="G601" s="38">
        <f t="shared" si="258"/>
        <v>46652.740000001242</v>
      </c>
      <c r="H601" s="38">
        <f t="shared" si="259"/>
        <v>24845000</v>
      </c>
      <c r="I601" s="38"/>
      <c r="J601" s="177">
        <v>20000000</v>
      </c>
      <c r="K601" s="177">
        <v>12000000</v>
      </c>
      <c r="L601" s="177">
        <v>100000000</v>
      </c>
      <c r="M601" s="177"/>
      <c r="N601" s="177"/>
      <c r="O601" s="38">
        <f t="shared" si="264"/>
        <v>63324629.350000001</v>
      </c>
      <c r="P601" s="38">
        <f t="shared" si="264"/>
        <v>0</v>
      </c>
      <c r="Q601" s="38">
        <f t="shared" si="264"/>
        <v>0</v>
      </c>
      <c r="R601" s="38">
        <f t="shared" si="264"/>
        <v>0</v>
      </c>
      <c r="S601" s="78">
        <v>45920</v>
      </c>
      <c r="T601" s="63"/>
      <c r="U601" s="63">
        <f t="shared" si="260"/>
        <v>26035</v>
      </c>
      <c r="V601" s="63"/>
      <c r="W601" s="63"/>
      <c r="X601" s="63">
        <f t="shared" si="261"/>
        <v>26035</v>
      </c>
      <c r="Y601" s="63">
        <f t="shared" si="262"/>
        <v>8960000</v>
      </c>
      <c r="Z601" s="63">
        <v>223000000</v>
      </c>
      <c r="AA601" s="63"/>
      <c r="AB601" s="309">
        <v>223000000</v>
      </c>
      <c r="AC601" s="309"/>
      <c r="AD601" s="309"/>
      <c r="AE601" s="63"/>
      <c r="AF601" s="63"/>
      <c r="AG601" s="63"/>
      <c r="AH601" s="63"/>
      <c r="AJ601" s="63"/>
      <c r="AK601" s="317"/>
      <c r="AL601" s="317"/>
    </row>
    <row r="602" spans="2:38" x14ac:dyDescent="0.25">
      <c r="B602" s="42">
        <v>45921</v>
      </c>
      <c r="C602" s="38"/>
      <c r="D602" s="38">
        <f t="shared" si="257"/>
        <v>46652.740000001242</v>
      </c>
      <c r="E602" s="38"/>
      <c r="F602" s="38"/>
      <c r="G602" s="38">
        <f t="shared" si="258"/>
        <v>46652.740000001242</v>
      </c>
      <c r="H602" s="38">
        <f t="shared" si="259"/>
        <v>24845000</v>
      </c>
      <c r="I602" s="38"/>
      <c r="J602" s="177">
        <v>20000000</v>
      </c>
      <c r="K602" s="177">
        <v>12000000</v>
      </c>
      <c r="L602" s="177">
        <v>100000000</v>
      </c>
      <c r="M602" s="177"/>
      <c r="N602" s="177"/>
      <c r="O602" s="38">
        <f t="shared" si="264"/>
        <v>63324629.350000001</v>
      </c>
      <c r="P602" s="38">
        <f t="shared" si="264"/>
        <v>0</v>
      </c>
      <c r="Q602" s="38">
        <f t="shared" si="264"/>
        <v>0</v>
      </c>
      <c r="R602" s="38">
        <f t="shared" si="264"/>
        <v>0</v>
      </c>
      <c r="S602" s="78">
        <v>45921</v>
      </c>
      <c r="T602" s="63"/>
      <c r="U602" s="63">
        <f t="shared" si="260"/>
        <v>26035</v>
      </c>
      <c r="V602" s="63"/>
      <c r="W602" s="63"/>
      <c r="X602" s="63">
        <f t="shared" si="261"/>
        <v>26035</v>
      </c>
      <c r="Y602" s="63">
        <f t="shared" si="262"/>
        <v>8960000</v>
      </c>
      <c r="Z602" s="63">
        <v>223000000</v>
      </c>
      <c r="AA602" s="63"/>
      <c r="AB602" s="309">
        <v>223000000</v>
      </c>
      <c r="AC602" s="309"/>
      <c r="AD602" s="309"/>
      <c r="AE602" s="63"/>
      <c r="AF602" s="63"/>
      <c r="AG602" s="63"/>
      <c r="AH602" s="63"/>
      <c r="AJ602" s="63"/>
      <c r="AK602" s="317"/>
      <c r="AL602" s="317"/>
    </row>
    <row r="603" spans="2:38" x14ac:dyDescent="0.25">
      <c r="B603" s="42">
        <v>45922</v>
      </c>
      <c r="C603" s="38"/>
      <c r="D603" s="38">
        <f t="shared" si="257"/>
        <v>46652.740000001242</v>
      </c>
      <c r="E603" s="38"/>
      <c r="F603" s="38">
        <v>3000</v>
      </c>
      <c r="G603" s="38">
        <f t="shared" si="258"/>
        <v>49652.740000001242</v>
      </c>
      <c r="H603" s="38">
        <f t="shared" si="259"/>
        <v>24845000</v>
      </c>
      <c r="I603" s="38"/>
      <c r="J603" s="177">
        <v>20000000</v>
      </c>
      <c r="K603" s="177">
        <v>12000000</v>
      </c>
      <c r="L603" s="177">
        <v>100000000</v>
      </c>
      <c r="M603" s="177"/>
      <c r="N603" s="177"/>
      <c r="O603" s="38">
        <f t="shared" si="264"/>
        <v>63324629.350000001</v>
      </c>
      <c r="P603" s="38">
        <f t="shared" si="264"/>
        <v>0</v>
      </c>
      <c r="Q603" s="38">
        <f t="shared" si="264"/>
        <v>0</v>
      </c>
      <c r="R603" s="38">
        <f t="shared" si="264"/>
        <v>0</v>
      </c>
      <c r="S603" s="78">
        <v>45922</v>
      </c>
      <c r="T603" s="63"/>
      <c r="U603" s="63">
        <f t="shared" si="260"/>
        <v>26035</v>
      </c>
      <c r="V603" s="63"/>
      <c r="W603" s="63"/>
      <c r="X603" s="63">
        <f t="shared" si="261"/>
        <v>26035</v>
      </c>
      <c r="Y603" s="63">
        <f t="shared" si="262"/>
        <v>8960000</v>
      </c>
      <c r="Z603" s="63">
        <v>223000000</v>
      </c>
      <c r="AA603" s="63"/>
      <c r="AB603" s="309">
        <v>223000000</v>
      </c>
      <c r="AC603" s="309"/>
      <c r="AD603" s="309">
        <v>8600000</v>
      </c>
      <c r="AE603" s="63"/>
      <c r="AF603" s="63"/>
      <c r="AG603" s="63"/>
      <c r="AH603" s="63"/>
      <c r="AJ603" s="63">
        <v>1.18</v>
      </c>
      <c r="AK603" s="317">
        <f>SUM(G603:O603)+SUM(X603:AC603)/AJ603</f>
        <v>605800667.68322039</v>
      </c>
      <c r="AL603" s="317">
        <f>AK603+AD603/AJ603</f>
        <v>613088803.27644074</v>
      </c>
    </row>
    <row r="604" spans="2:38" x14ac:dyDescent="0.25">
      <c r="B604" s="42">
        <v>45923</v>
      </c>
      <c r="C604" s="38">
        <v>-62615.62</v>
      </c>
      <c r="D604" s="38">
        <f t="shared" si="257"/>
        <v>-12962.87999999876</v>
      </c>
      <c r="E604" s="83">
        <v>70000</v>
      </c>
      <c r="F604" s="38"/>
      <c r="G604" s="38">
        <f t="shared" si="258"/>
        <v>57037.12000000124</v>
      </c>
      <c r="H604" s="38">
        <f t="shared" si="259"/>
        <v>24775000</v>
      </c>
      <c r="I604" s="38"/>
      <c r="J604" s="177">
        <v>20000000</v>
      </c>
      <c r="K604" s="177">
        <v>12000000</v>
      </c>
      <c r="L604" s="177">
        <v>100000000</v>
      </c>
      <c r="M604" s="177"/>
      <c r="N604" s="177"/>
      <c r="O604" s="38">
        <f t="shared" si="264"/>
        <v>63324629.350000001</v>
      </c>
      <c r="P604" s="38">
        <f t="shared" si="264"/>
        <v>0</v>
      </c>
      <c r="Q604" s="38">
        <f t="shared" si="264"/>
        <v>0</v>
      </c>
      <c r="R604" s="38">
        <f t="shared" si="264"/>
        <v>0</v>
      </c>
      <c r="S604" s="78">
        <v>45923</v>
      </c>
      <c r="T604" s="63">
        <v>-4500000</v>
      </c>
      <c r="U604" s="63">
        <f t="shared" si="260"/>
        <v>-4473965</v>
      </c>
      <c r="V604" s="84">
        <v>4500000</v>
      </c>
      <c r="W604" s="63"/>
      <c r="X604" s="63">
        <f t="shared" si="261"/>
        <v>26035</v>
      </c>
      <c r="Y604" s="63">
        <f t="shared" si="262"/>
        <v>4460000</v>
      </c>
      <c r="Z604" s="63">
        <v>223000000</v>
      </c>
      <c r="AA604" s="63"/>
      <c r="AB604" s="309">
        <v>223000000</v>
      </c>
      <c r="AC604" s="309"/>
      <c r="AD604" s="309"/>
      <c r="AE604" s="63"/>
      <c r="AF604" s="63"/>
      <c r="AG604" s="63"/>
      <c r="AH604" s="63"/>
      <c r="AJ604" s="63"/>
      <c r="AK604" s="317"/>
      <c r="AL604" s="317"/>
    </row>
    <row r="605" spans="2:38" x14ac:dyDescent="0.25">
      <c r="B605" s="42">
        <v>45924</v>
      </c>
      <c r="C605" s="38"/>
      <c r="D605" s="38">
        <f t="shared" si="257"/>
        <v>57037.12000000124</v>
      </c>
      <c r="E605" s="38"/>
      <c r="F605" s="38">
        <v>-30000</v>
      </c>
      <c r="G605" s="38">
        <f t="shared" si="258"/>
        <v>27037.12000000124</v>
      </c>
      <c r="H605" s="38">
        <f t="shared" si="259"/>
        <v>24775000</v>
      </c>
      <c r="I605" s="38"/>
      <c r="J605" s="177">
        <v>20000000</v>
      </c>
      <c r="K605" s="177">
        <v>12000000</v>
      </c>
      <c r="L605" s="177">
        <v>100000000</v>
      </c>
      <c r="M605" s="177"/>
      <c r="N605" s="177"/>
      <c r="O605" s="38">
        <f t="shared" si="264"/>
        <v>63324629.350000001</v>
      </c>
      <c r="P605" s="38">
        <f t="shared" si="264"/>
        <v>0</v>
      </c>
      <c r="Q605" s="38">
        <f t="shared" si="264"/>
        <v>0</v>
      </c>
      <c r="R605" s="38">
        <f t="shared" si="264"/>
        <v>0</v>
      </c>
      <c r="S605" s="78">
        <v>45924</v>
      </c>
      <c r="T605" s="63"/>
      <c r="U605" s="63">
        <f t="shared" si="260"/>
        <v>26035</v>
      </c>
      <c r="V605" s="63"/>
      <c r="W605" s="63"/>
      <c r="X605" s="63">
        <f t="shared" si="261"/>
        <v>26035</v>
      </c>
      <c r="Y605" s="63">
        <f t="shared" si="262"/>
        <v>4460000</v>
      </c>
      <c r="Z605" s="63">
        <v>223000000</v>
      </c>
      <c r="AA605" s="63"/>
      <c r="AB605" s="309">
        <v>223000000</v>
      </c>
      <c r="AC605" s="309"/>
      <c r="AD605" s="309"/>
      <c r="AE605" s="63"/>
      <c r="AF605" s="63"/>
      <c r="AG605" s="63"/>
      <c r="AH605" s="63"/>
      <c r="AJ605" s="63"/>
      <c r="AK605" s="317"/>
      <c r="AL605" s="317"/>
    </row>
    <row r="606" spans="2:38" x14ac:dyDescent="0.25">
      <c r="B606" s="42">
        <v>45925</v>
      </c>
      <c r="C606" s="38">
        <f>-15003838.36+5030509.8+2902997.47</f>
        <v>-7070331.089999998</v>
      </c>
      <c r="D606" s="38">
        <f t="shared" si="257"/>
        <v>-7043293.9699999969</v>
      </c>
      <c r="E606" s="83">
        <v>15030000</v>
      </c>
      <c r="F606" s="38"/>
      <c r="G606" s="38">
        <f t="shared" si="258"/>
        <v>7986706.0300000031</v>
      </c>
      <c r="H606" s="38">
        <f t="shared" si="259"/>
        <v>9745000</v>
      </c>
      <c r="I606" s="38"/>
      <c r="J606" s="177">
        <v>20000000</v>
      </c>
      <c r="K606" s="177">
        <v>12000000</v>
      </c>
      <c r="L606" s="177">
        <v>100000000</v>
      </c>
      <c r="M606" s="177"/>
      <c r="N606" s="177"/>
      <c r="O606" s="38">
        <f t="shared" ref="O606:R621" si="265">O605</f>
        <v>63324629.350000001</v>
      </c>
      <c r="P606" s="38">
        <f t="shared" si="265"/>
        <v>0</v>
      </c>
      <c r="Q606" s="38">
        <f t="shared" si="265"/>
        <v>0</v>
      </c>
      <c r="R606" s="38">
        <f t="shared" si="265"/>
        <v>0</v>
      </c>
      <c r="S606" s="78">
        <v>45925</v>
      </c>
      <c r="T606" s="63">
        <f>-1279924.87+62635</f>
        <v>-1217289.8700000001</v>
      </c>
      <c r="U606" s="63">
        <f t="shared" si="260"/>
        <v>-1191254.8700000001</v>
      </c>
      <c r="V606" s="84">
        <v>1290000</v>
      </c>
      <c r="W606" s="63"/>
      <c r="X606" s="63">
        <f t="shared" si="261"/>
        <v>98745.129999999888</v>
      </c>
      <c r="Y606" s="63">
        <f t="shared" si="262"/>
        <v>3170000</v>
      </c>
      <c r="Z606" s="63">
        <v>223000000</v>
      </c>
      <c r="AA606" s="63"/>
      <c r="AB606" s="309">
        <v>223000000</v>
      </c>
      <c r="AC606" s="309"/>
      <c r="AD606" s="309">
        <v>8600000</v>
      </c>
      <c r="AE606" s="63"/>
      <c r="AF606" s="63"/>
      <c r="AG606" s="63"/>
      <c r="AH606" s="63"/>
      <c r="AJ606" s="63">
        <v>1.1735</v>
      </c>
      <c r="AK606" s="317">
        <f>SUM(G606:O606)+SUM(X606:AC606)/AJ606</f>
        <v>595901452.66163611</v>
      </c>
      <c r="AL606" s="317">
        <f>AK606+AD606/AJ606</f>
        <v>603229957.13543248</v>
      </c>
    </row>
    <row r="607" spans="2:38" x14ac:dyDescent="0.25">
      <c r="B607" s="42">
        <v>45926</v>
      </c>
      <c r="C607" s="38">
        <f>-271768.97-5030509.8-2902997-60000</f>
        <v>-8265275.7699999996</v>
      </c>
      <c r="D607" s="38">
        <f t="shared" si="257"/>
        <v>-278569.7399999965</v>
      </c>
      <c r="E607" s="83">
        <f>270000+60000</f>
        <v>330000</v>
      </c>
      <c r="F607" s="38"/>
      <c r="G607" s="38">
        <f t="shared" si="258"/>
        <v>51430.260000003502</v>
      </c>
      <c r="H607" s="38">
        <f t="shared" si="259"/>
        <v>9415000</v>
      </c>
      <c r="I607" s="38"/>
      <c r="J607" s="177">
        <v>20000000</v>
      </c>
      <c r="K607" s="177">
        <v>12000000</v>
      </c>
      <c r="L607" s="177">
        <v>100000000</v>
      </c>
      <c r="M607" s="177"/>
      <c r="N607" s="177"/>
      <c r="O607" s="38">
        <f t="shared" si="265"/>
        <v>63324629.350000001</v>
      </c>
      <c r="P607" s="38">
        <f t="shared" si="265"/>
        <v>0</v>
      </c>
      <c r="Q607" s="38">
        <f t="shared" si="265"/>
        <v>0</v>
      </c>
      <c r="R607" s="38">
        <f t="shared" si="265"/>
        <v>0</v>
      </c>
      <c r="S607" s="78">
        <v>45926</v>
      </c>
      <c r="T607" s="63">
        <v>-15000</v>
      </c>
      <c r="U607" s="63">
        <f t="shared" si="260"/>
        <v>83745.129999999888</v>
      </c>
      <c r="V607" s="63"/>
      <c r="W607" s="63"/>
      <c r="X607" s="63">
        <f t="shared" si="261"/>
        <v>83745.129999999888</v>
      </c>
      <c r="Y607" s="63">
        <f t="shared" si="262"/>
        <v>3170000</v>
      </c>
      <c r="Z607" s="63">
        <v>223000000</v>
      </c>
      <c r="AA607" s="63"/>
      <c r="AB607" s="309">
        <v>223000000</v>
      </c>
      <c r="AC607" s="309"/>
      <c r="AD607" s="309"/>
      <c r="AE607" s="63"/>
      <c r="AF607" s="63"/>
      <c r="AG607" s="63"/>
      <c r="AH607" s="63"/>
      <c r="AJ607" s="63"/>
      <c r="AK607" s="317"/>
      <c r="AL607" s="317"/>
    </row>
    <row r="608" spans="2:38" x14ac:dyDescent="0.25">
      <c r="B608" s="42">
        <v>45927</v>
      </c>
      <c r="C608" s="38"/>
      <c r="D608" s="38">
        <f t="shared" si="257"/>
        <v>51430.260000003502</v>
      </c>
      <c r="E608" s="38"/>
      <c r="F608" s="38"/>
      <c r="G608" s="38">
        <f t="shared" si="258"/>
        <v>51430.260000003502</v>
      </c>
      <c r="H608" s="38">
        <f t="shared" si="259"/>
        <v>9415000</v>
      </c>
      <c r="I608" s="38"/>
      <c r="J608" s="177">
        <v>20000000</v>
      </c>
      <c r="K608" s="177">
        <v>12000000</v>
      </c>
      <c r="L608" s="177">
        <v>100000000</v>
      </c>
      <c r="M608" s="177"/>
      <c r="N608" s="177"/>
      <c r="O608" s="38">
        <f t="shared" si="265"/>
        <v>63324629.350000001</v>
      </c>
      <c r="P608" s="38">
        <f t="shared" si="265"/>
        <v>0</v>
      </c>
      <c r="Q608" s="38">
        <f t="shared" si="265"/>
        <v>0</v>
      </c>
      <c r="R608" s="38">
        <f t="shared" si="265"/>
        <v>0</v>
      </c>
      <c r="S608" s="78">
        <v>45927</v>
      </c>
      <c r="T608" s="63"/>
      <c r="U608" s="63">
        <f t="shared" si="260"/>
        <v>83745.129999999888</v>
      </c>
      <c r="V608" s="63"/>
      <c r="W608" s="63"/>
      <c r="X608" s="63">
        <f t="shared" si="261"/>
        <v>83745.129999999888</v>
      </c>
      <c r="Y608" s="63">
        <f t="shared" si="262"/>
        <v>3170000</v>
      </c>
      <c r="Z608" s="63">
        <v>223000000</v>
      </c>
      <c r="AA608" s="63"/>
      <c r="AB608" s="309">
        <v>223000000</v>
      </c>
      <c r="AC608" s="63"/>
      <c r="AD608" s="63"/>
      <c r="AE608" s="63"/>
      <c r="AF608" s="63"/>
      <c r="AG608" s="63"/>
      <c r="AH608" s="63"/>
      <c r="AJ608" s="63"/>
      <c r="AK608" s="317"/>
      <c r="AL608" s="317"/>
    </row>
    <row r="609" spans="1:38" x14ac:dyDescent="0.25">
      <c r="A609" s="320"/>
      <c r="B609" s="42">
        <v>45928</v>
      </c>
      <c r="C609" s="38"/>
      <c r="D609" s="38">
        <f t="shared" si="257"/>
        <v>51430.260000003502</v>
      </c>
      <c r="E609" s="38"/>
      <c r="F609" s="38"/>
      <c r="G609" s="38">
        <f t="shared" si="258"/>
        <v>51430.260000003502</v>
      </c>
      <c r="H609" s="38">
        <f t="shared" si="259"/>
        <v>9415000</v>
      </c>
      <c r="I609" s="38"/>
      <c r="J609" s="177">
        <v>20000000</v>
      </c>
      <c r="K609" s="177">
        <v>12000000</v>
      </c>
      <c r="L609" s="177">
        <v>100000000</v>
      </c>
      <c r="M609" s="177"/>
      <c r="N609" s="177"/>
      <c r="O609" s="38">
        <f t="shared" si="265"/>
        <v>63324629.350000001</v>
      </c>
      <c r="P609" s="38">
        <f t="shared" si="265"/>
        <v>0</v>
      </c>
      <c r="Q609" s="38">
        <f t="shared" si="265"/>
        <v>0</v>
      </c>
      <c r="R609" s="38">
        <f t="shared" si="265"/>
        <v>0</v>
      </c>
      <c r="S609" s="78">
        <v>45928</v>
      </c>
      <c r="T609" s="63"/>
      <c r="U609" s="63">
        <f t="shared" si="260"/>
        <v>83745.129999999888</v>
      </c>
      <c r="V609" s="63"/>
      <c r="W609" s="63"/>
      <c r="X609" s="63">
        <f t="shared" si="261"/>
        <v>83745.129999999888</v>
      </c>
      <c r="Y609" s="63">
        <f t="shared" si="262"/>
        <v>3170000</v>
      </c>
      <c r="Z609" s="63">
        <v>223000000</v>
      </c>
      <c r="AA609" s="63"/>
      <c r="AB609" s="309">
        <v>223000000</v>
      </c>
      <c r="AC609" s="63"/>
      <c r="AD609" s="63"/>
      <c r="AE609" s="63"/>
      <c r="AF609" s="63"/>
      <c r="AG609" s="63"/>
      <c r="AH609" s="63"/>
      <c r="AJ609" s="63"/>
      <c r="AK609" s="317"/>
      <c r="AL609" s="317"/>
    </row>
    <row r="610" spans="1:38" x14ac:dyDescent="0.25">
      <c r="B610" s="42">
        <v>45929</v>
      </c>
      <c r="C610" s="38"/>
      <c r="D610" s="38">
        <f t="shared" si="257"/>
        <v>51430.260000003502</v>
      </c>
      <c r="E610" s="38"/>
      <c r="F610" s="38"/>
      <c r="G610" s="38">
        <f t="shared" si="258"/>
        <v>51430.260000003502</v>
      </c>
      <c r="H610" s="38">
        <f t="shared" si="259"/>
        <v>9415000</v>
      </c>
      <c r="I610" s="38"/>
      <c r="J610" s="177">
        <v>20000000</v>
      </c>
      <c r="K610" s="177">
        <v>12000000</v>
      </c>
      <c r="L610" s="177">
        <v>100000000</v>
      </c>
      <c r="M610" s="177"/>
      <c r="N610" s="177"/>
      <c r="O610" s="38">
        <f t="shared" si="265"/>
        <v>63324629.350000001</v>
      </c>
      <c r="P610" s="38">
        <f t="shared" si="265"/>
        <v>0</v>
      </c>
      <c r="Q610" s="38">
        <f t="shared" si="265"/>
        <v>0</v>
      </c>
      <c r="R610" s="38">
        <f t="shared" si="265"/>
        <v>0</v>
      </c>
      <c r="S610" s="78">
        <v>45929</v>
      </c>
      <c r="T610" s="63">
        <v>3471640.4666666701</v>
      </c>
      <c r="U610" s="63">
        <f t="shared" si="260"/>
        <v>3555385.5966666699</v>
      </c>
      <c r="V610" s="102">
        <v>-3470000</v>
      </c>
      <c r="W610" s="63"/>
      <c r="X610" s="63">
        <f t="shared" si="261"/>
        <v>85385.596666669939</v>
      </c>
      <c r="Y610" s="63">
        <f t="shared" si="262"/>
        <v>6640000</v>
      </c>
      <c r="Z610" s="63">
        <v>443107488</v>
      </c>
      <c r="AA610" s="63"/>
      <c r="AB610" s="309"/>
      <c r="AC610" s="63"/>
      <c r="AD610" s="63"/>
      <c r="AE610" s="63"/>
      <c r="AF610" s="63"/>
      <c r="AG610" s="63"/>
      <c r="AH610" s="63"/>
      <c r="AJ610" s="63"/>
      <c r="AK610" s="317"/>
      <c r="AL610" s="317"/>
    </row>
    <row r="611" spans="1:38" x14ac:dyDescent="0.25">
      <c r="B611" s="42">
        <v>45930</v>
      </c>
      <c r="C611" s="38">
        <v>30510</v>
      </c>
      <c r="D611" s="38">
        <f t="shared" si="257"/>
        <v>81940.260000003502</v>
      </c>
      <c r="E611" s="83">
        <v>-30000</v>
      </c>
      <c r="F611" s="38">
        <v>-3000</v>
      </c>
      <c r="G611" s="38">
        <f t="shared" si="258"/>
        <v>48940.260000003502</v>
      </c>
      <c r="H611" s="38">
        <f t="shared" si="259"/>
        <v>9445000</v>
      </c>
      <c r="I611" s="38"/>
      <c r="J611" s="177">
        <v>20000000</v>
      </c>
      <c r="K611" s="177">
        <v>12000000</v>
      </c>
      <c r="L611" s="177">
        <v>100000000</v>
      </c>
      <c r="M611" s="177"/>
      <c r="N611" s="177"/>
      <c r="O611" s="38">
        <f t="shared" si="265"/>
        <v>63324629.350000001</v>
      </c>
      <c r="P611" s="38">
        <f t="shared" si="265"/>
        <v>0</v>
      </c>
      <c r="Q611" s="38">
        <f t="shared" si="265"/>
        <v>0</v>
      </c>
      <c r="R611" s="38">
        <f t="shared" si="265"/>
        <v>0</v>
      </c>
      <c r="S611" s="78">
        <v>45930</v>
      </c>
      <c r="T611" s="63">
        <v>80395</v>
      </c>
      <c r="U611" s="63">
        <f t="shared" si="260"/>
        <v>165780.59666666994</v>
      </c>
      <c r="V611" s="84">
        <v>-80000</v>
      </c>
      <c r="W611" s="63"/>
      <c r="X611" s="63">
        <f t="shared" si="261"/>
        <v>85780.596666669939</v>
      </c>
      <c r="Y611" s="63">
        <f t="shared" si="262"/>
        <v>6720000</v>
      </c>
      <c r="Z611" s="63">
        <v>443107488</v>
      </c>
      <c r="AA611" s="63"/>
      <c r="AB611" s="63"/>
      <c r="AC611" s="63"/>
      <c r="AD611" s="63"/>
      <c r="AE611" s="63"/>
      <c r="AF611" s="63"/>
      <c r="AG611" s="63"/>
      <c r="AH611" s="63"/>
      <c r="AJ611" s="63"/>
      <c r="AK611" s="317"/>
      <c r="AL611" s="317"/>
    </row>
    <row r="612" spans="1:38" x14ac:dyDescent="0.25">
      <c r="B612" s="42">
        <v>45931</v>
      </c>
      <c r="C612" s="38">
        <v>-2316492.7925749999</v>
      </c>
      <c r="D612" s="38">
        <f t="shared" si="257"/>
        <v>-2267552.5325749964</v>
      </c>
      <c r="E612" s="83">
        <v>2320000</v>
      </c>
      <c r="F612" s="38"/>
      <c r="G612" s="38">
        <f t="shared" si="258"/>
        <v>52447.467425003648</v>
      </c>
      <c r="H612" s="38">
        <f t="shared" si="259"/>
        <v>7125000</v>
      </c>
      <c r="I612" s="38"/>
      <c r="J612" s="177">
        <v>20000000</v>
      </c>
      <c r="K612" s="177">
        <v>12000000</v>
      </c>
      <c r="L612" s="177">
        <v>100000000</v>
      </c>
      <c r="M612" s="177"/>
      <c r="N612" s="177"/>
      <c r="O612" s="38">
        <f t="shared" si="265"/>
        <v>63324629.350000001</v>
      </c>
      <c r="P612" s="38">
        <f t="shared" si="265"/>
        <v>0</v>
      </c>
      <c r="Q612" s="38">
        <f t="shared" si="265"/>
        <v>0</v>
      </c>
      <c r="R612" s="38">
        <f t="shared" si="265"/>
        <v>0</v>
      </c>
      <c r="S612" s="78">
        <v>45931</v>
      </c>
      <c r="T612" s="63"/>
      <c r="U612" s="63">
        <f t="shared" si="260"/>
        <v>85780.596666669939</v>
      </c>
      <c r="V612" s="63"/>
      <c r="W612" s="63"/>
      <c r="X612" s="63">
        <f t="shared" si="261"/>
        <v>85780.596666669939</v>
      </c>
      <c r="Y612" s="63">
        <f t="shared" si="262"/>
        <v>6720000</v>
      </c>
      <c r="Z612" s="63">
        <v>443107488</v>
      </c>
      <c r="AA612" s="63"/>
      <c r="AB612" s="63"/>
      <c r="AC612" s="63"/>
      <c r="AD612" s="63"/>
      <c r="AE612" s="63"/>
      <c r="AF612" s="63"/>
      <c r="AG612" s="63"/>
      <c r="AH612" s="63"/>
      <c r="AJ612" s="63"/>
      <c r="AK612" s="317"/>
      <c r="AL612" s="317"/>
    </row>
    <row r="613" spans="1:38" x14ac:dyDescent="0.25">
      <c r="B613" s="42">
        <v>45932</v>
      </c>
      <c r="C613" s="38"/>
      <c r="D613" s="38">
        <f t="shared" si="257"/>
        <v>52447.467425003648</v>
      </c>
      <c r="E613" s="38"/>
      <c r="F613" s="38"/>
      <c r="G613" s="38">
        <f t="shared" si="258"/>
        <v>52447.467425003648</v>
      </c>
      <c r="H613" s="38">
        <f t="shared" si="259"/>
        <v>7125000</v>
      </c>
      <c r="I613" s="38"/>
      <c r="J613" s="177">
        <v>20000000</v>
      </c>
      <c r="K613" s="177">
        <v>12000000</v>
      </c>
      <c r="L613" s="177">
        <v>100000000</v>
      </c>
      <c r="M613" s="177"/>
      <c r="N613" s="177"/>
      <c r="O613" s="38">
        <f t="shared" si="265"/>
        <v>63324629.350000001</v>
      </c>
      <c r="P613" s="38">
        <f t="shared" si="265"/>
        <v>0</v>
      </c>
      <c r="Q613" s="38">
        <f t="shared" si="265"/>
        <v>0</v>
      </c>
      <c r="R613" s="38">
        <f t="shared" si="265"/>
        <v>0</v>
      </c>
      <c r="S613" s="78">
        <v>45932</v>
      </c>
      <c r="T613" s="63"/>
      <c r="U613" s="63">
        <f t="shared" si="260"/>
        <v>85780.596666669939</v>
      </c>
      <c r="V613" s="63"/>
      <c r="W613" s="63"/>
      <c r="X613" s="63">
        <f t="shared" si="261"/>
        <v>85780.596666669939</v>
      </c>
      <c r="Y613" s="63">
        <f t="shared" si="262"/>
        <v>6720000</v>
      </c>
      <c r="Z613" s="63">
        <v>443107488</v>
      </c>
      <c r="AA613" s="63"/>
      <c r="AB613" s="63"/>
      <c r="AC613" s="63"/>
      <c r="AD613" s="63"/>
      <c r="AE613" s="63"/>
      <c r="AF613" s="63"/>
      <c r="AG613" s="63"/>
      <c r="AH613" s="63"/>
      <c r="AJ613" s="63"/>
      <c r="AK613" s="317"/>
      <c r="AL613" s="317"/>
    </row>
    <row r="614" spans="1:38" x14ac:dyDescent="0.25">
      <c r="B614" s="42">
        <v>45933</v>
      </c>
      <c r="C614" s="38"/>
      <c r="D614" s="38">
        <f t="shared" si="257"/>
        <v>52447.467425003648</v>
      </c>
      <c r="E614" s="38"/>
      <c r="F614" s="38"/>
      <c r="G614" s="38">
        <f t="shared" si="258"/>
        <v>52447.467425003648</v>
      </c>
      <c r="H614" s="38">
        <f t="shared" si="259"/>
        <v>7125000</v>
      </c>
      <c r="I614" s="38"/>
      <c r="J614" s="177">
        <v>20000000</v>
      </c>
      <c r="K614" s="177">
        <v>12000000</v>
      </c>
      <c r="L614" s="177">
        <v>100000000</v>
      </c>
      <c r="M614" s="177"/>
      <c r="N614" s="177"/>
      <c r="O614" s="38">
        <f t="shared" si="265"/>
        <v>63324629.350000001</v>
      </c>
      <c r="P614" s="38">
        <f t="shared" si="265"/>
        <v>0</v>
      </c>
      <c r="Q614" s="38">
        <f t="shared" si="265"/>
        <v>0</v>
      </c>
      <c r="R614" s="38">
        <f t="shared" si="265"/>
        <v>0</v>
      </c>
      <c r="S614" s="78">
        <v>45933</v>
      </c>
      <c r="T614" s="63"/>
      <c r="U614" s="63">
        <f t="shared" si="260"/>
        <v>85780.596666669939</v>
      </c>
      <c r="V614" s="63"/>
      <c r="W614" s="63"/>
      <c r="X614" s="63">
        <f t="shared" si="261"/>
        <v>85780.596666669939</v>
      </c>
      <c r="Y614" s="63">
        <f t="shared" si="262"/>
        <v>6720000</v>
      </c>
      <c r="Z614" s="63">
        <v>443107488</v>
      </c>
      <c r="AA614" s="63"/>
      <c r="AB614" s="63"/>
      <c r="AC614" s="63"/>
      <c r="AD614" s="63"/>
      <c r="AE614" s="63"/>
      <c r="AF614" s="63"/>
      <c r="AG614" s="63"/>
      <c r="AH614" s="63"/>
      <c r="AJ614" s="63"/>
      <c r="AK614" s="317"/>
      <c r="AL614" s="317"/>
    </row>
    <row r="615" spans="1:38" x14ac:dyDescent="0.25">
      <c r="B615" s="42">
        <v>45934</v>
      </c>
      <c r="C615" s="38"/>
      <c r="D615" s="38">
        <f t="shared" si="257"/>
        <v>52447.467425003648</v>
      </c>
      <c r="E615" s="38"/>
      <c r="F615" s="38"/>
      <c r="G615" s="38">
        <f t="shared" si="258"/>
        <v>52447.467425003648</v>
      </c>
      <c r="H615" s="38">
        <f t="shared" si="259"/>
        <v>7125000</v>
      </c>
      <c r="I615" s="38"/>
      <c r="J615" s="177">
        <v>20000000</v>
      </c>
      <c r="K615" s="177">
        <v>12000000</v>
      </c>
      <c r="L615" s="177">
        <v>100000000</v>
      </c>
      <c r="M615" s="177"/>
      <c r="N615" s="177"/>
      <c r="O615" s="38">
        <f t="shared" si="265"/>
        <v>63324629.350000001</v>
      </c>
      <c r="P615" s="38">
        <f t="shared" si="265"/>
        <v>0</v>
      </c>
      <c r="Q615" s="38">
        <f t="shared" si="265"/>
        <v>0</v>
      </c>
      <c r="R615" s="38">
        <f t="shared" si="265"/>
        <v>0</v>
      </c>
      <c r="S615" s="78">
        <v>45934</v>
      </c>
      <c r="T615" s="63"/>
      <c r="U615" s="63">
        <f t="shared" si="260"/>
        <v>85780.596666669939</v>
      </c>
      <c r="V615" s="63"/>
      <c r="W615" s="63"/>
      <c r="X615" s="63">
        <f t="shared" si="261"/>
        <v>85780.596666669939</v>
      </c>
      <c r="Y615" s="63">
        <f t="shared" si="262"/>
        <v>6720000</v>
      </c>
      <c r="Z615" s="63">
        <v>443107488</v>
      </c>
      <c r="AA615" s="63"/>
      <c r="AB615" s="63"/>
      <c r="AC615" s="63"/>
      <c r="AD615" s="63"/>
      <c r="AE615" s="63"/>
      <c r="AF615" s="63"/>
      <c r="AG615" s="63"/>
      <c r="AH615" s="63"/>
      <c r="AJ615" s="63"/>
      <c r="AK615" s="317"/>
      <c r="AL615" s="317"/>
    </row>
    <row r="616" spans="1:38" x14ac:dyDescent="0.25">
      <c r="B616" s="42">
        <v>45935</v>
      </c>
      <c r="C616" s="38"/>
      <c r="D616" s="38">
        <f t="shared" si="257"/>
        <v>52447.467425003648</v>
      </c>
      <c r="E616" s="38"/>
      <c r="F616" s="38"/>
      <c r="G616" s="38">
        <f t="shared" si="258"/>
        <v>52447.467425003648</v>
      </c>
      <c r="H616" s="38">
        <f t="shared" si="259"/>
        <v>7125000</v>
      </c>
      <c r="I616" s="38"/>
      <c r="J616" s="177">
        <v>20000000</v>
      </c>
      <c r="K616" s="177">
        <v>12000000</v>
      </c>
      <c r="L616" s="177">
        <v>5000000</v>
      </c>
      <c r="M616" s="177"/>
      <c r="N616" s="177"/>
      <c r="O616" s="38">
        <f t="shared" si="265"/>
        <v>63324629.350000001</v>
      </c>
      <c r="P616" s="38">
        <f t="shared" si="265"/>
        <v>0</v>
      </c>
      <c r="Q616" s="38">
        <f t="shared" si="265"/>
        <v>0</v>
      </c>
      <c r="R616" s="38">
        <f t="shared" si="265"/>
        <v>0</v>
      </c>
      <c r="S616" s="78">
        <v>45935</v>
      </c>
      <c r="T616" s="63"/>
      <c r="U616" s="63">
        <f t="shared" si="260"/>
        <v>85780.596666669939</v>
      </c>
      <c r="V616" s="63"/>
      <c r="W616" s="63"/>
      <c r="X616" s="63">
        <f t="shared" si="261"/>
        <v>85780.596666669939</v>
      </c>
      <c r="Y616" s="63">
        <f t="shared" si="262"/>
        <v>6720000</v>
      </c>
      <c r="Z616" s="63">
        <v>443107488</v>
      </c>
      <c r="AA616" s="63"/>
      <c r="AB616" s="63"/>
      <c r="AC616" s="63"/>
      <c r="AD616" s="63"/>
      <c r="AE616" s="63"/>
      <c r="AF616" s="63"/>
      <c r="AG616" s="63"/>
      <c r="AH616" s="63"/>
      <c r="AJ616" s="63"/>
      <c r="AK616" s="317"/>
      <c r="AL616" s="317"/>
    </row>
    <row r="617" spans="1:38" x14ac:dyDescent="0.25">
      <c r="B617" s="42">
        <v>45936</v>
      </c>
      <c r="C617" s="177">
        <f>95000000+180000</f>
        <v>95180000</v>
      </c>
      <c r="D617" s="38">
        <f t="shared" si="257"/>
        <v>95232447.467425004</v>
      </c>
      <c r="E617" s="38">
        <v>-95180000</v>
      </c>
      <c r="F617" s="38"/>
      <c r="G617" s="38">
        <f t="shared" si="258"/>
        <v>52447.467425003648</v>
      </c>
      <c r="H617" s="38">
        <f t="shared" si="259"/>
        <v>102305000</v>
      </c>
      <c r="I617" s="38"/>
      <c r="J617" s="177">
        <v>20000000</v>
      </c>
      <c r="K617" s="177">
        <v>12000000</v>
      </c>
      <c r="L617" s="177">
        <v>5000000</v>
      </c>
      <c r="M617" s="177"/>
      <c r="N617" s="177"/>
      <c r="O617" s="38">
        <f t="shared" si="265"/>
        <v>63324629.350000001</v>
      </c>
      <c r="P617" s="38">
        <f t="shared" si="265"/>
        <v>0</v>
      </c>
      <c r="Q617" s="38">
        <f t="shared" si="265"/>
        <v>0</v>
      </c>
      <c r="R617" s="38">
        <f t="shared" si="265"/>
        <v>0</v>
      </c>
      <c r="S617" s="78">
        <v>45936</v>
      </c>
      <c r="T617" s="63"/>
      <c r="U617" s="63">
        <f t="shared" si="260"/>
        <v>85780.596666669939</v>
      </c>
      <c r="V617" s="82">
        <v>-50000</v>
      </c>
      <c r="W617" s="63"/>
      <c r="X617" s="63">
        <f t="shared" si="261"/>
        <v>35780.596666669939</v>
      </c>
      <c r="Y617" s="63">
        <f t="shared" si="262"/>
        <v>6770000</v>
      </c>
      <c r="Z617" s="63">
        <v>443107488</v>
      </c>
      <c r="AA617" s="63"/>
      <c r="AB617" s="63"/>
      <c r="AC617" s="63"/>
      <c r="AD617" s="63"/>
      <c r="AE617" s="63"/>
      <c r="AF617" s="63"/>
      <c r="AG617" s="63"/>
      <c r="AH617" s="63"/>
      <c r="AJ617" s="63"/>
      <c r="AK617" s="317"/>
      <c r="AL617" s="317"/>
    </row>
    <row r="618" spans="1:38" x14ac:dyDescent="0.25">
      <c r="B618" s="42">
        <v>45937</v>
      </c>
      <c r="C618" s="38"/>
      <c r="D618" s="38">
        <f t="shared" si="257"/>
        <v>52447.467425003648</v>
      </c>
      <c r="E618" s="38"/>
      <c r="F618" s="38"/>
      <c r="G618" s="38">
        <f t="shared" si="258"/>
        <v>52447.467425003648</v>
      </c>
      <c r="H618" s="38">
        <f t="shared" si="259"/>
        <v>102305000</v>
      </c>
      <c r="I618" s="38"/>
      <c r="J618" s="177">
        <v>20000000</v>
      </c>
      <c r="K618" s="177">
        <v>12000000</v>
      </c>
      <c r="L618" s="177">
        <v>5000000</v>
      </c>
      <c r="M618" s="177"/>
      <c r="N618" s="177"/>
      <c r="O618" s="38">
        <f t="shared" si="265"/>
        <v>63324629.350000001</v>
      </c>
      <c r="P618" s="38">
        <f t="shared" si="265"/>
        <v>0</v>
      </c>
      <c r="Q618" s="38">
        <f t="shared" si="265"/>
        <v>0</v>
      </c>
      <c r="R618" s="38">
        <f t="shared" si="265"/>
        <v>0</v>
      </c>
      <c r="S618" s="78">
        <v>45937</v>
      </c>
      <c r="T618" s="63"/>
      <c r="U618" s="63">
        <f t="shared" si="260"/>
        <v>35780.596666669939</v>
      </c>
      <c r="V618" s="63"/>
      <c r="W618" s="63"/>
      <c r="X618" s="63">
        <f t="shared" si="261"/>
        <v>35780.596666669939</v>
      </c>
      <c r="Y618" s="63">
        <f t="shared" si="262"/>
        <v>6770000</v>
      </c>
      <c r="Z618" s="63">
        <v>443107488</v>
      </c>
      <c r="AA618" s="63"/>
      <c r="AB618" s="63"/>
      <c r="AC618" s="63"/>
      <c r="AD618" s="63"/>
      <c r="AE618" s="63"/>
      <c r="AF618" s="63"/>
      <c r="AG618" s="63"/>
      <c r="AH618" s="63"/>
      <c r="AJ618" s="63"/>
      <c r="AK618" s="317"/>
      <c r="AL618" s="317"/>
    </row>
    <row r="619" spans="1:38" x14ac:dyDescent="0.25">
      <c r="B619" s="42">
        <v>45938</v>
      </c>
      <c r="C619" s="38"/>
      <c r="D619" s="38">
        <f t="shared" si="257"/>
        <v>52447.467425003648</v>
      </c>
      <c r="E619" s="38"/>
      <c r="F619" s="38"/>
      <c r="G619" s="38">
        <f t="shared" si="258"/>
        <v>52447.467425003648</v>
      </c>
      <c r="H619" s="38">
        <f t="shared" si="259"/>
        <v>102305000</v>
      </c>
      <c r="I619" s="38"/>
      <c r="J619" s="177">
        <v>20000000</v>
      </c>
      <c r="K619" s="177">
        <v>12000000</v>
      </c>
      <c r="L619" s="177">
        <v>5000000</v>
      </c>
      <c r="M619" s="177"/>
      <c r="N619" s="177"/>
      <c r="O619" s="38">
        <f t="shared" si="265"/>
        <v>63324629.350000001</v>
      </c>
      <c r="P619" s="38">
        <f t="shared" si="265"/>
        <v>0</v>
      </c>
      <c r="Q619" s="38">
        <f t="shared" si="265"/>
        <v>0</v>
      </c>
      <c r="R619" s="38">
        <f t="shared" si="265"/>
        <v>0</v>
      </c>
      <c r="S619" s="78">
        <v>45938</v>
      </c>
      <c r="T619" s="63"/>
      <c r="U619" s="63">
        <f t="shared" si="260"/>
        <v>35780.596666669939</v>
      </c>
      <c r="V619" s="63"/>
      <c r="W619" s="63"/>
      <c r="X619" s="63">
        <f t="shared" si="261"/>
        <v>35780.596666669939</v>
      </c>
      <c r="Y619" s="63">
        <f t="shared" si="262"/>
        <v>6770000</v>
      </c>
      <c r="Z619" s="63">
        <v>443107488</v>
      </c>
      <c r="AA619" s="63"/>
      <c r="AB619" s="63"/>
      <c r="AC619" s="63"/>
      <c r="AD619" s="63"/>
      <c r="AE619" s="63"/>
      <c r="AF619" s="63"/>
      <c r="AG619" s="63"/>
      <c r="AH619" s="63"/>
      <c r="AJ619" s="63"/>
      <c r="AK619" s="317"/>
      <c r="AL619" s="317"/>
    </row>
    <row r="620" spans="1:38" x14ac:dyDescent="0.25">
      <c r="B620" s="42">
        <v>45939</v>
      </c>
      <c r="C620" s="38"/>
      <c r="D620" s="38">
        <f t="shared" si="257"/>
        <v>52447.467425003648</v>
      </c>
      <c r="E620" s="38"/>
      <c r="F620" s="38">
        <v>-12000</v>
      </c>
      <c r="G620" s="38">
        <f t="shared" si="258"/>
        <v>40447.467425003648</v>
      </c>
      <c r="H620" s="38">
        <f t="shared" si="259"/>
        <v>102305000</v>
      </c>
      <c r="I620" s="38"/>
      <c r="J620" s="38"/>
      <c r="K620" s="177">
        <v>12000000</v>
      </c>
      <c r="L620" s="177">
        <v>5000000</v>
      </c>
      <c r="M620" s="177"/>
      <c r="N620" s="177"/>
      <c r="O620" s="38">
        <f t="shared" si="265"/>
        <v>63324629.350000001</v>
      </c>
      <c r="P620" s="38">
        <f t="shared" si="265"/>
        <v>0</v>
      </c>
      <c r="Q620" s="38">
        <f t="shared" si="265"/>
        <v>0</v>
      </c>
      <c r="R620" s="38">
        <f t="shared" si="265"/>
        <v>0</v>
      </c>
      <c r="S620" s="78">
        <v>45939</v>
      </c>
      <c r="T620" s="63"/>
      <c r="U620" s="63">
        <f t="shared" si="260"/>
        <v>35780.596666669939</v>
      </c>
      <c r="V620" s="63"/>
      <c r="W620" s="63"/>
      <c r="X620" s="63">
        <f t="shared" si="261"/>
        <v>35780.596666669939</v>
      </c>
      <c r="Y620" s="63">
        <f t="shared" si="262"/>
        <v>6770000</v>
      </c>
      <c r="Z620" s="63">
        <v>443107488</v>
      </c>
      <c r="AA620" s="63"/>
      <c r="AB620" s="63"/>
      <c r="AC620" s="63"/>
      <c r="AD620" s="63"/>
      <c r="AE620" s="63"/>
      <c r="AF620" s="63"/>
      <c r="AG620" s="63"/>
      <c r="AH620" s="63"/>
      <c r="AJ620" s="63"/>
      <c r="AK620" s="317"/>
      <c r="AL620" s="317"/>
    </row>
    <row r="621" spans="1:38" x14ac:dyDescent="0.25">
      <c r="B621" s="42">
        <v>45940</v>
      </c>
      <c r="C621" s="38">
        <v>-89273502.150000006</v>
      </c>
      <c r="D621" s="38">
        <f t="shared" si="257"/>
        <v>-89233054.682575002</v>
      </c>
      <c r="E621" s="83">
        <v>89290000</v>
      </c>
      <c r="F621" s="38"/>
      <c r="G621" s="38">
        <f t="shared" si="258"/>
        <v>56945.317424997687</v>
      </c>
      <c r="H621" s="38">
        <f t="shared" si="259"/>
        <v>13015000</v>
      </c>
      <c r="I621" s="38"/>
      <c r="J621" s="38"/>
      <c r="K621" s="177">
        <v>12000000</v>
      </c>
      <c r="L621" s="177">
        <v>5000000</v>
      </c>
      <c r="M621" s="177"/>
      <c r="N621" s="177">
        <v>88037893</v>
      </c>
      <c r="O621" s="38">
        <f t="shared" si="265"/>
        <v>63324629.350000001</v>
      </c>
      <c r="P621" s="38">
        <f t="shared" si="265"/>
        <v>0</v>
      </c>
      <c r="Q621" s="38">
        <f t="shared" si="265"/>
        <v>0</v>
      </c>
      <c r="R621" s="38">
        <f t="shared" si="265"/>
        <v>0</v>
      </c>
      <c r="S621" s="78">
        <v>45940</v>
      </c>
      <c r="T621" s="63">
        <v>-842741.13</v>
      </c>
      <c r="U621" s="63">
        <f t="shared" si="260"/>
        <v>-806960.53333333007</v>
      </c>
      <c r="V621" s="84">
        <v>840000</v>
      </c>
      <c r="W621" s="63"/>
      <c r="X621" s="63">
        <f t="shared" si="261"/>
        <v>33039.466666669934</v>
      </c>
      <c r="Y621" s="63">
        <f t="shared" si="262"/>
        <v>5930000</v>
      </c>
      <c r="Z621" s="63">
        <v>443107488</v>
      </c>
      <c r="AA621" s="63"/>
      <c r="AB621" s="63"/>
      <c r="AC621" s="63"/>
      <c r="AD621" s="63"/>
      <c r="AE621" s="63"/>
      <c r="AF621" s="63"/>
      <c r="AG621" s="63"/>
      <c r="AH621" s="63"/>
      <c r="AJ621" s="63"/>
      <c r="AK621" s="317"/>
      <c r="AL621" s="317"/>
    </row>
    <row r="622" spans="1:38" x14ac:dyDescent="0.25">
      <c r="B622" s="42">
        <v>45941</v>
      </c>
      <c r="C622" s="38"/>
      <c r="D622" s="38">
        <f t="shared" si="257"/>
        <v>56945.317424997687</v>
      </c>
      <c r="E622" s="38"/>
      <c r="F622" s="38"/>
      <c r="G622" s="38">
        <f t="shared" si="258"/>
        <v>56945.317424997687</v>
      </c>
      <c r="H622" s="38">
        <f t="shared" si="259"/>
        <v>13015000</v>
      </c>
      <c r="I622" s="38"/>
      <c r="J622" s="38"/>
      <c r="K622" s="177">
        <v>12000000</v>
      </c>
      <c r="L622" s="177">
        <v>5000000</v>
      </c>
      <c r="M622" s="177"/>
      <c r="N622" s="177">
        <f>N621</f>
        <v>88037893</v>
      </c>
      <c r="O622" s="38">
        <f t="shared" ref="O622:R637" si="266">O621</f>
        <v>63324629.350000001</v>
      </c>
      <c r="P622" s="38">
        <f t="shared" si="266"/>
        <v>0</v>
      </c>
      <c r="Q622" s="38">
        <f t="shared" si="266"/>
        <v>0</v>
      </c>
      <c r="R622" s="38">
        <f t="shared" si="266"/>
        <v>0</v>
      </c>
      <c r="S622" s="78">
        <v>45941</v>
      </c>
      <c r="T622" s="63"/>
      <c r="U622" s="63">
        <f t="shared" si="260"/>
        <v>33039.466666669934</v>
      </c>
      <c r="V622" s="63"/>
      <c r="W622" s="63"/>
      <c r="X622" s="63">
        <f t="shared" si="261"/>
        <v>33039.466666669934</v>
      </c>
      <c r="Y622" s="63">
        <f t="shared" si="262"/>
        <v>5930000</v>
      </c>
      <c r="Z622" s="63">
        <v>443107488</v>
      </c>
      <c r="AA622" s="63"/>
      <c r="AB622" s="63"/>
      <c r="AC622" s="63"/>
      <c r="AD622" s="63"/>
      <c r="AE622" s="63"/>
      <c r="AF622" s="63"/>
      <c r="AG622" s="63"/>
      <c r="AH622" s="63"/>
      <c r="AJ622" s="63"/>
      <c r="AK622" s="317"/>
      <c r="AL622" s="317"/>
    </row>
    <row r="623" spans="1:38" x14ac:dyDescent="0.25">
      <c r="B623" s="42">
        <v>45942</v>
      </c>
      <c r="C623" s="38"/>
      <c r="D623" s="38">
        <f t="shared" si="257"/>
        <v>56945.317424997687</v>
      </c>
      <c r="E623" s="38"/>
      <c r="F623" s="38"/>
      <c r="G623" s="38">
        <f t="shared" si="258"/>
        <v>56945.317424997687</v>
      </c>
      <c r="H623" s="38">
        <f t="shared" si="259"/>
        <v>13015000</v>
      </c>
      <c r="I623" s="38"/>
      <c r="J623" s="38"/>
      <c r="K623" s="177">
        <v>12000000</v>
      </c>
      <c r="L623" s="177">
        <v>5000000</v>
      </c>
      <c r="M623" s="177"/>
      <c r="N623" s="177">
        <f t="shared" ref="N623:N686" si="267">N622</f>
        <v>88037893</v>
      </c>
      <c r="O623" s="38">
        <f t="shared" si="266"/>
        <v>63324629.350000001</v>
      </c>
      <c r="P623" s="38">
        <f t="shared" si="266"/>
        <v>0</v>
      </c>
      <c r="Q623" s="38">
        <f t="shared" si="266"/>
        <v>0</v>
      </c>
      <c r="R623" s="38">
        <f t="shared" si="266"/>
        <v>0</v>
      </c>
      <c r="S623" s="78">
        <v>45942</v>
      </c>
      <c r="T623" s="63"/>
      <c r="U623" s="63">
        <f t="shared" si="260"/>
        <v>33039.466666669934</v>
      </c>
      <c r="V623" s="63"/>
      <c r="W623" s="63"/>
      <c r="X623" s="63">
        <f t="shared" si="261"/>
        <v>33039.466666669934</v>
      </c>
      <c r="Y623" s="63">
        <f t="shared" si="262"/>
        <v>5930000</v>
      </c>
      <c r="Z623" s="63">
        <v>443107488</v>
      </c>
      <c r="AA623" s="63"/>
      <c r="AB623" s="63"/>
      <c r="AC623" s="63"/>
      <c r="AD623" s="63"/>
      <c r="AE623" s="63"/>
      <c r="AF623" s="63"/>
      <c r="AG623" s="63"/>
      <c r="AH623" s="63"/>
      <c r="AJ623" s="63"/>
      <c r="AK623" s="317"/>
      <c r="AL623" s="317"/>
    </row>
    <row r="624" spans="1:38" x14ac:dyDescent="0.25">
      <c r="B624" s="42">
        <v>45943</v>
      </c>
      <c r="C624" s="117">
        <f>20*10^6*30/360*2.15%</f>
        <v>35833.333333333336</v>
      </c>
      <c r="D624" s="38">
        <f t="shared" si="257"/>
        <v>92778.65075833103</v>
      </c>
      <c r="E624" s="382">
        <v>-30000</v>
      </c>
      <c r="F624" s="38"/>
      <c r="G624" s="38">
        <f t="shared" si="258"/>
        <v>62778.65075833103</v>
      </c>
      <c r="H624" s="38">
        <f t="shared" si="259"/>
        <v>13045000</v>
      </c>
      <c r="I624" s="38"/>
      <c r="J624" s="38"/>
      <c r="K624" s="177">
        <v>12000000</v>
      </c>
      <c r="L624" s="177">
        <v>5000000</v>
      </c>
      <c r="M624" s="177"/>
      <c r="N624" s="177">
        <f t="shared" si="267"/>
        <v>88037893</v>
      </c>
      <c r="O624" s="38">
        <f t="shared" si="266"/>
        <v>63324629.350000001</v>
      </c>
      <c r="P624" s="38">
        <f t="shared" si="266"/>
        <v>0</v>
      </c>
      <c r="Q624" s="38">
        <f t="shared" si="266"/>
        <v>0</v>
      </c>
      <c r="R624" s="38">
        <f t="shared" si="266"/>
        <v>0</v>
      </c>
      <c r="S624" s="78">
        <v>45943</v>
      </c>
      <c r="T624" s="63"/>
      <c r="U624" s="63">
        <f t="shared" si="260"/>
        <v>33039.466666669934</v>
      </c>
      <c r="V624" s="63"/>
      <c r="W624" s="63"/>
      <c r="X624" s="63">
        <f t="shared" si="261"/>
        <v>33039.466666669934</v>
      </c>
      <c r="Y624" s="63">
        <f t="shared" si="262"/>
        <v>5930000</v>
      </c>
      <c r="Z624" s="63">
        <v>443107488</v>
      </c>
      <c r="AA624" s="63"/>
      <c r="AB624" s="63"/>
      <c r="AC624" s="63"/>
      <c r="AD624" s="63"/>
      <c r="AE624" s="63"/>
      <c r="AF624" s="63"/>
      <c r="AG624" s="63"/>
      <c r="AH624" s="63"/>
      <c r="AJ624" s="63"/>
      <c r="AK624" s="317"/>
      <c r="AL624" s="317"/>
    </row>
    <row r="625" spans="2:38" x14ac:dyDescent="0.25">
      <c r="B625" s="42">
        <v>45944</v>
      </c>
      <c r="C625" s="38"/>
      <c r="D625" s="38">
        <f t="shared" si="257"/>
        <v>62778.65075833103</v>
      </c>
      <c r="E625" s="38"/>
      <c r="F625" s="38">
        <v>-40000</v>
      </c>
      <c r="G625" s="38">
        <f t="shared" si="258"/>
        <v>22778.65075833103</v>
      </c>
      <c r="H625" s="38">
        <f t="shared" si="259"/>
        <v>13045000</v>
      </c>
      <c r="I625" s="38"/>
      <c r="J625" s="38"/>
      <c r="K625" s="177">
        <v>12000000</v>
      </c>
      <c r="L625" s="177">
        <v>5000000</v>
      </c>
      <c r="M625" s="177"/>
      <c r="N625" s="177">
        <f t="shared" si="267"/>
        <v>88037893</v>
      </c>
      <c r="O625" s="38">
        <f t="shared" si="266"/>
        <v>63324629.350000001</v>
      </c>
      <c r="P625" s="38">
        <f t="shared" si="266"/>
        <v>0</v>
      </c>
      <c r="Q625" s="38">
        <f t="shared" si="266"/>
        <v>0</v>
      </c>
      <c r="R625" s="38">
        <f t="shared" si="266"/>
        <v>0</v>
      </c>
      <c r="S625" s="78">
        <v>45944</v>
      </c>
      <c r="T625" s="63"/>
      <c r="U625" s="63">
        <f t="shared" si="260"/>
        <v>33039.466666669934</v>
      </c>
      <c r="V625" s="63"/>
      <c r="W625" s="63"/>
      <c r="X625" s="63">
        <f t="shared" si="261"/>
        <v>33039.466666669934</v>
      </c>
      <c r="Y625" s="63">
        <f t="shared" si="262"/>
        <v>5930000</v>
      </c>
      <c r="Z625" s="63">
        <v>443107488</v>
      </c>
      <c r="AA625" s="63"/>
      <c r="AB625" s="63"/>
      <c r="AC625" s="63"/>
      <c r="AD625" s="63"/>
      <c r="AE625" s="63"/>
      <c r="AF625" s="63"/>
      <c r="AG625" s="63"/>
      <c r="AH625" s="63"/>
      <c r="AJ625" s="63"/>
      <c r="AK625" s="317"/>
      <c r="AL625" s="317"/>
    </row>
    <row r="626" spans="2:38" x14ac:dyDescent="0.25">
      <c r="B626" s="42">
        <v>45945</v>
      </c>
      <c r="C626" s="38">
        <v>-1526755.57</v>
      </c>
      <c r="D626" s="38">
        <f t="shared" si="257"/>
        <v>-1503976.9192416691</v>
      </c>
      <c r="E626" s="83">
        <v>1560000</v>
      </c>
      <c r="F626" s="38"/>
      <c r="G626" s="38">
        <f t="shared" si="258"/>
        <v>56023.080758330878</v>
      </c>
      <c r="H626" s="38">
        <f t="shared" si="259"/>
        <v>11485000</v>
      </c>
      <c r="I626" s="38"/>
      <c r="J626" s="38"/>
      <c r="K626" s="177">
        <v>12000000</v>
      </c>
      <c r="L626" s="177">
        <v>5000000</v>
      </c>
      <c r="M626" s="177"/>
      <c r="N626" s="177">
        <f t="shared" si="267"/>
        <v>88037893</v>
      </c>
      <c r="O626" s="38">
        <f t="shared" si="266"/>
        <v>63324629.350000001</v>
      </c>
      <c r="P626" s="38">
        <f t="shared" si="266"/>
        <v>0</v>
      </c>
      <c r="Q626" s="38">
        <f t="shared" si="266"/>
        <v>0</v>
      </c>
      <c r="R626" s="38">
        <f t="shared" si="266"/>
        <v>0</v>
      </c>
      <c r="S626" s="78">
        <v>45945</v>
      </c>
      <c r="T626" s="63"/>
      <c r="U626" s="63">
        <f t="shared" si="260"/>
        <v>33039.466666669934</v>
      </c>
      <c r="V626" s="63"/>
      <c r="W626" s="63"/>
      <c r="X626" s="63">
        <f t="shared" si="261"/>
        <v>33039.466666669934</v>
      </c>
      <c r="Y626" s="63">
        <f t="shared" si="262"/>
        <v>5930000</v>
      </c>
      <c r="Z626" s="63">
        <v>443107488</v>
      </c>
      <c r="AA626" s="63"/>
      <c r="AB626" s="63"/>
      <c r="AC626" s="63"/>
      <c r="AD626" s="63"/>
      <c r="AE626" s="63"/>
      <c r="AF626" s="63"/>
      <c r="AG626" s="63"/>
      <c r="AH626" s="63"/>
      <c r="AJ626" s="63"/>
      <c r="AK626" s="317"/>
      <c r="AL626" s="317"/>
    </row>
    <row r="627" spans="2:38" x14ac:dyDescent="0.25">
      <c r="B627" s="42">
        <v>45946</v>
      </c>
      <c r="C627" s="38"/>
      <c r="D627" s="38">
        <f t="shared" si="257"/>
        <v>56023.080758330878</v>
      </c>
      <c r="E627" s="38"/>
      <c r="F627" s="38"/>
      <c r="G627" s="38">
        <f t="shared" si="258"/>
        <v>56023.080758330878</v>
      </c>
      <c r="H627" s="38">
        <f t="shared" si="259"/>
        <v>11485000</v>
      </c>
      <c r="I627" s="38"/>
      <c r="J627" s="38"/>
      <c r="K627" s="177">
        <v>12000000</v>
      </c>
      <c r="L627" s="177">
        <v>5000000</v>
      </c>
      <c r="M627" s="177"/>
      <c r="N627" s="177">
        <f t="shared" si="267"/>
        <v>88037893</v>
      </c>
      <c r="O627" s="38">
        <f t="shared" si="266"/>
        <v>63324629.350000001</v>
      </c>
      <c r="P627" s="38">
        <f t="shared" si="266"/>
        <v>0</v>
      </c>
      <c r="Q627" s="38">
        <f t="shared" si="266"/>
        <v>0</v>
      </c>
      <c r="R627" s="38">
        <f t="shared" si="266"/>
        <v>0</v>
      </c>
      <c r="S627" s="78">
        <v>45946</v>
      </c>
      <c r="T627" s="63"/>
      <c r="U627" s="63">
        <f t="shared" si="260"/>
        <v>33039.466666669934</v>
      </c>
      <c r="V627" s="63"/>
      <c r="W627" s="63"/>
      <c r="X627" s="63">
        <f t="shared" si="261"/>
        <v>33039.466666669934</v>
      </c>
      <c r="Y627" s="63">
        <f t="shared" si="262"/>
        <v>5930000</v>
      </c>
      <c r="Z627" s="63">
        <v>443107488</v>
      </c>
      <c r="AA627" s="63"/>
      <c r="AB627" s="63"/>
      <c r="AC627" s="63"/>
      <c r="AD627" s="63"/>
      <c r="AE627" s="63"/>
      <c r="AF627" s="63"/>
      <c r="AG627" s="63"/>
      <c r="AH627" s="63"/>
      <c r="AJ627" s="63"/>
      <c r="AK627" s="317"/>
      <c r="AL627" s="317"/>
    </row>
    <row r="628" spans="2:38" x14ac:dyDescent="0.25">
      <c r="B628" s="42">
        <v>45947</v>
      </c>
      <c r="C628" s="38"/>
      <c r="D628" s="38">
        <f t="shared" si="257"/>
        <v>56023.080758330878</v>
      </c>
      <c r="E628" s="38"/>
      <c r="F628" s="38"/>
      <c r="G628" s="38">
        <f t="shared" si="258"/>
        <v>56023.080758330878</v>
      </c>
      <c r="H628" s="38">
        <f t="shared" si="259"/>
        <v>11485000</v>
      </c>
      <c r="I628" s="38"/>
      <c r="J628" s="38"/>
      <c r="K628" s="177">
        <v>12000000</v>
      </c>
      <c r="L628" s="177">
        <v>5000000</v>
      </c>
      <c r="M628" s="177"/>
      <c r="N628" s="177">
        <f t="shared" si="267"/>
        <v>88037893</v>
      </c>
      <c r="O628" s="38">
        <f t="shared" si="266"/>
        <v>63324629.350000001</v>
      </c>
      <c r="P628" s="38">
        <f t="shared" si="266"/>
        <v>0</v>
      </c>
      <c r="Q628" s="38">
        <f t="shared" si="266"/>
        <v>0</v>
      </c>
      <c r="R628" s="38">
        <f t="shared" si="266"/>
        <v>0</v>
      </c>
      <c r="S628" s="78">
        <v>45947</v>
      </c>
      <c r="T628" s="63"/>
      <c r="U628" s="63">
        <f t="shared" si="260"/>
        <v>33039.466666669934</v>
      </c>
      <c r="V628" s="63"/>
      <c r="W628" s="63"/>
      <c r="X628" s="63">
        <f t="shared" si="261"/>
        <v>33039.466666669934</v>
      </c>
      <c r="Y628" s="63">
        <f t="shared" si="262"/>
        <v>5930000</v>
      </c>
      <c r="Z628" s="63">
        <v>443107488</v>
      </c>
      <c r="AA628" s="63"/>
      <c r="AB628" s="63"/>
      <c r="AC628" s="63"/>
      <c r="AD628" s="63"/>
      <c r="AE628" s="63"/>
      <c r="AF628" s="63"/>
      <c r="AG628" s="63"/>
      <c r="AH628" s="63"/>
      <c r="AJ628" s="63"/>
      <c r="AK628" s="317"/>
      <c r="AL628" s="317"/>
    </row>
    <row r="629" spans="2:38" x14ac:dyDescent="0.25">
      <c r="B629" s="42">
        <v>45948</v>
      </c>
      <c r="C629" s="38"/>
      <c r="D629" s="38">
        <f t="shared" si="257"/>
        <v>56023.080758330878</v>
      </c>
      <c r="E629" s="38"/>
      <c r="F629" s="38"/>
      <c r="G629" s="38">
        <f t="shared" si="258"/>
        <v>56023.080758330878</v>
      </c>
      <c r="H629" s="38">
        <f t="shared" si="259"/>
        <v>11485000</v>
      </c>
      <c r="I629" s="38"/>
      <c r="J629" s="38"/>
      <c r="K629" s="177">
        <v>12000000</v>
      </c>
      <c r="L629" s="177">
        <v>5000000</v>
      </c>
      <c r="M629" s="177"/>
      <c r="N629" s="177">
        <f t="shared" si="267"/>
        <v>88037893</v>
      </c>
      <c r="O629" s="38">
        <f t="shared" si="266"/>
        <v>63324629.350000001</v>
      </c>
      <c r="P629" s="38">
        <f t="shared" si="266"/>
        <v>0</v>
      </c>
      <c r="Q629" s="38">
        <f t="shared" si="266"/>
        <v>0</v>
      </c>
      <c r="R629" s="38">
        <f t="shared" si="266"/>
        <v>0</v>
      </c>
      <c r="S629" s="78">
        <v>45948</v>
      </c>
      <c r="T629" s="63"/>
      <c r="U629" s="63">
        <f t="shared" si="260"/>
        <v>33039.466666669934</v>
      </c>
      <c r="V629" s="63"/>
      <c r="W629" s="63"/>
      <c r="X629" s="63">
        <f t="shared" si="261"/>
        <v>33039.466666669934</v>
      </c>
      <c r="Y629" s="63">
        <f t="shared" si="262"/>
        <v>5930000</v>
      </c>
      <c r="Z629" s="63">
        <v>443107488</v>
      </c>
      <c r="AA629" s="63"/>
      <c r="AB629" s="63"/>
      <c r="AC629" s="63"/>
      <c r="AD629" s="63"/>
      <c r="AE629" s="63"/>
      <c r="AF629" s="63"/>
      <c r="AG629" s="63"/>
      <c r="AH629" s="63"/>
      <c r="AJ629" s="63"/>
      <c r="AK629" s="317"/>
      <c r="AL629" s="317"/>
    </row>
    <row r="630" spans="2:38" x14ac:dyDescent="0.25">
      <c r="B630" s="42">
        <v>45949</v>
      </c>
      <c r="C630" s="38"/>
      <c r="D630" s="38">
        <f t="shared" si="257"/>
        <v>56023.080758330878</v>
      </c>
      <c r="E630" s="38"/>
      <c r="F630" s="38"/>
      <c r="G630" s="38">
        <f t="shared" si="258"/>
        <v>56023.080758330878</v>
      </c>
      <c r="H630" s="38">
        <f t="shared" si="259"/>
        <v>11485000</v>
      </c>
      <c r="I630" s="38"/>
      <c r="J630" s="38"/>
      <c r="K630" s="177">
        <v>12000000</v>
      </c>
      <c r="L630" s="177">
        <v>5000000</v>
      </c>
      <c r="M630" s="177"/>
      <c r="N630" s="177">
        <f t="shared" si="267"/>
        <v>88037893</v>
      </c>
      <c r="O630" s="38">
        <f t="shared" si="266"/>
        <v>63324629.350000001</v>
      </c>
      <c r="P630" s="38">
        <f t="shared" si="266"/>
        <v>0</v>
      </c>
      <c r="Q630" s="38">
        <f t="shared" si="266"/>
        <v>0</v>
      </c>
      <c r="R630" s="38">
        <f t="shared" si="266"/>
        <v>0</v>
      </c>
      <c r="S630" s="78">
        <v>45949</v>
      </c>
      <c r="T630" s="63"/>
      <c r="U630" s="63">
        <f t="shared" si="260"/>
        <v>33039.466666669934</v>
      </c>
      <c r="V630" s="63"/>
      <c r="W630" s="63"/>
      <c r="X630" s="63">
        <f t="shared" si="261"/>
        <v>33039.466666669934</v>
      </c>
      <c r="Y630" s="63">
        <f t="shared" si="262"/>
        <v>5930000</v>
      </c>
      <c r="Z630" s="63">
        <v>443107488</v>
      </c>
      <c r="AA630" s="63"/>
      <c r="AB630" s="63"/>
      <c r="AC630" s="63"/>
      <c r="AD630" s="63"/>
      <c r="AE630" s="63"/>
      <c r="AF630" s="63"/>
      <c r="AG630" s="63"/>
      <c r="AH630" s="63"/>
      <c r="AJ630" s="63"/>
      <c r="AK630" s="317"/>
      <c r="AL630" s="317"/>
    </row>
    <row r="631" spans="2:38" x14ac:dyDescent="0.25">
      <c r="B631" s="42">
        <v>45950</v>
      </c>
      <c r="C631" s="38"/>
      <c r="D631" s="38">
        <f t="shared" si="257"/>
        <v>56023.080758330878</v>
      </c>
      <c r="E631" s="38"/>
      <c r="F631" s="38"/>
      <c r="G631" s="38">
        <f t="shared" si="258"/>
        <v>56023.080758330878</v>
      </c>
      <c r="H631" s="38">
        <f t="shared" si="259"/>
        <v>11485000</v>
      </c>
      <c r="I631" s="38"/>
      <c r="J631" s="38"/>
      <c r="K631" s="177">
        <v>12000000</v>
      </c>
      <c r="L631" s="177">
        <v>5000000</v>
      </c>
      <c r="M631" s="177"/>
      <c r="N631" s="177">
        <f t="shared" si="267"/>
        <v>88037893</v>
      </c>
      <c r="O631" s="38">
        <f t="shared" si="266"/>
        <v>63324629.350000001</v>
      </c>
      <c r="P631" s="38">
        <f t="shared" si="266"/>
        <v>0</v>
      </c>
      <c r="Q631" s="38">
        <f t="shared" si="266"/>
        <v>0</v>
      </c>
      <c r="R631" s="38">
        <f t="shared" si="266"/>
        <v>0</v>
      </c>
      <c r="S631" s="78">
        <v>45950</v>
      </c>
      <c r="T631" s="63">
        <f>193111960.8-193000000</f>
        <v>111960.80000001192</v>
      </c>
      <c r="U631" s="63">
        <f t="shared" si="260"/>
        <v>145000.26666668185</v>
      </c>
      <c r="V631" s="102">
        <v>-110000</v>
      </c>
      <c r="W631" s="63"/>
      <c r="X631" s="63">
        <f t="shared" si="261"/>
        <v>35000.266666681855</v>
      </c>
      <c r="Y631" s="63">
        <f t="shared" si="262"/>
        <v>6040000</v>
      </c>
      <c r="Z631" s="63">
        <v>251371476.40000001</v>
      </c>
      <c r="AA631" s="63"/>
      <c r="AB631" s="63"/>
      <c r="AC631" s="63"/>
      <c r="AD631" s="63">
        <v>200000000</v>
      </c>
      <c r="AE631" s="63"/>
      <c r="AF631" s="63"/>
      <c r="AG631" s="63"/>
      <c r="AH631" s="63"/>
      <c r="AJ631" s="63"/>
      <c r="AK631" s="317"/>
      <c r="AL631" s="317"/>
    </row>
    <row r="632" spans="2:38" x14ac:dyDescent="0.25">
      <c r="B632" s="42">
        <v>45951</v>
      </c>
      <c r="C632" s="38"/>
      <c r="D632" s="38">
        <f t="shared" si="257"/>
        <v>56023.080758330878</v>
      </c>
      <c r="E632" s="38"/>
      <c r="F632" s="38">
        <v>4400</v>
      </c>
      <c r="G632" s="38">
        <f t="shared" si="258"/>
        <v>60423.080758330878</v>
      </c>
      <c r="H632" s="38">
        <f t="shared" si="259"/>
        <v>11485000</v>
      </c>
      <c r="I632" s="38"/>
      <c r="J632" s="38"/>
      <c r="K632" s="177">
        <v>12000000</v>
      </c>
      <c r="L632" s="177">
        <v>5000000</v>
      </c>
      <c r="M632" s="177"/>
      <c r="N632" s="177">
        <f t="shared" si="267"/>
        <v>88037893</v>
      </c>
      <c r="O632" s="38">
        <f t="shared" si="266"/>
        <v>63324629.350000001</v>
      </c>
      <c r="P632" s="38">
        <f t="shared" si="266"/>
        <v>0</v>
      </c>
      <c r="Q632" s="38">
        <f t="shared" si="266"/>
        <v>0</v>
      </c>
      <c r="R632" s="38">
        <f t="shared" si="266"/>
        <v>0</v>
      </c>
      <c r="S632" s="78">
        <v>45951</v>
      </c>
      <c r="T632" s="63"/>
      <c r="U632" s="63">
        <f t="shared" si="260"/>
        <v>35000.266666681855</v>
      </c>
      <c r="V632" s="63"/>
      <c r="W632" s="63"/>
      <c r="X632" s="63">
        <f t="shared" si="261"/>
        <v>35000.266666681855</v>
      </c>
      <c r="Y632" s="63">
        <f t="shared" si="262"/>
        <v>6040000</v>
      </c>
      <c r="Z632" s="63">
        <v>251371476.40000001</v>
      </c>
      <c r="AA632" s="63"/>
      <c r="AB632" s="63"/>
      <c r="AC632" s="63"/>
      <c r="AD632" s="63">
        <v>200000000</v>
      </c>
      <c r="AE632" s="63"/>
      <c r="AF632" s="63"/>
      <c r="AG632" s="63"/>
      <c r="AH632" s="63"/>
      <c r="AJ632" s="63">
        <v>1.1735</v>
      </c>
      <c r="AK632" s="317">
        <f>SUM(G632:O632)+SUM(X632:AC632)/AJ632</f>
        <v>399291393.80456889</v>
      </c>
      <c r="AL632" s="317">
        <f>AK632+AD632/AJ632</f>
        <v>569721730.40448368</v>
      </c>
    </row>
    <row r="633" spans="2:38" x14ac:dyDescent="0.25">
      <c r="B633" s="42">
        <v>45952</v>
      </c>
      <c r="C633" s="38">
        <v>-63003.4</v>
      </c>
      <c r="D633" s="38">
        <f t="shared" si="257"/>
        <v>-2580.3192416691236</v>
      </c>
      <c r="E633" s="53">
        <v>65000</v>
      </c>
      <c r="F633" s="38"/>
      <c r="G633" s="38">
        <f t="shared" si="258"/>
        <v>62419.680758330876</v>
      </c>
      <c r="H633" s="38">
        <f t="shared" si="259"/>
        <v>11420000</v>
      </c>
      <c r="I633" s="38"/>
      <c r="J633" s="38"/>
      <c r="K633" s="177">
        <v>12000000</v>
      </c>
      <c r="L633" s="177">
        <v>5000000</v>
      </c>
      <c r="M633" s="177"/>
      <c r="N633" s="177">
        <f t="shared" si="267"/>
        <v>88037893</v>
      </c>
      <c r="O633" s="38">
        <f t="shared" si="266"/>
        <v>63324629.350000001</v>
      </c>
      <c r="P633" s="38">
        <f t="shared" si="266"/>
        <v>0</v>
      </c>
      <c r="Q633" s="38">
        <f t="shared" si="266"/>
        <v>0</v>
      </c>
      <c r="R633" s="38">
        <f t="shared" si="266"/>
        <v>0</v>
      </c>
      <c r="S633" s="78">
        <v>45952</v>
      </c>
      <c r="T633" s="63"/>
      <c r="U633" s="63">
        <f t="shared" si="260"/>
        <v>35000.266666681855</v>
      </c>
      <c r="V633" s="63"/>
      <c r="W633" s="63"/>
      <c r="X633" s="63">
        <f t="shared" si="261"/>
        <v>35000.266666681855</v>
      </c>
      <c r="Y633" s="63">
        <f t="shared" si="262"/>
        <v>6040000</v>
      </c>
      <c r="Z633" s="63">
        <v>251371476.40000001</v>
      </c>
      <c r="AA633" s="63"/>
      <c r="AB633" s="63"/>
      <c r="AC633" s="63"/>
      <c r="AD633" s="63">
        <v>200000000</v>
      </c>
      <c r="AE633" s="63"/>
      <c r="AF633" s="63"/>
      <c r="AG633" s="63"/>
      <c r="AH633" s="63"/>
      <c r="AJ633" s="63"/>
      <c r="AK633" s="317"/>
      <c r="AL633" s="317"/>
    </row>
    <row r="634" spans="2:38" x14ac:dyDescent="0.25">
      <c r="B634" s="42">
        <v>45953</v>
      </c>
      <c r="C634" s="38"/>
      <c r="D634" s="38">
        <f t="shared" si="257"/>
        <v>62419.680758330876</v>
      </c>
      <c r="E634" s="38"/>
      <c r="F634" s="38">
        <v>200000</v>
      </c>
      <c r="G634" s="38">
        <f t="shared" si="258"/>
        <v>262419.68075833085</v>
      </c>
      <c r="H634" s="38">
        <f t="shared" si="259"/>
        <v>11420000</v>
      </c>
      <c r="I634" s="38"/>
      <c r="J634" s="38"/>
      <c r="K634" s="177">
        <v>12000000</v>
      </c>
      <c r="L634" s="177">
        <v>5000000</v>
      </c>
      <c r="M634" s="177"/>
      <c r="N634" s="177">
        <f t="shared" si="267"/>
        <v>88037893</v>
      </c>
      <c r="O634" s="38">
        <f t="shared" si="266"/>
        <v>63324629.350000001</v>
      </c>
      <c r="P634" s="38">
        <f t="shared" si="266"/>
        <v>0</v>
      </c>
      <c r="Q634" s="38">
        <f t="shared" si="266"/>
        <v>0</v>
      </c>
      <c r="R634" s="38">
        <f t="shared" si="266"/>
        <v>0</v>
      </c>
      <c r="S634" s="78">
        <v>45953</v>
      </c>
      <c r="T634" s="63"/>
      <c r="U634" s="63">
        <f t="shared" si="260"/>
        <v>35000.266666681855</v>
      </c>
      <c r="V634" s="63"/>
      <c r="W634" s="63"/>
      <c r="X634" s="63">
        <f t="shared" si="261"/>
        <v>35000.266666681855</v>
      </c>
      <c r="Y634" s="63">
        <f t="shared" si="262"/>
        <v>6040000</v>
      </c>
      <c r="Z634" s="63">
        <v>251371476.40000001</v>
      </c>
      <c r="AA634" s="63"/>
      <c r="AB634" s="63"/>
      <c r="AC634" s="63"/>
      <c r="AD634" s="63">
        <v>200000000</v>
      </c>
      <c r="AE634" s="63"/>
      <c r="AF634" s="63"/>
      <c r="AG634" s="63"/>
      <c r="AH634" s="63"/>
      <c r="AJ634" s="63"/>
      <c r="AK634" s="317"/>
      <c r="AL634" s="317"/>
    </row>
    <row r="635" spans="2:38" x14ac:dyDescent="0.25">
      <c r="B635" s="42">
        <v>45954</v>
      </c>
      <c r="C635" s="38"/>
      <c r="D635" s="38">
        <f t="shared" si="257"/>
        <v>262419.68075833085</v>
      </c>
      <c r="E635" s="53">
        <v>-210000</v>
      </c>
      <c r="F635" s="38"/>
      <c r="G635" s="38">
        <f t="shared" si="258"/>
        <v>52419.680758330855</v>
      </c>
      <c r="H635" s="38">
        <f t="shared" si="259"/>
        <v>11630000</v>
      </c>
      <c r="I635" s="38"/>
      <c r="J635" s="38"/>
      <c r="K635" s="177">
        <v>12000000</v>
      </c>
      <c r="L635" s="177">
        <v>5000000</v>
      </c>
      <c r="M635" s="177"/>
      <c r="N635" s="177">
        <f t="shared" si="267"/>
        <v>88037893</v>
      </c>
      <c r="O635" s="38">
        <f t="shared" si="266"/>
        <v>63324629.350000001</v>
      </c>
      <c r="P635" s="38">
        <f t="shared" si="266"/>
        <v>0</v>
      </c>
      <c r="Q635" s="38">
        <f t="shared" si="266"/>
        <v>0</v>
      </c>
      <c r="R635" s="38">
        <f t="shared" si="266"/>
        <v>0</v>
      </c>
      <c r="S635" s="78">
        <v>45954</v>
      </c>
      <c r="T635" s="63"/>
      <c r="U635" s="63">
        <f t="shared" si="260"/>
        <v>35000.266666681855</v>
      </c>
      <c r="V635" s="63"/>
      <c r="W635" s="63"/>
      <c r="X635" s="63">
        <f t="shared" si="261"/>
        <v>35000.266666681855</v>
      </c>
      <c r="Y635" s="63">
        <f t="shared" si="262"/>
        <v>6040000</v>
      </c>
      <c r="Z635" s="63">
        <v>251371476.40000001</v>
      </c>
      <c r="AA635" s="63"/>
      <c r="AB635" s="63"/>
      <c r="AC635" s="63"/>
      <c r="AD635" s="63">
        <v>200000000</v>
      </c>
      <c r="AE635" s="63"/>
      <c r="AF635" s="63"/>
      <c r="AG635" s="63"/>
      <c r="AH635" s="63"/>
      <c r="AJ635" s="63"/>
      <c r="AK635" s="317"/>
      <c r="AL635" s="317"/>
    </row>
    <row r="636" spans="2:38" x14ac:dyDescent="0.25">
      <c r="B636" s="42">
        <v>45955</v>
      </c>
      <c r="C636" s="38"/>
      <c r="D636" s="38">
        <f t="shared" si="257"/>
        <v>52419.680758330855</v>
      </c>
      <c r="E636" s="38"/>
      <c r="F636" s="38"/>
      <c r="G636" s="38">
        <f t="shared" si="258"/>
        <v>52419.680758330855</v>
      </c>
      <c r="H636" s="38">
        <f t="shared" si="259"/>
        <v>11630000</v>
      </c>
      <c r="I636" s="38"/>
      <c r="J636" s="38"/>
      <c r="K636" s="177">
        <v>12000000</v>
      </c>
      <c r="L636" s="177">
        <v>5000000</v>
      </c>
      <c r="M636" s="177"/>
      <c r="N636" s="177">
        <f t="shared" si="267"/>
        <v>88037893</v>
      </c>
      <c r="O636" s="38">
        <f t="shared" si="266"/>
        <v>63324629.350000001</v>
      </c>
      <c r="P636" s="38">
        <f t="shared" si="266"/>
        <v>0</v>
      </c>
      <c r="Q636" s="38">
        <f t="shared" si="266"/>
        <v>0</v>
      </c>
      <c r="R636" s="38">
        <f t="shared" si="266"/>
        <v>0</v>
      </c>
      <c r="S636" s="78">
        <v>45955</v>
      </c>
      <c r="T636" s="63"/>
      <c r="U636" s="63">
        <f t="shared" si="260"/>
        <v>35000.266666681855</v>
      </c>
      <c r="V636" s="63"/>
      <c r="W636" s="63"/>
      <c r="X636" s="63">
        <f t="shared" si="261"/>
        <v>35000.266666681855</v>
      </c>
      <c r="Y636" s="63">
        <f t="shared" si="262"/>
        <v>6040000</v>
      </c>
      <c r="Z636" s="63">
        <v>251371476.40000001</v>
      </c>
      <c r="AA636" s="63"/>
      <c r="AB636" s="63"/>
      <c r="AC636" s="63"/>
      <c r="AD636" s="63">
        <v>200000000</v>
      </c>
      <c r="AE636" s="63"/>
      <c r="AF636" s="63"/>
      <c r="AG636" s="63"/>
      <c r="AH636" s="63"/>
      <c r="AJ636" s="63"/>
      <c r="AK636" s="317"/>
      <c r="AL636" s="317"/>
    </row>
    <row r="637" spans="2:38" x14ac:dyDescent="0.25">
      <c r="B637" s="42">
        <v>45956</v>
      </c>
      <c r="C637" s="38"/>
      <c r="D637" s="38">
        <f t="shared" ref="D637:D700" si="268">C637+G636</f>
        <v>52419.680758330855</v>
      </c>
      <c r="E637" s="38"/>
      <c r="F637" s="38">
        <v>16000</v>
      </c>
      <c r="G637" s="38">
        <f t="shared" ref="G637:G700" si="269">D637+E637+F637</f>
        <v>68419.680758330855</v>
      </c>
      <c r="H637" s="38">
        <f t="shared" ref="H637:H700" si="270">H636-E637</f>
        <v>11630000</v>
      </c>
      <c r="I637" s="38"/>
      <c r="J637" s="38"/>
      <c r="K637" s="177">
        <v>12000000</v>
      </c>
      <c r="L637" s="177">
        <v>5000000</v>
      </c>
      <c r="M637" s="177"/>
      <c r="N637" s="177">
        <f t="shared" si="267"/>
        <v>88037893</v>
      </c>
      <c r="O637" s="38">
        <f t="shared" si="266"/>
        <v>63324629.350000001</v>
      </c>
      <c r="P637" s="38">
        <f t="shared" si="266"/>
        <v>0</v>
      </c>
      <c r="Q637" s="38">
        <f t="shared" si="266"/>
        <v>0</v>
      </c>
      <c r="R637" s="38">
        <f t="shared" si="266"/>
        <v>0</v>
      </c>
      <c r="S637" s="78">
        <v>45956</v>
      </c>
      <c r="T637" s="63"/>
      <c r="U637" s="63">
        <f t="shared" ref="U637:U700" si="271">T637+X636+W637</f>
        <v>35000.266666681855</v>
      </c>
      <c r="V637" s="63"/>
      <c r="W637" s="63"/>
      <c r="X637" s="63">
        <f t="shared" ref="X637:X700" si="272">V637+U637</f>
        <v>35000.266666681855</v>
      </c>
      <c r="Y637" s="63">
        <f t="shared" ref="Y637:Y700" si="273">Y636-V637</f>
        <v>6040000</v>
      </c>
      <c r="Z637" s="63">
        <v>251371476.40000001</v>
      </c>
      <c r="AA637" s="63"/>
      <c r="AB637" s="63"/>
      <c r="AC637" s="63"/>
      <c r="AD637" s="63">
        <v>200000000</v>
      </c>
      <c r="AE637" s="63"/>
      <c r="AF637" s="63"/>
      <c r="AG637" s="63"/>
      <c r="AH637" s="63"/>
      <c r="AJ637" s="63"/>
      <c r="AK637" s="317"/>
      <c r="AL637" s="317"/>
    </row>
    <row r="638" spans="2:38" x14ac:dyDescent="0.25">
      <c r="B638" s="42">
        <v>45957</v>
      </c>
      <c r="C638" s="38">
        <v>-4998583.76</v>
      </c>
      <c r="D638" s="38">
        <f t="shared" si="268"/>
        <v>-4930164.0792416688</v>
      </c>
      <c r="E638" s="83">
        <v>4980000</v>
      </c>
      <c r="F638" s="38">
        <v>250</v>
      </c>
      <c r="G638" s="38">
        <f t="shared" si="269"/>
        <v>50085.920758331195</v>
      </c>
      <c r="H638" s="38">
        <f t="shared" si="270"/>
        <v>6650000</v>
      </c>
      <c r="I638" s="38"/>
      <c r="J638" s="38"/>
      <c r="K638" s="177">
        <v>12000000</v>
      </c>
      <c r="L638" s="177">
        <v>5000000</v>
      </c>
      <c r="M638" s="177"/>
      <c r="N638" s="177">
        <f t="shared" si="267"/>
        <v>88037893</v>
      </c>
      <c r="O638" s="38">
        <f t="shared" ref="O638:R653" si="274">O637</f>
        <v>63324629.350000001</v>
      </c>
      <c r="P638" s="38">
        <f t="shared" si="274"/>
        <v>0</v>
      </c>
      <c r="Q638" s="38">
        <f t="shared" si="274"/>
        <v>0</v>
      </c>
      <c r="R638" s="38">
        <f t="shared" si="274"/>
        <v>0</v>
      </c>
      <c r="S638" s="78">
        <v>45957</v>
      </c>
      <c r="T638" s="63">
        <v>-1603986.1</v>
      </c>
      <c r="U638" s="63">
        <f t="shared" si="271"/>
        <v>-1568985.8333333181</v>
      </c>
      <c r="V638" s="84">
        <v>1600000</v>
      </c>
      <c r="W638" s="63"/>
      <c r="X638" s="63">
        <f t="shared" si="272"/>
        <v>31014.166666681878</v>
      </c>
      <c r="Y638" s="63">
        <f t="shared" si="273"/>
        <v>4440000</v>
      </c>
      <c r="Z638" s="63">
        <v>251371476.40000001</v>
      </c>
      <c r="AA638" s="63"/>
      <c r="AB638" s="63"/>
      <c r="AC638" s="63"/>
      <c r="AD638" s="63">
        <v>200000000</v>
      </c>
      <c r="AE638" s="63"/>
      <c r="AF638" s="63"/>
      <c r="AG638" s="63"/>
      <c r="AH638" s="63"/>
      <c r="AJ638" s="63">
        <v>1.1735</v>
      </c>
      <c r="AK638" s="317">
        <f>SUM(G638:O638)+SUM(X638:AC638)/AJ638</f>
        <v>393079217.18994594</v>
      </c>
      <c r="AL638" s="317">
        <f>AK638+AD638/AJ638</f>
        <v>563509553.78986073</v>
      </c>
    </row>
    <row r="639" spans="2:38" x14ac:dyDescent="0.25">
      <c r="B639" s="42">
        <v>45958</v>
      </c>
      <c r="C639" s="38">
        <v>4864131.03</v>
      </c>
      <c r="D639" s="38">
        <f t="shared" si="268"/>
        <v>4914216.9507583315</v>
      </c>
      <c r="E639" s="83">
        <v>-4860000</v>
      </c>
      <c r="F639" s="38"/>
      <c r="G639" s="38">
        <f t="shared" si="269"/>
        <v>54216.950758331455</v>
      </c>
      <c r="H639" s="38">
        <f t="shared" si="270"/>
        <v>11510000</v>
      </c>
      <c r="I639" s="38"/>
      <c r="J639" s="38"/>
      <c r="K639" s="177">
        <v>12000000</v>
      </c>
      <c r="L639" s="177">
        <v>5000000</v>
      </c>
      <c r="M639" s="177"/>
      <c r="N639" s="177">
        <f t="shared" si="267"/>
        <v>88037893</v>
      </c>
      <c r="O639" s="38">
        <f t="shared" si="274"/>
        <v>63324629.350000001</v>
      </c>
      <c r="P639" s="38">
        <f t="shared" si="274"/>
        <v>0</v>
      </c>
      <c r="Q639" s="38">
        <f t="shared" si="274"/>
        <v>0</v>
      </c>
      <c r="R639" s="38">
        <f t="shared" si="274"/>
        <v>0</v>
      </c>
      <c r="S639" s="78">
        <v>45958</v>
      </c>
      <c r="T639" s="63"/>
      <c r="U639" s="63">
        <f t="shared" si="271"/>
        <v>31014.166666681878</v>
      </c>
      <c r="V639" s="63"/>
      <c r="W639" s="63"/>
      <c r="X639" s="63">
        <f t="shared" si="272"/>
        <v>31014.166666681878</v>
      </c>
      <c r="Y639" s="63">
        <f t="shared" si="273"/>
        <v>4440000</v>
      </c>
      <c r="Z639" s="63">
        <v>251371476.40000001</v>
      </c>
      <c r="AA639" s="63"/>
      <c r="AB639" s="63"/>
      <c r="AC639" s="63"/>
      <c r="AD639" s="63">
        <v>200000000</v>
      </c>
      <c r="AE639" s="63"/>
      <c r="AF639" s="63"/>
      <c r="AG639" s="63"/>
      <c r="AH639" s="63"/>
      <c r="AJ639" s="63"/>
      <c r="AK639" s="317"/>
      <c r="AL639" s="317"/>
    </row>
    <row r="640" spans="2:38" x14ac:dyDescent="0.25">
      <c r="B640" s="42">
        <v>45959</v>
      </c>
      <c r="C640" s="38">
        <v>-266000</v>
      </c>
      <c r="D640" s="38">
        <f t="shared" si="268"/>
        <v>-211783.04924166854</v>
      </c>
      <c r="E640" s="83">
        <v>266000</v>
      </c>
      <c r="F640" s="38"/>
      <c r="G640" s="38">
        <f t="shared" si="269"/>
        <v>54216.950758331455</v>
      </c>
      <c r="H640" s="38">
        <f t="shared" si="270"/>
        <v>11244000</v>
      </c>
      <c r="I640" s="38"/>
      <c r="J640" s="38"/>
      <c r="K640" s="177">
        <v>12000000</v>
      </c>
      <c r="L640" s="177">
        <v>5000000</v>
      </c>
      <c r="M640" s="177"/>
      <c r="N640" s="177">
        <f t="shared" si="267"/>
        <v>88037893</v>
      </c>
      <c r="O640" s="38">
        <f t="shared" si="274"/>
        <v>63324629.350000001</v>
      </c>
      <c r="P640" s="38">
        <f t="shared" si="274"/>
        <v>0</v>
      </c>
      <c r="Q640" s="38">
        <f t="shared" si="274"/>
        <v>0</v>
      </c>
      <c r="R640" s="38">
        <f t="shared" si="274"/>
        <v>0</v>
      </c>
      <c r="S640" s="78">
        <v>45959</v>
      </c>
      <c r="T640" s="63"/>
      <c r="U640" s="63">
        <f t="shared" si="271"/>
        <v>31014.166666681878</v>
      </c>
      <c r="V640" s="63"/>
      <c r="W640" s="63"/>
      <c r="X640" s="63">
        <f t="shared" si="272"/>
        <v>31014.166666681878</v>
      </c>
      <c r="Y640" s="63">
        <f t="shared" si="273"/>
        <v>4440000</v>
      </c>
      <c r="Z640" s="63">
        <v>251371476.40000001</v>
      </c>
      <c r="AA640" s="63"/>
      <c r="AB640" s="63"/>
      <c r="AC640" s="63"/>
      <c r="AD640" s="63">
        <v>200000000</v>
      </c>
      <c r="AE640" s="63"/>
      <c r="AF640" s="63"/>
      <c r="AG640" s="63"/>
      <c r="AH640" s="63"/>
      <c r="AJ640" s="63"/>
      <c r="AK640" s="317"/>
      <c r="AL640" s="317"/>
    </row>
    <row r="641" spans="2:38" x14ac:dyDescent="0.25">
      <c r="B641" s="42">
        <v>45960</v>
      </c>
      <c r="C641" s="38"/>
      <c r="D641" s="38">
        <f t="shared" si="268"/>
        <v>54216.950758331455</v>
      </c>
      <c r="E641" s="38"/>
      <c r="F641" s="38"/>
      <c r="G641" s="38">
        <f t="shared" si="269"/>
        <v>54216.950758331455</v>
      </c>
      <c r="H641" s="38">
        <f t="shared" si="270"/>
        <v>11244000</v>
      </c>
      <c r="I641" s="38"/>
      <c r="J641" s="38"/>
      <c r="K641" s="177">
        <v>12000000</v>
      </c>
      <c r="L641" s="177">
        <v>5000000</v>
      </c>
      <c r="M641" s="177"/>
      <c r="N641" s="177">
        <f t="shared" si="267"/>
        <v>88037893</v>
      </c>
      <c r="O641" s="38">
        <f t="shared" si="274"/>
        <v>63324629.350000001</v>
      </c>
      <c r="P641" s="38">
        <f t="shared" si="274"/>
        <v>0</v>
      </c>
      <c r="Q641" s="38">
        <f t="shared" si="274"/>
        <v>0</v>
      </c>
      <c r="R641" s="38">
        <f t="shared" si="274"/>
        <v>0</v>
      </c>
      <c r="S641" s="78">
        <v>45960</v>
      </c>
      <c r="T641" s="63"/>
      <c r="U641" s="63">
        <f t="shared" si="271"/>
        <v>31014.166666681878</v>
      </c>
      <c r="V641" s="63"/>
      <c r="W641" s="63"/>
      <c r="X641" s="63">
        <f t="shared" si="272"/>
        <v>31014.166666681878</v>
      </c>
      <c r="Y641" s="63">
        <f t="shared" si="273"/>
        <v>4440000</v>
      </c>
      <c r="Z641" s="63">
        <v>251371476.40000001</v>
      </c>
      <c r="AA641" s="63"/>
      <c r="AB641" s="63"/>
      <c r="AC641" s="63"/>
      <c r="AD641" s="63">
        <v>200000000</v>
      </c>
      <c r="AE641" s="63"/>
      <c r="AF641" s="63"/>
      <c r="AG641" s="63"/>
      <c r="AH641" s="63"/>
      <c r="AJ641" s="63"/>
      <c r="AK641" s="317"/>
      <c r="AL641" s="317"/>
    </row>
    <row r="642" spans="2:38" x14ac:dyDescent="0.25">
      <c r="B642" s="42">
        <v>45961</v>
      </c>
      <c r="C642" s="38"/>
      <c r="D642" s="38">
        <f t="shared" si="268"/>
        <v>54216.950758331455</v>
      </c>
      <c r="E642" s="38"/>
      <c r="F642" s="38"/>
      <c r="G642" s="38">
        <f t="shared" si="269"/>
        <v>54216.950758331455</v>
      </c>
      <c r="H642" s="38">
        <f t="shared" si="270"/>
        <v>11244000</v>
      </c>
      <c r="I642" s="38"/>
      <c r="J642" s="394">
        <v>20035342.469999999</v>
      </c>
      <c r="K642" s="395">
        <v>12000000</v>
      </c>
      <c r="L642" s="395">
        <v>5000000</v>
      </c>
      <c r="M642" s="395"/>
      <c r="N642" s="395">
        <f>'codeis €'!Z309</f>
        <v>51915240.899999999</v>
      </c>
      <c r="O642" s="394">
        <f>'CT- € Ellipsis BNP'!X313</f>
        <v>100024956.45994648</v>
      </c>
      <c r="P642" s="38">
        <f t="shared" si="274"/>
        <v>0</v>
      </c>
      <c r="Q642" s="38">
        <f t="shared" si="274"/>
        <v>0</v>
      </c>
      <c r="R642" s="38">
        <f t="shared" si="274"/>
        <v>0</v>
      </c>
      <c r="S642" s="78">
        <v>45961</v>
      </c>
      <c r="T642" s="63"/>
      <c r="U642" s="63">
        <f t="shared" si="271"/>
        <v>31014.166666681878</v>
      </c>
      <c r="V642" s="63"/>
      <c r="W642" s="63"/>
      <c r="X642" s="396">
        <f t="shared" si="272"/>
        <v>31014.166666681878</v>
      </c>
      <c r="Y642" s="396">
        <f t="shared" si="273"/>
        <v>4440000</v>
      </c>
      <c r="Z642" s="396">
        <f>'codeis $'!AB310</f>
        <v>251704409.60000002</v>
      </c>
      <c r="AA642" s="396"/>
      <c r="AB642" s="396"/>
      <c r="AC642" s="396"/>
      <c r="AD642" s="396">
        <v>199634038.44999999</v>
      </c>
      <c r="AE642" s="396"/>
      <c r="AF642" s="396"/>
      <c r="AG642" s="396"/>
      <c r="AH642" s="396"/>
      <c r="AJ642" s="63">
        <v>1.1554</v>
      </c>
      <c r="AK642" s="317">
        <f>SUM(G642:O642)+SUM(X642:AC642)/AJ642</f>
        <v>421993874.28690755</v>
      </c>
      <c r="AL642" s="317">
        <f>AK642+AD642/AJ642</f>
        <v>594777359.18391287</v>
      </c>
    </row>
    <row r="643" spans="2:38" x14ac:dyDescent="0.25">
      <c r="B643" s="42">
        <v>45962</v>
      </c>
      <c r="C643" s="38"/>
      <c r="D643" s="38">
        <f t="shared" si="268"/>
        <v>54216.950758331455</v>
      </c>
      <c r="E643" s="38"/>
      <c r="F643" s="38"/>
      <c r="G643" s="38">
        <f t="shared" si="269"/>
        <v>54216.950758331455</v>
      </c>
      <c r="H643" s="38">
        <f t="shared" si="270"/>
        <v>11244000</v>
      </c>
      <c r="I643" s="38"/>
      <c r="J643" s="38">
        <f>J642</f>
        <v>20035342.469999999</v>
      </c>
      <c r="K643" s="177">
        <v>12000000</v>
      </c>
      <c r="L643" s="177">
        <v>5000000</v>
      </c>
      <c r="M643" s="177"/>
      <c r="N643" s="177">
        <f>N642</f>
        <v>51915240.899999999</v>
      </c>
      <c r="O643" s="38">
        <f t="shared" si="274"/>
        <v>100024956.45994648</v>
      </c>
      <c r="P643" s="38">
        <f t="shared" si="274"/>
        <v>0</v>
      </c>
      <c r="Q643" s="38">
        <f t="shared" si="274"/>
        <v>0</v>
      </c>
      <c r="R643" s="38">
        <f t="shared" si="274"/>
        <v>0</v>
      </c>
      <c r="S643" s="78">
        <v>45962</v>
      </c>
      <c r="T643" s="63"/>
      <c r="U643" s="63">
        <f t="shared" si="271"/>
        <v>31014.166666681878</v>
      </c>
      <c r="V643" s="63"/>
      <c r="W643" s="63"/>
      <c r="X643" s="63">
        <f t="shared" si="272"/>
        <v>31014.166666681878</v>
      </c>
      <c r="Y643" s="63">
        <f t="shared" si="273"/>
        <v>4440000</v>
      </c>
      <c r="Z643" s="63">
        <f>'codeis $'!AB311</f>
        <v>251704409.60000002</v>
      </c>
      <c r="AA643" s="63"/>
      <c r="AB643" s="63"/>
      <c r="AC643" s="63"/>
      <c r="AD643" s="63">
        <f>AD642</f>
        <v>199634038.44999999</v>
      </c>
      <c r="AE643" s="63"/>
      <c r="AF643" s="63"/>
      <c r="AG643" s="63"/>
      <c r="AH643" s="63"/>
      <c r="AJ643" s="63"/>
      <c r="AK643" s="317"/>
      <c r="AL643" s="317"/>
    </row>
    <row r="644" spans="2:38" x14ac:dyDescent="0.25">
      <c r="B644" s="42">
        <v>45963</v>
      </c>
      <c r="C644" s="38"/>
      <c r="D644" s="38">
        <f t="shared" si="268"/>
        <v>54216.950758331455</v>
      </c>
      <c r="E644" s="38"/>
      <c r="F644" s="38">
        <v>17000</v>
      </c>
      <c r="G644" s="38">
        <f t="shared" si="269"/>
        <v>71216.950758331455</v>
      </c>
      <c r="H644" s="38">
        <f t="shared" si="270"/>
        <v>11244000</v>
      </c>
      <c r="I644" s="38"/>
      <c r="J644" s="38">
        <f t="shared" ref="J644:J707" si="275">J643</f>
        <v>20035342.469999999</v>
      </c>
      <c r="K644" s="177">
        <v>12000000</v>
      </c>
      <c r="L644" s="177">
        <v>5000000</v>
      </c>
      <c r="M644" s="177"/>
      <c r="N644" s="177">
        <f t="shared" si="267"/>
        <v>51915240.899999999</v>
      </c>
      <c r="O644" s="38">
        <f t="shared" si="274"/>
        <v>100024956.45994648</v>
      </c>
      <c r="P644" s="38">
        <f t="shared" si="274"/>
        <v>0</v>
      </c>
      <c r="Q644" s="38">
        <f t="shared" si="274"/>
        <v>0</v>
      </c>
      <c r="R644" s="38">
        <f t="shared" si="274"/>
        <v>0</v>
      </c>
      <c r="S644" s="78">
        <v>45963</v>
      </c>
      <c r="T644" s="63"/>
      <c r="U644" s="63">
        <f t="shared" si="271"/>
        <v>31014.166666681878</v>
      </c>
      <c r="V644" s="63"/>
      <c r="W644" s="63"/>
      <c r="X644" s="63">
        <f t="shared" si="272"/>
        <v>31014.166666681878</v>
      </c>
      <c r="Y644" s="63">
        <f t="shared" si="273"/>
        <v>4440000</v>
      </c>
      <c r="Z644" s="63">
        <f>'codeis $'!AB312</f>
        <v>251704409.60000002</v>
      </c>
      <c r="AA644" s="63"/>
      <c r="AB644" s="63"/>
      <c r="AC644" s="63"/>
      <c r="AD644" s="63">
        <f t="shared" ref="AD644:AH703" si="276">AD643</f>
        <v>199634038.44999999</v>
      </c>
      <c r="AE644" s="63"/>
      <c r="AF644" s="63"/>
      <c r="AG644" s="63"/>
      <c r="AH644" s="63"/>
      <c r="AJ644" s="63"/>
      <c r="AK644" s="317"/>
      <c r="AL644" s="317"/>
    </row>
    <row r="645" spans="2:38" x14ac:dyDescent="0.25">
      <c r="B645" s="42">
        <v>45964</v>
      </c>
      <c r="C645" s="38">
        <v>-2238122.34</v>
      </c>
      <c r="D645" s="38">
        <f t="shared" si="268"/>
        <v>-2166905.3892416684</v>
      </c>
      <c r="E645" s="83">
        <v>2220000</v>
      </c>
      <c r="F645" s="38">
        <v>38610</v>
      </c>
      <c r="G645" s="38">
        <f t="shared" si="269"/>
        <v>91704.610758331604</v>
      </c>
      <c r="H645" s="38">
        <f t="shared" si="270"/>
        <v>9024000</v>
      </c>
      <c r="I645" s="38"/>
      <c r="J645" s="38">
        <f t="shared" si="275"/>
        <v>20035342.469999999</v>
      </c>
      <c r="K645" s="177">
        <v>12000000</v>
      </c>
      <c r="L645" s="177">
        <v>5000000</v>
      </c>
      <c r="M645" s="177"/>
      <c r="N645" s="177">
        <f t="shared" si="267"/>
        <v>51915240.899999999</v>
      </c>
      <c r="O645" s="38">
        <f t="shared" si="274"/>
        <v>100024956.45994648</v>
      </c>
      <c r="P645" s="38">
        <f t="shared" si="274"/>
        <v>0</v>
      </c>
      <c r="Q645" s="38">
        <f t="shared" si="274"/>
        <v>0</v>
      </c>
      <c r="R645" s="38">
        <f t="shared" si="274"/>
        <v>0</v>
      </c>
      <c r="S645" s="78">
        <v>45964</v>
      </c>
      <c r="T645" s="63"/>
      <c r="U645" s="63">
        <f t="shared" si="271"/>
        <v>51014.166666681878</v>
      </c>
      <c r="V645" s="63"/>
      <c r="W645" s="63">
        <v>20000</v>
      </c>
      <c r="X645" s="63">
        <f t="shared" si="272"/>
        <v>51014.166666681878</v>
      </c>
      <c r="Y645" s="63">
        <f t="shared" si="273"/>
        <v>4440000</v>
      </c>
      <c r="Z645" s="63">
        <f>'codeis $'!AB313</f>
        <v>251795972.40000001</v>
      </c>
      <c r="AA645" s="63"/>
      <c r="AB645" s="63"/>
      <c r="AC645" s="63"/>
      <c r="AD645" s="63">
        <f t="shared" si="276"/>
        <v>199634038.44999999</v>
      </c>
      <c r="AE645" s="63"/>
      <c r="AF645" s="63"/>
      <c r="AG645" s="63"/>
      <c r="AH645" s="63"/>
      <c r="AJ645" s="63"/>
      <c r="AK645" s="317"/>
      <c r="AL645" s="317"/>
    </row>
    <row r="646" spans="2:38" x14ac:dyDescent="0.25">
      <c r="B646" s="42">
        <v>45965</v>
      </c>
      <c r="C646" s="38"/>
      <c r="D646" s="38">
        <f t="shared" si="268"/>
        <v>91704.610758331604</v>
      </c>
      <c r="E646" s="38"/>
      <c r="F646" s="38">
        <f>-30000</f>
        <v>-30000</v>
      </c>
      <c r="G646" s="38">
        <f t="shared" si="269"/>
        <v>61704.610758331604</v>
      </c>
      <c r="H646" s="38">
        <f t="shared" si="270"/>
        <v>9024000</v>
      </c>
      <c r="I646" s="38"/>
      <c r="J646" s="38">
        <f t="shared" si="275"/>
        <v>20035342.469999999</v>
      </c>
      <c r="K646" s="177">
        <v>12000000</v>
      </c>
      <c r="L646" s="177">
        <v>5000000</v>
      </c>
      <c r="M646" s="177"/>
      <c r="N646" s="177">
        <f t="shared" si="267"/>
        <v>51915240.899999999</v>
      </c>
      <c r="O646" s="38">
        <f t="shared" si="274"/>
        <v>100024956.45994648</v>
      </c>
      <c r="P646" s="38">
        <f t="shared" si="274"/>
        <v>0</v>
      </c>
      <c r="Q646" s="38">
        <f t="shared" si="274"/>
        <v>0</v>
      </c>
      <c r="R646" s="38">
        <f t="shared" si="274"/>
        <v>0</v>
      </c>
      <c r="S646" s="78">
        <v>45965</v>
      </c>
      <c r="T646" s="82">
        <f>-26000000+26121241.6</f>
        <v>121241.60000000149</v>
      </c>
      <c r="U646" s="63">
        <f t="shared" si="271"/>
        <v>172255.76666668337</v>
      </c>
      <c r="V646" s="82">
        <v>-140000</v>
      </c>
      <c r="W646" s="63"/>
      <c r="X646" s="63">
        <f t="shared" si="272"/>
        <v>32255.766666683368</v>
      </c>
      <c r="Y646" s="63">
        <f t="shared" si="273"/>
        <v>4580000</v>
      </c>
      <c r="Z646" s="392">
        <f>'codeis $'!AB314</f>
        <v>225703853.20000002</v>
      </c>
      <c r="AA646" s="392">
        <v>26000000</v>
      </c>
      <c r="AB646" s="63"/>
      <c r="AC646" s="63"/>
      <c r="AD646" s="63">
        <f t="shared" si="276"/>
        <v>199634038.44999999</v>
      </c>
      <c r="AE646" s="392"/>
      <c r="AF646" s="392"/>
      <c r="AG646" s="392"/>
      <c r="AH646" s="392"/>
      <c r="AJ646" s="63"/>
      <c r="AK646" s="317"/>
      <c r="AL646" s="317"/>
    </row>
    <row r="647" spans="2:38" x14ac:dyDescent="0.25">
      <c r="B647" s="42">
        <v>45966</v>
      </c>
      <c r="C647" s="177">
        <f>5083061.4</f>
        <v>5083061.4000000004</v>
      </c>
      <c r="D647" s="38">
        <f t="shared" si="268"/>
        <v>5144766.010758332</v>
      </c>
      <c r="E647" s="83">
        <f>-5060000+4000</f>
        <v>-5056000</v>
      </c>
      <c r="F647" s="38"/>
      <c r="G647" s="38">
        <f t="shared" si="269"/>
        <v>88766.010758331977</v>
      </c>
      <c r="H647" s="38">
        <f t="shared" si="270"/>
        <v>14080000</v>
      </c>
      <c r="I647" s="38"/>
      <c r="J647" s="38">
        <f t="shared" si="275"/>
        <v>20035342.469999999</v>
      </c>
      <c r="K647" s="177">
        <v>12000000</v>
      </c>
      <c r="L647" s="177"/>
      <c r="M647" s="177">
        <v>15000000</v>
      </c>
      <c r="N647" s="411">
        <v>36847210.399999999</v>
      </c>
      <c r="O647" s="38">
        <f t="shared" si="274"/>
        <v>100024956.45994648</v>
      </c>
      <c r="P647" s="38">
        <f t="shared" si="274"/>
        <v>0</v>
      </c>
      <c r="Q647" s="38">
        <f t="shared" si="274"/>
        <v>0</v>
      </c>
      <c r="R647" s="38">
        <f t="shared" si="274"/>
        <v>0</v>
      </c>
      <c r="S647" s="78">
        <v>45966</v>
      </c>
      <c r="T647" s="63"/>
      <c r="U647" s="63">
        <f t="shared" si="271"/>
        <v>32255.766666683368</v>
      </c>
      <c r="V647" s="63"/>
      <c r="W647" s="63"/>
      <c r="X647" s="63">
        <f t="shared" si="272"/>
        <v>32255.766666683368</v>
      </c>
      <c r="Y647" s="63">
        <f t="shared" si="273"/>
        <v>4580000</v>
      </c>
      <c r="Z647" s="63">
        <f>Z646</f>
        <v>225703853.20000002</v>
      </c>
      <c r="AA647" s="63">
        <f>AA646</f>
        <v>26000000</v>
      </c>
      <c r="AB647" s="63"/>
      <c r="AC647" s="63"/>
      <c r="AD647" s="63">
        <f t="shared" si="276"/>
        <v>199634038.44999999</v>
      </c>
      <c r="AE647" s="63"/>
      <c r="AF647" s="63"/>
      <c r="AG647" s="63"/>
      <c r="AH647" s="63"/>
      <c r="AJ647" s="63"/>
      <c r="AK647" s="317"/>
      <c r="AL647" s="317"/>
    </row>
    <row r="648" spans="2:38" x14ac:dyDescent="0.25">
      <c r="B648" s="42">
        <v>45967</v>
      </c>
      <c r="C648" s="38"/>
      <c r="D648" s="38">
        <f t="shared" si="268"/>
        <v>88766.010758331977</v>
      </c>
      <c r="E648" s="38"/>
      <c r="F648" s="38"/>
      <c r="G648" s="38">
        <f t="shared" si="269"/>
        <v>88766.010758331977</v>
      </c>
      <c r="H648" s="38">
        <f t="shared" si="270"/>
        <v>14080000</v>
      </c>
      <c r="I648" s="38"/>
      <c r="J648" s="38">
        <f t="shared" si="275"/>
        <v>20035342.469999999</v>
      </c>
      <c r="K648" s="177">
        <v>12000000</v>
      </c>
      <c r="L648" s="177"/>
      <c r="M648" s="177">
        <f>M647</f>
        <v>15000000</v>
      </c>
      <c r="N648" s="177">
        <f t="shared" si="267"/>
        <v>36847210.399999999</v>
      </c>
      <c r="O648" s="38">
        <f t="shared" si="274"/>
        <v>100024956.45994648</v>
      </c>
      <c r="P648" s="38">
        <f t="shared" si="274"/>
        <v>0</v>
      </c>
      <c r="Q648" s="38">
        <f t="shared" si="274"/>
        <v>0</v>
      </c>
      <c r="R648" s="38">
        <f t="shared" si="274"/>
        <v>0</v>
      </c>
      <c r="S648" s="78">
        <v>45967</v>
      </c>
      <c r="T648" s="63"/>
      <c r="U648" s="63">
        <f t="shared" si="271"/>
        <v>32255.766666683368</v>
      </c>
      <c r="V648" s="63"/>
      <c r="W648" s="63"/>
      <c r="X648" s="63">
        <f t="shared" si="272"/>
        <v>32255.766666683368</v>
      </c>
      <c r="Y648" s="63">
        <f t="shared" si="273"/>
        <v>4580000</v>
      </c>
      <c r="Z648" s="63">
        <f t="shared" ref="Z648:AA703" si="277">Z647</f>
        <v>225703853.20000002</v>
      </c>
      <c r="AA648" s="63">
        <f t="shared" si="277"/>
        <v>26000000</v>
      </c>
      <c r="AB648" s="63"/>
      <c r="AC648" s="63"/>
      <c r="AD648" s="63">
        <f t="shared" si="276"/>
        <v>199634038.44999999</v>
      </c>
      <c r="AE648" s="63"/>
      <c r="AF648" s="63"/>
      <c r="AG648" s="63"/>
      <c r="AH648" s="63"/>
      <c r="AJ648" s="63"/>
      <c r="AK648" s="317"/>
      <c r="AL648" s="317"/>
    </row>
    <row r="649" spans="2:38" x14ac:dyDescent="0.25">
      <c r="B649" s="42">
        <v>45968</v>
      </c>
      <c r="C649" s="38"/>
      <c r="D649" s="38">
        <f t="shared" si="268"/>
        <v>88766.010758331977</v>
      </c>
      <c r="E649" s="38"/>
      <c r="F649" s="38"/>
      <c r="G649" s="38">
        <f t="shared" si="269"/>
        <v>88766.010758331977</v>
      </c>
      <c r="H649" s="38">
        <f t="shared" si="270"/>
        <v>14080000</v>
      </c>
      <c r="I649" s="38"/>
      <c r="J649" s="38">
        <f t="shared" si="275"/>
        <v>20035342.469999999</v>
      </c>
      <c r="K649" s="177">
        <v>12000000</v>
      </c>
      <c r="L649" s="177"/>
      <c r="M649" s="177">
        <f t="shared" ref="M649:M712" si="278">M648</f>
        <v>15000000</v>
      </c>
      <c r="N649" s="177">
        <f t="shared" si="267"/>
        <v>36847210.399999999</v>
      </c>
      <c r="O649" s="38">
        <f t="shared" si="274"/>
        <v>100024956.45994648</v>
      </c>
      <c r="P649" s="38">
        <f t="shared" si="274"/>
        <v>0</v>
      </c>
      <c r="Q649" s="38">
        <f t="shared" si="274"/>
        <v>0</v>
      </c>
      <c r="R649" s="38">
        <f t="shared" si="274"/>
        <v>0</v>
      </c>
      <c r="S649" s="413">
        <v>45968</v>
      </c>
      <c r="T649" s="63"/>
      <c r="U649" s="63">
        <f t="shared" si="271"/>
        <v>32255.766666683368</v>
      </c>
      <c r="V649" s="63"/>
      <c r="W649" s="63"/>
      <c r="X649" s="63">
        <f t="shared" si="272"/>
        <v>32255.766666683368</v>
      </c>
      <c r="Y649" s="63">
        <f t="shared" si="273"/>
        <v>4580000</v>
      </c>
      <c r="Z649" s="63">
        <f t="shared" si="277"/>
        <v>225703853.20000002</v>
      </c>
      <c r="AA649" s="63">
        <f t="shared" si="277"/>
        <v>26000000</v>
      </c>
      <c r="AB649" s="63"/>
      <c r="AC649" s="63"/>
      <c r="AD649" s="414">
        <f>AD648-160000000</f>
        <v>39634038.449999988</v>
      </c>
      <c r="AE649" s="414">
        <v>40000000</v>
      </c>
      <c r="AF649" s="414">
        <v>40000000</v>
      </c>
      <c r="AG649" s="414">
        <v>40000000</v>
      </c>
      <c r="AH649" s="414">
        <v>40000000</v>
      </c>
      <c r="AJ649" s="63"/>
      <c r="AK649" s="317"/>
      <c r="AL649" s="317"/>
    </row>
    <row r="650" spans="2:38" x14ac:dyDescent="0.25">
      <c r="B650" s="42">
        <v>45969</v>
      </c>
      <c r="C650" s="38"/>
      <c r="D650" s="38">
        <f t="shared" si="268"/>
        <v>88766.010758331977</v>
      </c>
      <c r="E650" s="38"/>
      <c r="F650" s="38"/>
      <c r="G650" s="38">
        <f t="shared" si="269"/>
        <v>88766.010758331977</v>
      </c>
      <c r="H650" s="38">
        <f t="shared" si="270"/>
        <v>14080000</v>
      </c>
      <c r="I650" s="38"/>
      <c r="J650" s="38">
        <f t="shared" si="275"/>
        <v>20035342.469999999</v>
      </c>
      <c r="K650" s="177">
        <v>12000000</v>
      </c>
      <c r="L650" s="177"/>
      <c r="M650" s="177">
        <f t="shared" si="278"/>
        <v>15000000</v>
      </c>
      <c r="N650" s="177">
        <f t="shared" si="267"/>
        <v>36847210.399999999</v>
      </c>
      <c r="O650" s="38">
        <f t="shared" si="274"/>
        <v>100024956.45994648</v>
      </c>
      <c r="P650" s="38">
        <f t="shared" si="274"/>
        <v>0</v>
      </c>
      <c r="Q650" s="38">
        <f t="shared" si="274"/>
        <v>0</v>
      </c>
      <c r="R650" s="38">
        <f t="shared" si="274"/>
        <v>0</v>
      </c>
      <c r="S650" s="78">
        <v>45969</v>
      </c>
      <c r="T650" s="63"/>
      <c r="U650" s="63">
        <f t="shared" si="271"/>
        <v>32255.766666683368</v>
      </c>
      <c r="V650" s="63"/>
      <c r="W650" s="63"/>
      <c r="X650" s="63">
        <f t="shared" si="272"/>
        <v>32255.766666683368</v>
      </c>
      <c r="Y650" s="63">
        <f t="shared" si="273"/>
        <v>4580000</v>
      </c>
      <c r="Z650" s="63">
        <f t="shared" si="277"/>
        <v>225703853.20000002</v>
      </c>
      <c r="AA650" s="63">
        <f t="shared" si="277"/>
        <v>26000000</v>
      </c>
      <c r="AB650" s="63"/>
      <c r="AC650" s="63"/>
      <c r="AD650" s="63">
        <f t="shared" si="276"/>
        <v>39634038.449999988</v>
      </c>
      <c r="AE650" s="63">
        <f t="shared" ref="AE650:AH653" si="279">AE649</f>
        <v>40000000</v>
      </c>
      <c r="AF650" s="63">
        <f t="shared" si="279"/>
        <v>40000000</v>
      </c>
      <c r="AG650" s="63">
        <f t="shared" si="279"/>
        <v>40000000</v>
      </c>
      <c r="AH650" s="63">
        <f t="shared" si="279"/>
        <v>40000000</v>
      </c>
      <c r="AJ650" s="63"/>
      <c r="AK650" s="317"/>
      <c r="AL650" s="317"/>
    </row>
    <row r="651" spans="2:38" x14ac:dyDescent="0.25">
      <c r="B651" s="42">
        <v>45970</v>
      </c>
      <c r="C651" s="38"/>
      <c r="D651" s="38">
        <f t="shared" si="268"/>
        <v>88766.010758331977</v>
      </c>
      <c r="E651" s="38"/>
      <c r="F651" s="38"/>
      <c r="G651" s="38">
        <f t="shared" si="269"/>
        <v>88766.010758331977</v>
      </c>
      <c r="H651" s="38">
        <f t="shared" si="270"/>
        <v>14080000</v>
      </c>
      <c r="I651" s="38"/>
      <c r="J651" s="38">
        <f t="shared" si="275"/>
        <v>20035342.469999999</v>
      </c>
      <c r="K651" s="177">
        <v>12000000</v>
      </c>
      <c r="L651" s="177"/>
      <c r="M651" s="177">
        <f t="shared" si="278"/>
        <v>15000000</v>
      </c>
      <c r="N651" s="177">
        <f t="shared" si="267"/>
        <v>36847210.399999999</v>
      </c>
      <c r="O651" s="38">
        <f t="shared" si="274"/>
        <v>100024956.45994648</v>
      </c>
      <c r="P651" s="38">
        <f t="shared" si="274"/>
        <v>0</v>
      </c>
      <c r="Q651" s="38">
        <f t="shared" si="274"/>
        <v>0</v>
      </c>
      <c r="R651" s="38">
        <f t="shared" si="274"/>
        <v>0</v>
      </c>
      <c r="S651" s="78">
        <v>45970</v>
      </c>
      <c r="T651" s="63"/>
      <c r="U651" s="63">
        <f t="shared" si="271"/>
        <v>32255.766666683368</v>
      </c>
      <c r="V651" s="63"/>
      <c r="W651" s="63"/>
      <c r="X651" s="63">
        <f t="shared" si="272"/>
        <v>32255.766666683368</v>
      </c>
      <c r="Y651" s="63">
        <f t="shared" si="273"/>
        <v>4580000</v>
      </c>
      <c r="Z651" s="63">
        <f t="shared" si="277"/>
        <v>225703853.20000002</v>
      </c>
      <c r="AA651" s="63">
        <f t="shared" si="277"/>
        <v>26000000</v>
      </c>
      <c r="AB651" s="63"/>
      <c r="AC651" s="63"/>
      <c r="AD651" s="63">
        <f t="shared" si="276"/>
        <v>39634038.449999988</v>
      </c>
      <c r="AE651" s="63">
        <f t="shared" si="279"/>
        <v>40000000</v>
      </c>
      <c r="AF651" s="63">
        <f t="shared" si="279"/>
        <v>40000000</v>
      </c>
      <c r="AG651" s="63">
        <f t="shared" si="279"/>
        <v>40000000</v>
      </c>
      <c r="AH651" s="63">
        <f t="shared" si="279"/>
        <v>40000000</v>
      </c>
      <c r="AJ651" s="63"/>
      <c r="AK651" s="317"/>
      <c r="AL651" s="317"/>
    </row>
    <row r="652" spans="2:38" x14ac:dyDescent="0.25">
      <c r="B652" s="42">
        <v>45971</v>
      </c>
      <c r="C652" s="38"/>
      <c r="D652" s="38">
        <f t="shared" si="268"/>
        <v>88766.010758331977</v>
      </c>
      <c r="E652" s="38"/>
      <c r="F652" s="38"/>
      <c r="G652" s="38">
        <f t="shared" si="269"/>
        <v>88766.010758331977</v>
      </c>
      <c r="H652" s="38">
        <f t="shared" si="270"/>
        <v>14080000</v>
      </c>
      <c r="I652" s="38"/>
      <c r="J652" s="38">
        <f t="shared" si="275"/>
        <v>20035342.469999999</v>
      </c>
      <c r="K652" s="177">
        <v>12000000</v>
      </c>
      <c r="L652" s="177"/>
      <c r="M652" s="177">
        <f t="shared" si="278"/>
        <v>15000000</v>
      </c>
      <c r="N652" s="177">
        <f t="shared" si="267"/>
        <v>36847210.399999999</v>
      </c>
      <c r="O652" s="38">
        <f t="shared" si="274"/>
        <v>100024956.45994648</v>
      </c>
      <c r="P652" s="38">
        <f t="shared" si="274"/>
        <v>0</v>
      </c>
      <c r="Q652" s="38">
        <f t="shared" si="274"/>
        <v>0</v>
      </c>
      <c r="R652" s="38">
        <f t="shared" si="274"/>
        <v>0</v>
      </c>
      <c r="S652" s="78">
        <v>45971</v>
      </c>
      <c r="T652" s="63"/>
      <c r="U652" s="63">
        <f t="shared" si="271"/>
        <v>32255.766666683368</v>
      </c>
      <c r="V652" s="63"/>
      <c r="W652" s="63"/>
      <c r="X652" s="63">
        <f t="shared" si="272"/>
        <v>32255.766666683368</v>
      </c>
      <c r="Y652" s="63">
        <f t="shared" si="273"/>
        <v>4580000</v>
      </c>
      <c r="Z652" s="63">
        <f t="shared" si="277"/>
        <v>225703853.20000002</v>
      </c>
      <c r="AA652" s="63">
        <f t="shared" si="277"/>
        <v>26000000</v>
      </c>
      <c r="AB652" s="63"/>
      <c r="AC652" s="63"/>
      <c r="AD652" s="63">
        <f t="shared" si="276"/>
        <v>39634038.449999988</v>
      </c>
      <c r="AE652" s="63">
        <f t="shared" si="279"/>
        <v>40000000</v>
      </c>
      <c r="AF652" s="63">
        <f t="shared" si="279"/>
        <v>40000000</v>
      </c>
      <c r="AG652" s="63">
        <f t="shared" si="279"/>
        <v>40000000</v>
      </c>
      <c r="AH652" s="63">
        <f t="shared" si="279"/>
        <v>40000000</v>
      </c>
      <c r="AJ652" s="63"/>
      <c r="AK652" s="317"/>
      <c r="AL652" s="317"/>
    </row>
    <row r="653" spans="2:38" x14ac:dyDescent="0.25">
      <c r="B653" s="42">
        <v>45972</v>
      </c>
      <c r="C653" s="38"/>
      <c r="D653" s="38">
        <f t="shared" si="268"/>
        <v>88766.010758331977</v>
      </c>
      <c r="E653" s="38"/>
      <c r="F653" s="38"/>
      <c r="G653" s="38">
        <f t="shared" si="269"/>
        <v>88766.010758331977</v>
      </c>
      <c r="H653" s="38">
        <f t="shared" si="270"/>
        <v>14080000</v>
      </c>
      <c r="I653" s="38"/>
      <c r="J653" s="409">
        <v>20071927.550000001</v>
      </c>
      <c r="K653" s="177">
        <v>12000000</v>
      </c>
      <c r="L653" s="177"/>
      <c r="M653" s="177">
        <f t="shared" si="278"/>
        <v>15000000</v>
      </c>
      <c r="N653" s="177">
        <f t="shared" si="267"/>
        <v>36847210.399999999</v>
      </c>
      <c r="O653" s="38">
        <f t="shared" si="274"/>
        <v>100024956.45994648</v>
      </c>
      <c r="P653" s="38">
        <f t="shared" si="274"/>
        <v>0</v>
      </c>
      <c r="Q653" s="38">
        <f t="shared" si="274"/>
        <v>0</v>
      </c>
      <c r="R653" s="38">
        <f t="shared" si="274"/>
        <v>0</v>
      </c>
      <c r="S653" s="78">
        <v>45972</v>
      </c>
      <c r="T653" s="63"/>
      <c r="U653" s="63">
        <f t="shared" si="271"/>
        <v>32255.766666683368</v>
      </c>
      <c r="V653" s="63"/>
      <c r="W653" s="63"/>
      <c r="X653" s="63">
        <f t="shared" si="272"/>
        <v>32255.766666683368</v>
      </c>
      <c r="Y653" s="63">
        <f t="shared" si="273"/>
        <v>4580000</v>
      </c>
      <c r="Z653" s="63">
        <f t="shared" si="277"/>
        <v>225703853.20000002</v>
      </c>
      <c r="AA653" s="63">
        <f t="shared" si="277"/>
        <v>26000000</v>
      </c>
      <c r="AB653" s="63"/>
      <c r="AC653" s="63"/>
      <c r="AD653" s="63">
        <f t="shared" si="276"/>
        <v>39634038.449999988</v>
      </c>
      <c r="AE653" s="63">
        <f t="shared" si="279"/>
        <v>40000000</v>
      </c>
      <c r="AF653" s="63">
        <f t="shared" si="279"/>
        <v>40000000</v>
      </c>
      <c r="AG653" s="63">
        <f t="shared" si="279"/>
        <v>40000000</v>
      </c>
      <c r="AH653" s="63">
        <f t="shared" si="279"/>
        <v>40000000</v>
      </c>
      <c r="AJ653" s="63"/>
      <c r="AK653" s="317"/>
      <c r="AL653" s="317"/>
    </row>
    <row r="654" spans="2:38" x14ac:dyDescent="0.25">
      <c r="B654" s="42">
        <v>45973</v>
      </c>
      <c r="C654" s="38"/>
      <c r="D654" s="38">
        <f t="shared" si="268"/>
        <v>88766.010758331977</v>
      </c>
      <c r="E654" s="38"/>
      <c r="F654" s="38">
        <v>-11000</v>
      </c>
      <c r="G654" s="38">
        <f t="shared" si="269"/>
        <v>77766.010758331977</v>
      </c>
      <c r="H654" s="38">
        <f t="shared" si="270"/>
        <v>14080000</v>
      </c>
      <c r="I654" s="38"/>
      <c r="J654" s="38">
        <f t="shared" si="275"/>
        <v>20071927.550000001</v>
      </c>
      <c r="K654" s="177">
        <v>12000000</v>
      </c>
      <c r="L654" s="177"/>
      <c r="M654" s="177">
        <f t="shared" si="278"/>
        <v>15000000</v>
      </c>
      <c r="N654" s="177">
        <f t="shared" si="267"/>
        <v>36847210.399999999</v>
      </c>
      <c r="O654" s="38">
        <f t="shared" ref="O654:R669" si="280">O653</f>
        <v>100024956.45994648</v>
      </c>
      <c r="P654" s="38">
        <f t="shared" si="280"/>
        <v>0</v>
      </c>
      <c r="Q654" s="38">
        <f t="shared" si="280"/>
        <v>0</v>
      </c>
      <c r="R654" s="38">
        <f t="shared" si="280"/>
        <v>0</v>
      </c>
      <c r="S654" s="78">
        <v>45973</v>
      </c>
      <c r="T654" s="63"/>
      <c r="U654" s="63">
        <f t="shared" si="271"/>
        <v>29255.766666683368</v>
      </c>
      <c r="V654" s="63"/>
      <c r="W654" s="63">
        <v>-3000</v>
      </c>
      <c r="X654" s="63">
        <f t="shared" si="272"/>
        <v>29255.766666683368</v>
      </c>
      <c r="Y654" s="63">
        <f t="shared" si="273"/>
        <v>4580000</v>
      </c>
      <c r="Z654" s="63">
        <f t="shared" si="277"/>
        <v>225703853.20000002</v>
      </c>
      <c r="AA654" s="63">
        <f t="shared" si="277"/>
        <v>26000000</v>
      </c>
      <c r="AB654" s="63"/>
      <c r="AC654" s="63"/>
      <c r="AD654" s="63">
        <f t="shared" si="276"/>
        <v>39634038.449999988</v>
      </c>
      <c r="AE654" s="63">
        <f t="shared" si="276"/>
        <v>40000000</v>
      </c>
      <c r="AF654" s="63">
        <f t="shared" si="276"/>
        <v>40000000</v>
      </c>
      <c r="AG654" s="63">
        <f t="shared" si="276"/>
        <v>40000000</v>
      </c>
      <c r="AH654" s="63">
        <f t="shared" si="276"/>
        <v>40000000</v>
      </c>
      <c r="AJ654" s="63"/>
      <c r="AK654" s="317"/>
      <c r="AL654" s="317"/>
    </row>
    <row r="655" spans="2:38" x14ac:dyDescent="0.25">
      <c r="B655" s="42">
        <v>45974</v>
      </c>
      <c r="C655" s="38">
        <v>-1917596.91</v>
      </c>
      <c r="D655" s="38">
        <f t="shared" si="268"/>
        <v>-1839830.8992416679</v>
      </c>
      <c r="E655" s="83">
        <v>1920000</v>
      </c>
      <c r="F655" s="38"/>
      <c r="G655" s="38">
        <f t="shared" si="269"/>
        <v>80169.100758332061</v>
      </c>
      <c r="H655" s="38">
        <f t="shared" si="270"/>
        <v>12160000</v>
      </c>
      <c r="I655" s="38"/>
      <c r="J655" s="38">
        <f t="shared" si="275"/>
        <v>20071927.550000001</v>
      </c>
      <c r="K655" s="177">
        <v>12000000</v>
      </c>
      <c r="L655" s="177"/>
      <c r="M655" s="177">
        <f t="shared" si="278"/>
        <v>15000000</v>
      </c>
      <c r="N655" s="177">
        <f t="shared" si="267"/>
        <v>36847210.399999999</v>
      </c>
      <c r="O655" s="38">
        <f t="shared" si="280"/>
        <v>100024956.45994648</v>
      </c>
      <c r="P655" s="38">
        <f t="shared" si="280"/>
        <v>0</v>
      </c>
      <c r="Q655" s="38">
        <f t="shared" si="280"/>
        <v>0</v>
      </c>
      <c r="R655" s="38">
        <f t="shared" si="280"/>
        <v>0</v>
      </c>
      <c r="S655" s="78">
        <v>45974</v>
      </c>
      <c r="T655" s="63">
        <v>-642056.56000000006</v>
      </c>
      <c r="U655" s="63">
        <f t="shared" si="271"/>
        <v>-612800.79333331669</v>
      </c>
      <c r="V655" s="84">
        <v>640000</v>
      </c>
      <c r="W655" s="63"/>
      <c r="X655" s="63">
        <f t="shared" si="272"/>
        <v>27199.206666683313</v>
      </c>
      <c r="Y655" s="63">
        <f t="shared" si="273"/>
        <v>3940000</v>
      </c>
      <c r="Z655" s="63">
        <f t="shared" si="277"/>
        <v>225703853.20000002</v>
      </c>
      <c r="AA655" s="63">
        <f t="shared" si="277"/>
        <v>26000000</v>
      </c>
      <c r="AB655" s="63"/>
      <c r="AC655" s="63"/>
      <c r="AD655" s="63">
        <f t="shared" si="276"/>
        <v>39634038.449999988</v>
      </c>
      <c r="AE655" s="63">
        <f t="shared" si="276"/>
        <v>40000000</v>
      </c>
      <c r="AF655" s="63">
        <f t="shared" si="276"/>
        <v>40000000</v>
      </c>
      <c r="AG655" s="63">
        <f t="shared" si="276"/>
        <v>40000000</v>
      </c>
      <c r="AH655" s="63">
        <f t="shared" si="276"/>
        <v>40000000</v>
      </c>
      <c r="AJ655" s="63"/>
      <c r="AK655" s="317"/>
      <c r="AL655" s="317"/>
    </row>
    <row r="656" spans="2:38" x14ac:dyDescent="0.25">
      <c r="B656" s="42">
        <v>45975</v>
      </c>
      <c r="C656" s="38"/>
      <c r="D656" s="38">
        <f t="shared" si="268"/>
        <v>80169.100758332061</v>
      </c>
      <c r="E656" s="38"/>
      <c r="F656" s="38"/>
      <c r="G656" s="38">
        <f t="shared" si="269"/>
        <v>80169.100758332061</v>
      </c>
      <c r="H656" s="38">
        <f t="shared" si="270"/>
        <v>12160000</v>
      </c>
      <c r="I656" s="38"/>
      <c r="J656" s="38">
        <f t="shared" si="275"/>
        <v>20071927.550000001</v>
      </c>
      <c r="K656" s="177">
        <v>12000000</v>
      </c>
      <c r="L656" s="177"/>
      <c r="M656" s="177">
        <f t="shared" si="278"/>
        <v>15000000</v>
      </c>
      <c r="N656" s="177">
        <f t="shared" si="267"/>
        <v>36847210.399999999</v>
      </c>
      <c r="O656" s="38">
        <f t="shared" si="280"/>
        <v>100024956.45994648</v>
      </c>
      <c r="P656" s="38">
        <f t="shared" si="280"/>
        <v>0</v>
      </c>
      <c r="Q656" s="38">
        <f t="shared" si="280"/>
        <v>0</v>
      </c>
      <c r="R656" s="38">
        <f t="shared" si="280"/>
        <v>0</v>
      </c>
      <c r="S656" s="78">
        <v>45975</v>
      </c>
      <c r="T656" s="63"/>
      <c r="U656" s="63">
        <f t="shared" si="271"/>
        <v>27199.206666683313</v>
      </c>
      <c r="V656" s="63"/>
      <c r="W656" s="63"/>
      <c r="X656" s="63">
        <f t="shared" si="272"/>
        <v>27199.206666683313</v>
      </c>
      <c r="Y656" s="63">
        <f t="shared" si="273"/>
        <v>3940000</v>
      </c>
      <c r="Z656" s="63">
        <f t="shared" si="277"/>
        <v>225703853.20000002</v>
      </c>
      <c r="AA656" s="63">
        <f t="shared" si="277"/>
        <v>26000000</v>
      </c>
      <c r="AB656" s="63"/>
      <c r="AC656" s="63"/>
      <c r="AD656" s="63">
        <f t="shared" si="276"/>
        <v>39634038.449999988</v>
      </c>
      <c r="AE656" s="63">
        <f t="shared" si="276"/>
        <v>40000000</v>
      </c>
      <c r="AF656" s="63">
        <f t="shared" si="276"/>
        <v>40000000</v>
      </c>
      <c r="AG656" s="63">
        <f t="shared" si="276"/>
        <v>40000000</v>
      </c>
      <c r="AH656" s="63">
        <f t="shared" si="276"/>
        <v>40000000</v>
      </c>
      <c r="AJ656" s="63"/>
      <c r="AK656" s="317"/>
      <c r="AL656" s="317"/>
    </row>
    <row r="657" spans="2:38" x14ac:dyDescent="0.25">
      <c r="B657" s="42">
        <v>45976</v>
      </c>
      <c r="C657" s="38">
        <v>-26104</v>
      </c>
      <c r="D657" s="38">
        <f t="shared" si="268"/>
        <v>54065.100758332061</v>
      </c>
      <c r="E657" s="38"/>
      <c r="F657" s="38"/>
      <c r="G657" s="38">
        <f t="shared" si="269"/>
        <v>54065.100758332061</v>
      </c>
      <c r="H657" s="38">
        <f t="shared" si="270"/>
        <v>12160000</v>
      </c>
      <c r="I657" s="38"/>
      <c r="J657" s="38">
        <f t="shared" si="275"/>
        <v>20071927.550000001</v>
      </c>
      <c r="K657" s="177">
        <v>12000000</v>
      </c>
      <c r="L657" s="177"/>
      <c r="M657" s="177">
        <f t="shared" si="278"/>
        <v>15000000</v>
      </c>
      <c r="N657" s="177">
        <f t="shared" si="267"/>
        <v>36847210.399999999</v>
      </c>
      <c r="O657" s="38">
        <f t="shared" si="280"/>
        <v>100024956.45994648</v>
      </c>
      <c r="P657" s="38">
        <f t="shared" si="280"/>
        <v>0</v>
      </c>
      <c r="Q657" s="38">
        <f t="shared" si="280"/>
        <v>0</v>
      </c>
      <c r="R657" s="38">
        <f t="shared" si="280"/>
        <v>0</v>
      </c>
      <c r="S657" s="78">
        <v>45976</v>
      </c>
      <c r="T657" s="63"/>
      <c r="U657" s="63">
        <f t="shared" si="271"/>
        <v>27199.206666683313</v>
      </c>
      <c r="V657" s="63"/>
      <c r="W657" s="63"/>
      <c r="X657" s="63">
        <f t="shared" si="272"/>
        <v>27199.206666683313</v>
      </c>
      <c r="Y657" s="63">
        <f t="shared" si="273"/>
        <v>3940000</v>
      </c>
      <c r="Z657" s="63">
        <f t="shared" si="277"/>
        <v>225703853.20000002</v>
      </c>
      <c r="AA657" s="63">
        <f t="shared" si="277"/>
        <v>26000000</v>
      </c>
      <c r="AB657" s="63"/>
      <c r="AC657" s="63"/>
      <c r="AD657" s="63">
        <f t="shared" si="276"/>
        <v>39634038.449999988</v>
      </c>
      <c r="AE657" s="63">
        <f t="shared" si="276"/>
        <v>40000000</v>
      </c>
      <c r="AF657" s="63">
        <f t="shared" si="276"/>
        <v>40000000</v>
      </c>
      <c r="AG657" s="63">
        <f t="shared" si="276"/>
        <v>40000000</v>
      </c>
      <c r="AH657" s="63">
        <f t="shared" si="276"/>
        <v>40000000</v>
      </c>
      <c r="AJ657" s="63"/>
      <c r="AK657" s="317"/>
      <c r="AL657" s="317"/>
    </row>
    <row r="658" spans="2:38" x14ac:dyDescent="0.25">
      <c r="B658" s="42">
        <v>45977</v>
      </c>
      <c r="C658" s="38"/>
      <c r="D658" s="38">
        <f t="shared" si="268"/>
        <v>54065.100758332061</v>
      </c>
      <c r="E658" s="38"/>
      <c r="F658" s="38"/>
      <c r="G658" s="38">
        <f t="shared" si="269"/>
        <v>54065.100758332061</v>
      </c>
      <c r="H658" s="38">
        <f t="shared" si="270"/>
        <v>12160000</v>
      </c>
      <c r="I658" s="38"/>
      <c r="J658" s="38">
        <f t="shared" si="275"/>
        <v>20071927.550000001</v>
      </c>
      <c r="K658" s="177">
        <v>12000000</v>
      </c>
      <c r="L658" s="177"/>
      <c r="M658" s="177">
        <f t="shared" si="278"/>
        <v>15000000</v>
      </c>
      <c r="N658" s="177">
        <f t="shared" si="267"/>
        <v>36847210.399999999</v>
      </c>
      <c r="O658" s="38">
        <f t="shared" si="280"/>
        <v>100024956.45994648</v>
      </c>
      <c r="P658" s="38">
        <f t="shared" si="280"/>
        <v>0</v>
      </c>
      <c r="Q658" s="38">
        <f t="shared" si="280"/>
        <v>0</v>
      </c>
      <c r="R658" s="38">
        <f t="shared" si="280"/>
        <v>0</v>
      </c>
      <c r="S658" s="78">
        <v>45977</v>
      </c>
      <c r="T658" s="63"/>
      <c r="U658" s="63">
        <f t="shared" si="271"/>
        <v>27199.206666683313</v>
      </c>
      <c r="V658" s="63"/>
      <c r="W658" s="63"/>
      <c r="X658" s="63">
        <f t="shared" si="272"/>
        <v>27199.206666683313</v>
      </c>
      <c r="Y658" s="63">
        <f t="shared" si="273"/>
        <v>3940000</v>
      </c>
      <c r="Z658" s="63">
        <f t="shared" si="277"/>
        <v>225703853.20000002</v>
      </c>
      <c r="AA658" s="63">
        <f t="shared" si="277"/>
        <v>26000000</v>
      </c>
      <c r="AB658" s="63"/>
      <c r="AC658" s="63"/>
      <c r="AD658" s="63">
        <f t="shared" si="276"/>
        <v>39634038.449999988</v>
      </c>
      <c r="AE658" s="63">
        <f t="shared" si="276"/>
        <v>40000000</v>
      </c>
      <c r="AF658" s="63">
        <f t="shared" si="276"/>
        <v>40000000</v>
      </c>
      <c r="AG658" s="63">
        <f t="shared" si="276"/>
        <v>40000000</v>
      </c>
      <c r="AH658" s="63">
        <f t="shared" si="276"/>
        <v>40000000</v>
      </c>
      <c r="AJ658" s="63"/>
      <c r="AK658" s="317"/>
      <c r="AL658" s="317"/>
    </row>
    <row r="659" spans="2:38" x14ac:dyDescent="0.25">
      <c r="B659" s="42">
        <v>45978</v>
      </c>
      <c r="C659" s="38"/>
      <c r="D659" s="38">
        <f t="shared" si="268"/>
        <v>54065.100758332061</v>
      </c>
      <c r="E659" s="38"/>
      <c r="F659" s="38"/>
      <c r="G659" s="38">
        <f t="shared" si="269"/>
        <v>54065.100758332061</v>
      </c>
      <c r="H659" s="38">
        <f t="shared" si="270"/>
        <v>12160000</v>
      </c>
      <c r="I659" s="38"/>
      <c r="J659" s="38">
        <f t="shared" si="275"/>
        <v>20071927.550000001</v>
      </c>
      <c r="K659" s="177">
        <v>12000000</v>
      </c>
      <c r="L659" s="177"/>
      <c r="M659" s="177">
        <f t="shared" si="278"/>
        <v>15000000</v>
      </c>
      <c r="N659" s="177">
        <f t="shared" si="267"/>
        <v>36847210.399999999</v>
      </c>
      <c r="O659" s="38">
        <f t="shared" si="280"/>
        <v>100024956.45994648</v>
      </c>
      <c r="P659" s="38">
        <f t="shared" si="280"/>
        <v>0</v>
      </c>
      <c r="Q659" s="38">
        <f t="shared" si="280"/>
        <v>0</v>
      </c>
      <c r="R659" s="38">
        <f t="shared" si="280"/>
        <v>0</v>
      </c>
      <c r="S659" s="78">
        <v>45978</v>
      </c>
      <c r="T659" s="63"/>
      <c r="U659" s="63">
        <f t="shared" si="271"/>
        <v>27199.206666683313</v>
      </c>
      <c r="V659" s="63"/>
      <c r="W659" s="63"/>
      <c r="X659" s="63">
        <f t="shared" si="272"/>
        <v>27199.206666683313</v>
      </c>
      <c r="Y659" s="63">
        <f t="shared" si="273"/>
        <v>3940000</v>
      </c>
      <c r="Z659" s="63">
        <f t="shared" si="277"/>
        <v>225703853.20000002</v>
      </c>
      <c r="AA659" s="63">
        <f t="shared" si="277"/>
        <v>26000000</v>
      </c>
      <c r="AB659" s="63"/>
      <c r="AC659" s="63"/>
      <c r="AD659" s="63">
        <f t="shared" si="276"/>
        <v>39634038.449999988</v>
      </c>
      <c r="AE659" s="63">
        <f t="shared" si="276"/>
        <v>40000000</v>
      </c>
      <c r="AF659" s="63">
        <f t="shared" si="276"/>
        <v>40000000</v>
      </c>
      <c r="AG659" s="63">
        <f t="shared" si="276"/>
        <v>40000000</v>
      </c>
      <c r="AH659" s="63">
        <f t="shared" si="276"/>
        <v>40000000</v>
      </c>
      <c r="AJ659" s="63"/>
      <c r="AK659" s="317"/>
      <c r="AL659" s="317"/>
    </row>
    <row r="660" spans="2:38" x14ac:dyDescent="0.25">
      <c r="B660" s="42">
        <v>45979</v>
      </c>
      <c r="C660" s="38">
        <v>-163387.48000000001</v>
      </c>
      <c r="D660" s="38">
        <f t="shared" si="268"/>
        <v>-109322.37924166795</v>
      </c>
      <c r="E660" s="83">
        <v>210000</v>
      </c>
      <c r="F660" s="38">
        <f>1724277.96-2000</f>
        <v>1722277.96</v>
      </c>
      <c r="G660" s="38">
        <f t="shared" si="269"/>
        <v>1822955.580758332</v>
      </c>
      <c r="H660" s="38">
        <f t="shared" si="270"/>
        <v>11950000</v>
      </c>
      <c r="I660" s="38"/>
      <c r="J660" s="38">
        <f t="shared" si="275"/>
        <v>20071927.550000001</v>
      </c>
      <c r="K660" s="177">
        <v>12000000</v>
      </c>
      <c r="L660" s="177"/>
      <c r="M660" s="177">
        <f t="shared" si="278"/>
        <v>15000000</v>
      </c>
      <c r="N660" s="177">
        <f t="shared" si="267"/>
        <v>36847210.399999999</v>
      </c>
      <c r="O660" s="38">
        <f t="shared" si="280"/>
        <v>100024956.45994648</v>
      </c>
      <c r="P660" s="38">
        <f t="shared" si="280"/>
        <v>0</v>
      </c>
      <c r="Q660" s="38">
        <f t="shared" si="280"/>
        <v>0</v>
      </c>
      <c r="R660" s="38">
        <f t="shared" si="280"/>
        <v>0</v>
      </c>
      <c r="S660" s="78">
        <v>45979</v>
      </c>
      <c r="T660" s="63"/>
      <c r="U660" s="63">
        <f t="shared" si="271"/>
        <v>27199.206666683313</v>
      </c>
      <c r="V660" s="63"/>
      <c r="W660" s="63"/>
      <c r="X660" s="63">
        <f t="shared" si="272"/>
        <v>27199.206666683313</v>
      </c>
      <c r="Y660" s="63">
        <f t="shared" si="273"/>
        <v>3940000</v>
      </c>
      <c r="Z660" s="63">
        <f t="shared" si="277"/>
        <v>225703853.20000002</v>
      </c>
      <c r="AA660" s="63">
        <f t="shared" si="277"/>
        <v>26000000</v>
      </c>
      <c r="AB660" s="63"/>
      <c r="AC660" s="63"/>
      <c r="AD660" s="63">
        <f t="shared" si="276"/>
        <v>39634038.449999988</v>
      </c>
      <c r="AE660" s="63">
        <f t="shared" si="276"/>
        <v>40000000</v>
      </c>
      <c r="AF660" s="63">
        <f t="shared" si="276"/>
        <v>40000000</v>
      </c>
      <c r="AG660" s="63">
        <f t="shared" si="276"/>
        <v>40000000</v>
      </c>
      <c r="AH660" s="63">
        <f t="shared" si="276"/>
        <v>40000000</v>
      </c>
      <c r="AJ660" s="63"/>
      <c r="AK660" s="317"/>
      <c r="AL660" s="317"/>
    </row>
    <row r="661" spans="2:38" x14ac:dyDescent="0.25">
      <c r="B661" s="42">
        <v>45980</v>
      </c>
      <c r="C661" s="38"/>
      <c r="D661" s="38">
        <f t="shared" si="268"/>
        <v>1822955.580758332</v>
      </c>
      <c r="E661" s="83">
        <v>-1720000</v>
      </c>
      <c r="F661" s="38"/>
      <c r="G661" s="38">
        <f t="shared" si="269"/>
        <v>102955.58075833204</v>
      </c>
      <c r="H661" s="38">
        <f t="shared" si="270"/>
        <v>13670000</v>
      </c>
      <c r="I661" s="38"/>
      <c r="J661" s="38">
        <f t="shared" si="275"/>
        <v>20071927.550000001</v>
      </c>
      <c r="K661" s="177">
        <v>12000000</v>
      </c>
      <c r="L661" s="177"/>
      <c r="M661" s="177">
        <f t="shared" si="278"/>
        <v>15000000</v>
      </c>
      <c r="N661" s="177">
        <f t="shared" si="267"/>
        <v>36847210.399999999</v>
      </c>
      <c r="O661" s="38">
        <f t="shared" si="280"/>
        <v>100024956.45994648</v>
      </c>
      <c r="P661" s="38">
        <f t="shared" si="280"/>
        <v>0</v>
      </c>
      <c r="Q661" s="38">
        <f t="shared" si="280"/>
        <v>0</v>
      </c>
      <c r="R661" s="38">
        <f t="shared" si="280"/>
        <v>0</v>
      </c>
      <c r="S661" s="78">
        <v>45980</v>
      </c>
      <c r="T661" s="63"/>
      <c r="U661" s="63">
        <f t="shared" si="271"/>
        <v>27199.206666683313</v>
      </c>
      <c r="V661" s="63"/>
      <c r="W661" s="63"/>
      <c r="X661" s="63">
        <f t="shared" si="272"/>
        <v>27199.206666683313</v>
      </c>
      <c r="Y661" s="63">
        <f t="shared" si="273"/>
        <v>3940000</v>
      </c>
      <c r="Z661" s="63">
        <f t="shared" si="277"/>
        <v>225703853.20000002</v>
      </c>
      <c r="AA661" s="63">
        <f t="shared" si="277"/>
        <v>26000000</v>
      </c>
      <c r="AB661" s="63"/>
      <c r="AC661" s="63"/>
      <c r="AD661" s="63">
        <f t="shared" si="276"/>
        <v>39634038.449999988</v>
      </c>
      <c r="AE661" s="63">
        <f t="shared" si="276"/>
        <v>40000000</v>
      </c>
      <c r="AF661" s="63">
        <f t="shared" si="276"/>
        <v>40000000</v>
      </c>
      <c r="AG661" s="63">
        <f t="shared" si="276"/>
        <v>40000000</v>
      </c>
      <c r="AH661" s="63">
        <f t="shared" si="276"/>
        <v>40000000</v>
      </c>
      <c r="AJ661" s="63"/>
      <c r="AK661" s="317"/>
      <c r="AL661" s="317"/>
    </row>
    <row r="662" spans="2:38" x14ac:dyDescent="0.25">
      <c r="B662" s="42">
        <v>45981</v>
      </c>
      <c r="C662" s="38"/>
      <c r="D662" s="38">
        <f t="shared" si="268"/>
        <v>102955.58075833204</v>
      </c>
      <c r="E662" s="38"/>
      <c r="F662" s="38"/>
      <c r="G662" s="38">
        <f t="shared" si="269"/>
        <v>102955.58075833204</v>
      </c>
      <c r="H662" s="38">
        <f t="shared" si="270"/>
        <v>13670000</v>
      </c>
      <c r="I662" s="38"/>
      <c r="J662" s="38">
        <f t="shared" si="275"/>
        <v>20071927.550000001</v>
      </c>
      <c r="K662" s="177">
        <v>12000000</v>
      </c>
      <c r="L662" s="177"/>
      <c r="M662" s="177">
        <f t="shared" si="278"/>
        <v>15000000</v>
      </c>
      <c r="N662" s="177">
        <f t="shared" si="267"/>
        <v>36847210.399999999</v>
      </c>
      <c r="O662" s="38">
        <f t="shared" si="280"/>
        <v>100024956.45994648</v>
      </c>
      <c r="P662" s="38">
        <f t="shared" si="280"/>
        <v>0</v>
      </c>
      <c r="Q662" s="38">
        <f t="shared" si="280"/>
        <v>0</v>
      </c>
      <c r="R662" s="38">
        <f t="shared" si="280"/>
        <v>0</v>
      </c>
      <c r="S662" s="78">
        <v>45981</v>
      </c>
      <c r="T662" s="63"/>
      <c r="U662" s="63">
        <f t="shared" si="271"/>
        <v>27199.206666683313</v>
      </c>
      <c r="V662" s="63"/>
      <c r="W662" s="63"/>
      <c r="X662" s="63">
        <f t="shared" si="272"/>
        <v>27199.206666683313</v>
      </c>
      <c r="Y662" s="63">
        <f t="shared" si="273"/>
        <v>3940000</v>
      </c>
      <c r="Z662" s="63">
        <f t="shared" si="277"/>
        <v>225703853.20000002</v>
      </c>
      <c r="AA662" s="63">
        <f t="shared" si="277"/>
        <v>26000000</v>
      </c>
      <c r="AB662" s="63"/>
      <c r="AC662" s="63"/>
      <c r="AD662" s="63">
        <f t="shared" si="276"/>
        <v>39634038.449999988</v>
      </c>
      <c r="AE662" s="63">
        <f t="shared" si="276"/>
        <v>40000000</v>
      </c>
      <c r="AF662" s="63">
        <f t="shared" si="276"/>
        <v>40000000</v>
      </c>
      <c r="AG662" s="63">
        <f t="shared" si="276"/>
        <v>40000000</v>
      </c>
      <c r="AH662" s="63">
        <f t="shared" si="276"/>
        <v>40000000</v>
      </c>
      <c r="AJ662" s="63"/>
      <c r="AK662" s="317"/>
      <c r="AL662" s="317"/>
    </row>
    <row r="663" spans="2:38" x14ac:dyDescent="0.25">
      <c r="B663" s="42">
        <v>45982</v>
      </c>
      <c r="C663" s="38"/>
      <c r="D663" s="38">
        <f t="shared" si="268"/>
        <v>102955.58075833204</v>
      </c>
      <c r="E663" s="38"/>
      <c r="F663" s="38"/>
      <c r="G663" s="38">
        <f t="shared" si="269"/>
        <v>102955.58075833204</v>
      </c>
      <c r="H663" s="38">
        <f t="shared" si="270"/>
        <v>13670000</v>
      </c>
      <c r="I663" s="38"/>
      <c r="J663" s="38">
        <f t="shared" si="275"/>
        <v>20071927.550000001</v>
      </c>
      <c r="K663" s="177">
        <v>12000000</v>
      </c>
      <c r="L663" s="177"/>
      <c r="M663" s="177">
        <f t="shared" si="278"/>
        <v>15000000</v>
      </c>
      <c r="N663" s="177">
        <f t="shared" si="267"/>
        <v>36847210.399999999</v>
      </c>
      <c r="O663" s="38">
        <f t="shared" si="280"/>
        <v>100024956.45994648</v>
      </c>
      <c r="P663" s="38">
        <f t="shared" si="280"/>
        <v>0</v>
      </c>
      <c r="Q663" s="38">
        <f t="shared" si="280"/>
        <v>0</v>
      </c>
      <c r="R663" s="38">
        <f t="shared" si="280"/>
        <v>0</v>
      </c>
      <c r="S663" s="78">
        <v>45982</v>
      </c>
      <c r="T663" s="63"/>
      <c r="U663" s="63">
        <f t="shared" si="271"/>
        <v>27199.206666683313</v>
      </c>
      <c r="V663" s="63"/>
      <c r="W663" s="63"/>
      <c r="X663" s="63">
        <f t="shared" si="272"/>
        <v>27199.206666683313</v>
      </c>
      <c r="Y663" s="63">
        <f t="shared" si="273"/>
        <v>3940000</v>
      </c>
      <c r="Z663" s="63">
        <f t="shared" si="277"/>
        <v>225703853.20000002</v>
      </c>
      <c r="AA663" s="63">
        <f t="shared" si="277"/>
        <v>26000000</v>
      </c>
      <c r="AB663" s="63"/>
      <c r="AC663" s="63"/>
      <c r="AD663" s="63">
        <f t="shared" si="276"/>
        <v>39634038.449999988</v>
      </c>
      <c r="AE663" s="63">
        <f t="shared" si="276"/>
        <v>40000000</v>
      </c>
      <c r="AF663" s="63">
        <f t="shared" si="276"/>
        <v>40000000</v>
      </c>
      <c r="AG663" s="63">
        <f t="shared" si="276"/>
        <v>40000000</v>
      </c>
      <c r="AH663" s="63">
        <f t="shared" si="276"/>
        <v>40000000</v>
      </c>
      <c r="AJ663" s="63"/>
      <c r="AK663" s="317"/>
      <c r="AL663" s="317"/>
    </row>
    <row r="664" spans="2:38" x14ac:dyDescent="0.25">
      <c r="B664" s="42">
        <v>45983</v>
      </c>
      <c r="C664" s="38"/>
      <c r="D664" s="38">
        <f t="shared" si="268"/>
        <v>102955.58075833204</v>
      </c>
      <c r="E664" s="38"/>
      <c r="F664" s="38"/>
      <c r="G664" s="38">
        <f t="shared" si="269"/>
        <v>102955.58075833204</v>
      </c>
      <c r="H664" s="38">
        <f t="shared" si="270"/>
        <v>13670000</v>
      </c>
      <c r="I664" s="38"/>
      <c r="J664" s="38">
        <f t="shared" si="275"/>
        <v>20071927.550000001</v>
      </c>
      <c r="K664" s="177">
        <v>12000000</v>
      </c>
      <c r="L664" s="177"/>
      <c r="M664" s="177">
        <f t="shared" si="278"/>
        <v>15000000</v>
      </c>
      <c r="N664" s="177">
        <f t="shared" si="267"/>
        <v>36847210.399999999</v>
      </c>
      <c r="O664" s="38">
        <f t="shared" si="280"/>
        <v>100024956.45994648</v>
      </c>
      <c r="P664" s="38">
        <f t="shared" si="280"/>
        <v>0</v>
      </c>
      <c r="Q664" s="38">
        <f t="shared" si="280"/>
        <v>0</v>
      </c>
      <c r="R664" s="38">
        <f t="shared" si="280"/>
        <v>0</v>
      </c>
      <c r="S664" s="78">
        <v>45983</v>
      </c>
      <c r="T664" s="63"/>
      <c r="U664" s="63">
        <f t="shared" si="271"/>
        <v>27199.206666683313</v>
      </c>
      <c r="V664" s="63"/>
      <c r="W664" s="63"/>
      <c r="X664" s="63">
        <f t="shared" si="272"/>
        <v>27199.206666683313</v>
      </c>
      <c r="Y664" s="63">
        <f t="shared" si="273"/>
        <v>3940000</v>
      </c>
      <c r="Z664" s="63">
        <f t="shared" si="277"/>
        <v>225703853.20000002</v>
      </c>
      <c r="AA664" s="63">
        <f t="shared" si="277"/>
        <v>26000000</v>
      </c>
      <c r="AB664" s="63"/>
      <c r="AC664" s="63"/>
      <c r="AD664" s="63">
        <f t="shared" si="276"/>
        <v>39634038.449999988</v>
      </c>
      <c r="AE664" s="63">
        <f t="shared" si="276"/>
        <v>40000000</v>
      </c>
      <c r="AF664" s="63">
        <f t="shared" si="276"/>
        <v>40000000</v>
      </c>
      <c r="AG664" s="63">
        <f t="shared" si="276"/>
        <v>40000000</v>
      </c>
      <c r="AH664" s="63">
        <f t="shared" si="276"/>
        <v>40000000</v>
      </c>
      <c r="AJ664" s="63"/>
      <c r="AK664" s="317"/>
      <c r="AL664" s="317"/>
    </row>
    <row r="665" spans="2:38" x14ac:dyDescent="0.25">
      <c r="B665" s="42">
        <v>45984</v>
      </c>
      <c r="C665" s="38"/>
      <c r="D665" s="38">
        <f t="shared" si="268"/>
        <v>102955.58075833204</v>
      </c>
      <c r="E665" s="38"/>
      <c r="F665" s="38"/>
      <c r="G665" s="38">
        <f t="shared" si="269"/>
        <v>102955.58075833204</v>
      </c>
      <c r="H665" s="38">
        <f t="shared" si="270"/>
        <v>13670000</v>
      </c>
      <c r="I665" s="38"/>
      <c r="J665" s="38">
        <f t="shared" si="275"/>
        <v>20071927.550000001</v>
      </c>
      <c r="K665" s="177">
        <v>12000000</v>
      </c>
      <c r="L665" s="177"/>
      <c r="M665" s="177">
        <f t="shared" si="278"/>
        <v>15000000</v>
      </c>
      <c r="N665" s="177">
        <f t="shared" si="267"/>
        <v>36847210.399999999</v>
      </c>
      <c r="O665" s="38">
        <f t="shared" si="280"/>
        <v>100024956.45994648</v>
      </c>
      <c r="P665" s="38">
        <f t="shared" si="280"/>
        <v>0</v>
      </c>
      <c r="Q665" s="38">
        <f t="shared" si="280"/>
        <v>0</v>
      </c>
      <c r="R665" s="38">
        <f t="shared" si="280"/>
        <v>0</v>
      </c>
      <c r="S665" s="78">
        <v>45984</v>
      </c>
      <c r="T665" s="63"/>
      <c r="U665" s="63">
        <f t="shared" si="271"/>
        <v>27199.206666683313</v>
      </c>
      <c r="V665" s="63"/>
      <c r="W665" s="63"/>
      <c r="X665" s="63">
        <f t="shared" si="272"/>
        <v>27199.206666683313</v>
      </c>
      <c r="Y665" s="63">
        <f t="shared" si="273"/>
        <v>3940000</v>
      </c>
      <c r="Z665" s="63">
        <f t="shared" si="277"/>
        <v>225703853.20000002</v>
      </c>
      <c r="AA665" s="63">
        <f t="shared" si="277"/>
        <v>26000000</v>
      </c>
      <c r="AB665" s="63"/>
      <c r="AC665" s="63"/>
      <c r="AD665" s="63">
        <f t="shared" si="276"/>
        <v>39634038.449999988</v>
      </c>
      <c r="AE665" s="63">
        <f t="shared" si="276"/>
        <v>40000000</v>
      </c>
      <c r="AF665" s="63">
        <f t="shared" si="276"/>
        <v>40000000</v>
      </c>
      <c r="AG665" s="63">
        <f t="shared" si="276"/>
        <v>40000000</v>
      </c>
      <c r="AH665" s="63">
        <f t="shared" si="276"/>
        <v>40000000</v>
      </c>
      <c r="AJ665" s="63"/>
      <c r="AK665" s="317"/>
      <c r="AL665" s="317"/>
    </row>
    <row r="666" spans="2:38" x14ac:dyDescent="0.25">
      <c r="B666" s="42">
        <v>45985</v>
      </c>
      <c r="C666" s="38"/>
      <c r="D666" s="38">
        <f t="shared" si="268"/>
        <v>102955.58075833204</v>
      </c>
      <c r="E666" s="38"/>
      <c r="F666" s="38"/>
      <c r="G666" s="38">
        <f t="shared" si="269"/>
        <v>102955.58075833204</v>
      </c>
      <c r="H666" s="38">
        <f t="shared" si="270"/>
        <v>13670000</v>
      </c>
      <c r="I666" s="38"/>
      <c r="J666" s="38">
        <f t="shared" si="275"/>
        <v>20071927.550000001</v>
      </c>
      <c r="K666" s="177">
        <v>12000000</v>
      </c>
      <c r="L666" s="177"/>
      <c r="M666" s="177">
        <f t="shared" si="278"/>
        <v>15000000</v>
      </c>
      <c r="N666" s="177">
        <f t="shared" si="267"/>
        <v>36847210.399999999</v>
      </c>
      <c r="O666" s="38">
        <f t="shared" si="280"/>
        <v>100024956.45994648</v>
      </c>
      <c r="P666" s="38">
        <f t="shared" si="280"/>
        <v>0</v>
      </c>
      <c r="Q666" s="38">
        <f t="shared" si="280"/>
        <v>0</v>
      </c>
      <c r="R666" s="38">
        <f t="shared" si="280"/>
        <v>0</v>
      </c>
      <c r="S666" s="78">
        <v>45985</v>
      </c>
      <c r="T666" s="63"/>
      <c r="U666" s="63">
        <f t="shared" si="271"/>
        <v>27199.206666683313</v>
      </c>
      <c r="V666" s="63"/>
      <c r="W666" s="63"/>
      <c r="X666" s="63">
        <f t="shared" si="272"/>
        <v>27199.206666683313</v>
      </c>
      <c r="Y666" s="63">
        <f t="shared" si="273"/>
        <v>3940000</v>
      </c>
      <c r="Z666" s="63">
        <f t="shared" si="277"/>
        <v>225703853.20000002</v>
      </c>
      <c r="AA666" s="63">
        <f t="shared" si="277"/>
        <v>26000000</v>
      </c>
      <c r="AB666" s="63"/>
      <c r="AC666" s="63"/>
      <c r="AD666" s="63">
        <f t="shared" si="276"/>
        <v>39634038.449999988</v>
      </c>
      <c r="AE666" s="63">
        <f t="shared" si="276"/>
        <v>40000000</v>
      </c>
      <c r="AF666" s="63">
        <f t="shared" si="276"/>
        <v>40000000</v>
      </c>
      <c r="AG666" s="63">
        <f t="shared" si="276"/>
        <v>40000000</v>
      </c>
      <c r="AH666" s="63">
        <f t="shared" si="276"/>
        <v>40000000</v>
      </c>
      <c r="AJ666" s="63"/>
      <c r="AK666" s="317"/>
      <c r="AL666" s="317"/>
    </row>
    <row r="667" spans="2:38" x14ac:dyDescent="0.25">
      <c r="B667" s="42">
        <v>45986</v>
      </c>
      <c r="C667" s="38">
        <v>-851525.18</v>
      </c>
      <c r="D667" s="38">
        <f t="shared" si="268"/>
        <v>-748569.59924166801</v>
      </c>
      <c r="E667" s="83">
        <v>800000</v>
      </c>
      <c r="F667" s="38"/>
      <c r="G667" s="38">
        <f t="shared" si="269"/>
        <v>51430.400758331991</v>
      </c>
      <c r="H667" s="38">
        <f t="shared" si="270"/>
        <v>12870000</v>
      </c>
      <c r="I667" s="38"/>
      <c r="J667" s="38">
        <f t="shared" si="275"/>
        <v>20071927.550000001</v>
      </c>
      <c r="K667" s="177">
        <v>12000000</v>
      </c>
      <c r="L667" s="177"/>
      <c r="M667" s="177">
        <f t="shared" si="278"/>
        <v>15000000</v>
      </c>
      <c r="N667" s="177">
        <f t="shared" si="267"/>
        <v>36847210.399999999</v>
      </c>
      <c r="O667" s="38">
        <f t="shared" si="280"/>
        <v>100024956.45994648</v>
      </c>
      <c r="P667" s="38">
        <f t="shared" si="280"/>
        <v>0</v>
      </c>
      <c r="Q667" s="38">
        <f t="shared" si="280"/>
        <v>0</v>
      </c>
      <c r="R667" s="38">
        <f t="shared" si="280"/>
        <v>0</v>
      </c>
      <c r="S667" s="78">
        <v>45986</v>
      </c>
      <c r="T667" s="63">
        <v>-50000</v>
      </c>
      <c r="U667" s="63">
        <f t="shared" si="271"/>
        <v>-22800.793333316687</v>
      </c>
      <c r="V667" s="84">
        <v>50000</v>
      </c>
      <c r="W667" s="63"/>
      <c r="X667" s="63">
        <f t="shared" si="272"/>
        <v>27199.206666683313</v>
      </c>
      <c r="Y667" s="63">
        <f t="shared" si="273"/>
        <v>3890000</v>
      </c>
      <c r="Z667" s="63">
        <f t="shared" si="277"/>
        <v>225703853.20000002</v>
      </c>
      <c r="AA667" s="63">
        <f t="shared" si="277"/>
        <v>26000000</v>
      </c>
      <c r="AB667" s="63"/>
      <c r="AC667" s="63"/>
      <c r="AD667" s="63">
        <f t="shared" si="276"/>
        <v>39634038.449999988</v>
      </c>
      <c r="AE667" s="63">
        <f t="shared" si="276"/>
        <v>40000000</v>
      </c>
      <c r="AF667" s="63">
        <f t="shared" si="276"/>
        <v>40000000</v>
      </c>
      <c r="AG667" s="63">
        <f t="shared" si="276"/>
        <v>40000000</v>
      </c>
      <c r="AH667" s="63">
        <f t="shared" si="276"/>
        <v>40000000</v>
      </c>
      <c r="AJ667" s="63"/>
      <c r="AK667" s="317"/>
      <c r="AL667" s="317"/>
    </row>
    <row r="668" spans="2:38" x14ac:dyDescent="0.25">
      <c r="B668" s="42">
        <v>45987</v>
      </c>
      <c r="C668" s="38">
        <v>-3129809.78</v>
      </c>
      <c r="D668" s="38">
        <f t="shared" si="268"/>
        <v>-3078379.3792416677</v>
      </c>
      <c r="E668" s="83">
        <v>3160000</v>
      </c>
      <c r="F668" s="38"/>
      <c r="G668" s="38">
        <f t="shared" si="269"/>
        <v>81620.620758332312</v>
      </c>
      <c r="H668" s="38">
        <f t="shared" si="270"/>
        <v>9710000</v>
      </c>
      <c r="I668" s="38"/>
      <c r="J668" s="38">
        <f t="shared" si="275"/>
        <v>20071927.550000001</v>
      </c>
      <c r="K668" s="177">
        <v>12000000</v>
      </c>
      <c r="L668" s="177"/>
      <c r="M668" s="177">
        <f t="shared" si="278"/>
        <v>15000000</v>
      </c>
      <c r="N668" s="177">
        <f t="shared" si="267"/>
        <v>36847210.399999999</v>
      </c>
      <c r="O668" s="38">
        <f t="shared" si="280"/>
        <v>100024956.45994648</v>
      </c>
      <c r="P668" s="38">
        <f t="shared" si="280"/>
        <v>0</v>
      </c>
      <c r="Q668" s="38">
        <f t="shared" si="280"/>
        <v>0</v>
      </c>
      <c r="R668" s="38">
        <f t="shared" si="280"/>
        <v>0</v>
      </c>
      <c r="S668" s="78">
        <v>45987</v>
      </c>
      <c r="T668" s="63">
        <v>-464342</v>
      </c>
      <c r="U668" s="63">
        <f t="shared" si="271"/>
        <v>-437142.79333331669</v>
      </c>
      <c r="V668" s="84">
        <v>490000</v>
      </c>
      <c r="W668" s="63"/>
      <c r="X668" s="63">
        <f t="shared" si="272"/>
        <v>52857.206666683313</v>
      </c>
      <c r="Y668" s="63">
        <f t="shared" si="273"/>
        <v>3400000</v>
      </c>
      <c r="Z668" s="63">
        <f t="shared" si="277"/>
        <v>225703853.20000002</v>
      </c>
      <c r="AA668" s="63">
        <f t="shared" si="277"/>
        <v>26000000</v>
      </c>
      <c r="AB668" s="63"/>
      <c r="AC668" s="63"/>
      <c r="AD668" s="63">
        <f t="shared" si="276"/>
        <v>39634038.449999988</v>
      </c>
      <c r="AE668" s="63">
        <f t="shared" si="276"/>
        <v>40000000</v>
      </c>
      <c r="AF668" s="63">
        <f t="shared" si="276"/>
        <v>40000000</v>
      </c>
      <c r="AG668" s="63">
        <f t="shared" si="276"/>
        <v>40000000</v>
      </c>
      <c r="AH668" s="63">
        <f t="shared" si="276"/>
        <v>40000000</v>
      </c>
      <c r="AJ668" s="63"/>
      <c r="AK668" s="317"/>
      <c r="AL668" s="317"/>
    </row>
    <row r="669" spans="2:38" x14ac:dyDescent="0.25">
      <c r="B669" s="42">
        <v>45988</v>
      </c>
      <c r="C669" s="38"/>
      <c r="D669" s="38">
        <f t="shared" si="268"/>
        <v>81620.620758332312</v>
      </c>
      <c r="E669" s="38"/>
      <c r="F669" s="38"/>
      <c r="G669" s="38">
        <f t="shared" si="269"/>
        <v>81620.620758332312</v>
      </c>
      <c r="H669" s="38">
        <f t="shared" si="270"/>
        <v>9710000</v>
      </c>
      <c r="I669" s="38"/>
      <c r="J669" s="38">
        <f t="shared" si="275"/>
        <v>20071927.550000001</v>
      </c>
      <c r="K669" s="177">
        <v>12000000</v>
      </c>
      <c r="L669" s="177"/>
      <c r="M669" s="177">
        <f t="shared" si="278"/>
        <v>15000000</v>
      </c>
      <c r="N669" s="177">
        <f t="shared" si="267"/>
        <v>36847210.399999999</v>
      </c>
      <c r="O669" s="38">
        <f t="shared" si="280"/>
        <v>100024956.45994648</v>
      </c>
      <c r="P669" s="38">
        <f t="shared" si="280"/>
        <v>0</v>
      </c>
      <c r="Q669" s="38">
        <f t="shared" si="280"/>
        <v>0</v>
      </c>
      <c r="R669" s="38">
        <f t="shared" si="280"/>
        <v>0</v>
      </c>
      <c r="S669" s="78">
        <v>45988</v>
      </c>
      <c r="T669" s="63"/>
      <c r="U669" s="63">
        <f t="shared" si="271"/>
        <v>52857.206666683313</v>
      </c>
      <c r="V669" s="63"/>
      <c r="W669" s="63"/>
      <c r="X669" s="63">
        <f t="shared" si="272"/>
        <v>52857.206666683313</v>
      </c>
      <c r="Y669" s="63">
        <f t="shared" si="273"/>
        <v>3400000</v>
      </c>
      <c r="Z669" s="63">
        <f t="shared" si="277"/>
        <v>225703853.20000002</v>
      </c>
      <c r="AA669" s="63">
        <f t="shared" si="277"/>
        <v>26000000</v>
      </c>
      <c r="AB669" s="63"/>
      <c r="AC669" s="63"/>
      <c r="AD669" s="63">
        <f t="shared" si="276"/>
        <v>39634038.449999988</v>
      </c>
      <c r="AE669" s="63">
        <f t="shared" si="276"/>
        <v>40000000</v>
      </c>
      <c r="AF669" s="63">
        <f t="shared" si="276"/>
        <v>40000000</v>
      </c>
      <c r="AG669" s="63">
        <f t="shared" si="276"/>
        <v>40000000</v>
      </c>
      <c r="AH669" s="63">
        <f t="shared" si="276"/>
        <v>40000000</v>
      </c>
      <c r="AJ669" s="63"/>
      <c r="AK669" s="317"/>
      <c r="AL669" s="317"/>
    </row>
    <row r="670" spans="2:38" x14ac:dyDescent="0.25">
      <c r="B670" s="42">
        <v>45989</v>
      </c>
      <c r="C670" s="38"/>
      <c r="D670" s="38">
        <f t="shared" si="268"/>
        <v>81620.620758332312</v>
      </c>
      <c r="E670" s="38"/>
      <c r="F670" s="38"/>
      <c r="G670" s="38">
        <f t="shared" si="269"/>
        <v>81620.620758332312</v>
      </c>
      <c r="H670" s="38">
        <f t="shared" si="270"/>
        <v>9710000</v>
      </c>
      <c r="I670" s="38"/>
      <c r="J670" s="38">
        <f t="shared" si="275"/>
        <v>20071927.550000001</v>
      </c>
      <c r="K670" s="177">
        <v>12000000</v>
      </c>
      <c r="L670" s="177"/>
      <c r="M670" s="177">
        <f t="shared" si="278"/>
        <v>15000000</v>
      </c>
      <c r="N670" s="177">
        <f t="shared" si="267"/>
        <v>36847210.399999999</v>
      </c>
      <c r="O670" s="38">
        <f t="shared" ref="O670:R685" si="281">O669</f>
        <v>100024956.45994648</v>
      </c>
      <c r="P670" s="38">
        <f t="shared" si="281"/>
        <v>0</v>
      </c>
      <c r="Q670" s="38">
        <f t="shared" si="281"/>
        <v>0</v>
      </c>
      <c r="R670" s="38">
        <f t="shared" si="281"/>
        <v>0</v>
      </c>
      <c r="S670" s="78">
        <v>45989</v>
      </c>
      <c r="T670" s="63"/>
      <c r="U670" s="63">
        <f t="shared" si="271"/>
        <v>52857.206666683313</v>
      </c>
      <c r="V670" s="63"/>
      <c r="W670" s="63"/>
      <c r="X670" s="63">
        <f t="shared" si="272"/>
        <v>52857.206666683313</v>
      </c>
      <c r="Y670" s="63">
        <f t="shared" si="273"/>
        <v>3400000</v>
      </c>
      <c r="Z670" s="63">
        <f t="shared" si="277"/>
        <v>225703853.20000002</v>
      </c>
      <c r="AA670" s="63">
        <f t="shared" si="277"/>
        <v>26000000</v>
      </c>
      <c r="AB670" s="63"/>
      <c r="AC670" s="63"/>
      <c r="AD670" s="63">
        <f t="shared" si="276"/>
        <v>39634038.449999988</v>
      </c>
      <c r="AE670" s="63">
        <f t="shared" si="276"/>
        <v>40000000</v>
      </c>
      <c r="AF670" s="63">
        <f t="shared" si="276"/>
        <v>40000000</v>
      </c>
      <c r="AG670" s="63">
        <f t="shared" si="276"/>
        <v>40000000</v>
      </c>
      <c r="AH670" s="63">
        <f t="shared" si="276"/>
        <v>40000000</v>
      </c>
      <c r="AJ670" s="63"/>
      <c r="AK670" s="317"/>
      <c r="AL670" s="317"/>
    </row>
    <row r="671" spans="2:38" x14ac:dyDescent="0.25">
      <c r="B671" s="42">
        <v>45990</v>
      </c>
      <c r="C671" s="38"/>
      <c r="D671" s="38">
        <f t="shared" si="268"/>
        <v>81620.620758332312</v>
      </c>
      <c r="E671" s="38"/>
      <c r="F671" s="38"/>
      <c r="G671" s="38">
        <f t="shared" si="269"/>
        <v>81620.620758332312</v>
      </c>
      <c r="H671" s="38">
        <f t="shared" si="270"/>
        <v>9710000</v>
      </c>
      <c r="I671" s="38"/>
      <c r="J671" s="38">
        <f t="shared" si="275"/>
        <v>20071927.550000001</v>
      </c>
      <c r="K671" s="177">
        <v>12000000</v>
      </c>
      <c r="L671" s="177"/>
      <c r="M671" s="177">
        <f t="shared" si="278"/>
        <v>15000000</v>
      </c>
      <c r="N671" s="177">
        <f t="shared" si="267"/>
        <v>36847210.399999999</v>
      </c>
      <c r="O671" s="38">
        <f t="shared" si="281"/>
        <v>100024956.45994648</v>
      </c>
      <c r="P671" s="38">
        <f t="shared" si="281"/>
        <v>0</v>
      </c>
      <c r="Q671" s="38">
        <f t="shared" si="281"/>
        <v>0</v>
      </c>
      <c r="R671" s="38">
        <f t="shared" si="281"/>
        <v>0</v>
      </c>
      <c r="S671" s="78">
        <v>45990</v>
      </c>
      <c r="T671" s="63"/>
      <c r="U671" s="63">
        <f t="shared" si="271"/>
        <v>52857.206666683313</v>
      </c>
      <c r="V671" s="63"/>
      <c r="W671" s="63"/>
      <c r="X671" s="63">
        <f t="shared" si="272"/>
        <v>52857.206666683313</v>
      </c>
      <c r="Y671" s="63">
        <f t="shared" si="273"/>
        <v>3400000</v>
      </c>
      <c r="Z671" s="63">
        <f t="shared" si="277"/>
        <v>225703853.20000002</v>
      </c>
      <c r="AA671" s="63">
        <f t="shared" si="277"/>
        <v>26000000</v>
      </c>
      <c r="AB671" s="63"/>
      <c r="AC671" s="63"/>
      <c r="AD671" s="63">
        <f t="shared" si="276"/>
        <v>39634038.449999988</v>
      </c>
      <c r="AE671" s="63">
        <f t="shared" si="276"/>
        <v>40000000</v>
      </c>
      <c r="AF671" s="63">
        <f t="shared" si="276"/>
        <v>40000000</v>
      </c>
      <c r="AG671" s="63">
        <f t="shared" si="276"/>
        <v>40000000</v>
      </c>
      <c r="AH671" s="63">
        <f t="shared" si="276"/>
        <v>40000000</v>
      </c>
      <c r="AJ671" s="63"/>
      <c r="AK671" s="317"/>
      <c r="AL671" s="317"/>
    </row>
    <row r="672" spans="2:38" x14ac:dyDescent="0.25">
      <c r="B672" s="42">
        <v>45991</v>
      </c>
      <c r="C672" s="38"/>
      <c r="D672" s="38">
        <f t="shared" si="268"/>
        <v>81620.620758332312</v>
      </c>
      <c r="E672" s="38"/>
      <c r="F672" s="38">
        <f>162000-81000</f>
        <v>81000</v>
      </c>
      <c r="G672" s="394">
        <f t="shared" si="269"/>
        <v>162620.62075833231</v>
      </c>
      <c r="H672" s="394">
        <f t="shared" si="270"/>
        <v>9710000</v>
      </c>
      <c r="I672" s="38"/>
      <c r="J672" s="394">
        <f t="shared" si="275"/>
        <v>20071927.550000001</v>
      </c>
      <c r="K672" s="395">
        <v>12000000</v>
      </c>
      <c r="L672" s="395"/>
      <c r="M672" s="395">
        <f t="shared" si="278"/>
        <v>15000000</v>
      </c>
      <c r="N672" s="395">
        <f t="shared" si="267"/>
        <v>36847210.399999999</v>
      </c>
      <c r="O672" s="394">
        <f t="shared" si="281"/>
        <v>100024956.45994648</v>
      </c>
      <c r="P672" s="38">
        <f t="shared" si="281"/>
        <v>0</v>
      </c>
      <c r="Q672" s="38">
        <f t="shared" si="281"/>
        <v>0</v>
      </c>
      <c r="R672" s="38">
        <f t="shared" si="281"/>
        <v>0</v>
      </c>
      <c r="S672" s="412">
        <v>45991</v>
      </c>
      <c r="T672" s="396"/>
      <c r="U672" s="396">
        <f t="shared" si="271"/>
        <v>52857.206666683313</v>
      </c>
      <c r="V672" s="396"/>
      <c r="W672" s="396"/>
      <c r="X672" s="396">
        <f t="shared" si="272"/>
        <v>52857.206666683313</v>
      </c>
      <c r="Y672" s="396">
        <f t="shared" si="273"/>
        <v>3400000</v>
      </c>
      <c r="Z672" s="396">
        <v>226316356.00000003</v>
      </c>
      <c r="AA672" s="396">
        <f t="shared" si="277"/>
        <v>26000000</v>
      </c>
      <c r="AB672" s="396"/>
      <c r="AC672" s="396"/>
      <c r="AD672" s="396">
        <f t="shared" si="276"/>
        <v>39634038.449999988</v>
      </c>
      <c r="AE672" s="396">
        <f t="shared" si="276"/>
        <v>40000000</v>
      </c>
      <c r="AF672" s="396">
        <f t="shared" si="276"/>
        <v>40000000</v>
      </c>
      <c r="AG672" s="396">
        <f t="shared" si="276"/>
        <v>40000000</v>
      </c>
      <c r="AH672" s="396">
        <f t="shared" si="276"/>
        <v>40000000</v>
      </c>
      <c r="AJ672" s="63">
        <v>1.1566000000000001</v>
      </c>
      <c r="AK672" s="317">
        <f>SUM(G672:O672)+SUM(X672:AC672)/AJ672</f>
        <v>414955581.71466357</v>
      </c>
      <c r="AL672" s="317">
        <f>AK672+SUM(AD672:AH672)/AJ672</f>
        <v>587559799.63788676</v>
      </c>
    </row>
    <row r="673" spans="1:38" x14ac:dyDescent="0.25">
      <c r="B673" s="42">
        <v>45992</v>
      </c>
      <c r="C673" s="286">
        <v>-3418443.79</v>
      </c>
      <c r="D673" s="38">
        <f t="shared" si="268"/>
        <v>-3255823.1692416677</v>
      </c>
      <c r="E673" s="53">
        <v>3350000</v>
      </c>
      <c r="F673" s="38"/>
      <c r="G673" s="38">
        <f t="shared" si="269"/>
        <v>94176.830758332275</v>
      </c>
      <c r="H673" s="38">
        <f t="shared" si="270"/>
        <v>6360000</v>
      </c>
      <c r="I673" s="38"/>
      <c r="J673" s="38">
        <f t="shared" si="275"/>
        <v>20071927.550000001</v>
      </c>
      <c r="K673" s="177">
        <v>12000000</v>
      </c>
      <c r="L673" s="177"/>
      <c r="M673" s="177">
        <f t="shared" si="278"/>
        <v>15000000</v>
      </c>
      <c r="N673" s="177">
        <f t="shared" si="267"/>
        <v>36847210.399999999</v>
      </c>
      <c r="O673" s="38">
        <f t="shared" si="281"/>
        <v>100024956.45994648</v>
      </c>
      <c r="P673" s="38">
        <f t="shared" si="281"/>
        <v>0</v>
      </c>
      <c r="Q673" s="38">
        <f t="shared" si="281"/>
        <v>0</v>
      </c>
      <c r="R673" s="38">
        <f t="shared" si="281"/>
        <v>0</v>
      </c>
      <c r="S673" s="78">
        <v>45992</v>
      </c>
      <c r="T673" s="63"/>
      <c r="U673" s="63">
        <f t="shared" si="271"/>
        <v>52857.206666683313</v>
      </c>
      <c r="V673" s="63"/>
      <c r="W673" s="63"/>
      <c r="X673" s="63">
        <f t="shared" si="272"/>
        <v>52857.206666683313</v>
      </c>
      <c r="Y673" s="63">
        <f t="shared" si="273"/>
        <v>3400000</v>
      </c>
      <c r="Z673" s="63">
        <f t="shared" si="277"/>
        <v>226316356.00000003</v>
      </c>
      <c r="AA673" s="63">
        <f>AA672</f>
        <v>26000000</v>
      </c>
      <c r="AB673" s="63"/>
      <c r="AC673" s="63"/>
      <c r="AD673" s="63">
        <f t="shared" si="276"/>
        <v>39634038.449999988</v>
      </c>
      <c r="AE673" s="63">
        <f t="shared" si="276"/>
        <v>40000000</v>
      </c>
      <c r="AF673" s="63">
        <f t="shared" si="276"/>
        <v>40000000</v>
      </c>
      <c r="AG673" s="63">
        <f t="shared" si="276"/>
        <v>40000000</v>
      </c>
      <c r="AH673" s="63">
        <f t="shared" si="276"/>
        <v>40000000</v>
      </c>
      <c r="AJ673" s="63"/>
      <c r="AK673" s="317"/>
      <c r="AL673" s="317"/>
    </row>
    <row r="674" spans="1:38" x14ac:dyDescent="0.25">
      <c r="B674" s="42">
        <v>45993</v>
      </c>
      <c r="C674" s="38"/>
      <c r="D674" s="38">
        <f t="shared" si="268"/>
        <v>94176.830758332275</v>
      </c>
      <c r="E674" s="38"/>
      <c r="F674" s="38"/>
      <c r="G674" s="38">
        <f t="shared" si="269"/>
        <v>94176.830758332275</v>
      </c>
      <c r="H674" s="38">
        <f t="shared" si="270"/>
        <v>6360000</v>
      </c>
      <c r="I674" s="38"/>
      <c r="J674" s="38">
        <f t="shared" si="275"/>
        <v>20071927.550000001</v>
      </c>
      <c r="K674" s="177">
        <v>12000000</v>
      </c>
      <c r="L674" s="177"/>
      <c r="M674" s="177">
        <f t="shared" si="278"/>
        <v>15000000</v>
      </c>
      <c r="N674" s="177">
        <f t="shared" si="267"/>
        <v>36847210.399999999</v>
      </c>
      <c r="O674" s="38">
        <f t="shared" si="281"/>
        <v>100024956.45994648</v>
      </c>
      <c r="P674" s="38">
        <f t="shared" si="281"/>
        <v>0</v>
      </c>
      <c r="Q674" s="38">
        <f t="shared" si="281"/>
        <v>0</v>
      </c>
      <c r="R674" s="38">
        <f t="shared" si="281"/>
        <v>0</v>
      </c>
      <c r="S674" s="78">
        <v>45993</v>
      </c>
      <c r="T674" s="63"/>
      <c r="U674" s="63">
        <f t="shared" si="271"/>
        <v>187857.20666668331</v>
      </c>
      <c r="V674" s="63"/>
      <c r="W674" s="63">
        <v>135000</v>
      </c>
      <c r="X674" s="63">
        <f t="shared" si="272"/>
        <v>187857.20666668331</v>
      </c>
      <c r="Y674" s="63">
        <f t="shared" si="273"/>
        <v>3400000</v>
      </c>
      <c r="Z674" s="63">
        <f t="shared" si="277"/>
        <v>226316356.00000003</v>
      </c>
      <c r="AA674" s="63">
        <f t="shared" si="277"/>
        <v>26000000</v>
      </c>
      <c r="AB674" s="63"/>
      <c r="AC674" s="63"/>
      <c r="AD674" s="63">
        <f t="shared" si="276"/>
        <v>39634038.449999988</v>
      </c>
      <c r="AE674" s="63">
        <f t="shared" si="276"/>
        <v>40000000</v>
      </c>
      <c r="AF674" s="63">
        <f t="shared" si="276"/>
        <v>40000000</v>
      </c>
      <c r="AG674" s="63">
        <f t="shared" si="276"/>
        <v>40000000</v>
      </c>
      <c r="AH674" s="63">
        <f t="shared" si="276"/>
        <v>40000000</v>
      </c>
      <c r="AJ674" s="63"/>
      <c r="AK674" s="317"/>
      <c r="AL674" s="317"/>
    </row>
    <row r="675" spans="1:38" x14ac:dyDescent="0.25">
      <c r="B675" s="42">
        <v>45994</v>
      </c>
      <c r="C675" s="38"/>
      <c r="D675" s="38">
        <f t="shared" si="268"/>
        <v>94176.830758332275</v>
      </c>
      <c r="E675" s="38"/>
      <c r="F675" s="38">
        <v>7000</v>
      </c>
      <c r="G675" s="38">
        <f t="shared" si="269"/>
        <v>101176.83075833227</v>
      </c>
      <c r="H675" s="38">
        <f t="shared" si="270"/>
        <v>6360000</v>
      </c>
      <c r="I675" s="38"/>
      <c r="J675" s="38">
        <f t="shared" si="275"/>
        <v>20071927.550000001</v>
      </c>
      <c r="K675" s="177">
        <v>12000000</v>
      </c>
      <c r="L675" s="177"/>
      <c r="M675" s="177">
        <f t="shared" si="278"/>
        <v>15000000</v>
      </c>
      <c r="N675" s="177">
        <f t="shared" si="267"/>
        <v>36847210.399999999</v>
      </c>
      <c r="O675" s="38">
        <f t="shared" si="281"/>
        <v>100024956.45994648</v>
      </c>
      <c r="P675" s="38">
        <f t="shared" si="281"/>
        <v>0</v>
      </c>
      <c r="Q675" s="38">
        <f t="shared" si="281"/>
        <v>0</v>
      </c>
      <c r="R675" s="38">
        <f t="shared" si="281"/>
        <v>0</v>
      </c>
      <c r="S675" s="78">
        <v>45994</v>
      </c>
      <c r="T675" s="63"/>
      <c r="U675" s="63">
        <f t="shared" si="271"/>
        <v>1587857.2066666833</v>
      </c>
      <c r="V675" s="84">
        <v>-1430000</v>
      </c>
      <c r="W675" s="63">
        <v>1400000</v>
      </c>
      <c r="X675" s="63">
        <f t="shared" si="272"/>
        <v>157857.20666668331</v>
      </c>
      <c r="Y675" s="63">
        <f t="shared" si="273"/>
        <v>4830000</v>
      </c>
      <c r="Z675" s="63">
        <f t="shared" si="277"/>
        <v>226316356.00000003</v>
      </c>
      <c r="AA675" s="63">
        <f t="shared" si="277"/>
        <v>26000000</v>
      </c>
      <c r="AB675" s="63"/>
      <c r="AC675" s="63"/>
      <c r="AD675" s="63">
        <f t="shared" si="276"/>
        <v>39634038.449999988</v>
      </c>
      <c r="AE675" s="63">
        <f t="shared" si="276"/>
        <v>40000000</v>
      </c>
      <c r="AF675" s="63">
        <f t="shared" si="276"/>
        <v>40000000</v>
      </c>
      <c r="AG675" s="63">
        <f t="shared" si="276"/>
        <v>40000000</v>
      </c>
      <c r="AH675" s="63">
        <f t="shared" si="276"/>
        <v>40000000</v>
      </c>
      <c r="AJ675" s="63"/>
      <c r="AK675" s="317"/>
      <c r="AL675" s="317"/>
    </row>
    <row r="676" spans="1:38" x14ac:dyDescent="0.25">
      <c r="B676" s="42">
        <v>45995</v>
      </c>
      <c r="C676" s="38">
        <v>-83000.399999999994</v>
      </c>
      <c r="D676" s="38">
        <f t="shared" si="268"/>
        <v>18176.430758332281</v>
      </c>
      <c r="E676" s="83">
        <v>80000</v>
      </c>
      <c r="F676" s="38"/>
      <c r="G676" s="38">
        <f t="shared" si="269"/>
        <v>98176.430758332281</v>
      </c>
      <c r="H676" s="38">
        <f t="shared" si="270"/>
        <v>6280000</v>
      </c>
      <c r="I676" s="38"/>
      <c r="J676" s="38">
        <f t="shared" si="275"/>
        <v>20071927.550000001</v>
      </c>
      <c r="K676" s="177">
        <v>12000000</v>
      </c>
      <c r="L676" s="177"/>
      <c r="M676" s="177">
        <f t="shared" si="278"/>
        <v>15000000</v>
      </c>
      <c r="N676" s="177">
        <f t="shared" si="267"/>
        <v>36847210.399999999</v>
      </c>
      <c r="O676" s="38">
        <f t="shared" si="281"/>
        <v>100024956.45994648</v>
      </c>
      <c r="P676" s="38">
        <f t="shared" si="281"/>
        <v>0</v>
      </c>
      <c r="Q676" s="38">
        <f t="shared" si="281"/>
        <v>0</v>
      </c>
      <c r="R676" s="38">
        <f t="shared" si="281"/>
        <v>0</v>
      </c>
      <c r="S676" s="78">
        <v>45995</v>
      </c>
      <c r="T676" s="63"/>
      <c r="U676" s="63">
        <f t="shared" si="271"/>
        <v>157857.20666668331</v>
      </c>
      <c r="V676" s="63"/>
      <c r="W676" s="63"/>
      <c r="X676" s="63">
        <f t="shared" si="272"/>
        <v>157857.20666668331</v>
      </c>
      <c r="Y676" s="63">
        <f t="shared" si="273"/>
        <v>4830000</v>
      </c>
      <c r="Z676" s="63">
        <f t="shared" si="277"/>
        <v>226316356.00000003</v>
      </c>
      <c r="AA676" s="63">
        <f t="shared" si="277"/>
        <v>26000000</v>
      </c>
      <c r="AB676" s="63"/>
      <c r="AC676" s="63"/>
      <c r="AD676" s="63">
        <f t="shared" si="276"/>
        <v>39634038.449999988</v>
      </c>
      <c r="AE676" s="63">
        <f t="shared" si="276"/>
        <v>40000000</v>
      </c>
      <c r="AF676" s="63">
        <f t="shared" si="276"/>
        <v>40000000</v>
      </c>
      <c r="AG676" s="63">
        <f t="shared" si="276"/>
        <v>40000000</v>
      </c>
      <c r="AH676" s="63">
        <f t="shared" si="276"/>
        <v>40000000</v>
      </c>
      <c r="AJ676" s="63"/>
      <c r="AK676" s="317"/>
      <c r="AL676" s="317"/>
    </row>
    <row r="677" spans="1:38" x14ac:dyDescent="0.25">
      <c r="B677" s="42">
        <v>45996</v>
      </c>
      <c r="C677" s="38"/>
      <c r="D677" s="38">
        <f t="shared" si="268"/>
        <v>98176.430758332281</v>
      </c>
      <c r="E677" s="38"/>
      <c r="F677" s="38"/>
      <c r="G677" s="38">
        <f t="shared" si="269"/>
        <v>98176.430758332281</v>
      </c>
      <c r="H677" s="38">
        <f t="shared" si="270"/>
        <v>6280000</v>
      </c>
      <c r="I677" s="38"/>
      <c r="J677" s="38">
        <f t="shared" si="275"/>
        <v>20071927.550000001</v>
      </c>
      <c r="K677" s="177">
        <v>12000000</v>
      </c>
      <c r="L677" s="177"/>
      <c r="M677" s="177">
        <f t="shared" si="278"/>
        <v>15000000</v>
      </c>
      <c r="N677" s="177">
        <f t="shared" si="267"/>
        <v>36847210.399999999</v>
      </c>
      <c r="O677" s="38">
        <f t="shared" si="281"/>
        <v>100024956.45994648</v>
      </c>
      <c r="P677" s="38">
        <f t="shared" si="281"/>
        <v>0</v>
      </c>
      <c r="Q677" s="38">
        <f t="shared" si="281"/>
        <v>0</v>
      </c>
      <c r="R677" s="38">
        <f t="shared" si="281"/>
        <v>0</v>
      </c>
      <c r="S677" s="78">
        <v>45996</v>
      </c>
      <c r="T677" s="63"/>
      <c r="U677" s="63">
        <f t="shared" si="271"/>
        <v>157857.20666668331</v>
      </c>
      <c r="V677" s="63"/>
      <c r="W677" s="63"/>
      <c r="X677" s="63">
        <f t="shared" si="272"/>
        <v>157857.20666668331</v>
      </c>
      <c r="Y677" s="63">
        <f t="shared" si="273"/>
        <v>4830000</v>
      </c>
      <c r="Z677" s="63">
        <f t="shared" si="277"/>
        <v>226316356.00000003</v>
      </c>
      <c r="AA677" s="63">
        <f t="shared" si="277"/>
        <v>26000000</v>
      </c>
      <c r="AB677" s="63"/>
      <c r="AC677" s="63"/>
      <c r="AD677" s="63">
        <f t="shared" si="276"/>
        <v>39634038.449999988</v>
      </c>
      <c r="AE677" s="63">
        <f t="shared" si="276"/>
        <v>40000000</v>
      </c>
      <c r="AF677" s="63">
        <f t="shared" si="276"/>
        <v>40000000</v>
      </c>
      <c r="AG677" s="63">
        <f t="shared" si="276"/>
        <v>40000000</v>
      </c>
      <c r="AH677" s="63">
        <f t="shared" si="276"/>
        <v>40000000</v>
      </c>
      <c r="AJ677" s="63"/>
      <c r="AK677" s="317"/>
      <c r="AL677" s="317"/>
    </row>
    <row r="678" spans="1:38" x14ac:dyDescent="0.25">
      <c r="B678" s="42">
        <v>45997</v>
      </c>
      <c r="C678" s="38"/>
      <c r="D678" s="38">
        <f t="shared" si="268"/>
        <v>98176.430758332281</v>
      </c>
      <c r="E678" s="38"/>
      <c r="F678" s="38"/>
      <c r="G678" s="38">
        <f t="shared" si="269"/>
        <v>98176.430758332281</v>
      </c>
      <c r="H678" s="38">
        <f t="shared" si="270"/>
        <v>6280000</v>
      </c>
      <c r="I678" s="38"/>
      <c r="J678" s="38">
        <f t="shared" si="275"/>
        <v>20071927.550000001</v>
      </c>
      <c r="K678" s="177">
        <v>12000000</v>
      </c>
      <c r="L678" s="177"/>
      <c r="M678" s="177">
        <f t="shared" si="278"/>
        <v>15000000</v>
      </c>
      <c r="N678" s="177">
        <f t="shared" si="267"/>
        <v>36847210.399999999</v>
      </c>
      <c r="O678" s="38">
        <f t="shared" si="281"/>
        <v>100024956.45994648</v>
      </c>
      <c r="P678" s="38">
        <f t="shared" si="281"/>
        <v>0</v>
      </c>
      <c r="Q678" s="38">
        <f t="shared" si="281"/>
        <v>0</v>
      </c>
      <c r="R678" s="38">
        <f t="shared" si="281"/>
        <v>0</v>
      </c>
      <c r="S678" s="78">
        <v>45997</v>
      </c>
      <c r="T678" s="63"/>
      <c r="U678" s="63">
        <f t="shared" si="271"/>
        <v>157857.20666668331</v>
      </c>
      <c r="V678" s="63"/>
      <c r="W678" s="63"/>
      <c r="X678" s="63">
        <f t="shared" si="272"/>
        <v>157857.20666668331</v>
      </c>
      <c r="Y678" s="63">
        <f t="shared" si="273"/>
        <v>4830000</v>
      </c>
      <c r="Z678" s="63">
        <f t="shared" si="277"/>
        <v>226316356.00000003</v>
      </c>
      <c r="AA678" s="63">
        <f t="shared" si="277"/>
        <v>26000000</v>
      </c>
      <c r="AB678" s="63"/>
      <c r="AC678" s="63"/>
      <c r="AD678" s="63">
        <f t="shared" si="276"/>
        <v>39634038.449999988</v>
      </c>
      <c r="AE678" s="63">
        <f t="shared" si="276"/>
        <v>40000000</v>
      </c>
      <c r="AF678" s="63">
        <f t="shared" si="276"/>
        <v>40000000</v>
      </c>
      <c r="AG678" s="63">
        <f t="shared" si="276"/>
        <v>40000000</v>
      </c>
      <c r="AH678" s="63">
        <f t="shared" si="276"/>
        <v>40000000</v>
      </c>
      <c r="AJ678" s="63"/>
      <c r="AK678" s="317"/>
      <c r="AL678" s="317"/>
    </row>
    <row r="679" spans="1:38" x14ac:dyDescent="0.25">
      <c r="B679" s="42">
        <v>45998</v>
      </c>
      <c r="C679" s="38"/>
      <c r="D679" s="38">
        <f t="shared" si="268"/>
        <v>98176.430758332281</v>
      </c>
      <c r="E679" s="38"/>
      <c r="F679" s="38"/>
      <c r="G679" s="38">
        <f t="shared" si="269"/>
        <v>98176.430758332281</v>
      </c>
      <c r="H679" s="38">
        <f t="shared" si="270"/>
        <v>6280000</v>
      </c>
      <c r="I679" s="38"/>
      <c r="J679" s="38">
        <f t="shared" si="275"/>
        <v>20071927.550000001</v>
      </c>
      <c r="K679" s="177">
        <v>12000000</v>
      </c>
      <c r="L679" s="177"/>
      <c r="M679" s="177">
        <f t="shared" si="278"/>
        <v>15000000</v>
      </c>
      <c r="N679" s="177">
        <f t="shared" si="267"/>
        <v>36847210.399999999</v>
      </c>
      <c r="O679" s="38">
        <f t="shared" si="281"/>
        <v>100024956.45994648</v>
      </c>
      <c r="P679" s="38">
        <f t="shared" si="281"/>
        <v>0</v>
      </c>
      <c r="Q679" s="38">
        <f t="shared" si="281"/>
        <v>0</v>
      </c>
      <c r="R679" s="38">
        <f t="shared" si="281"/>
        <v>0</v>
      </c>
      <c r="S679" s="78">
        <v>45998</v>
      </c>
      <c r="T679" s="63"/>
      <c r="U679" s="63">
        <f t="shared" si="271"/>
        <v>157857.20666668331</v>
      </c>
      <c r="V679" s="63"/>
      <c r="W679" s="63"/>
      <c r="X679" s="63">
        <f t="shared" si="272"/>
        <v>157857.20666668331</v>
      </c>
      <c r="Y679" s="63">
        <f t="shared" si="273"/>
        <v>4830000</v>
      </c>
      <c r="Z679" s="63">
        <f t="shared" si="277"/>
        <v>226316356.00000003</v>
      </c>
      <c r="AA679" s="63">
        <f t="shared" si="277"/>
        <v>26000000</v>
      </c>
      <c r="AB679" s="63"/>
      <c r="AC679" s="63"/>
      <c r="AD679" s="63">
        <f t="shared" si="276"/>
        <v>39634038.449999988</v>
      </c>
      <c r="AE679" s="63">
        <f t="shared" si="276"/>
        <v>40000000</v>
      </c>
      <c r="AF679" s="63">
        <f t="shared" si="276"/>
        <v>40000000</v>
      </c>
      <c r="AG679" s="63">
        <f t="shared" si="276"/>
        <v>40000000</v>
      </c>
      <c r="AH679" s="63">
        <f t="shared" si="276"/>
        <v>40000000</v>
      </c>
      <c r="AJ679" s="63"/>
      <c r="AK679" s="317"/>
      <c r="AL679" s="317"/>
    </row>
    <row r="680" spans="1:38" x14ac:dyDescent="0.25">
      <c r="B680" s="42">
        <v>45999</v>
      </c>
      <c r="C680" s="38"/>
      <c r="D680" s="38">
        <f t="shared" si="268"/>
        <v>98176.430758332281</v>
      </c>
      <c r="E680" s="83">
        <v>-2720000</v>
      </c>
      <c r="F680" s="38">
        <f>2820000-98170</f>
        <v>2721830</v>
      </c>
      <c r="G680" s="38">
        <f t="shared" si="269"/>
        <v>100006.43075833237</v>
      </c>
      <c r="H680" s="38">
        <f t="shared" si="270"/>
        <v>9000000</v>
      </c>
      <c r="I680" s="38"/>
      <c r="J680" s="38">
        <f t="shared" si="275"/>
        <v>20071927.550000001</v>
      </c>
      <c r="K680" s="177">
        <v>12000000</v>
      </c>
      <c r="L680" s="177"/>
      <c r="M680" s="177">
        <f t="shared" si="278"/>
        <v>15000000</v>
      </c>
      <c r="N680" s="177">
        <f t="shared" si="267"/>
        <v>36847210.399999999</v>
      </c>
      <c r="O680" s="38">
        <f t="shared" si="281"/>
        <v>100024956.45994648</v>
      </c>
      <c r="P680" s="38">
        <f t="shared" si="281"/>
        <v>0</v>
      </c>
      <c r="Q680" s="38">
        <f t="shared" si="281"/>
        <v>0</v>
      </c>
      <c r="R680" s="38">
        <f t="shared" si="281"/>
        <v>0</v>
      </c>
      <c r="S680" s="78">
        <v>45999</v>
      </c>
      <c r="T680" s="63"/>
      <c r="U680" s="63">
        <f t="shared" si="271"/>
        <v>67857.206666683313</v>
      </c>
      <c r="V680" s="63"/>
      <c r="W680" s="63">
        <v>-90000</v>
      </c>
      <c r="X680" s="63">
        <f t="shared" si="272"/>
        <v>67857.206666683313</v>
      </c>
      <c r="Y680" s="63">
        <f t="shared" si="273"/>
        <v>4830000</v>
      </c>
      <c r="Z680" s="63">
        <f t="shared" si="277"/>
        <v>226316356.00000003</v>
      </c>
      <c r="AA680" s="63">
        <f t="shared" si="277"/>
        <v>26000000</v>
      </c>
      <c r="AB680" s="63"/>
      <c r="AC680" s="63"/>
      <c r="AD680" s="63">
        <f t="shared" si="276"/>
        <v>39634038.449999988</v>
      </c>
      <c r="AE680" s="63">
        <f t="shared" si="276"/>
        <v>40000000</v>
      </c>
      <c r="AF680" s="63">
        <f t="shared" si="276"/>
        <v>40000000</v>
      </c>
      <c r="AG680" s="63">
        <f t="shared" si="276"/>
        <v>40000000</v>
      </c>
      <c r="AH680" s="63">
        <f t="shared" si="276"/>
        <v>40000000</v>
      </c>
      <c r="AJ680" s="63"/>
      <c r="AK680" s="317"/>
      <c r="AL680" s="317"/>
    </row>
    <row r="681" spans="1:38" x14ac:dyDescent="0.25">
      <c r="B681" s="42">
        <v>46000</v>
      </c>
      <c r="C681" s="38"/>
      <c r="D681" s="38">
        <f t="shared" si="268"/>
        <v>100006.43075833237</v>
      </c>
      <c r="E681" s="38"/>
      <c r="F681" s="38">
        <v>58000</v>
      </c>
      <c r="G681" s="38">
        <f t="shared" si="269"/>
        <v>158006.43075833237</v>
      </c>
      <c r="H681" s="38">
        <f t="shared" si="270"/>
        <v>9000000</v>
      </c>
      <c r="I681" s="38"/>
      <c r="J681" s="38">
        <f t="shared" si="275"/>
        <v>20071927.550000001</v>
      </c>
      <c r="K681" s="177">
        <v>12000000</v>
      </c>
      <c r="L681" s="177"/>
      <c r="M681" s="177">
        <f t="shared" si="278"/>
        <v>15000000</v>
      </c>
      <c r="N681" s="177">
        <f t="shared" si="267"/>
        <v>36847210.399999999</v>
      </c>
      <c r="O681" s="38">
        <f t="shared" si="281"/>
        <v>100024956.45994648</v>
      </c>
      <c r="P681" s="38">
        <f t="shared" si="281"/>
        <v>0</v>
      </c>
      <c r="Q681" s="38">
        <f t="shared" si="281"/>
        <v>0</v>
      </c>
      <c r="R681" s="38">
        <f t="shared" si="281"/>
        <v>0</v>
      </c>
      <c r="S681" s="78">
        <v>46000</v>
      </c>
      <c r="T681" s="63"/>
      <c r="U681" s="63">
        <f t="shared" si="271"/>
        <v>67857.206666683313</v>
      </c>
      <c r="V681" s="63"/>
      <c r="W681" s="63"/>
      <c r="X681" s="63">
        <f t="shared" si="272"/>
        <v>67857.206666683313</v>
      </c>
      <c r="Y681" s="63">
        <f t="shared" si="273"/>
        <v>4830000</v>
      </c>
      <c r="Z681" s="63">
        <f t="shared" si="277"/>
        <v>226316356.00000003</v>
      </c>
      <c r="AA681" s="63">
        <f t="shared" si="277"/>
        <v>26000000</v>
      </c>
      <c r="AB681" s="63"/>
      <c r="AC681" s="63"/>
      <c r="AD681" s="63">
        <f t="shared" si="276"/>
        <v>39634038.449999988</v>
      </c>
      <c r="AE681" s="63">
        <f t="shared" si="276"/>
        <v>40000000</v>
      </c>
      <c r="AF681" s="63">
        <f t="shared" si="276"/>
        <v>40000000</v>
      </c>
      <c r="AG681" s="63">
        <f t="shared" si="276"/>
        <v>40000000</v>
      </c>
      <c r="AH681" s="63">
        <f t="shared" si="276"/>
        <v>40000000</v>
      </c>
      <c r="AJ681" s="63"/>
      <c r="AK681" s="317"/>
      <c r="AL681" s="317"/>
    </row>
    <row r="682" spans="1:38" x14ac:dyDescent="0.25">
      <c r="A682" s="45" t="s">
        <v>204</v>
      </c>
      <c r="B682" s="42">
        <v>46001</v>
      </c>
      <c r="C682" s="38">
        <v>-2287754.63</v>
      </c>
      <c r="D682" s="38">
        <f t="shared" si="268"/>
        <v>-2129748.1992416675</v>
      </c>
      <c r="E682" s="53">
        <v>2200000</v>
      </c>
      <c r="F682" s="38"/>
      <c r="G682" s="38">
        <f t="shared" si="269"/>
        <v>70251.80075833248</v>
      </c>
      <c r="H682" s="38">
        <f t="shared" si="270"/>
        <v>6800000</v>
      </c>
      <c r="I682" s="38"/>
      <c r="J682" s="38">
        <f t="shared" si="275"/>
        <v>20071927.550000001</v>
      </c>
      <c r="K682" s="177">
        <v>12000000</v>
      </c>
      <c r="L682" s="177"/>
      <c r="M682" s="177">
        <f t="shared" si="278"/>
        <v>15000000</v>
      </c>
      <c r="N682" s="177">
        <f t="shared" si="267"/>
        <v>36847210.399999999</v>
      </c>
      <c r="O682" s="38">
        <f t="shared" si="281"/>
        <v>100024956.45994648</v>
      </c>
      <c r="P682" s="38">
        <f t="shared" si="281"/>
        <v>0</v>
      </c>
      <c r="Q682" s="38">
        <f t="shared" si="281"/>
        <v>0</v>
      </c>
      <c r="R682" s="38">
        <f t="shared" si="281"/>
        <v>0</v>
      </c>
      <c r="S682" s="78">
        <v>46001</v>
      </c>
      <c r="T682" s="63">
        <v>-928629.88</v>
      </c>
      <c r="U682" s="63">
        <f t="shared" si="271"/>
        <v>-860772.67333331669</v>
      </c>
      <c r="V682" s="82">
        <v>930000</v>
      </c>
      <c r="W682" s="63"/>
      <c r="X682" s="63">
        <f t="shared" si="272"/>
        <v>69227.326666683308</v>
      </c>
      <c r="Y682" s="63">
        <f t="shared" si="273"/>
        <v>3900000</v>
      </c>
      <c r="Z682" s="63">
        <f t="shared" si="277"/>
        <v>226316356.00000003</v>
      </c>
      <c r="AA682" s="63">
        <f t="shared" si="277"/>
        <v>26000000</v>
      </c>
      <c r="AB682" s="63"/>
      <c r="AC682" s="63"/>
      <c r="AD682" s="63">
        <f t="shared" si="276"/>
        <v>39634038.449999988</v>
      </c>
      <c r="AE682" s="63">
        <f t="shared" si="276"/>
        <v>40000000</v>
      </c>
      <c r="AF682" s="63">
        <f t="shared" si="276"/>
        <v>40000000</v>
      </c>
      <c r="AG682" s="63">
        <f t="shared" si="276"/>
        <v>40000000</v>
      </c>
      <c r="AH682" s="63">
        <f t="shared" si="276"/>
        <v>40000000</v>
      </c>
      <c r="AJ682" s="63"/>
      <c r="AK682" s="317"/>
      <c r="AL682" s="317"/>
    </row>
    <row r="683" spans="1:38" x14ac:dyDescent="0.25">
      <c r="A683" s="45">
        <v>14100000</v>
      </c>
      <c r="B683" s="42">
        <v>46002</v>
      </c>
      <c r="C683" s="286">
        <v>14107397.120602099</v>
      </c>
      <c r="D683" s="38">
        <f t="shared" si="268"/>
        <v>14177648.921360431</v>
      </c>
      <c r="E683" s="53">
        <v>-14100000</v>
      </c>
      <c r="F683" s="38"/>
      <c r="G683" s="38">
        <f t="shared" si="269"/>
        <v>77648.921360431239</v>
      </c>
      <c r="H683" s="38">
        <f t="shared" si="270"/>
        <v>20900000</v>
      </c>
      <c r="I683" s="38"/>
      <c r="J683" s="38">
        <v>6000000</v>
      </c>
      <c r="K683" s="177">
        <v>12000000</v>
      </c>
      <c r="L683" s="177"/>
      <c r="M683" s="177">
        <f t="shared" si="278"/>
        <v>15000000</v>
      </c>
      <c r="N683" s="177">
        <f t="shared" si="267"/>
        <v>36847210.399999999</v>
      </c>
      <c r="O683" s="38">
        <f t="shared" si="281"/>
        <v>100024956.45994648</v>
      </c>
      <c r="P683" s="38">
        <f t="shared" si="281"/>
        <v>0</v>
      </c>
      <c r="Q683" s="38">
        <f t="shared" si="281"/>
        <v>0</v>
      </c>
      <c r="R683" s="38">
        <f t="shared" si="281"/>
        <v>0</v>
      </c>
      <c r="S683" s="78">
        <v>46002</v>
      </c>
      <c r="T683" s="63"/>
      <c r="U683" s="63">
        <f t="shared" si="271"/>
        <v>69227.326666683308</v>
      </c>
      <c r="V683" s="63"/>
      <c r="W683" s="63"/>
      <c r="X683" s="63">
        <f t="shared" si="272"/>
        <v>69227.326666683308</v>
      </c>
      <c r="Y683" s="63">
        <f t="shared" si="273"/>
        <v>3900000</v>
      </c>
      <c r="Z683" s="63">
        <f t="shared" si="277"/>
        <v>226316356.00000003</v>
      </c>
      <c r="AA683" s="63">
        <f t="shared" si="277"/>
        <v>26000000</v>
      </c>
      <c r="AB683" s="63"/>
      <c r="AC683" s="63"/>
      <c r="AD683" s="63">
        <f t="shared" si="276"/>
        <v>39634038.449999988</v>
      </c>
      <c r="AE683" s="63">
        <f t="shared" si="276"/>
        <v>40000000</v>
      </c>
      <c r="AF683" s="63">
        <f t="shared" si="276"/>
        <v>40000000</v>
      </c>
      <c r="AG683" s="63">
        <f t="shared" si="276"/>
        <v>40000000</v>
      </c>
      <c r="AH683" s="63">
        <f t="shared" si="276"/>
        <v>40000000</v>
      </c>
      <c r="AJ683" s="63"/>
      <c r="AK683" s="317"/>
      <c r="AL683" s="317"/>
    </row>
    <row r="684" spans="1:38" x14ac:dyDescent="0.25">
      <c r="B684" s="42">
        <v>46003</v>
      </c>
      <c r="C684" s="38"/>
      <c r="D684" s="38">
        <f t="shared" si="268"/>
        <v>77648.921360431239</v>
      </c>
      <c r="E684" s="38"/>
      <c r="F684" s="38"/>
      <c r="G684" s="38">
        <f t="shared" si="269"/>
        <v>77648.921360431239</v>
      </c>
      <c r="H684" s="38">
        <f t="shared" si="270"/>
        <v>20900000</v>
      </c>
      <c r="I684" s="38"/>
      <c r="J684" s="38">
        <f t="shared" si="275"/>
        <v>6000000</v>
      </c>
      <c r="K684" s="177">
        <v>12000000</v>
      </c>
      <c r="L684" s="177"/>
      <c r="M684" s="177">
        <f t="shared" si="278"/>
        <v>15000000</v>
      </c>
      <c r="N684" s="177">
        <f t="shared" si="267"/>
        <v>36847210.399999999</v>
      </c>
      <c r="O684" s="38">
        <f t="shared" si="281"/>
        <v>100024956.45994648</v>
      </c>
      <c r="P684" s="38">
        <f t="shared" si="281"/>
        <v>0</v>
      </c>
      <c r="Q684" s="38">
        <f t="shared" si="281"/>
        <v>0</v>
      </c>
      <c r="R684" s="38">
        <f t="shared" si="281"/>
        <v>0</v>
      </c>
      <c r="S684" s="78">
        <v>46003</v>
      </c>
      <c r="T684" s="63"/>
      <c r="U684" s="63">
        <f t="shared" si="271"/>
        <v>69227.326666683308</v>
      </c>
      <c r="V684" s="63"/>
      <c r="W684" s="63"/>
      <c r="X684" s="63">
        <f t="shared" si="272"/>
        <v>69227.326666683308</v>
      </c>
      <c r="Y684" s="63">
        <f t="shared" si="273"/>
        <v>3900000</v>
      </c>
      <c r="Z684" s="63">
        <f t="shared" si="277"/>
        <v>226316356.00000003</v>
      </c>
      <c r="AA684" s="63">
        <f t="shared" si="277"/>
        <v>26000000</v>
      </c>
      <c r="AB684" s="63"/>
      <c r="AC684" s="63"/>
      <c r="AD684" s="63">
        <f t="shared" si="276"/>
        <v>39634038.449999988</v>
      </c>
      <c r="AE684" s="63">
        <f t="shared" si="276"/>
        <v>40000000</v>
      </c>
      <c r="AF684" s="63">
        <f t="shared" si="276"/>
        <v>40000000</v>
      </c>
      <c r="AG684" s="63">
        <f t="shared" si="276"/>
        <v>40000000</v>
      </c>
      <c r="AH684" s="63">
        <f t="shared" si="276"/>
        <v>40000000</v>
      </c>
      <c r="AJ684" s="63"/>
      <c r="AK684" s="317"/>
      <c r="AL684" s="317"/>
    </row>
    <row r="685" spans="1:38" x14ac:dyDescent="0.25">
      <c r="B685" s="42">
        <v>46004</v>
      </c>
      <c r="C685" s="38"/>
      <c r="D685" s="38">
        <f t="shared" si="268"/>
        <v>77648.921360431239</v>
      </c>
      <c r="E685" s="38"/>
      <c r="F685" s="38"/>
      <c r="G685" s="38">
        <f t="shared" si="269"/>
        <v>77648.921360431239</v>
      </c>
      <c r="H685" s="38">
        <f t="shared" si="270"/>
        <v>20900000</v>
      </c>
      <c r="I685" s="38"/>
      <c r="J685" s="38">
        <f t="shared" si="275"/>
        <v>6000000</v>
      </c>
      <c r="K685" s="177">
        <v>12000000</v>
      </c>
      <c r="L685" s="177"/>
      <c r="M685" s="177">
        <f t="shared" si="278"/>
        <v>15000000</v>
      </c>
      <c r="N685" s="177">
        <f t="shared" si="267"/>
        <v>36847210.399999999</v>
      </c>
      <c r="O685" s="38">
        <f t="shared" si="281"/>
        <v>100024956.45994648</v>
      </c>
      <c r="P685" s="38">
        <f t="shared" si="281"/>
        <v>0</v>
      </c>
      <c r="Q685" s="38">
        <f t="shared" si="281"/>
        <v>0</v>
      </c>
      <c r="R685" s="38">
        <f t="shared" si="281"/>
        <v>0</v>
      </c>
      <c r="S685" s="78">
        <v>46004</v>
      </c>
      <c r="T685" s="63"/>
      <c r="U685" s="63">
        <f t="shared" si="271"/>
        <v>69227.326666683308</v>
      </c>
      <c r="V685" s="63"/>
      <c r="W685" s="63"/>
      <c r="X685" s="63">
        <f t="shared" si="272"/>
        <v>69227.326666683308</v>
      </c>
      <c r="Y685" s="63">
        <f t="shared" si="273"/>
        <v>3900000</v>
      </c>
      <c r="Z685" s="63">
        <f t="shared" si="277"/>
        <v>226316356.00000003</v>
      </c>
      <c r="AA685" s="63">
        <f t="shared" si="277"/>
        <v>26000000</v>
      </c>
      <c r="AB685" s="63"/>
      <c r="AC685" s="63"/>
      <c r="AD685" s="63">
        <f t="shared" si="276"/>
        <v>39634038.449999988</v>
      </c>
      <c r="AE685" s="63">
        <f t="shared" si="276"/>
        <v>40000000</v>
      </c>
      <c r="AF685" s="63">
        <f t="shared" si="276"/>
        <v>40000000</v>
      </c>
      <c r="AG685" s="63">
        <f t="shared" si="276"/>
        <v>40000000</v>
      </c>
      <c r="AH685" s="63">
        <f t="shared" si="276"/>
        <v>40000000</v>
      </c>
      <c r="AJ685" s="63"/>
      <c r="AK685" s="317"/>
      <c r="AL685" s="317"/>
    </row>
    <row r="686" spans="1:38" x14ac:dyDescent="0.25">
      <c r="B686" s="42">
        <v>46005</v>
      </c>
      <c r="C686" s="38"/>
      <c r="D686" s="38">
        <f t="shared" si="268"/>
        <v>77648.921360431239</v>
      </c>
      <c r="E686" s="38"/>
      <c r="F686" s="38">
        <v>-20000</v>
      </c>
      <c r="G686" s="38">
        <f t="shared" si="269"/>
        <v>57648.921360431239</v>
      </c>
      <c r="H686" s="38">
        <f t="shared" si="270"/>
        <v>20900000</v>
      </c>
      <c r="I686" s="38"/>
      <c r="J686" s="38">
        <f t="shared" si="275"/>
        <v>6000000</v>
      </c>
      <c r="K686" s="177">
        <v>12000000</v>
      </c>
      <c r="L686" s="177"/>
      <c r="M686" s="177">
        <f t="shared" si="278"/>
        <v>15000000</v>
      </c>
      <c r="N686" s="177">
        <f t="shared" si="267"/>
        <v>36847210.399999999</v>
      </c>
      <c r="O686" s="38">
        <f t="shared" ref="O686:R701" si="282">O685</f>
        <v>100024956.45994648</v>
      </c>
      <c r="P686" s="38">
        <f t="shared" si="282"/>
        <v>0</v>
      </c>
      <c r="Q686" s="38">
        <f t="shared" si="282"/>
        <v>0</v>
      </c>
      <c r="R686" s="38">
        <f t="shared" si="282"/>
        <v>0</v>
      </c>
      <c r="S686" s="78">
        <v>46005</v>
      </c>
      <c r="T686" s="63"/>
      <c r="U686" s="63">
        <f t="shared" si="271"/>
        <v>69227.326666683308</v>
      </c>
      <c r="V686" s="63"/>
      <c r="W686" s="63"/>
      <c r="X686" s="63">
        <f t="shared" si="272"/>
        <v>69227.326666683308</v>
      </c>
      <c r="Y686" s="63">
        <f t="shared" si="273"/>
        <v>3900000</v>
      </c>
      <c r="Z686" s="63">
        <f t="shared" si="277"/>
        <v>226316356.00000003</v>
      </c>
      <c r="AA686" s="63">
        <f t="shared" si="277"/>
        <v>26000000</v>
      </c>
      <c r="AB686" s="63"/>
      <c r="AC686" s="63"/>
      <c r="AD686" s="63">
        <f t="shared" si="276"/>
        <v>39634038.449999988</v>
      </c>
      <c r="AE686" s="63">
        <f t="shared" si="276"/>
        <v>40000000</v>
      </c>
      <c r="AF686" s="63">
        <f t="shared" si="276"/>
        <v>40000000</v>
      </c>
      <c r="AG686" s="63">
        <f t="shared" si="276"/>
        <v>40000000</v>
      </c>
      <c r="AH686" s="63">
        <f t="shared" si="276"/>
        <v>40000000</v>
      </c>
      <c r="AJ686" s="63"/>
      <c r="AK686" s="317"/>
      <c r="AL686" s="317"/>
    </row>
    <row r="687" spans="1:38" x14ac:dyDescent="0.25">
      <c r="B687" s="42">
        <v>46006</v>
      </c>
      <c r="C687" s="38">
        <v>-4035330.28</v>
      </c>
      <c r="D687" s="38">
        <f t="shared" si="268"/>
        <v>-3977681.3586395686</v>
      </c>
      <c r="E687" s="53">
        <v>4100000</v>
      </c>
      <c r="F687" s="38"/>
      <c r="G687" s="38">
        <f t="shared" si="269"/>
        <v>122318.64136043144</v>
      </c>
      <c r="H687" s="38">
        <f t="shared" si="270"/>
        <v>16800000</v>
      </c>
      <c r="I687" s="38"/>
      <c r="J687" s="38">
        <f t="shared" si="275"/>
        <v>6000000</v>
      </c>
      <c r="K687" s="177">
        <v>12000000</v>
      </c>
      <c r="L687" s="177"/>
      <c r="M687" s="177">
        <f t="shared" si="278"/>
        <v>15000000</v>
      </c>
      <c r="N687" s="177">
        <f t="shared" ref="N687:R736" si="283">N686</f>
        <v>36847210.399999999</v>
      </c>
      <c r="O687" s="38">
        <f t="shared" si="282"/>
        <v>100024956.45994648</v>
      </c>
      <c r="P687" s="38">
        <f t="shared" si="282"/>
        <v>0</v>
      </c>
      <c r="Q687" s="38">
        <f t="shared" si="282"/>
        <v>0</v>
      </c>
      <c r="R687" s="38">
        <f t="shared" si="282"/>
        <v>0</v>
      </c>
      <c r="S687" s="78">
        <v>46006</v>
      </c>
      <c r="T687" s="63"/>
      <c r="U687" s="63">
        <f t="shared" si="271"/>
        <v>69227.326666683308</v>
      </c>
      <c r="V687" s="63"/>
      <c r="W687" s="63"/>
      <c r="X687" s="63">
        <f t="shared" si="272"/>
        <v>69227.326666683308</v>
      </c>
      <c r="Y687" s="63">
        <f t="shared" si="273"/>
        <v>3900000</v>
      </c>
      <c r="Z687" s="63">
        <f t="shared" si="277"/>
        <v>226316356.00000003</v>
      </c>
      <c r="AA687" s="63">
        <f t="shared" si="277"/>
        <v>26000000</v>
      </c>
      <c r="AB687" s="63"/>
      <c r="AC687" s="63"/>
      <c r="AD687" s="63">
        <f t="shared" si="276"/>
        <v>39634038.449999988</v>
      </c>
      <c r="AE687" s="63">
        <f t="shared" si="276"/>
        <v>40000000</v>
      </c>
      <c r="AF687" s="63">
        <f t="shared" si="276"/>
        <v>40000000</v>
      </c>
      <c r="AG687" s="63">
        <f t="shared" si="276"/>
        <v>40000000</v>
      </c>
      <c r="AH687" s="63">
        <f t="shared" si="276"/>
        <v>40000000</v>
      </c>
      <c r="AJ687" s="63"/>
      <c r="AK687" s="317"/>
      <c r="AL687" s="317"/>
    </row>
    <row r="688" spans="1:38" x14ac:dyDescent="0.25">
      <c r="B688" s="42">
        <v>46007</v>
      </c>
      <c r="C688" s="38">
        <v>-15255</v>
      </c>
      <c r="D688" s="38">
        <f t="shared" si="268"/>
        <v>107063.64136043144</v>
      </c>
      <c r="E688" s="38"/>
      <c r="F688" s="38"/>
      <c r="G688" s="38">
        <f t="shared" si="269"/>
        <v>107063.64136043144</v>
      </c>
      <c r="H688" s="38">
        <f t="shared" si="270"/>
        <v>16800000</v>
      </c>
      <c r="I688" s="38"/>
      <c r="J688" s="38">
        <f t="shared" si="275"/>
        <v>6000000</v>
      </c>
      <c r="K688" s="177">
        <v>12000000</v>
      </c>
      <c r="L688" s="177"/>
      <c r="M688" s="177">
        <f t="shared" si="278"/>
        <v>15000000</v>
      </c>
      <c r="N688" s="177">
        <f t="shared" si="283"/>
        <v>36847210.399999999</v>
      </c>
      <c r="O688" s="38">
        <f t="shared" si="282"/>
        <v>100024956.45994648</v>
      </c>
      <c r="P688" s="38">
        <f t="shared" si="282"/>
        <v>0</v>
      </c>
      <c r="Q688" s="38">
        <f t="shared" si="282"/>
        <v>0</v>
      </c>
      <c r="R688" s="38">
        <f t="shared" si="282"/>
        <v>0</v>
      </c>
      <c r="S688" s="78">
        <v>46007</v>
      </c>
      <c r="T688" s="63"/>
      <c r="U688" s="63">
        <f t="shared" si="271"/>
        <v>69227.326666683308</v>
      </c>
      <c r="V688" s="63"/>
      <c r="W688" s="63"/>
      <c r="X688" s="63">
        <f t="shared" si="272"/>
        <v>69227.326666683308</v>
      </c>
      <c r="Y688" s="63">
        <f t="shared" si="273"/>
        <v>3900000</v>
      </c>
      <c r="Z688" s="63">
        <f t="shared" si="277"/>
        <v>226316356.00000003</v>
      </c>
      <c r="AA688" s="63">
        <f t="shared" si="277"/>
        <v>26000000</v>
      </c>
      <c r="AB688" s="63"/>
      <c r="AC688" s="63"/>
      <c r="AD688" s="63">
        <f t="shared" si="276"/>
        <v>39634038.449999988</v>
      </c>
      <c r="AE688" s="63">
        <f t="shared" si="276"/>
        <v>40000000</v>
      </c>
      <c r="AF688" s="63">
        <f t="shared" si="276"/>
        <v>40000000</v>
      </c>
      <c r="AG688" s="63">
        <f t="shared" si="276"/>
        <v>40000000</v>
      </c>
      <c r="AH688" s="63">
        <f t="shared" si="276"/>
        <v>40000000</v>
      </c>
      <c r="AJ688" s="63"/>
      <c r="AK688" s="317"/>
      <c r="AL688" s="317"/>
    </row>
    <row r="689" spans="1:38" x14ac:dyDescent="0.25">
      <c r="B689" s="42">
        <v>46008</v>
      </c>
      <c r="C689" s="38"/>
      <c r="D689" s="38">
        <f t="shared" si="268"/>
        <v>107063.64136043144</v>
      </c>
      <c r="E689" s="38"/>
      <c r="F689" s="38"/>
      <c r="G689" s="38">
        <f t="shared" si="269"/>
        <v>107063.64136043144</v>
      </c>
      <c r="H689" s="38">
        <f t="shared" si="270"/>
        <v>16800000</v>
      </c>
      <c r="I689" s="38"/>
      <c r="J689" s="38">
        <f t="shared" si="275"/>
        <v>6000000</v>
      </c>
      <c r="K689" s="177">
        <v>12000000</v>
      </c>
      <c r="L689" s="177"/>
      <c r="M689" s="177">
        <f t="shared" si="278"/>
        <v>15000000</v>
      </c>
      <c r="N689" s="177">
        <f t="shared" si="283"/>
        <v>36847210.399999999</v>
      </c>
      <c r="O689" s="38">
        <f t="shared" si="282"/>
        <v>100024956.45994648</v>
      </c>
      <c r="P689" s="38">
        <f t="shared" si="282"/>
        <v>0</v>
      </c>
      <c r="Q689" s="38">
        <f t="shared" si="282"/>
        <v>0</v>
      </c>
      <c r="R689" s="38">
        <f t="shared" si="282"/>
        <v>0</v>
      </c>
      <c r="S689" s="78">
        <v>46008</v>
      </c>
      <c r="T689" s="63"/>
      <c r="U689" s="63">
        <f t="shared" si="271"/>
        <v>69227.326666683308</v>
      </c>
      <c r="V689" s="63"/>
      <c r="W689" s="63"/>
      <c r="X689" s="63">
        <f t="shared" si="272"/>
        <v>69227.326666683308</v>
      </c>
      <c r="Y689" s="63">
        <f t="shared" si="273"/>
        <v>3900000</v>
      </c>
      <c r="Z689" s="63">
        <f t="shared" si="277"/>
        <v>226316356.00000003</v>
      </c>
      <c r="AA689" s="63">
        <f t="shared" si="277"/>
        <v>26000000</v>
      </c>
      <c r="AB689" s="63"/>
      <c r="AC689" s="63"/>
      <c r="AD689" s="63">
        <f t="shared" si="276"/>
        <v>39634038.449999988</v>
      </c>
      <c r="AE689" s="63">
        <f t="shared" si="276"/>
        <v>40000000</v>
      </c>
      <c r="AF689" s="63">
        <f t="shared" si="276"/>
        <v>40000000</v>
      </c>
      <c r="AG689" s="63">
        <f t="shared" si="276"/>
        <v>40000000</v>
      </c>
      <c r="AH689" s="63">
        <f t="shared" si="276"/>
        <v>40000000</v>
      </c>
      <c r="AJ689" s="63"/>
      <c r="AK689" s="317"/>
      <c r="AL689" s="317"/>
    </row>
    <row r="690" spans="1:38" x14ac:dyDescent="0.25">
      <c r="B690" s="42">
        <v>46009</v>
      </c>
      <c r="C690" s="38">
        <v>-8701157.5299999993</v>
      </c>
      <c r="D690" s="38">
        <f t="shared" si="268"/>
        <v>-8594093.8886395674</v>
      </c>
      <c r="E690" s="83">
        <v>8700000</v>
      </c>
      <c r="F690" s="38">
        <v>-20000</v>
      </c>
      <c r="G690" s="38">
        <f t="shared" si="269"/>
        <v>85906.11136043258</v>
      </c>
      <c r="H690" s="38">
        <f t="shared" si="270"/>
        <v>8100000</v>
      </c>
      <c r="I690" s="38"/>
      <c r="J690" s="38">
        <f t="shared" si="275"/>
        <v>6000000</v>
      </c>
      <c r="K690" s="177">
        <v>12000000</v>
      </c>
      <c r="L690" s="177"/>
      <c r="M690" s="177">
        <f t="shared" si="278"/>
        <v>15000000</v>
      </c>
      <c r="N690" s="177">
        <f t="shared" si="283"/>
        <v>36847210.399999999</v>
      </c>
      <c r="O690" s="38">
        <f t="shared" si="282"/>
        <v>100024956.45994648</v>
      </c>
      <c r="P690" s="38">
        <f t="shared" si="282"/>
        <v>0</v>
      </c>
      <c r="Q690" s="38">
        <f t="shared" si="282"/>
        <v>0</v>
      </c>
      <c r="R690" s="38">
        <f t="shared" si="282"/>
        <v>0</v>
      </c>
      <c r="S690" s="78">
        <v>46009</v>
      </c>
      <c r="T690" s="63">
        <v>-2389470.6800000002</v>
      </c>
      <c r="U690" s="63">
        <f t="shared" si="271"/>
        <v>-2310243.3533333167</v>
      </c>
      <c r="V690" s="84">
        <v>2380000</v>
      </c>
      <c r="W690" s="63">
        <v>10000</v>
      </c>
      <c r="X690" s="63">
        <f t="shared" si="272"/>
        <v>69756.646666683257</v>
      </c>
      <c r="Y690" s="63">
        <f t="shared" si="273"/>
        <v>1520000</v>
      </c>
      <c r="Z690" s="63">
        <f t="shared" si="277"/>
        <v>226316356.00000003</v>
      </c>
      <c r="AA690" s="63">
        <f t="shared" si="277"/>
        <v>26000000</v>
      </c>
      <c r="AB690" s="63"/>
      <c r="AC690" s="63"/>
      <c r="AD690" s="63">
        <f t="shared" si="276"/>
        <v>39634038.449999988</v>
      </c>
      <c r="AE690" s="63">
        <f t="shared" si="276"/>
        <v>40000000</v>
      </c>
      <c r="AF690" s="63">
        <f t="shared" si="276"/>
        <v>40000000</v>
      </c>
      <c r="AG690" s="63">
        <f t="shared" si="276"/>
        <v>40000000</v>
      </c>
      <c r="AH690" s="63">
        <f t="shared" si="276"/>
        <v>40000000</v>
      </c>
      <c r="AJ690" s="63"/>
      <c r="AK690" s="317"/>
      <c r="AL690" s="317"/>
    </row>
    <row r="691" spans="1:38" x14ac:dyDescent="0.25">
      <c r="B691" s="42">
        <v>46010</v>
      </c>
      <c r="C691" s="38">
        <v>-39885.60000000149</v>
      </c>
      <c r="D691" s="38">
        <f t="shared" si="268"/>
        <v>46020.51136043109</v>
      </c>
      <c r="E691" s="38"/>
      <c r="F691" s="38">
        <v>-3000</v>
      </c>
      <c r="G691" s="38">
        <f t="shared" si="269"/>
        <v>43020.51136043109</v>
      </c>
      <c r="H691" s="38">
        <f t="shared" si="270"/>
        <v>8100000</v>
      </c>
      <c r="I691" s="38"/>
      <c r="J691" s="38">
        <f t="shared" si="275"/>
        <v>6000000</v>
      </c>
      <c r="K691" s="177">
        <v>12000000</v>
      </c>
      <c r="L691" s="177"/>
      <c r="M691" s="177">
        <f t="shared" si="278"/>
        <v>15000000</v>
      </c>
      <c r="N691" s="177">
        <f t="shared" si="283"/>
        <v>36847210.399999999</v>
      </c>
      <c r="O691" s="38">
        <f t="shared" si="282"/>
        <v>100024956.45994648</v>
      </c>
      <c r="P691" s="38">
        <f t="shared" si="282"/>
        <v>0</v>
      </c>
      <c r="Q691" s="38">
        <f t="shared" si="282"/>
        <v>0</v>
      </c>
      <c r="R691" s="38">
        <f t="shared" si="282"/>
        <v>0</v>
      </c>
      <c r="S691" s="78">
        <v>46010</v>
      </c>
      <c r="T691" s="63">
        <v>35904267.799999997</v>
      </c>
      <c r="U691" s="63">
        <f t="shared" si="271"/>
        <v>35987024.44666668</v>
      </c>
      <c r="V691" s="84">
        <v>-35900000</v>
      </c>
      <c r="W691" s="63">
        <v>13000</v>
      </c>
      <c r="X691" s="63">
        <f t="shared" si="272"/>
        <v>87024.446666680276</v>
      </c>
      <c r="Y691" s="63">
        <f t="shared" si="273"/>
        <v>37420000</v>
      </c>
      <c r="Z691" s="414">
        <v>155676516.60000002</v>
      </c>
      <c r="AA691" s="63">
        <f t="shared" si="277"/>
        <v>26000000</v>
      </c>
      <c r="AB691" s="63"/>
      <c r="AC691" s="63"/>
      <c r="AD691" s="63">
        <f t="shared" si="276"/>
        <v>39634038.449999988</v>
      </c>
      <c r="AE691" s="63">
        <f t="shared" si="276"/>
        <v>40000000</v>
      </c>
      <c r="AF691" s="63">
        <f t="shared" si="276"/>
        <v>40000000</v>
      </c>
      <c r="AG691" s="63">
        <f t="shared" si="276"/>
        <v>40000000</v>
      </c>
      <c r="AH691" s="63">
        <f t="shared" si="276"/>
        <v>40000000</v>
      </c>
      <c r="AJ691" s="63"/>
      <c r="AK691" s="317"/>
      <c r="AL691" s="317"/>
    </row>
    <row r="692" spans="1:38" x14ac:dyDescent="0.25">
      <c r="B692" s="42">
        <v>46011</v>
      </c>
      <c r="C692" s="38"/>
      <c r="D692" s="38">
        <f t="shared" si="268"/>
        <v>43020.51136043109</v>
      </c>
      <c r="E692" s="38"/>
      <c r="F692" s="38"/>
      <c r="G692" s="38">
        <f t="shared" si="269"/>
        <v>43020.51136043109</v>
      </c>
      <c r="H692" s="38">
        <f t="shared" si="270"/>
        <v>8100000</v>
      </c>
      <c r="I692" s="38"/>
      <c r="J692" s="38">
        <f t="shared" si="275"/>
        <v>6000000</v>
      </c>
      <c r="K692" s="177">
        <v>12000000</v>
      </c>
      <c r="L692" s="177"/>
      <c r="M692" s="177">
        <f t="shared" si="278"/>
        <v>15000000</v>
      </c>
      <c r="N692" s="177">
        <f t="shared" si="283"/>
        <v>36847210.399999999</v>
      </c>
      <c r="O692" s="38">
        <f t="shared" si="282"/>
        <v>100024956.45994648</v>
      </c>
      <c r="P692" s="38">
        <f t="shared" si="282"/>
        <v>0</v>
      </c>
      <c r="Q692" s="38">
        <f t="shared" si="282"/>
        <v>0</v>
      </c>
      <c r="R692" s="38">
        <f t="shared" si="282"/>
        <v>0</v>
      </c>
      <c r="S692" s="78">
        <v>46011</v>
      </c>
      <c r="T692" s="63"/>
      <c r="U692" s="63">
        <f t="shared" si="271"/>
        <v>87024.446666680276</v>
      </c>
      <c r="V692" s="63"/>
      <c r="W692" s="63"/>
      <c r="X692" s="63">
        <f t="shared" si="272"/>
        <v>87024.446666680276</v>
      </c>
      <c r="Y692" s="63">
        <f t="shared" si="273"/>
        <v>37420000</v>
      </c>
      <c r="Z692" s="63">
        <f t="shared" si="277"/>
        <v>155676516.60000002</v>
      </c>
      <c r="AA692" s="63">
        <f t="shared" si="277"/>
        <v>26000000</v>
      </c>
      <c r="AB692" s="63"/>
      <c r="AC692" s="63"/>
      <c r="AD692" s="63">
        <f t="shared" si="276"/>
        <v>39634038.449999988</v>
      </c>
      <c r="AE692" s="63">
        <f t="shared" si="276"/>
        <v>40000000</v>
      </c>
      <c r="AF692" s="63">
        <f t="shared" si="276"/>
        <v>40000000</v>
      </c>
      <c r="AG692" s="63">
        <f t="shared" si="276"/>
        <v>40000000</v>
      </c>
      <c r="AH692" s="63">
        <f t="shared" si="276"/>
        <v>40000000</v>
      </c>
      <c r="AJ692" s="63"/>
      <c r="AK692" s="317"/>
      <c r="AL692" s="317"/>
    </row>
    <row r="693" spans="1:38" x14ac:dyDescent="0.25">
      <c r="B693" s="42">
        <v>46012</v>
      </c>
      <c r="C693" s="38"/>
      <c r="D693" s="38">
        <f t="shared" si="268"/>
        <v>43020.51136043109</v>
      </c>
      <c r="E693" s="38"/>
      <c r="F693" s="38"/>
      <c r="G693" s="38">
        <f t="shared" si="269"/>
        <v>43020.51136043109</v>
      </c>
      <c r="H693" s="38">
        <f t="shared" si="270"/>
        <v>8100000</v>
      </c>
      <c r="I693" s="38"/>
      <c r="J693" s="38">
        <f t="shared" si="275"/>
        <v>6000000</v>
      </c>
      <c r="K693" s="177">
        <v>12000000</v>
      </c>
      <c r="L693" s="177"/>
      <c r="M693" s="177">
        <f t="shared" si="278"/>
        <v>15000000</v>
      </c>
      <c r="N693" s="177">
        <f t="shared" si="283"/>
        <v>36847210.399999999</v>
      </c>
      <c r="O693" s="38">
        <f t="shared" si="282"/>
        <v>100024956.45994648</v>
      </c>
      <c r="P693" s="38">
        <f t="shared" si="282"/>
        <v>0</v>
      </c>
      <c r="Q693" s="38">
        <f t="shared" si="282"/>
        <v>0</v>
      </c>
      <c r="R693" s="38">
        <f t="shared" si="282"/>
        <v>0</v>
      </c>
      <c r="S693" s="78">
        <v>46012</v>
      </c>
      <c r="T693" s="63"/>
      <c r="U693" s="63">
        <f t="shared" si="271"/>
        <v>87024.446666680276</v>
      </c>
      <c r="V693" s="63"/>
      <c r="W693" s="63"/>
      <c r="X693" s="63">
        <f t="shared" si="272"/>
        <v>87024.446666680276</v>
      </c>
      <c r="Y693" s="63">
        <f t="shared" si="273"/>
        <v>37420000</v>
      </c>
      <c r="Z693" s="63">
        <f t="shared" si="277"/>
        <v>155676516.60000002</v>
      </c>
      <c r="AA693" s="63">
        <f t="shared" si="277"/>
        <v>26000000</v>
      </c>
      <c r="AB693" s="63"/>
      <c r="AC693" s="63"/>
      <c r="AD693" s="63">
        <f t="shared" si="276"/>
        <v>39634038.449999988</v>
      </c>
      <c r="AE693" s="63">
        <f t="shared" si="276"/>
        <v>40000000</v>
      </c>
      <c r="AF693" s="63">
        <f t="shared" si="276"/>
        <v>40000000</v>
      </c>
      <c r="AG693" s="63">
        <f t="shared" si="276"/>
        <v>40000000</v>
      </c>
      <c r="AH693" s="63">
        <f t="shared" si="276"/>
        <v>40000000</v>
      </c>
      <c r="AJ693" s="63"/>
      <c r="AK693" s="317"/>
      <c r="AL693" s="317"/>
    </row>
    <row r="694" spans="1:38" x14ac:dyDescent="0.25">
      <c r="A694" s="86" t="s">
        <v>100</v>
      </c>
      <c r="B694" s="42">
        <v>46013</v>
      </c>
      <c r="C694" s="38">
        <v>10000000</v>
      </c>
      <c r="D694" s="38">
        <f t="shared" si="268"/>
        <v>10043020.511360431</v>
      </c>
      <c r="E694" s="382">
        <f>-10000000-220000</f>
        <v>-10220000</v>
      </c>
      <c r="F694" s="38">
        <f>517000-43000</f>
        <v>474000</v>
      </c>
      <c r="G694" s="38">
        <f t="shared" si="269"/>
        <v>297020.51136043109</v>
      </c>
      <c r="H694" s="38">
        <f t="shared" si="270"/>
        <v>18320000</v>
      </c>
      <c r="I694" s="38"/>
      <c r="J694" s="38">
        <f t="shared" si="275"/>
        <v>6000000</v>
      </c>
      <c r="K694" s="177">
        <v>12000000</v>
      </c>
      <c r="L694" s="177"/>
      <c r="M694" s="177">
        <f t="shared" si="278"/>
        <v>15000000</v>
      </c>
      <c r="N694" s="177">
        <f t="shared" si="283"/>
        <v>36847210.399999999</v>
      </c>
      <c r="O694" s="38">
        <f t="shared" si="282"/>
        <v>100024956.45994648</v>
      </c>
      <c r="P694" s="38">
        <f t="shared" si="282"/>
        <v>0</v>
      </c>
      <c r="Q694" s="38">
        <f t="shared" si="282"/>
        <v>0</v>
      </c>
      <c r="R694" s="38">
        <f t="shared" si="282"/>
        <v>0</v>
      </c>
      <c r="S694" s="78">
        <v>46013</v>
      </c>
      <c r="T694" s="63">
        <v>-11728000</v>
      </c>
      <c r="U694" s="63">
        <f t="shared" si="271"/>
        <v>-11640975.55333332</v>
      </c>
      <c r="V694" s="84">
        <v>11700000</v>
      </c>
      <c r="W694" s="63"/>
      <c r="X694" s="63">
        <f t="shared" si="272"/>
        <v>59024.446666680276</v>
      </c>
      <c r="Y694" s="63">
        <f t="shared" si="273"/>
        <v>25720000</v>
      </c>
      <c r="Z694" s="63">
        <f t="shared" si="277"/>
        <v>155676516.60000002</v>
      </c>
      <c r="AA694" s="63">
        <f t="shared" si="277"/>
        <v>26000000</v>
      </c>
      <c r="AB694" s="63"/>
      <c r="AC694" s="63"/>
      <c r="AD694" s="63">
        <f t="shared" si="276"/>
        <v>39634038.449999988</v>
      </c>
      <c r="AE694" s="63">
        <f t="shared" si="276"/>
        <v>40000000</v>
      </c>
      <c r="AF694" s="63">
        <f t="shared" si="276"/>
        <v>40000000</v>
      </c>
      <c r="AG694" s="63">
        <f t="shared" si="276"/>
        <v>40000000</v>
      </c>
      <c r="AH694" s="63">
        <f t="shared" si="276"/>
        <v>40000000</v>
      </c>
      <c r="AJ694" s="63"/>
      <c r="AK694" s="317"/>
      <c r="AL694" s="317"/>
    </row>
    <row r="695" spans="1:38" x14ac:dyDescent="0.25">
      <c r="B695" s="42">
        <v>46014</v>
      </c>
      <c r="C695" s="38">
        <f>-34420000+20000000</f>
        <v>-14420000</v>
      </c>
      <c r="D695" s="38">
        <f t="shared" si="268"/>
        <v>-14122979.488639569</v>
      </c>
      <c r="E695" s="83">
        <v>14300000</v>
      </c>
      <c r="F695" s="38"/>
      <c r="G695" s="38">
        <f t="shared" si="269"/>
        <v>177020.51136043109</v>
      </c>
      <c r="H695" s="38">
        <f t="shared" si="270"/>
        <v>4020000</v>
      </c>
      <c r="I695" s="38"/>
      <c r="J695" s="38">
        <f t="shared" si="275"/>
        <v>6000000</v>
      </c>
      <c r="K695" s="177">
        <v>12000000</v>
      </c>
      <c r="L695" s="177"/>
      <c r="M695" s="177">
        <f t="shared" si="278"/>
        <v>15000000</v>
      </c>
      <c r="N695" s="177">
        <f t="shared" si="283"/>
        <v>36847210.399999999</v>
      </c>
      <c r="O695" s="38">
        <f t="shared" si="282"/>
        <v>100024956.45994648</v>
      </c>
      <c r="P695" s="38">
        <f t="shared" si="282"/>
        <v>0</v>
      </c>
      <c r="Q695" s="38">
        <f t="shared" si="282"/>
        <v>0</v>
      </c>
      <c r="R695" s="38">
        <f t="shared" si="282"/>
        <v>0</v>
      </c>
      <c r="S695" s="78">
        <v>46014</v>
      </c>
      <c r="T695" s="63">
        <v>-23430000</v>
      </c>
      <c r="U695" s="63">
        <f t="shared" si="271"/>
        <v>-23370975.55333332</v>
      </c>
      <c r="V695" s="84">
        <v>23600000</v>
      </c>
      <c r="W695" s="63"/>
      <c r="X695" s="63">
        <f t="shared" si="272"/>
        <v>229024.44666668028</v>
      </c>
      <c r="Y695" s="63">
        <f t="shared" si="273"/>
        <v>2120000</v>
      </c>
      <c r="Z695" s="63">
        <f t="shared" si="277"/>
        <v>155676516.60000002</v>
      </c>
      <c r="AA695" s="63">
        <f t="shared" si="277"/>
        <v>26000000</v>
      </c>
      <c r="AB695" s="63"/>
      <c r="AC695" s="63"/>
      <c r="AD695" s="63">
        <f t="shared" si="276"/>
        <v>39634038.449999988</v>
      </c>
      <c r="AE695" s="63">
        <f t="shared" si="276"/>
        <v>40000000</v>
      </c>
      <c r="AF695" s="63">
        <f t="shared" si="276"/>
        <v>40000000</v>
      </c>
      <c r="AG695" s="63">
        <f t="shared" si="276"/>
        <v>40000000</v>
      </c>
      <c r="AH695" s="63">
        <f t="shared" si="276"/>
        <v>40000000</v>
      </c>
      <c r="AJ695" s="63"/>
      <c r="AK695" s="317"/>
      <c r="AL695" s="317"/>
    </row>
    <row r="696" spans="1:38" x14ac:dyDescent="0.25">
      <c r="B696" s="42">
        <v>46015</v>
      </c>
      <c r="C696" s="38"/>
      <c r="D696" s="38">
        <f t="shared" si="268"/>
        <v>177020.51136043109</v>
      </c>
      <c r="E696" s="382">
        <v>80000</v>
      </c>
      <c r="F696" s="38"/>
      <c r="G696" s="38">
        <f t="shared" si="269"/>
        <v>257020.51136043109</v>
      </c>
      <c r="H696" s="38">
        <f t="shared" si="270"/>
        <v>3940000</v>
      </c>
      <c r="I696" s="38"/>
      <c r="J696" s="38">
        <f t="shared" si="275"/>
        <v>6000000</v>
      </c>
      <c r="K696" s="177">
        <v>12000000</v>
      </c>
      <c r="L696" s="177"/>
      <c r="M696" s="177">
        <f t="shared" si="278"/>
        <v>15000000</v>
      </c>
      <c r="N696" s="177">
        <f t="shared" si="283"/>
        <v>36847210.399999999</v>
      </c>
      <c r="O696" s="38">
        <f t="shared" si="282"/>
        <v>100024956.45994648</v>
      </c>
      <c r="P696" s="38">
        <f t="shared" si="282"/>
        <v>0</v>
      </c>
      <c r="Q696" s="38">
        <f t="shared" si="282"/>
        <v>0</v>
      </c>
      <c r="R696" s="38">
        <f t="shared" si="282"/>
        <v>0</v>
      </c>
      <c r="S696" s="78">
        <v>46015</v>
      </c>
      <c r="T696" s="63"/>
      <c r="U696" s="63">
        <f t="shared" si="271"/>
        <v>229024.44666668028</v>
      </c>
      <c r="V696" s="63"/>
      <c r="W696" s="63"/>
      <c r="X696" s="63">
        <f t="shared" si="272"/>
        <v>229024.44666668028</v>
      </c>
      <c r="Y696" s="63">
        <f t="shared" si="273"/>
        <v>2120000</v>
      </c>
      <c r="Z696" s="63">
        <f t="shared" si="277"/>
        <v>155676516.60000002</v>
      </c>
      <c r="AA696" s="63">
        <f t="shared" si="277"/>
        <v>26000000</v>
      </c>
      <c r="AB696" s="63"/>
      <c r="AC696" s="63"/>
      <c r="AD696" s="63">
        <f t="shared" si="276"/>
        <v>39634038.449999988</v>
      </c>
      <c r="AE696" s="63">
        <f t="shared" si="276"/>
        <v>40000000</v>
      </c>
      <c r="AF696" s="63">
        <f t="shared" si="276"/>
        <v>40000000</v>
      </c>
      <c r="AG696" s="63">
        <f t="shared" si="276"/>
        <v>40000000</v>
      </c>
      <c r="AH696" s="63">
        <f t="shared" si="276"/>
        <v>40000000</v>
      </c>
      <c r="AJ696" s="63"/>
      <c r="AK696" s="317"/>
      <c r="AL696" s="317"/>
    </row>
    <row r="697" spans="1:38" x14ac:dyDescent="0.25">
      <c r="B697" s="42">
        <v>46016</v>
      </c>
      <c r="C697" s="38"/>
      <c r="D697" s="38">
        <f t="shared" si="268"/>
        <v>257020.51136043109</v>
      </c>
      <c r="E697" s="38"/>
      <c r="F697" s="38"/>
      <c r="G697" s="38">
        <f t="shared" si="269"/>
        <v>257020.51136043109</v>
      </c>
      <c r="H697" s="38">
        <f t="shared" si="270"/>
        <v>3940000</v>
      </c>
      <c r="I697" s="38"/>
      <c r="J697" s="38">
        <f t="shared" si="275"/>
        <v>6000000</v>
      </c>
      <c r="K697" s="177">
        <v>12000000</v>
      </c>
      <c r="L697" s="177"/>
      <c r="M697" s="177">
        <f t="shared" si="278"/>
        <v>15000000</v>
      </c>
      <c r="N697" s="177">
        <f t="shared" si="283"/>
        <v>36847210.399999999</v>
      </c>
      <c r="O697" s="38">
        <f t="shared" si="282"/>
        <v>100024956.45994648</v>
      </c>
      <c r="P697" s="38">
        <f t="shared" si="282"/>
        <v>0</v>
      </c>
      <c r="Q697" s="38">
        <f t="shared" si="282"/>
        <v>0</v>
      </c>
      <c r="R697" s="38">
        <f t="shared" si="282"/>
        <v>0</v>
      </c>
      <c r="S697" s="78">
        <v>46016</v>
      </c>
      <c r="T697" s="63"/>
      <c r="U697" s="63">
        <f t="shared" si="271"/>
        <v>229024.44666668028</v>
      </c>
      <c r="V697" s="63"/>
      <c r="W697" s="63"/>
      <c r="X697" s="63">
        <f t="shared" si="272"/>
        <v>229024.44666668028</v>
      </c>
      <c r="Y697" s="63">
        <f t="shared" si="273"/>
        <v>2120000</v>
      </c>
      <c r="Z697" s="63">
        <f t="shared" si="277"/>
        <v>155676516.60000002</v>
      </c>
      <c r="AA697" s="63">
        <f t="shared" si="277"/>
        <v>26000000</v>
      </c>
      <c r="AB697" s="63"/>
      <c r="AC697" s="63"/>
      <c r="AD697" s="63">
        <f t="shared" si="276"/>
        <v>39634038.449999988</v>
      </c>
      <c r="AE697" s="63">
        <f t="shared" si="276"/>
        <v>40000000</v>
      </c>
      <c r="AF697" s="63">
        <f t="shared" si="276"/>
        <v>40000000</v>
      </c>
      <c r="AG697" s="63">
        <f t="shared" si="276"/>
        <v>40000000</v>
      </c>
      <c r="AH697" s="63">
        <f t="shared" si="276"/>
        <v>40000000</v>
      </c>
      <c r="AJ697" s="63"/>
      <c r="AK697" s="317"/>
      <c r="AL697" s="317"/>
    </row>
    <row r="698" spans="1:38" x14ac:dyDescent="0.25">
      <c r="B698" s="42">
        <v>46017</v>
      </c>
      <c r="C698" s="38">
        <v>-77165</v>
      </c>
      <c r="D698" s="38">
        <f t="shared" si="268"/>
        <v>179855.51136043109</v>
      </c>
      <c r="E698" s="56"/>
      <c r="F698" s="38"/>
      <c r="G698" s="38">
        <f t="shared" si="269"/>
        <v>179855.51136043109</v>
      </c>
      <c r="H698" s="38">
        <f t="shared" si="270"/>
        <v>3940000</v>
      </c>
      <c r="I698" s="38"/>
      <c r="J698" s="38">
        <f t="shared" si="275"/>
        <v>6000000</v>
      </c>
      <c r="K698" s="177">
        <v>12000000</v>
      </c>
      <c r="L698" s="177"/>
      <c r="M698" s="177">
        <f t="shared" si="278"/>
        <v>15000000</v>
      </c>
      <c r="N698" s="177">
        <f t="shared" si="283"/>
        <v>36847210.399999999</v>
      </c>
      <c r="O698" s="38">
        <f t="shared" si="282"/>
        <v>100024956.45994648</v>
      </c>
      <c r="P698" s="38">
        <f t="shared" si="282"/>
        <v>0</v>
      </c>
      <c r="Q698" s="38">
        <f t="shared" si="282"/>
        <v>0</v>
      </c>
      <c r="R698" s="38">
        <f t="shared" si="282"/>
        <v>0</v>
      </c>
      <c r="S698" s="78">
        <v>46017</v>
      </c>
      <c r="T698" s="63"/>
      <c r="U698" s="63">
        <f t="shared" si="271"/>
        <v>229024.44666668028</v>
      </c>
      <c r="V698" s="63"/>
      <c r="W698" s="63"/>
      <c r="X698" s="63">
        <f t="shared" si="272"/>
        <v>229024.44666668028</v>
      </c>
      <c r="Y698" s="63">
        <f t="shared" si="273"/>
        <v>2120000</v>
      </c>
      <c r="Z698" s="63">
        <f t="shared" si="277"/>
        <v>155676516.60000002</v>
      </c>
      <c r="AA698" s="63">
        <f t="shared" si="277"/>
        <v>26000000</v>
      </c>
      <c r="AB698" s="63"/>
      <c r="AC698" s="63"/>
      <c r="AD698" s="63">
        <f t="shared" si="276"/>
        <v>39634038.449999988</v>
      </c>
      <c r="AE698" s="63">
        <f t="shared" si="276"/>
        <v>40000000</v>
      </c>
      <c r="AF698" s="63">
        <f t="shared" si="276"/>
        <v>40000000</v>
      </c>
      <c r="AG698" s="63">
        <f t="shared" si="276"/>
        <v>40000000</v>
      </c>
      <c r="AH698" s="63">
        <f t="shared" si="276"/>
        <v>40000000</v>
      </c>
      <c r="AJ698" s="63"/>
      <c r="AK698" s="317"/>
      <c r="AL698" s="317"/>
    </row>
    <row r="699" spans="1:38" x14ac:dyDescent="0.25">
      <c r="B699" s="42">
        <v>46018</v>
      </c>
      <c r="C699" s="38"/>
      <c r="D699" s="38">
        <f t="shared" si="268"/>
        <v>179855.51136043109</v>
      </c>
      <c r="E699" s="38"/>
      <c r="F699" s="38"/>
      <c r="G699" s="38">
        <f t="shared" si="269"/>
        <v>179855.51136043109</v>
      </c>
      <c r="H699" s="38">
        <f t="shared" si="270"/>
        <v>3940000</v>
      </c>
      <c r="I699" s="38"/>
      <c r="J699" s="38">
        <f t="shared" si="275"/>
        <v>6000000</v>
      </c>
      <c r="K699" s="177">
        <v>12000000</v>
      </c>
      <c r="L699" s="177"/>
      <c r="M699" s="177">
        <f t="shared" si="278"/>
        <v>15000000</v>
      </c>
      <c r="N699" s="177">
        <f t="shared" si="283"/>
        <v>36847210.399999999</v>
      </c>
      <c r="O699" s="38">
        <f t="shared" si="282"/>
        <v>100024956.45994648</v>
      </c>
      <c r="P699" s="38">
        <f t="shared" si="282"/>
        <v>0</v>
      </c>
      <c r="Q699" s="38">
        <f t="shared" si="282"/>
        <v>0</v>
      </c>
      <c r="R699" s="38">
        <f t="shared" si="282"/>
        <v>0</v>
      </c>
      <c r="S699" s="78">
        <v>46018</v>
      </c>
      <c r="T699" s="63"/>
      <c r="U699" s="63">
        <f t="shared" si="271"/>
        <v>229024.44666668028</v>
      </c>
      <c r="V699" s="63"/>
      <c r="W699" s="63"/>
      <c r="X699" s="63">
        <f t="shared" si="272"/>
        <v>229024.44666668028</v>
      </c>
      <c r="Y699" s="63">
        <f t="shared" si="273"/>
        <v>2120000</v>
      </c>
      <c r="Z699" s="63">
        <f t="shared" si="277"/>
        <v>155676516.60000002</v>
      </c>
      <c r="AA699" s="63">
        <f t="shared" si="277"/>
        <v>26000000</v>
      </c>
      <c r="AB699" s="63"/>
      <c r="AC699" s="63"/>
      <c r="AD699" s="63">
        <f t="shared" si="276"/>
        <v>39634038.449999988</v>
      </c>
      <c r="AE699" s="63">
        <f t="shared" si="276"/>
        <v>40000000</v>
      </c>
      <c r="AF699" s="63">
        <f t="shared" si="276"/>
        <v>40000000</v>
      </c>
      <c r="AG699" s="63">
        <f t="shared" si="276"/>
        <v>40000000</v>
      </c>
      <c r="AH699" s="63">
        <f t="shared" si="276"/>
        <v>40000000</v>
      </c>
      <c r="AJ699" s="63"/>
      <c r="AK699" s="317"/>
      <c r="AL699" s="317"/>
    </row>
    <row r="700" spans="1:38" x14ac:dyDescent="0.25">
      <c r="B700" s="42">
        <v>46019</v>
      </c>
      <c r="C700" s="38"/>
      <c r="D700" s="38">
        <f t="shared" si="268"/>
        <v>179855.51136043109</v>
      </c>
      <c r="E700" s="38"/>
      <c r="F700" s="38"/>
      <c r="G700" s="38">
        <f t="shared" si="269"/>
        <v>179855.51136043109</v>
      </c>
      <c r="H700" s="38">
        <f t="shared" si="270"/>
        <v>3940000</v>
      </c>
      <c r="I700" s="38"/>
      <c r="J700" s="38">
        <f t="shared" si="275"/>
        <v>6000000</v>
      </c>
      <c r="K700" s="177">
        <v>12000000</v>
      </c>
      <c r="L700" s="177"/>
      <c r="M700" s="177">
        <f t="shared" si="278"/>
        <v>15000000</v>
      </c>
      <c r="N700" s="177">
        <f t="shared" si="283"/>
        <v>36847210.399999999</v>
      </c>
      <c r="O700" s="38">
        <f t="shared" si="282"/>
        <v>100024956.45994648</v>
      </c>
      <c r="P700" s="38">
        <f t="shared" si="282"/>
        <v>0</v>
      </c>
      <c r="Q700" s="38">
        <f t="shared" si="282"/>
        <v>0</v>
      </c>
      <c r="R700" s="38">
        <f t="shared" si="282"/>
        <v>0</v>
      </c>
      <c r="S700" s="78">
        <v>46019</v>
      </c>
      <c r="T700" s="63"/>
      <c r="U700" s="63">
        <f t="shared" si="271"/>
        <v>229024.44666668028</v>
      </c>
      <c r="V700" s="63"/>
      <c r="W700" s="63"/>
      <c r="X700" s="63">
        <f t="shared" si="272"/>
        <v>229024.44666668028</v>
      </c>
      <c r="Y700" s="63">
        <f t="shared" si="273"/>
        <v>2120000</v>
      </c>
      <c r="Z700" s="63">
        <f t="shared" si="277"/>
        <v>155676516.60000002</v>
      </c>
      <c r="AA700" s="63">
        <f t="shared" si="277"/>
        <v>26000000</v>
      </c>
      <c r="AB700" s="63"/>
      <c r="AC700" s="63"/>
      <c r="AD700" s="63">
        <f t="shared" si="276"/>
        <v>39634038.449999988</v>
      </c>
      <c r="AE700" s="63">
        <f t="shared" si="276"/>
        <v>40000000</v>
      </c>
      <c r="AF700" s="63">
        <f t="shared" si="276"/>
        <v>40000000</v>
      </c>
      <c r="AG700" s="63">
        <f t="shared" si="276"/>
        <v>40000000</v>
      </c>
      <c r="AH700" s="63">
        <f t="shared" si="276"/>
        <v>40000000</v>
      </c>
      <c r="AJ700" s="63"/>
      <c r="AK700" s="317"/>
      <c r="AL700" s="317"/>
    </row>
    <row r="701" spans="1:38" x14ac:dyDescent="0.25">
      <c r="B701" s="42">
        <v>46020</v>
      </c>
      <c r="C701" s="38"/>
      <c r="D701" s="38">
        <f t="shared" ref="D701:D735" si="284">C701+G700</f>
        <v>179855.51136043109</v>
      </c>
      <c r="E701" s="38"/>
      <c r="F701" s="38"/>
      <c r="G701" s="38">
        <f t="shared" ref="G701:G735" si="285">D701+E701+F701</f>
        <v>179855.51136043109</v>
      </c>
      <c r="H701" s="38">
        <f t="shared" ref="H701:H735" si="286">H700-E701</f>
        <v>3940000</v>
      </c>
      <c r="I701" s="38"/>
      <c r="J701" s="38">
        <f t="shared" si="275"/>
        <v>6000000</v>
      </c>
      <c r="K701" s="177">
        <v>12000000</v>
      </c>
      <c r="L701" s="177"/>
      <c r="M701" s="177">
        <f t="shared" si="278"/>
        <v>15000000</v>
      </c>
      <c r="N701" s="177">
        <f t="shared" si="283"/>
        <v>36847210.399999999</v>
      </c>
      <c r="O701" s="38">
        <f t="shared" si="282"/>
        <v>100024956.45994648</v>
      </c>
      <c r="P701" s="38">
        <f t="shared" si="282"/>
        <v>0</v>
      </c>
      <c r="Q701" s="38">
        <f t="shared" si="282"/>
        <v>0</v>
      </c>
      <c r="R701" s="38">
        <f t="shared" si="282"/>
        <v>0</v>
      </c>
      <c r="S701" s="78">
        <v>46020</v>
      </c>
      <c r="T701" s="63"/>
      <c r="U701" s="63">
        <f t="shared" ref="U701:U735" si="287">T701+X700+W701</f>
        <v>229024.44666668028</v>
      </c>
      <c r="V701" s="63"/>
      <c r="W701" s="63"/>
      <c r="X701" s="63">
        <f t="shared" ref="X701:X735" si="288">V701+U701</f>
        <v>229024.44666668028</v>
      </c>
      <c r="Y701" s="63">
        <f t="shared" ref="Y701:Y735" si="289">Y700-V701</f>
        <v>2120000</v>
      </c>
      <c r="Z701" s="63">
        <f t="shared" si="277"/>
        <v>155676516.60000002</v>
      </c>
      <c r="AA701" s="63">
        <f t="shared" si="277"/>
        <v>26000000</v>
      </c>
      <c r="AB701" s="63"/>
      <c r="AC701" s="63"/>
      <c r="AD701" s="63">
        <f t="shared" si="276"/>
        <v>39634038.449999988</v>
      </c>
      <c r="AE701" s="63">
        <f t="shared" si="276"/>
        <v>40000000</v>
      </c>
      <c r="AF701" s="63">
        <f t="shared" si="276"/>
        <v>40000000</v>
      </c>
      <c r="AG701" s="63">
        <f t="shared" si="276"/>
        <v>40000000</v>
      </c>
      <c r="AH701" s="63">
        <f t="shared" ref="AH701:AH703" si="290">AH700</f>
        <v>40000000</v>
      </c>
      <c r="AJ701" s="63"/>
      <c r="AK701" s="317"/>
      <c r="AL701" s="317"/>
    </row>
    <row r="702" spans="1:38" x14ac:dyDescent="0.25">
      <c r="B702" s="42">
        <v>46021</v>
      </c>
      <c r="C702" s="38"/>
      <c r="D702" s="38">
        <f t="shared" si="284"/>
        <v>179855.51136043109</v>
      </c>
      <c r="E702" s="38"/>
      <c r="F702" s="38"/>
      <c r="G702" s="38">
        <f t="shared" si="285"/>
        <v>179855.51136043109</v>
      </c>
      <c r="H702" s="38">
        <f t="shared" si="286"/>
        <v>3940000</v>
      </c>
      <c r="I702" s="38"/>
      <c r="J702" s="38">
        <f t="shared" si="275"/>
        <v>6000000</v>
      </c>
      <c r="K702" s="177">
        <v>12000000</v>
      </c>
      <c r="L702" s="177"/>
      <c r="M702" s="177">
        <f t="shared" si="278"/>
        <v>15000000</v>
      </c>
      <c r="N702" s="177">
        <f t="shared" si="283"/>
        <v>36847210.399999999</v>
      </c>
      <c r="O702" s="38">
        <f t="shared" ref="O702:R717" si="291">O701</f>
        <v>100024956.45994648</v>
      </c>
      <c r="P702" s="38">
        <f t="shared" si="291"/>
        <v>0</v>
      </c>
      <c r="Q702" s="38">
        <f t="shared" si="291"/>
        <v>0</v>
      </c>
      <c r="R702" s="38">
        <f t="shared" si="291"/>
        <v>0</v>
      </c>
      <c r="S702" s="78">
        <v>46021</v>
      </c>
      <c r="T702" s="63"/>
      <c r="U702" s="63">
        <f t="shared" si="287"/>
        <v>229024.44666668028</v>
      </c>
      <c r="V702" s="63"/>
      <c r="W702" s="63"/>
      <c r="X702" s="63">
        <f t="shared" si="288"/>
        <v>229024.44666668028</v>
      </c>
      <c r="Y702" s="63">
        <f t="shared" si="289"/>
        <v>2120000</v>
      </c>
      <c r="Z702" s="63">
        <f t="shared" si="277"/>
        <v>155676516.60000002</v>
      </c>
      <c r="AA702" s="63">
        <f t="shared" si="277"/>
        <v>26000000</v>
      </c>
      <c r="AB702" s="63"/>
      <c r="AC702" s="63"/>
      <c r="AD702" s="63">
        <f t="shared" si="276"/>
        <v>39634038.449999988</v>
      </c>
      <c r="AE702" s="63">
        <f t="shared" ref="AE702:AE703" si="292">AE701</f>
        <v>40000000</v>
      </c>
      <c r="AF702" s="63">
        <f t="shared" ref="AF702:AF703" si="293">AF701</f>
        <v>40000000</v>
      </c>
      <c r="AG702" s="63">
        <f t="shared" ref="AG702:AG703" si="294">AG701</f>
        <v>40000000</v>
      </c>
      <c r="AH702" s="63">
        <f t="shared" si="290"/>
        <v>40000000</v>
      </c>
      <c r="AJ702" s="63"/>
      <c r="AK702" s="317"/>
      <c r="AL702" s="317"/>
    </row>
    <row r="703" spans="1:38" x14ac:dyDescent="0.25">
      <c r="B703" s="685">
        <v>46022</v>
      </c>
      <c r="C703" s="409"/>
      <c r="D703" s="409">
        <f t="shared" si="284"/>
        <v>179855.51136043109</v>
      </c>
      <c r="E703" s="409"/>
      <c r="F703" s="409"/>
      <c r="G703" s="409">
        <f t="shared" si="285"/>
        <v>179855.51136043109</v>
      </c>
      <c r="H703" s="409">
        <f t="shared" si="286"/>
        <v>3940000</v>
      </c>
      <c r="I703" s="409"/>
      <c r="J703" s="409">
        <f t="shared" si="275"/>
        <v>6000000</v>
      </c>
      <c r="K703" s="411">
        <v>12000000</v>
      </c>
      <c r="L703" s="411"/>
      <c r="M703" s="411">
        <f t="shared" si="278"/>
        <v>15000000</v>
      </c>
      <c r="N703" s="411">
        <f t="shared" si="283"/>
        <v>36847210.399999999</v>
      </c>
      <c r="O703" s="409">
        <f t="shared" si="291"/>
        <v>100024956.45994648</v>
      </c>
      <c r="P703" s="409">
        <f t="shared" si="291"/>
        <v>0</v>
      </c>
      <c r="Q703" s="409">
        <f t="shared" si="291"/>
        <v>0</v>
      </c>
      <c r="R703" s="409">
        <f t="shared" si="291"/>
        <v>0</v>
      </c>
      <c r="S703" s="413">
        <v>46022</v>
      </c>
      <c r="T703" s="414"/>
      <c r="U703" s="414">
        <f t="shared" si="287"/>
        <v>229024.44666668028</v>
      </c>
      <c r="V703" s="414"/>
      <c r="W703" s="414"/>
      <c r="X703" s="414">
        <f t="shared" si="288"/>
        <v>229024.44666668028</v>
      </c>
      <c r="Y703" s="414">
        <f t="shared" si="289"/>
        <v>2120000</v>
      </c>
      <c r="Z703" s="414">
        <v>155872642.19999999</v>
      </c>
      <c r="AA703" s="414">
        <f t="shared" si="277"/>
        <v>26000000</v>
      </c>
      <c r="AB703" s="414"/>
      <c r="AC703" s="414"/>
      <c r="AD703" s="414">
        <f t="shared" si="276"/>
        <v>39634038.449999988</v>
      </c>
      <c r="AE703" s="414">
        <f t="shared" si="292"/>
        <v>40000000</v>
      </c>
      <c r="AF703" s="414">
        <f t="shared" si="293"/>
        <v>40000000</v>
      </c>
      <c r="AG703" s="414">
        <f t="shared" si="294"/>
        <v>40000000</v>
      </c>
      <c r="AH703" s="414">
        <f t="shared" si="290"/>
        <v>40000000</v>
      </c>
      <c r="AJ703" s="63"/>
      <c r="AK703" s="317"/>
      <c r="AL703" s="317"/>
    </row>
    <row r="704" spans="1:38" x14ac:dyDescent="0.25">
      <c r="B704" s="42">
        <v>46023</v>
      </c>
      <c r="C704" s="38"/>
      <c r="D704" s="38">
        <f t="shared" si="284"/>
        <v>179855.51136043109</v>
      </c>
      <c r="E704" s="38"/>
      <c r="F704" s="38"/>
      <c r="G704" s="38">
        <f t="shared" si="285"/>
        <v>179855.51136043109</v>
      </c>
      <c r="H704" s="38">
        <f t="shared" si="286"/>
        <v>3940000</v>
      </c>
      <c r="I704" s="38"/>
      <c r="J704" s="38">
        <f t="shared" si="275"/>
        <v>6000000</v>
      </c>
      <c r="K704" s="177">
        <v>12000000</v>
      </c>
      <c r="L704" s="177"/>
      <c r="M704" s="177">
        <f t="shared" si="278"/>
        <v>15000000</v>
      </c>
      <c r="N704" s="177">
        <f>'codeis €'!Z374</f>
        <v>67027290</v>
      </c>
      <c r="O704" s="38">
        <f>'CT- € Ellipsis BNP'!X374</f>
        <v>100380418.31627759</v>
      </c>
      <c r="P704" s="38">
        <f t="shared" si="291"/>
        <v>0</v>
      </c>
      <c r="Q704" s="38">
        <f t="shared" si="291"/>
        <v>0</v>
      </c>
      <c r="R704" s="38">
        <f t="shared" si="291"/>
        <v>0</v>
      </c>
      <c r="S704" s="78">
        <v>46023</v>
      </c>
      <c r="T704" s="63"/>
      <c r="U704" s="63">
        <f t="shared" si="287"/>
        <v>229024.44666668028</v>
      </c>
      <c r="V704" s="63"/>
      <c r="W704" s="63"/>
      <c r="X704" s="63">
        <f t="shared" si="288"/>
        <v>229024.44666668028</v>
      </c>
      <c r="Y704" s="63">
        <f t="shared" si="289"/>
        <v>2120000</v>
      </c>
      <c r="Z704" s="63">
        <f>'codeis $'!AB374</f>
        <v>155872642.19999999</v>
      </c>
      <c r="AA704" s="63">
        <f>'OverNight $'!M374+'OverNight $'!T374+'OverNight $'!AA374+'OverNight $'!AH374</f>
        <v>26000000</v>
      </c>
      <c r="AB704" s="63"/>
      <c r="AC704" s="63"/>
      <c r="AD704" s="63">
        <f>'OverNight $'!AV374</f>
        <v>37023532.840000004</v>
      </c>
      <c r="AE704" s="63">
        <f>'OverNight $'!BC374</f>
        <v>40229919.450000003</v>
      </c>
      <c r="AF704" s="63">
        <f>'OverNight $'!BH374</f>
        <v>40228667.229999997</v>
      </c>
      <c r="AG704" s="63">
        <f>'OverNight $'!BM374</f>
        <v>40229401.498411261</v>
      </c>
      <c r="AH704" s="63">
        <f>'OverNight $'!BR374</f>
        <v>40231635.400171325</v>
      </c>
      <c r="AJ704" s="63"/>
      <c r="AK704" s="317"/>
      <c r="AL704" s="317"/>
    </row>
    <row r="705" spans="2:38" x14ac:dyDescent="0.25">
      <c r="B705" s="42">
        <v>46024</v>
      </c>
      <c r="C705" s="38"/>
      <c r="D705" s="38">
        <f t="shared" si="284"/>
        <v>179855.51136043109</v>
      </c>
      <c r="E705" s="38"/>
      <c r="F705" s="38"/>
      <c r="G705" s="38">
        <f t="shared" si="285"/>
        <v>179855.51136043109</v>
      </c>
      <c r="H705" s="38">
        <f t="shared" si="286"/>
        <v>3940000</v>
      </c>
      <c r="I705" s="38"/>
      <c r="J705" s="38">
        <f t="shared" si="275"/>
        <v>6000000</v>
      </c>
      <c r="K705" s="177">
        <v>12000000</v>
      </c>
      <c r="L705" s="177"/>
      <c r="M705" s="177">
        <f t="shared" si="278"/>
        <v>15000000</v>
      </c>
      <c r="N705" s="177">
        <f>'codeis €'!Z375</f>
        <v>67035012</v>
      </c>
      <c r="O705" s="38">
        <f>'CT- € Ellipsis BNP'!X375</f>
        <v>100392847.44101334</v>
      </c>
      <c r="P705" s="38">
        <f t="shared" si="291"/>
        <v>0</v>
      </c>
      <c r="Q705" s="38">
        <f t="shared" si="291"/>
        <v>0</v>
      </c>
      <c r="R705" s="38">
        <f t="shared" si="291"/>
        <v>0</v>
      </c>
      <c r="S705" s="78">
        <v>46024</v>
      </c>
      <c r="T705" s="63"/>
      <c r="U705" s="63">
        <f t="shared" si="287"/>
        <v>229024.44666668028</v>
      </c>
      <c r="V705" s="63"/>
      <c r="W705" s="63"/>
      <c r="X705" s="63">
        <f t="shared" si="288"/>
        <v>229024.44666668028</v>
      </c>
      <c r="Y705" s="63">
        <f t="shared" si="289"/>
        <v>2120000</v>
      </c>
      <c r="Z705" s="63">
        <f>'codeis $'!AB375</f>
        <v>155906190</v>
      </c>
      <c r="AA705" s="63">
        <f>'OverNight $'!M375+'OverNight $'!T375+'OverNight $'!AA375+'OverNight $'!AH375</f>
        <v>26000000</v>
      </c>
      <c r="AB705" s="63"/>
      <c r="AC705" s="63"/>
      <c r="AD705" s="63">
        <f>'OverNight $'!AV375</f>
        <v>37030850.649999999</v>
      </c>
      <c r="AE705" s="63">
        <f>'OverNight $'!BC375</f>
        <v>40229919.450000003</v>
      </c>
      <c r="AF705" s="63">
        <f>'OverNight $'!BH375</f>
        <v>40228667.229999997</v>
      </c>
      <c r="AG705" s="63">
        <f>'OverNight $'!BM375</f>
        <v>40229401.498411261</v>
      </c>
      <c r="AH705" s="63">
        <f>'OverNight $'!BR375</f>
        <v>40231635.400171325</v>
      </c>
      <c r="AJ705" s="63"/>
      <c r="AK705" s="317"/>
      <c r="AL705" s="317"/>
    </row>
    <row r="706" spans="2:38" x14ac:dyDescent="0.25">
      <c r="B706" s="42">
        <v>46025</v>
      </c>
      <c r="C706" s="38"/>
      <c r="D706" s="38">
        <f t="shared" si="284"/>
        <v>179855.51136043109</v>
      </c>
      <c r="E706" s="38"/>
      <c r="F706" s="38"/>
      <c r="G706" s="38">
        <f t="shared" si="285"/>
        <v>179855.51136043109</v>
      </c>
      <c r="H706" s="38">
        <f t="shared" si="286"/>
        <v>3940000</v>
      </c>
      <c r="I706" s="38"/>
      <c r="J706" s="38">
        <f t="shared" si="275"/>
        <v>6000000</v>
      </c>
      <c r="K706" s="177">
        <v>12000000</v>
      </c>
      <c r="L706" s="177"/>
      <c r="M706" s="177">
        <f t="shared" si="278"/>
        <v>15000000</v>
      </c>
      <c r="N706" s="177">
        <f>'codeis €'!Z376</f>
        <v>67035012</v>
      </c>
      <c r="O706" s="38">
        <f>'CT- € Ellipsis BNP'!X376</f>
        <v>100392847.44101334</v>
      </c>
      <c r="P706" s="38">
        <f t="shared" si="291"/>
        <v>0</v>
      </c>
      <c r="Q706" s="38">
        <f t="shared" si="291"/>
        <v>0</v>
      </c>
      <c r="R706" s="38">
        <f t="shared" si="291"/>
        <v>0</v>
      </c>
      <c r="S706" s="78">
        <v>46025</v>
      </c>
      <c r="T706" s="63"/>
      <c r="U706" s="63">
        <f t="shared" si="287"/>
        <v>229024.44666668028</v>
      </c>
      <c r="V706" s="63"/>
      <c r="W706" s="63"/>
      <c r="X706" s="63">
        <f t="shared" si="288"/>
        <v>229024.44666668028</v>
      </c>
      <c r="Y706" s="63">
        <f t="shared" si="289"/>
        <v>2120000</v>
      </c>
      <c r="Z706" s="63">
        <f>'codeis $'!AB376</f>
        <v>155906190</v>
      </c>
      <c r="AA706" s="63">
        <f>'OverNight $'!M376+'OverNight $'!T376+'OverNight $'!AA376+'OverNight $'!AH376</f>
        <v>26000000</v>
      </c>
      <c r="AB706" s="63"/>
      <c r="AC706" s="63"/>
      <c r="AD706" s="63">
        <f>'OverNight $'!AV376</f>
        <v>37030850.649999999</v>
      </c>
      <c r="AE706" s="63">
        <f>'OverNight $'!BC376</f>
        <v>40229919.450000003</v>
      </c>
      <c r="AF706" s="63">
        <f>'OverNight $'!BH376</f>
        <v>40228667.229999997</v>
      </c>
      <c r="AG706" s="63">
        <f>'OverNight $'!BM376</f>
        <v>40229401.498411261</v>
      </c>
      <c r="AH706" s="63">
        <f>'OverNight $'!BR376</f>
        <v>40231635.400171325</v>
      </c>
      <c r="AJ706" s="63"/>
      <c r="AK706" s="317"/>
      <c r="AL706" s="317"/>
    </row>
    <row r="707" spans="2:38" x14ac:dyDescent="0.25">
      <c r="B707" s="42">
        <v>46026</v>
      </c>
      <c r="C707" s="38"/>
      <c r="D707" s="38">
        <f t="shared" si="284"/>
        <v>179855.51136043109</v>
      </c>
      <c r="E707" s="38"/>
      <c r="F707" s="38"/>
      <c r="G707" s="38">
        <f t="shared" si="285"/>
        <v>179855.51136043109</v>
      </c>
      <c r="H707" s="38">
        <f t="shared" si="286"/>
        <v>3940000</v>
      </c>
      <c r="I707" s="38"/>
      <c r="J707" s="38">
        <f t="shared" si="275"/>
        <v>6000000</v>
      </c>
      <c r="K707" s="177">
        <v>12000000</v>
      </c>
      <c r="L707" s="177"/>
      <c r="M707" s="177">
        <f t="shared" si="278"/>
        <v>15000000</v>
      </c>
      <c r="N707" s="177">
        <f>'codeis €'!Z377</f>
        <v>67035012</v>
      </c>
      <c r="O707" s="38">
        <f>'CT- € Ellipsis BNP'!X377</f>
        <v>100392847.44101334</v>
      </c>
      <c r="P707" s="38">
        <f t="shared" si="291"/>
        <v>0</v>
      </c>
      <c r="Q707" s="38">
        <f t="shared" si="291"/>
        <v>0</v>
      </c>
      <c r="R707" s="38">
        <f t="shared" si="291"/>
        <v>0</v>
      </c>
      <c r="S707" s="78">
        <v>46026</v>
      </c>
      <c r="T707" s="63"/>
      <c r="U707" s="63">
        <f t="shared" si="287"/>
        <v>243024.44666668028</v>
      </c>
      <c r="V707" s="63"/>
      <c r="W707" s="63">
        <v>14000</v>
      </c>
      <c r="X707" s="63">
        <f t="shared" si="288"/>
        <v>243024.44666668028</v>
      </c>
      <c r="Y707" s="63">
        <f t="shared" si="289"/>
        <v>2120000</v>
      </c>
      <c r="Z707" s="63">
        <f>'codeis $'!AB377</f>
        <v>155906190</v>
      </c>
      <c r="AA707" s="63">
        <f>'OverNight $'!M377+'OverNight $'!T377+'OverNight $'!AA377+'OverNight $'!AH377</f>
        <v>26000000</v>
      </c>
      <c r="AB707" s="63"/>
      <c r="AC707" s="63"/>
      <c r="AD707" s="63">
        <f>'OverNight $'!AV377</f>
        <v>37030850.649999999</v>
      </c>
      <c r="AE707" s="63">
        <f>'OverNight $'!BC377</f>
        <v>40229919.450000003</v>
      </c>
      <c r="AF707" s="63">
        <f>'OverNight $'!BH377</f>
        <v>40228667.229999997</v>
      </c>
      <c r="AG707" s="63">
        <f>'OverNight $'!BM377</f>
        <v>40229401.498411261</v>
      </c>
      <c r="AH707" s="63">
        <f>'OverNight $'!BR377</f>
        <v>40231635.400171325</v>
      </c>
      <c r="AJ707" s="63"/>
      <c r="AK707" s="317"/>
      <c r="AL707" s="317"/>
    </row>
    <row r="708" spans="2:38" x14ac:dyDescent="0.25">
      <c r="B708" s="42">
        <v>46027</v>
      </c>
      <c r="C708" s="38"/>
      <c r="D708" s="38">
        <f t="shared" si="284"/>
        <v>179855.51136043109</v>
      </c>
      <c r="E708" s="105">
        <v>-450000</v>
      </c>
      <c r="F708" s="38">
        <f>511000-G707</f>
        <v>331144.48863956891</v>
      </c>
      <c r="G708" s="38">
        <f t="shared" si="285"/>
        <v>61000</v>
      </c>
      <c r="H708" s="38">
        <f t="shared" si="286"/>
        <v>4390000</v>
      </c>
      <c r="I708" s="38"/>
      <c r="J708" s="38">
        <f t="shared" ref="J708:J734" si="295">J707</f>
        <v>6000000</v>
      </c>
      <c r="K708" s="177">
        <v>12000000</v>
      </c>
      <c r="L708" s="177"/>
      <c r="M708" s="177">
        <f t="shared" si="278"/>
        <v>15000000</v>
      </c>
      <c r="N708" s="177">
        <f>'codeis €'!Z378</f>
        <v>67046562</v>
      </c>
      <c r="O708" s="38">
        <f>'CT- € Ellipsis BNP'!X378</f>
        <v>100392847.44101334</v>
      </c>
      <c r="P708" s="38">
        <f t="shared" si="291"/>
        <v>0</v>
      </c>
      <c r="Q708" s="38">
        <f t="shared" si="291"/>
        <v>0</v>
      </c>
      <c r="R708" s="38">
        <f t="shared" si="291"/>
        <v>0</v>
      </c>
      <c r="S708" s="78">
        <v>46027</v>
      </c>
      <c r="T708" s="63"/>
      <c r="U708" s="63">
        <f t="shared" si="287"/>
        <v>243024.44666668028</v>
      </c>
      <c r="V708" s="102">
        <v>-210000</v>
      </c>
      <c r="W708" s="63"/>
      <c r="X708" s="63">
        <f t="shared" si="288"/>
        <v>33024.446666680276</v>
      </c>
      <c r="Y708" s="63">
        <f t="shared" si="289"/>
        <v>2330000</v>
      </c>
      <c r="Z708" s="63">
        <f>'codeis $'!AB378</f>
        <v>155955676.80000001</v>
      </c>
      <c r="AA708" s="63">
        <f>'OverNight $'!M378+'OverNight $'!T378+'OverNight $'!AA378+'OverNight $'!AH378</f>
        <v>26000000</v>
      </c>
      <c r="AB708" s="63"/>
      <c r="AC708" s="63"/>
      <c r="AD708" s="63">
        <f>'OverNight $'!AV378</f>
        <v>37024928.710000001</v>
      </c>
      <c r="AE708" s="63">
        <f>'OverNight $'!BC378</f>
        <v>40229919.450000003</v>
      </c>
      <c r="AF708" s="63">
        <f>'OverNight $'!BH378</f>
        <v>40228667.229999997</v>
      </c>
      <c r="AG708" s="63">
        <f>'OverNight $'!BM378</f>
        <v>40229401.498411261</v>
      </c>
      <c r="AH708" s="63">
        <f>'OverNight $'!BR378</f>
        <v>40231635.400171325</v>
      </c>
      <c r="AJ708" s="63"/>
      <c r="AK708" s="317"/>
      <c r="AL708" s="317"/>
    </row>
    <row r="709" spans="2:38" x14ac:dyDescent="0.25">
      <c r="B709" s="42">
        <v>46028</v>
      </c>
      <c r="C709" s="38"/>
      <c r="D709" s="38">
        <f t="shared" si="284"/>
        <v>61000</v>
      </c>
      <c r="E709" s="38"/>
      <c r="F709" s="38"/>
      <c r="G709" s="38">
        <f t="shared" si="285"/>
        <v>61000</v>
      </c>
      <c r="H709" s="38">
        <f t="shared" si="286"/>
        <v>4390000</v>
      </c>
      <c r="I709" s="38"/>
      <c r="J709" s="38">
        <f t="shared" si="295"/>
        <v>6000000</v>
      </c>
      <c r="K709" s="177">
        <v>12000000</v>
      </c>
      <c r="L709" s="177"/>
      <c r="M709" s="177">
        <f t="shared" si="278"/>
        <v>15000000</v>
      </c>
      <c r="N709" s="177">
        <f>'codeis €'!Z379</f>
        <v>67050456</v>
      </c>
      <c r="O709" s="38">
        <f>'CT- € Ellipsis BNP'!X379</f>
        <v>100417902.77870281</v>
      </c>
      <c r="P709" s="38">
        <f t="shared" si="291"/>
        <v>0</v>
      </c>
      <c r="Q709" s="38">
        <f t="shared" si="291"/>
        <v>0</v>
      </c>
      <c r="R709" s="38">
        <f t="shared" si="291"/>
        <v>0</v>
      </c>
      <c r="S709" s="78">
        <v>46028</v>
      </c>
      <c r="T709" s="63"/>
      <c r="U709" s="63">
        <f t="shared" si="287"/>
        <v>33024.446666680276</v>
      </c>
      <c r="V709" s="63"/>
      <c r="W709" s="63"/>
      <c r="X709" s="63">
        <f t="shared" si="288"/>
        <v>33024.446666680276</v>
      </c>
      <c r="Y709" s="63">
        <f t="shared" si="289"/>
        <v>2330000</v>
      </c>
      <c r="Z709" s="63">
        <f>'codeis $'!AB379</f>
        <v>155972830.20000002</v>
      </c>
      <c r="AA709" s="63">
        <f>'OverNight $'!M379+'OverNight $'!T379+'OverNight $'!AA379+'OverNight $'!AH379</f>
        <v>26000000</v>
      </c>
      <c r="AB709" s="63"/>
      <c r="AC709" s="63"/>
      <c r="AD709" s="63">
        <f>'OverNight $'!AV379</f>
        <v>37028479.049999997</v>
      </c>
      <c r="AE709" s="63">
        <f>'OverNight $'!BC379</f>
        <v>40229919.450000003</v>
      </c>
      <c r="AF709" s="63">
        <f>'OverNight $'!BH379</f>
        <v>40228667.229999997</v>
      </c>
      <c r="AG709" s="63">
        <f>'OverNight $'!BM379</f>
        <v>40229401.498411261</v>
      </c>
      <c r="AH709" s="63">
        <f>'OverNight $'!BR379</f>
        <v>40231635.400171325</v>
      </c>
      <c r="AJ709" s="63"/>
      <c r="AK709" s="317"/>
      <c r="AL709" s="317"/>
    </row>
    <row r="710" spans="2:38" x14ac:dyDescent="0.25">
      <c r="B710" s="42">
        <v>46029</v>
      </c>
      <c r="C710" s="38"/>
      <c r="D710" s="38">
        <f t="shared" si="284"/>
        <v>61000</v>
      </c>
      <c r="E710" s="38"/>
      <c r="F710" s="38"/>
      <c r="G710" s="38">
        <f t="shared" si="285"/>
        <v>61000</v>
      </c>
      <c r="H710" s="38">
        <f t="shared" si="286"/>
        <v>4390000</v>
      </c>
      <c r="I710" s="38"/>
      <c r="J710" s="38">
        <f t="shared" si="295"/>
        <v>6000000</v>
      </c>
      <c r="K710" s="177">
        <v>12000000</v>
      </c>
      <c r="L710" s="177"/>
      <c r="M710" s="177">
        <f t="shared" si="278"/>
        <v>15000000</v>
      </c>
      <c r="N710" s="177">
        <f>'codeis €'!Z380</f>
        <v>67054350.000000007</v>
      </c>
      <c r="O710" s="38">
        <f>'CT- € Ellipsis BNP'!X380</f>
        <v>100424068.06901619</v>
      </c>
      <c r="P710" s="38">
        <f t="shared" si="291"/>
        <v>0</v>
      </c>
      <c r="Q710" s="38">
        <f t="shared" si="291"/>
        <v>0</v>
      </c>
      <c r="R710" s="38">
        <f t="shared" si="291"/>
        <v>0</v>
      </c>
      <c r="S710" s="78">
        <v>46029</v>
      </c>
      <c r="T710" s="63"/>
      <c r="U710" s="63">
        <f t="shared" si="287"/>
        <v>33024.446666680276</v>
      </c>
      <c r="V710" s="63"/>
      <c r="W710" s="63"/>
      <c r="X710" s="63">
        <f t="shared" si="288"/>
        <v>33024.446666680276</v>
      </c>
      <c r="Y710" s="63">
        <f t="shared" si="289"/>
        <v>2330000</v>
      </c>
      <c r="Z710" s="63">
        <f>'codeis $'!AB380</f>
        <v>155989528.19999999</v>
      </c>
      <c r="AA710" s="63">
        <f>'OverNight $'!M380+'OverNight $'!T380+'OverNight $'!AA380+'OverNight $'!AH380</f>
        <v>26000000</v>
      </c>
      <c r="AB710" s="63"/>
      <c r="AC710" s="63"/>
      <c r="AD710" s="63">
        <f>'OverNight $'!AV380</f>
        <v>37015606.079999998</v>
      </c>
      <c r="AE710" s="63">
        <f>'OverNight $'!BC380</f>
        <v>40229919.450000003</v>
      </c>
      <c r="AF710" s="63">
        <f>'OverNight $'!BH380</f>
        <v>40228667.229999997</v>
      </c>
      <c r="AG710" s="63">
        <f>'OverNight $'!BM380</f>
        <v>40229401.498411261</v>
      </c>
      <c r="AH710" s="63">
        <f>'OverNight $'!BR380</f>
        <v>40231635.400171325</v>
      </c>
      <c r="AJ710" s="63"/>
      <c r="AK710" s="317"/>
      <c r="AL710" s="317"/>
    </row>
    <row r="711" spans="2:38" x14ac:dyDescent="0.25">
      <c r="B711" s="42">
        <v>46030</v>
      </c>
      <c r="C711" s="38"/>
      <c r="D711" s="38">
        <f t="shared" si="284"/>
        <v>61000</v>
      </c>
      <c r="E711" s="38"/>
      <c r="F711" s="38"/>
      <c r="G711" s="38">
        <f t="shared" si="285"/>
        <v>61000</v>
      </c>
      <c r="H711" s="38">
        <f t="shared" si="286"/>
        <v>4390000</v>
      </c>
      <c r="I711" s="38"/>
      <c r="J711" s="38">
        <f t="shared" si="295"/>
        <v>6000000</v>
      </c>
      <c r="K711" s="177">
        <v>12000000</v>
      </c>
      <c r="L711" s="177"/>
      <c r="M711" s="177">
        <f t="shared" si="278"/>
        <v>15000000</v>
      </c>
      <c r="N711" s="177">
        <f>'codeis €'!Z381</f>
        <v>67058243.999999993</v>
      </c>
      <c r="O711" s="38">
        <f>'CT- € Ellipsis BNP'!X381</f>
        <v>100430331.90343855</v>
      </c>
      <c r="P711" s="38">
        <f t="shared" si="291"/>
        <v>0</v>
      </c>
      <c r="Q711" s="38">
        <f t="shared" si="291"/>
        <v>0</v>
      </c>
      <c r="R711" s="38">
        <f t="shared" si="291"/>
        <v>0</v>
      </c>
      <c r="S711" s="78">
        <v>46030</v>
      </c>
      <c r="T711" s="63"/>
      <c r="U711" s="63">
        <f t="shared" si="287"/>
        <v>33024.446666680276</v>
      </c>
      <c r="V711" s="63"/>
      <c r="W711" s="63"/>
      <c r="X711" s="63">
        <f t="shared" si="288"/>
        <v>33024.446666680276</v>
      </c>
      <c r="Y711" s="63">
        <f t="shared" si="289"/>
        <v>2330000</v>
      </c>
      <c r="Z711" s="63">
        <f>'codeis $'!AB381</f>
        <v>156005922.60000002</v>
      </c>
      <c r="AA711" s="63">
        <f>'OverNight $'!M381+'OverNight $'!T381+'OverNight $'!AA381+'OverNight $'!AH381</f>
        <v>26000000</v>
      </c>
      <c r="AB711" s="63"/>
      <c r="AC711" s="63"/>
      <c r="AD711" s="63">
        <f>'OverNight $'!AV381</f>
        <v>37019155.520000003</v>
      </c>
      <c r="AE711" s="63">
        <f>'OverNight $'!BC381</f>
        <v>40229919.450000003</v>
      </c>
      <c r="AF711" s="63">
        <f>'OverNight $'!BH381</f>
        <v>40228691.289999999</v>
      </c>
      <c r="AG711" s="63">
        <f>'OverNight $'!BM381</f>
        <v>40229401.498411261</v>
      </c>
      <c r="AH711" s="63">
        <f>'OverNight $'!BR381</f>
        <v>40231635.400171325</v>
      </c>
      <c r="AJ711" s="63"/>
      <c r="AK711" s="317"/>
      <c r="AL711" s="317"/>
    </row>
    <row r="712" spans="2:38" x14ac:dyDescent="0.25">
      <c r="B712" s="42">
        <v>46031</v>
      </c>
      <c r="C712" s="38"/>
      <c r="D712" s="38">
        <f t="shared" si="284"/>
        <v>61000</v>
      </c>
      <c r="E712" s="105">
        <f>-430000</f>
        <v>-430000</v>
      </c>
      <c r="F712" s="38">
        <f>486000-61000</f>
        <v>425000</v>
      </c>
      <c r="G712" s="38">
        <f t="shared" si="285"/>
        <v>56000</v>
      </c>
      <c r="H712" s="38">
        <f t="shared" si="286"/>
        <v>4820000</v>
      </c>
      <c r="I712" s="38"/>
      <c r="J712" s="38">
        <f t="shared" si="295"/>
        <v>6000000</v>
      </c>
      <c r="K712" s="177">
        <v>12000000</v>
      </c>
      <c r="L712" s="177"/>
      <c r="M712" s="177">
        <f t="shared" si="278"/>
        <v>15000000</v>
      </c>
      <c r="N712" s="177">
        <f>'codeis €'!Z382</f>
        <v>67062138.000000007</v>
      </c>
      <c r="O712" s="38">
        <f>'CT- € Ellipsis BNP'!X382</f>
        <v>100430331.90343855</v>
      </c>
      <c r="P712" s="38">
        <f t="shared" si="291"/>
        <v>0</v>
      </c>
      <c r="Q712" s="38">
        <f t="shared" si="291"/>
        <v>0</v>
      </c>
      <c r="R712" s="38">
        <f t="shared" si="291"/>
        <v>0</v>
      </c>
      <c r="S712" s="78">
        <v>46031</v>
      </c>
      <c r="T712" s="63"/>
      <c r="U712" s="63">
        <f t="shared" si="287"/>
        <v>33024.446666680276</v>
      </c>
      <c r="V712" s="63"/>
      <c r="W712" s="63"/>
      <c r="X712" s="63">
        <f t="shared" si="288"/>
        <v>33024.446666680276</v>
      </c>
      <c r="Y712" s="63">
        <f t="shared" si="289"/>
        <v>2330000</v>
      </c>
      <c r="Z712" s="63">
        <f>'codeis $'!AB382</f>
        <v>156022317</v>
      </c>
      <c r="AA712" s="63">
        <f>'OverNight $'!M382+'OverNight $'!T382+'OverNight $'!AA382+'OverNight $'!AH382</f>
        <v>26000000</v>
      </c>
      <c r="AB712" s="63"/>
      <c r="AC712" s="63"/>
      <c r="AD712" s="63">
        <f>'OverNight $'!AV382</f>
        <v>36849523.890000001</v>
      </c>
      <c r="AE712" s="63">
        <f>'OverNight $'!BC382</f>
        <v>40229919.450000003</v>
      </c>
      <c r="AF712" s="63">
        <f>'OverNight $'!BH382</f>
        <v>40228691.289999999</v>
      </c>
      <c r="AG712" s="63">
        <f>'OverNight $'!BM382</f>
        <v>40229401.498411261</v>
      </c>
      <c r="AH712" s="63">
        <f>'OverNight $'!BR382</f>
        <v>40231635.400171325</v>
      </c>
      <c r="AJ712" s="63"/>
      <c r="AK712" s="317"/>
      <c r="AL712" s="317"/>
    </row>
    <row r="713" spans="2:38" x14ac:dyDescent="0.25">
      <c r="B713" s="42">
        <v>46032</v>
      </c>
      <c r="C713" s="38"/>
      <c r="D713" s="38">
        <f t="shared" si="284"/>
        <v>56000</v>
      </c>
      <c r="E713" s="38"/>
      <c r="F713" s="38"/>
      <c r="G713" s="38">
        <f t="shared" si="285"/>
        <v>56000</v>
      </c>
      <c r="H713" s="38">
        <f t="shared" si="286"/>
        <v>4820000</v>
      </c>
      <c r="I713" s="38"/>
      <c r="J713" s="38">
        <f t="shared" si="295"/>
        <v>6000000</v>
      </c>
      <c r="K713" s="177">
        <v>12000000</v>
      </c>
      <c r="L713" s="177"/>
      <c r="M713" s="177">
        <f t="shared" ref="M713:R737" si="296">M712</f>
        <v>15000000</v>
      </c>
      <c r="N713" s="177">
        <f>'codeis €'!Z383</f>
        <v>67062138.000000007</v>
      </c>
      <c r="O713" s="38">
        <f>'CT- € Ellipsis BNP'!X383</f>
        <v>100430331.90343855</v>
      </c>
      <c r="P713" s="38">
        <f t="shared" si="291"/>
        <v>0</v>
      </c>
      <c r="Q713" s="38">
        <f t="shared" si="291"/>
        <v>0</v>
      </c>
      <c r="R713" s="38">
        <f t="shared" si="291"/>
        <v>0</v>
      </c>
      <c r="S713" s="78">
        <v>46032</v>
      </c>
      <c r="T713" s="63"/>
      <c r="U713" s="63">
        <f t="shared" si="287"/>
        <v>33024.446666680276</v>
      </c>
      <c r="V713" s="63"/>
      <c r="W713" s="63"/>
      <c r="X713" s="63">
        <f t="shared" si="288"/>
        <v>33024.446666680276</v>
      </c>
      <c r="Y713" s="63">
        <f t="shared" si="289"/>
        <v>2330000</v>
      </c>
      <c r="Z713" s="63">
        <f>'codeis $'!AB383</f>
        <v>156022317</v>
      </c>
      <c r="AA713" s="63">
        <f>'OverNight $'!M383+'OverNight $'!T383+'OverNight $'!AA383+'OverNight $'!AH383</f>
        <v>26000000</v>
      </c>
      <c r="AB713" s="63"/>
      <c r="AC713" s="63"/>
      <c r="AD713" s="63">
        <f>'OverNight $'!AV383</f>
        <v>36849523.890000001</v>
      </c>
      <c r="AE713" s="63">
        <f>'OverNight $'!BC383</f>
        <v>40229919.450000003</v>
      </c>
      <c r="AF713" s="63">
        <f>'OverNight $'!BH383</f>
        <v>40228691.289999999</v>
      </c>
      <c r="AG713" s="63">
        <f>'OverNight $'!BM383</f>
        <v>40229401.498411261</v>
      </c>
      <c r="AH713" s="63">
        <f>'OverNight $'!BR383</f>
        <v>40231635.400171325</v>
      </c>
      <c r="AJ713" s="63"/>
      <c r="AK713" s="317"/>
      <c r="AL713" s="317"/>
    </row>
    <row r="714" spans="2:38" x14ac:dyDescent="0.25">
      <c r="B714" s="42">
        <v>46033</v>
      </c>
      <c r="C714" s="38"/>
      <c r="D714" s="38">
        <f t="shared" si="284"/>
        <v>56000</v>
      </c>
      <c r="E714" s="38"/>
      <c r="F714" s="38"/>
      <c r="G714" s="38">
        <f t="shared" si="285"/>
        <v>56000</v>
      </c>
      <c r="H714" s="38">
        <f t="shared" si="286"/>
        <v>4820000</v>
      </c>
      <c r="I714" s="38"/>
      <c r="J714" s="38">
        <f t="shared" si="295"/>
        <v>6000000</v>
      </c>
      <c r="K714" s="177">
        <v>12000000</v>
      </c>
      <c r="L714" s="177"/>
      <c r="M714" s="177">
        <f t="shared" si="296"/>
        <v>15000000</v>
      </c>
      <c r="N714" s="177">
        <f>'codeis €'!Z384</f>
        <v>67062138.000000007</v>
      </c>
      <c r="O714" s="38">
        <f>'CT- € Ellipsis BNP'!X384</f>
        <v>100430331.90343855</v>
      </c>
      <c r="P714" s="38">
        <f t="shared" si="291"/>
        <v>0</v>
      </c>
      <c r="Q714" s="38">
        <f t="shared" si="291"/>
        <v>0</v>
      </c>
      <c r="R714" s="38">
        <f t="shared" si="291"/>
        <v>0</v>
      </c>
      <c r="S714" s="78">
        <v>46033</v>
      </c>
      <c r="T714" s="63"/>
      <c r="U714" s="63">
        <f t="shared" si="287"/>
        <v>33024.446666680276</v>
      </c>
      <c r="V714" s="63"/>
      <c r="W714" s="63"/>
      <c r="X714" s="63">
        <f t="shared" si="288"/>
        <v>33024.446666680276</v>
      </c>
      <c r="Y714" s="63">
        <f t="shared" si="289"/>
        <v>2330000</v>
      </c>
      <c r="Z714" s="63">
        <f>'codeis $'!AB384</f>
        <v>156022317</v>
      </c>
      <c r="AA714" s="63">
        <f>'OverNight $'!M384+'OverNight $'!T384+'OverNight $'!AA384+'OverNight $'!AH384</f>
        <v>26000000</v>
      </c>
      <c r="AB714" s="63"/>
      <c r="AC714" s="63"/>
      <c r="AD714" s="63">
        <f>'OverNight $'!AV384</f>
        <v>36849523.890000001</v>
      </c>
      <c r="AE714" s="63">
        <f>'OverNight $'!BC384</f>
        <v>40229919.450000003</v>
      </c>
      <c r="AF714" s="63">
        <f>'OverNight $'!BH384</f>
        <v>40228691.289999999</v>
      </c>
      <c r="AG714" s="63">
        <f>'OverNight $'!BM384</f>
        <v>40229401.498411261</v>
      </c>
      <c r="AH714" s="63">
        <f>'OverNight $'!BR384</f>
        <v>40231635.400171325</v>
      </c>
      <c r="AJ714" s="63"/>
      <c r="AK714" s="317"/>
      <c r="AL714" s="317"/>
    </row>
    <row r="715" spans="2:38" x14ac:dyDescent="0.25">
      <c r="B715" s="42">
        <v>46034</v>
      </c>
      <c r="C715" s="38">
        <v>-2513492.0299999998</v>
      </c>
      <c r="D715" s="38">
        <f t="shared" si="284"/>
        <v>-2457492.0299999998</v>
      </c>
      <c r="E715" s="53">
        <v>2510000</v>
      </c>
      <c r="F715" s="38"/>
      <c r="G715" s="38">
        <f t="shared" si="285"/>
        <v>52507.970000000205</v>
      </c>
      <c r="H715" s="38">
        <f t="shared" si="286"/>
        <v>2310000</v>
      </c>
      <c r="I715" s="38"/>
      <c r="J715" s="38">
        <f t="shared" si="295"/>
        <v>6000000</v>
      </c>
      <c r="K715" s="177">
        <v>12000000</v>
      </c>
      <c r="L715" s="177"/>
      <c r="M715" s="177">
        <f t="shared" si="296"/>
        <v>15000000</v>
      </c>
      <c r="N715" s="177">
        <f>'codeis €'!Z385</f>
        <v>67073754.000000007</v>
      </c>
      <c r="O715" s="38">
        <f>'CT- € Ellipsis BNP'!X385</f>
        <v>100455387.24112806</v>
      </c>
      <c r="P715" s="38">
        <f t="shared" si="291"/>
        <v>0</v>
      </c>
      <c r="Q715" s="38">
        <f t="shared" si="291"/>
        <v>0</v>
      </c>
      <c r="R715" s="38">
        <f t="shared" si="291"/>
        <v>0</v>
      </c>
      <c r="S715" s="78">
        <v>46034</v>
      </c>
      <c r="T715" s="63">
        <v>-788969.16</v>
      </c>
      <c r="U715" s="63">
        <f t="shared" si="287"/>
        <v>-755944.71333331976</v>
      </c>
      <c r="V715" s="102">
        <v>790000</v>
      </c>
      <c r="W715" s="63"/>
      <c r="X715" s="63">
        <f t="shared" si="288"/>
        <v>34055.286666680244</v>
      </c>
      <c r="Y715" s="63">
        <f t="shared" si="289"/>
        <v>1540000</v>
      </c>
      <c r="Z715" s="63">
        <f>'codeis $'!AB385</f>
        <v>156071044.79999998</v>
      </c>
      <c r="AA715" s="63">
        <f>'OverNight $'!M385+'OverNight $'!T385+'OverNight $'!AA385+'OverNight $'!AH385</f>
        <v>26000000</v>
      </c>
      <c r="AB715" s="63"/>
      <c r="AC715" s="63"/>
      <c r="AD715" s="63">
        <f>'OverNight $'!AV385</f>
        <v>36816284</v>
      </c>
      <c r="AE715" s="63">
        <f>'OverNight $'!BC385</f>
        <v>40229919.450000003</v>
      </c>
      <c r="AF715" s="63">
        <f>'OverNight $'!BH385</f>
        <v>40228691.289999999</v>
      </c>
      <c r="AG715" s="63">
        <f>'OverNight $'!BM385</f>
        <v>40229401.498411261</v>
      </c>
      <c r="AH715" s="63">
        <f>'OverNight $'!BR385</f>
        <v>40231635.400171325</v>
      </c>
      <c r="AJ715" s="63"/>
      <c r="AK715" s="317"/>
      <c r="AL715" s="317"/>
    </row>
    <row r="716" spans="2:38" x14ac:dyDescent="0.25">
      <c r="B716" s="42">
        <v>46035</v>
      </c>
      <c r="C716" s="38">
        <v>-70000</v>
      </c>
      <c r="D716" s="38">
        <f t="shared" si="284"/>
        <v>-17492.029999999795</v>
      </c>
      <c r="E716" s="482">
        <v>70000</v>
      </c>
      <c r="F716" s="38"/>
      <c r="G716" s="38">
        <f t="shared" si="285"/>
        <v>52507.970000000205</v>
      </c>
      <c r="H716" s="38">
        <f t="shared" si="286"/>
        <v>2240000</v>
      </c>
      <c r="I716" s="38"/>
      <c r="J716" s="38">
        <f t="shared" si="295"/>
        <v>6000000</v>
      </c>
      <c r="K716" s="177">
        <v>12000000</v>
      </c>
      <c r="L716" s="177"/>
      <c r="M716" s="177">
        <f t="shared" si="296"/>
        <v>15000000</v>
      </c>
      <c r="N716" s="177">
        <f>'codeis €'!Z386</f>
        <v>67077648.000000007</v>
      </c>
      <c r="O716" s="38">
        <f>'CT- € Ellipsis BNP'!X386</f>
        <v>100461651.07555041</v>
      </c>
      <c r="P716" s="38">
        <f t="shared" si="291"/>
        <v>0</v>
      </c>
      <c r="Q716" s="38">
        <f t="shared" si="291"/>
        <v>0</v>
      </c>
      <c r="R716" s="38">
        <f t="shared" si="291"/>
        <v>0</v>
      </c>
      <c r="S716" s="78">
        <v>46035</v>
      </c>
      <c r="T716" s="63"/>
      <c r="U716" s="63">
        <f t="shared" si="287"/>
        <v>34055.286666680244</v>
      </c>
      <c r="V716" s="63"/>
      <c r="W716" s="63"/>
      <c r="X716" s="63">
        <f t="shared" si="288"/>
        <v>34055.286666680244</v>
      </c>
      <c r="Y716" s="63">
        <f t="shared" si="289"/>
        <v>1540000</v>
      </c>
      <c r="Z716" s="63">
        <f>'codeis $'!AB386</f>
        <v>156087287.40000001</v>
      </c>
      <c r="AA716" s="63">
        <f>'OverNight $'!M386+'OverNight $'!T386+'OverNight $'!AA386+'OverNight $'!AH386</f>
        <v>26000000</v>
      </c>
      <c r="AB716" s="63"/>
      <c r="AC716" s="63"/>
      <c r="AD716" s="63">
        <f>'OverNight $'!AV386</f>
        <v>36812222.399999999</v>
      </c>
      <c r="AE716" s="63">
        <f>'OverNight $'!BC386</f>
        <v>40229919.450000003</v>
      </c>
      <c r="AF716" s="63">
        <f>'OverNight $'!BH386</f>
        <v>40228691.289999999</v>
      </c>
      <c r="AG716" s="63">
        <f>'OverNight $'!BM386</f>
        <v>40229401.498411261</v>
      </c>
      <c r="AH716" s="63">
        <f>'OverNight $'!BR386</f>
        <v>40231635.400171325</v>
      </c>
      <c r="AJ716" s="63"/>
      <c r="AK716" s="317"/>
      <c r="AL716" s="317"/>
    </row>
    <row r="717" spans="2:38" x14ac:dyDescent="0.25">
      <c r="B717" s="42">
        <v>46036</v>
      </c>
      <c r="C717" s="38"/>
      <c r="D717" s="38">
        <f t="shared" si="284"/>
        <v>52507.970000000205</v>
      </c>
      <c r="E717" s="38"/>
      <c r="F717" s="38">
        <v>15000</v>
      </c>
      <c r="G717" s="38">
        <f t="shared" si="285"/>
        <v>67507.970000000205</v>
      </c>
      <c r="H717" s="38">
        <f t="shared" si="286"/>
        <v>2240000</v>
      </c>
      <c r="I717" s="38"/>
      <c r="J717" s="38">
        <f t="shared" si="295"/>
        <v>6000000</v>
      </c>
      <c r="K717" s="177">
        <v>12000000</v>
      </c>
      <c r="L717" s="177"/>
      <c r="M717" s="177">
        <f t="shared" si="296"/>
        <v>15000000</v>
      </c>
      <c r="N717" s="177">
        <f>'codeis €'!Z387</f>
        <v>67081476</v>
      </c>
      <c r="O717" s="38">
        <f>'CT- € Ellipsis BNP'!X387</f>
        <v>100467914.90997277</v>
      </c>
      <c r="P717" s="38">
        <f t="shared" si="291"/>
        <v>0</v>
      </c>
      <c r="Q717" s="38">
        <f t="shared" si="291"/>
        <v>0</v>
      </c>
      <c r="R717" s="38">
        <f t="shared" si="291"/>
        <v>0</v>
      </c>
      <c r="S717" s="78">
        <v>46036</v>
      </c>
      <c r="T717" s="63"/>
      <c r="U717" s="63">
        <f t="shared" si="287"/>
        <v>34055.286666680244</v>
      </c>
      <c r="V717" s="63"/>
      <c r="W717" s="63"/>
      <c r="X717" s="63">
        <f t="shared" si="288"/>
        <v>34055.286666680244</v>
      </c>
      <c r="Y717" s="63">
        <f t="shared" si="289"/>
        <v>1540000</v>
      </c>
      <c r="Z717" s="63">
        <f>'codeis $'!AB387</f>
        <v>156103378.19999999</v>
      </c>
      <c r="AA717" s="63">
        <f>'OverNight $'!M387+'OverNight $'!T387+'OverNight $'!AA387+'OverNight $'!AH387</f>
        <v>26000000</v>
      </c>
      <c r="AB717" s="63"/>
      <c r="AC717" s="63"/>
      <c r="AD717" s="63">
        <f>'OverNight $'!AV387</f>
        <v>36440877.210000001</v>
      </c>
      <c r="AE717" s="63">
        <f>'OverNight $'!BC387</f>
        <v>40229919.450000003</v>
      </c>
      <c r="AF717" s="63">
        <f>'OverNight $'!BH387</f>
        <v>40228691.289999999</v>
      </c>
      <c r="AG717" s="63">
        <f>'OverNight $'!BM387</f>
        <v>40229401.498411261</v>
      </c>
      <c r="AH717" s="63">
        <f>'OverNight $'!BR387</f>
        <v>40231635.400171325</v>
      </c>
      <c r="AJ717" s="63"/>
      <c r="AK717" s="317"/>
      <c r="AL717" s="317"/>
    </row>
    <row r="718" spans="2:38" x14ac:dyDescent="0.25">
      <c r="B718" s="42">
        <v>46037</v>
      </c>
      <c r="C718" s="38">
        <v>-668905.91</v>
      </c>
      <c r="D718" s="38">
        <f t="shared" si="284"/>
        <v>-601397.93999999983</v>
      </c>
      <c r="E718" s="53">
        <v>700000</v>
      </c>
      <c r="F718" s="38"/>
      <c r="G718" s="38">
        <f t="shared" si="285"/>
        <v>98602.060000000172</v>
      </c>
      <c r="H718" s="38">
        <f t="shared" si="286"/>
        <v>1540000</v>
      </c>
      <c r="I718" s="38"/>
      <c r="J718" s="38">
        <f t="shared" si="295"/>
        <v>6000000</v>
      </c>
      <c r="K718" s="177">
        <v>12000000</v>
      </c>
      <c r="L718" s="177"/>
      <c r="M718" s="177">
        <f t="shared" si="296"/>
        <v>15000000</v>
      </c>
      <c r="N718" s="177">
        <f>'codeis €'!Z388</f>
        <v>67085370</v>
      </c>
      <c r="O718" s="38">
        <f>'CT- € Ellipsis BNP'!X388</f>
        <v>100474178.74439514</v>
      </c>
      <c r="P718" s="38">
        <f t="shared" ref="P718:R733" si="297">P717</f>
        <v>0</v>
      </c>
      <c r="Q718" s="38">
        <f t="shared" si="297"/>
        <v>0</v>
      </c>
      <c r="R718" s="38">
        <f t="shared" si="297"/>
        <v>0</v>
      </c>
      <c r="S718" s="78">
        <v>46037</v>
      </c>
      <c r="T718" s="63"/>
      <c r="U718" s="63">
        <f t="shared" si="287"/>
        <v>34055.286666680244</v>
      </c>
      <c r="V718" s="63"/>
      <c r="W718" s="63"/>
      <c r="X718" s="63">
        <f t="shared" si="288"/>
        <v>34055.286666680244</v>
      </c>
      <c r="Y718" s="63">
        <f t="shared" si="289"/>
        <v>1540000</v>
      </c>
      <c r="Z718" s="63">
        <f>'codeis $'!AB388</f>
        <v>156119620.80000001</v>
      </c>
      <c r="AA718" s="63">
        <f>'OverNight $'!M388+'OverNight $'!T388+'OverNight $'!AA388+'OverNight $'!AH388</f>
        <v>26000000</v>
      </c>
      <c r="AB718" s="63"/>
      <c r="AC718" s="63"/>
      <c r="AD718" s="63">
        <f>'OverNight $'!AV388</f>
        <v>36444371.539999999</v>
      </c>
      <c r="AE718" s="63">
        <f>'OverNight $'!BC388</f>
        <v>40229919.450000003</v>
      </c>
      <c r="AF718" s="63">
        <f>'OverNight $'!BH388</f>
        <v>40228691.289999999</v>
      </c>
      <c r="AG718" s="63">
        <f>'OverNight $'!BM388</f>
        <v>40229401.498411261</v>
      </c>
      <c r="AH718" s="63">
        <f>'OverNight $'!BR388</f>
        <v>40231635.400171325</v>
      </c>
      <c r="AJ718" s="63"/>
      <c r="AK718" s="317"/>
      <c r="AL718" s="317"/>
    </row>
    <row r="719" spans="2:38" x14ac:dyDescent="0.25">
      <c r="B719" s="42">
        <v>46038</v>
      </c>
      <c r="C719" s="38"/>
      <c r="D719" s="38">
        <f t="shared" si="284"/>
        <v>98602.060000000172</v>
      </c>
      <c r="E719" s="38"/>
      <c r="F719" s="38"/>
      <c r="G719" s="38">
        <f t="shared" si="285"/>
        <v>98602.060000000172</v>
      </c>
      <c r="H719" s="38">
        <f t="shared" si="286"/>
        <v>1540000</v>
      </c>
      <c r="I719" s="38"/>
      <c r="J719" s="38">
        <f t="shared" si="295"/>
        <v>6000000</v>
      </c>
      <c r="K719" s="177">
        <v>12000000</v>
      </c>
      <c r="L719" s="177"/>
      <c r="M719" s="177">
        <f t="shared" si="296"/>
        <v>15000000</v>
      </c>
      <c r="N719" s="177">
        <f>'codeis €'!Z389</f>
        <v>67089264.000000007</v>
      </c>
      <c r="O719" s="38">
        <f>'CT- € Ellipsis BNP'!X389</f>
        <v>100480442.57881752</v>
      </c>
      <c r="P719" s="38">
        <f t="shared" si="297"/>
        <v>0</v>
      </c>
      <c r="Q719" s="38">
        <f t="shared" si="297"/>
        <v>0</v>
      </c>
      <c r="R719" s="38">
        <f t="shared" si="297"/>
        <v>0</v>
      </c>
      <c r="S719" s="78">
        <v>46038</v>
      </c>
      <c r="T719" s="63"/>
      <c r="U719" s="63">
        <f t="shared" si="287"/>
        <v>34055.286666680244</v>
      </c>
      <c r="V719" s="63"/>
      <c r="W719" s="63"/>
      <c r="X719" s="63">
        <f t="shared" si="288"/>
        <v>34055.286666680244</v>
      </c>
      <c r="Y719" s="63">
        <f t="shared" si="289"/>
        <v>1540000</v>
      </c>
      <c r="Z719" s="63">
        <f>'codeis $'!AB389</f>
        <v>156135863.40000001</v>
      </c>
      <c r="AA719" s="63">
        <f>'OverNight $'!M389+'OverNight $'!T389+'OverNight $'!AA389+'OverNight $'!AH389</f>
        <v>26000000</v>
      </c>
      <c r="AB719" s="63"/>
      <c r="AC719" s="63"/>
      <c r="AD719" s="63">
        <f>'OverNight $'!AV389</f>
        <v>36447866.210000001</v>
      </c>
      <c r="AE719" s="63">
        <f>'OverNight $'!BC389</f>
        <v>40229919.450000003</v>
      </c>
      <c r="AF719" s="63">
        <f>'OverNight $'!BH389</f>
        <v>40228691.289999999</v>
      </c>
      <c r="AG719" s="63">
        <f>'OverNight $'!BM389</f>
        <v>40229401.498411261</v>
      </c>
      <c r="AH719" s="63">
        <f>'OverNight $'!BR389</f>
        <v>40231635.400171325</v>
      </c>
      <c r="AJ719" s="63"/>
      <c r="AK719" s="317"/>
      <c r="AL719" s="317"/>
    </row>
    <row r="720" spans="2:38" x14ac:dyDescent="0.25">
      <c r="B720" s="42">
        <v>46039</v>
      </c>
      <c r="C720" s="38"/>
      <c r="D720" s="38">
        <f t="shared" si="284"/>
        <v>98602.060000000172</v>
      </c>
      <c r="E720" s="38"/>
      <c r="F720" s="38"/>
      <c r="G720" s="38">
        <f t="shared" si="285"/>
        <v>98602.060000000172</v>
      </c>
      <c r="H720" s="38">
        <f t="shared" si="286"/>
        <v>1540000</v>
      </c>
      <c r="I720" s="38"/>
      <c r="J720" s="38">
        <f t="shared" si="295"/>
        <v>6000000</v>
      </c>
      <c r="K720" s="177">
        <v>12000000</v>
      </c>
      <c r="L720" s="177"/>
      <c r="M720" s="177">
        <f t="shared" si="296"/>
        <v>15000000</v>
      </c>
      <c r="N720" s="177">
        <f>'codeis €'!Z390</f>
        <v>67089264.000000007</v>
      </c>
      <c r="O720" s="38">
        <f>'CT- € Ellipsis BNP'!X390</f>
        <v>100480442.57881752</v>
      </c>
      <c r="P720" s="38">
        <f t="shared" si="297"/>
        <v>0</v>
      </c>
      <c r="Q720" s="38">
        <f t="shared" si="297"/>
        <v>0</v>
      </c>
      <c r="R720" s="38">
        <f t="shared" si="297"/>
        <v>0</v>
      </c>
      <c r="S720" s="78">
        <v>46039</v>
      </c>
      <c r="T720" s="63"/>
      <c r="U720" s="63">
        <f t="shared" si="287"/>
        <v>34055.286666680244</v>
      </c>
      <c r="V720" s="63"/>
      <c r="W720" s="63"/>
      <c r="X720" s="63">
        <f t="shared" si="288"/>
        <v>34055.286666680244</v>
      </c>
      <c r="Y720" s="63">
        <f t="shared" si="289"/>
        <v>1540000</v>
      </c>
      <c r="Z720" s="63">
        <f>'codeis $'!AB390</f>
        <v>156135863.40000001</v>
      </c>
      <c r="AA720" s="63">
        <f>'OverNight $'!M390+'OverNight $'!T390+'OverNight $'!AA390+'OverNight $'!AH390</f>
        <v>26000000</v>
      </c>
      <c r="AB720" s="63"/>
      <c r="AC720" s="63"/>
      <c r="AD720" s="63">
        <f>'OverNight $'!AV390</f>
        <v>36447866.210000001</v>
      </c>
      <c r="AE720" s="63">
        <f>'OverNight $'!BC390</f>
        <v>40229919.450000003</v>
      </c>
      <c r="AF720" s="63">
        <f>'OverNight $'!BH390</f>
        <v>40228691.289999999</v>
      </c>
      <c r="AG720" s="63">
        <f>'OverNight $'!BM390</f>
        <v>40229401.498411261</v>
      </c>
      <c r="AH720" s="63">
        <f>'OverNight $'!BR390</f>
        <v>40231635.400171325</v>
      </c>
      <c r="AJ720" s="63"/>
      <c r="AK720" s="317"/>
      <c r="AL720" s="317"/>
    </row>
    <row r="721" spans="2:38" x14ac:dyDescent="0.25">
      <c r="B721" s="42">
        <v>46040</v>
      </c>
      <c r="C721" s="38"/>
      <c r="D721" s="38">
        <f t="shared" si="284"/>
        <v>98602.060000000172</v>
      </c>
      <c r="E721" s="38"/>
      <c r="F721" s="38"/>
      <c r="G721" s="38">
        <f t="shared" si="285"/>
        <v>98602.060000000172</v>
      </c>
      <c r="H721" s="38">
        <f t="shared" si="286"/>
        <v>1540000</v>
      </c>
      <c r="I721" s="38"/>
      <c r="J721" s="38">
        <f t="shared" si="295"/>
        <v>6000000</v>
      </c>
      <c r="K721" s="177">
        <v>12000000</v>
      </c>
      <c r="L721" s="177"/>
      <c r="M721" s="177">
        <f t="shared" si="296"/>
        <v>15000000</v>
      </c>
      <c r="N721" s="177">
        <f>'codeis €'!Z391</f>
        <v>67089264.000000007</v>
      </c>
      <c r="O721" s="38">
        <f>'CT- € Ellipsis BNP'!X391</f>
        <v>100480442.57881752</v>
      </c>
      <c r="P721" s="38">
        <f t="shared" si="297"/>
        <v>0</v>
      </c>
      <c r="Q721" s="38">
        <f t="shared" si="297"/>
        <v>0</v>
      </c>
      <c r="R721" s="38">
        <f t="shared" si="297"/>
        <v>0</v>
      </c>
      <c r="S721" s="78">
        <v>46040</v>
      </c>
      <c r="T721" s="63"/>
      <c r="U721" s="63">
        <f t="shared" si="287"/>
        <v>34055.286666680244</v>
      </c>
      <c r="V721" s="63"/>
      <c r="W721" s="63"/>
      <c r="X721" s="63">
        <f t="shared" si="288"/>
        <v>34055.286666680244</v>
      </c>
      <c r="Y721" s="63">
        <f t="shared" si="289"/>
        <v>1540000</v>
      </c>
      <c r="Z721" s="63">
        <f>'codeis $'!AB391</f>
        <v>156135863.40000001</v>
      </c>
      <c r="AA721" s="63">
        <f>'OverNight $'!M391+'OverNight $'!T391+'OverNight $'!AA391+'OverNight $'!AH391</f>
        <v>26000000</v>
      </c>
      <c r="AB721" s="63"/>
      <c r="AC721" s="63"/>
      <c r="AD721" s="63">
        <f>'OverNight $'!AV391</f>
        <v>36447866.210000001</v>
      </c>
      <c r="AE721" s="63">
        <f>'OverNight $'!BC391</f>
        <v>40229919.450000003</v>
      </c>
      <c r="AF721" s="63">
        <f>'OverNight $'!BH391</f>
        <v>40228691.289999999</v>
      </c>
      <c r="AG721" s="63">
        <f>'OverNight $'!BM391</f>
        <v>40229401.498411261</v>
      </c>
      <c r="AH721" s="63">
        <f>'OverNight $'!BR391</f>
        <v>40231635.400171325</v>
      </c>
      <c r="AJ721" s="63"/>
      <c r="AK721" s="317"/>
      <c r="AL721" s="317"/>
    </row>
    <row r="722" spans="2:38" x14ac:dyDescent="0.25">
      <c r="B722" s="42">
        <v>46041</v>
      </c>
      <c r="C722" s="38"/>
      <c r="D722" s="38">
        <f t="shared" si="284"/>
        <v>98602.060000000172</v>
      </c>
      <c r="E722" s="38"/>
      <c r="F722" s="38"/>
      <c r="G722" s="38">
        <f t="shared" si="285"/>
        <v>98602.060000000172</v>
      </c>
      <c r="H722" s="38">
        <f t="shared" si="286"/>
        <v>1540000</v>
      </c>
      <c r="I722" s="38"/>
      <c r="J722" s="38">
        <f t="shared" si="295"/>
        <v>6000000</v>
      </c>
      <c r="K722" s="177">
        <v>12000000</v>
      </c>
      <c r="L722" s="177"/>
      <c r="M722" s="177">
        <f t="shared" si="296"/>
        <v>15000000</v>
      </c>
      <c r="N722" s="177">
        <f>'codeis €'!Z392</f>
        <v>67100880</v>
      </c>
      <c r="O722" s="38">
        <f>'CT- € Ellipsis BNP'!X392</f>
        <v>100499135.53797564</v>
      </c>
      <c r="P722" s="38">
        <f t="shared" si="297"/>
        <v>0</v>
      </c>
      <c r="Q722" s="38">
        <f t="shared" si="297"/>
        <v>0</v>
      </c>
      <c r="R722" s="38">
        <f t="shared" si="297"/>
        <v>0</v>
      </c>
      <c r="S722" s="78">
        <v>46041</v>
      </c>
      <c r="T722" s="63"/>
      <c r="U722" s="63">
        <f t="shared" si="287"/>
        <v>34055.286666680244</v>
      </c>
      <c r="V722" s="63"/>
      <c r="W722" s="63"/>
      <c r="X722" s="63">
        <f t="shared" si="288"/>
        <v>34055.286666680244</v>
      </c>
      <c r="Y722" s="63">
        <f t="shared" si="289"/>
        <v>1540000</v>
      </c>
      <c r="Z722" s="63">
        <f>'codeis $'!AB392</f>
        <v>156184591.20000002</v>
      </c>
      <c r="AA722" s="63">
        <f>'OverNight $'!M392+'OverNight $'!T392+'OverNight $'!AA392+'OverNight $'!AH392</f>
        <v>26000000</v>
      </c>
      <c r="AB722" s="63"/>
      <c r="AC722" s="63"/>
      <c r="AD722" s="63">
        <f>'OverNight $'!AV392</f>
        <v>36447866.210000001</v>
      </c>
      <c r="AE722" s="63">
        <f>'OverNight $'!BC392</f>
        <v>40229919.450000003</v>
      </c>
      <c r="AF722" s="63">
        <f>'OverNight $'!BH392</f>
        <v>40228691.289999999</v>
      </c>
      <c r="AG722" s="63">
        <f>'OverNight $'!BM392</f>
        <v>40229401.498411261</v>
      </c>
      <c r="AH722" s="63">
        <f>'OverNight $'!BR392</f>
        <v>40231635.400171325</v>
      </c>
      <c r="AJ722" s="63"/>
      <c r="AK722" s="317"/>
      <c r="AL722" s="317"/>
    </row>
    <row r="723" spans="2:38" x14ac:dyDescent="0.25">
      <c r="B723" s="42">
        <v>46042</v>
      </c>
      <c r="C723" s="38">
        <f>685000-G722</f>
        <v>586397.93999999983</v>
      </c>
      <c r="D723" s="38">
        <f t="shared" si="284"/>
        <v>685000</v>
      </c>
      <c r="E723" s="482">
        <v>-570000</v>
      </c>
      <c r="F723" s="38"/>
      <c r="G723" s="38">
        <f t="shared" si="285"/>
        <v>115000</v>
      </c>
      <c r="H723" s="38">
        <f t="shared" si="286"/>
        <v>2110000</v>
      </c>
      <c r="I723" s="38"/>
      <c r="J723" s="38">
        <f t="shared" si="295"/>
        <v>6000000</v>
      </c>
      <c r="K723" s="177">
        <v>12000000</v>
      </c>
      <c r="L723" s="177"/>
      <c r="M723" s="177">
        <f t="shared" si="296"/>
        <v>15000000</v>
      </c>
      <c r="N723" s="177">
        <f>'codeis €'!Z393</f>
        <v>67104774.000000007</v>
      </c>
      <c r="O723" s="38">
        <f>'CT- € Ellipsis BNP'!X393</f>
        <v>100505399.37239799</v>
      </c>
      <c r="P723" s="38">
        <f t="shared" si="297"/>
        <v>0</v>
      </c>
      <c r="Q723" s="38">
        <f t="shared" si="297"/>
        <v>0</v>
      </c>
      <c r="R723" s="38">
        <f t="shared" si="297"/>
        <v>0</v>
      </c>
      <c r="S723" s="78">
        <v>46042</v>
      </c>
      <c r="T723" s="63"/>
      <c r="U723" s="63">
        <f t="shared" si="287"/>
        <v>34055.286666680244</v>
      </c>
      <c r="V723" s="63"/>
      <c r="W723" s="63"/>
      <c r="X723" s="63">
        <f t="shared" si="288"/>
        <v>34055.286666680244</v>
      </c>
      <c r="Y723" s="63">
        <f t="shared" si="289"/>
        <v>1540000</v>
      </c>
      <c r="Z723" s="63">
        <f>'codeis $'!AB393</f>
        <v>156200833.80000001</v>
      </c>
      <c r="AA723" s="63">
        <f>'OverNight $'!M393+'OverNight $'!T393+'OverNight $'!AA393+'OverNight $'!AH393</f>
        <v>26000000</v>
      </c>
      <c r="AB723" s="63"/>
      <c r="AC723" s="63"/>
      <c r="AD723" s="63">
        <f>'OverNight $'!AV393</f>
        <v>36423666.189999998</v>
      </c>
      <c r="AE723" s="63">
        <f>'OverNight $'!BC393</f>
        <v>40229919.450000003</v>
      </c>
      <c r="AF723" s="63">
        <f>'OverNight $'!BH393</f>
        <v>40228691.289999999</v>
      </c>
      <c r="AG723" s="63">
        <f>'OverNight $'!BM393</f>
        <v>40229401.498411261</v>
      </c>
      <c r="AH723" s="63">
        <f>'OverNight $'!BR393</f>
        <v>40231635.400171325</v>
      </c>
      <c r="AJ723" s="63"/>
      <c r="AK723" s="317"/>
      <c r="AL723" s="317"/>
    </row>
    <row r="724" spans="2:38" x14ac:dyDescent="0.25">
      <c r="B724" s="42">
        <v>46043</v>
      </c>
      <c r="C724" s="38"/>
      <c r="D724" s="38">
        <f t="shared" si="284"/>
        <v>115000</v>
      </c>
      <c r="E724" s="38"/>
      <c r="F724" s="38"/>
      <c r="G724" s="38">
        <f t="shared" si="285"/>
        <v>115000</v>
      </c>
      <c r="H724" s="38">
        <f t="shared" si="286"/>
        <v>2110000</v>
      </c>
      <c r="I724" s="38"/>
      <c r="J724" s="38">
        <f t="shared" si="295"/>
        <v>6000000</v>
      </c>
      <c r="K724" s="177">
        <v>12000000</v>
      </c>
      <c r="L724" s="177"/>
      <c r="M724" s="177">
        <f t="shared" si="296"/>
        <v>15000000</v>
      </c>
      <c r="N724" s="177">
        <f>'codeis €'!Z394</f>
        <v>67108668.000000007</v>
      </c>
      <c r="O724" s="38">
        <f>'CT- € Ellipsis BNP'!X394</f>
        <v>100505399.37239799</v>
      </c>
      <c r="P724" s="38">
        <f t="shared" si="297"/>
        <v>0</v>
      </c>
      <c r="Q724" s="38">
        <f t="shared" si="297"/>
        <v>0</v>
      </c>
      <c r="R724" s="38">
        <f t="shared" si="297"/>
        <v>0</v>
      </c>
      <c r="S724" s="78">
        <v>46043</v>
      </c>
      <c r="T724" s="63"/>
      <c r="U724" s="63">
        <f t="shared" si="287"/>
        <v>34055.286666680244</v>
      </c>
      <c r="V724" s="63"/>
      <c r="W724" s="63"/>
      <c r="X724" s="63">
        <f t="shared" si="288"/>
        <v>34055.286666680244</v>
      </c>
      <c r="Y724" s="63">
        <f t="shared" si="289"/>
        <v>1540000</v>
      </c>
      <c r="Z724" s="63">
        <f>'codeis $'!AB394</f>
        <v>156217228.19999999</v>
      </c>
      <c r="AA724" s="63">
        <f>'OverNight $'!M394+'OverNight $'!T394+'OverNight $'!AA394+'OverNight $'!AH394</f>
        <v>26000000</v>
      </c>
      <c r="AB724" s="63"/>
      <c r="AC724" s="63"/>
      <c r="AD724" s="63">
        <f>'OverNight $'!AV394</f>
        <v>36413903.549999997</v>
      </c>
      <c r="AE724" s="63">
        <f>'OverNight $'!BC394</f>
        <v>40229919.450000003</v>
      </c>
      <c r="AF724" s="63">
        <f>'OverNight $'!BH394</f>
        <v>40228691.289999999</v>
      </c>
      <c r="AG724" s="63">
        <f>'OverNight $'!BM394</f>
        <v>40229401.498411261</v>
      </c>
      <c r="AH724" s="63">
        <f>'OverNight $'!BR394</f>
        <v>40231635.400171325</v>
      </c>
      <c r="AJ724" s="63"/>
      <c r="AK724" s="317"/>
      <c r="AL724" s="317"/>
    </row>
    <row r="725" spans="2:38" x14ac:dyDescent="0.25">
      <c r="B725" s="42">
        <v>46044</v>
      </c>
      <c r="C725" s="38"/>
      <c r="D725" s="38">
        <f t="shared" si="284"/>
        <v>115000</v>
      </c>
      <c r="E725" s="38"/>
      <c r="F725" s="38"/>
      <c r="G725" s="38">
        <f t="shared" si="285"/>
        <v>115000</v>
      </c>
      <c r="H725" s="38">
        <f t="shared" si="286"/>
        <v>2110000</v>
      </c>
      <c r="I725" s="38"/>
      <c r="J725" s="38">
        <f t="shared" si="295"/>
        <v>6000000</v>
      </c>
      <c r="K725" s="177">
        <v>12000000</v>
      </c>
      <c r="L725" s="177"/>
      <c r="M725" s="177">
        <f t="shared" si="296"/>
        <v>15000000</v>
      </c>
      <c r="N725" s="177">
        <f>'codeis €'!Z395</f>
        <v>67112496</v>
      </c>
      <c r="O725" s="38">
        <f>'CT- € Ellipsis BNP'!X395</f>
        <v>100517927.04124273</v>
      </c>
      <c r="P725" s="38">
        <f t="shared" si="297"/>
        <v>0</v>
      </c>
      <c r="Q725" s="38">
        <f t="shared" si="297"/>
        <v>0</v>
      </c>
      <c r="R725" s="38">
        <f t="shared" si="297"/>
        <v>0</v>
      </c>
      <c r="S725" s="78">
        <v>46044</v>
      </c>
      <c r="T725" s="63"/>
      <c r="U725" s="63">
        <f t="shared" si="287"/>
        <v>34055.286666680244</v>
      </c>
      <c r="V725" s="63"/>
      <c r="W725" s="63"/>
      <c r="X725" s="63">
        <f t="shared" si="288"/>
        <v>34055.286666680244</v>
      </c>
      <c r="Y725" s="63">
        <f t="shared" si="289"/>
        <v>1540000</v>
      </c>
      <c r="Z725" s="63">
        <f>'codeis $'!AB395</f>
        <v>156233470.79999998</v>
      </c>
      <c r="AA725" s="63">
        <f>'OverNight $'!M395+'OverNight $'!T395+'OverNight $'!AA395+'OverNight $'!AH395</f>
        <v>26000000</v>
      </c>
      <c r="AB725" s="63"/>
      <c r="AC725" s="63"/>
      <c r="AD725" s="63">
        <f>'OverNight $'!AV395</f>
        <v>36417395.289999999</v>
      </c>
      <c r="AE725" s="63">
        <f>'OverNight $'!BC395</f>
        <v>40229919.450000003</v>
      </c>
      <c r="AF725" s="63">
        <f>'OverNight $'!BH395</f>
        <v>40228691.289999999</v>
      </c>
      <c r="AG725" s="63">
        <f>'OverNight $'!BM395</f>
        <v>40229401.498411261</v>
      </c>
      <c r="AH725" s="63">
        <f>'OverNight $'!BR395</f>
        <v>40231635.400171325</v>
      </c>
      <c r="AJ725" s="63"/>
      <c r="AK725" s="317"/>
      <c r="AL725" s="317"/>
    </row>
    <row r="726" spans="2:38" x14ac:dyDescent="0.25">
      <c r="B726" s="42">
        <v>46045</v>
      </c>
      <c r="C726" s="38"/>
      <c r="D726" s="38">
        <f t="shared" si="284"/>
        <v>115000</v>
      </c>
      <c r="E726" s="38"/>
      <c r="F726" s="38"/>
      <c r="G726" s="38">
        <f t="shared" si="285"/>
        <v>115000</v>
      </c>
      <c r="H726" s="38">
        <f t="shared" si="286"/>
        <v>2110000</v>
      </c>
      <c r="I726" s="38"/>
      <c r="J726" s="38">
        <f t="shared" si="295"/>
        <v>6000000</v>
      </c>
      <c r="K726" s="177">
        <v>12000000</v>
      </c>
      <c r="L726" s="177"/>
      <c r="M726" s="177">
        <f t="shared" si="296"/>
        <v>15000000</v>
      </c>
      <c r="N726" s="177">
        <f>'codeis €'!Z396</f>
        <v>67116390</v>
      </c>
      <c r="O726" s="38">
        <f>'CT- € Ellipsis BNP'!X396</f>
        <v>100524190.8756651</v>
      </c>
      <c r="P726" s="38">
        <f t="shared" si="297"/>
        <v>0</v>
      </c>
      <c r="Q726" s="38">
        <f t="shared" si="297"/>
        <v>0</v>
      </c>
      <c r="R726" s="38">
        <f t="shared" si="297"/>
        <v>0</v>
      </c>
      <c r="S726" s="78">
        <v>46045</v>
      </c>
      <c r="T726" s="63"/>
      <c r="U726" s="63">
        <f t="shared" si="287"/>
        <v>34055.286666680244</v>
      </c>
      <c r="V726" s="63"/>
      <c r="W726" s="63"/>
      <c r="X726" s="63">
        <f t="shared" si="288"/>
        <v>34055.286666680244</v>
      </c>
      <c r="Y726" s="63">
        <f t="shared" si="289"/>
        <v>1540000</v>
      </c>
      <c r="Z726" s="63">
        <f>'codeis $'!AB396</f>
        <v>156249713.39999998</v>
      </c>
      <c r="AA726" s="63">
        <f>'OverNight $'!M396+'OverNight $'!T396+'OverNight $'!AA396+'OverNight $'!AH396</f>
        <v>26000000</v>
      </c>
      <c r="AB726" s="63"/>
      <c r="AC726" s="63"/>
      <c r="AD726" s="63">
        <f>'OverNight $'!AV396</f>
        <v>36032493.270000003</v>
      </c>
      <c r="AE726" s="63">
        <f>'OverNight $'!BC396</f>
        <v>40229919.450000003</v>
      </c>
      <c r="AF726" s="63">
        <f>'OverNight $'!BH396</f>
        <v>40228691.289999999</v>
      </c>
      <c r="AG726" s="63">
        <f>'OverNight $'!BM396</f>
        <v>40229401.498411261</v>
      </c>
      <c r="AH726" s="63">
        <f>'OverNight $'!BR396</f>
        <v>40231635.400171325</v>
      </c>
      <c r="AJ726" s="63"/>
      <c r="AK726" s="317"/>
      <c r="AL726" s="317"/>
    </row>
    <row r="727" spans="2:38" x14ac:dyDescent="0.25">
      <c r="B727" s="42">
        <v>46046</v>
      </c>
      <c r="C727" s="38"/>
      <c r="D727" s="38">
        <f t="shared" si="284"/>
        <v>115000</v>
      </c>
      <c r="E727" s="38"/>
      <c r="F727" s="38"/>
      <c r="G727" s="38">
        <f t="shared" si="285"/>
        <v>115000</v>
      </c>
      <c r="H727" s="38">
        <f t="shared" si="286"/>
        <v>2110000</v>
      </c>
      <c r="I727" s="38"/>
      <c r="J727" s="38">
        <f t="shared" si="295"/>
        <v>6000000</v>
      </c>
      <c r="K727" s="177">
        <v>12000000</v>
      </c>
      <c r="L727" s="177"/>
      <c r="M727" s="177">
        <f t="shared" si="296"/>
        <v>15000000</v>
      </c>
      <c r="N727" s="177">
        <f>'codeis €'!Z397</f>
        <v>67116390</v>
      </c>
      <c r="O727" s="38">
        <f>'CT- € Ellipsis BNP'!X397</f>
        <v>100524190.8756651</v>
      </c>
      <c r="P727" s="38">
        <f t="shared" si="297"/>
        <v>0</v>
      </c>
      <c r="Q727" s="38">
        <f t="shared" si="297"/>
        <v>0</v>
      </c>
      <c r="R727" s="38">
        <f t="shared" si="297"/>
        <v>0</v>
      </c>
      <c r="S727" s="78">
        <v>46046</v>
      </c>
      <c r="T727" s="63"/>
      <c r="U727" s="63">
        <f t="shared" si="287"/>
        <v>34055.286666680244</v>
      </c>
      <c r="V727" s="63"/>
      <c r="W727" s="63"/>
      <c r="X727" s="63">
        <f t="shared" si="288"/>
        <v>34055.286666680244</v>
      </c>
      <c r="Y727" s="63">
        <f t="shared" si="289"/>
        <v>1540000</v>
      </c>
      <c r="Z727" s="63">
        <f>'codeis $'!AB397</f>
        <v>156249713.39999998</v>
      </c>
      <c r="AA727" s="63">
        <f>'OverNight $'!M397+'OverNight $'!T397+'OverNight $'!AA397+'OverNight $'!AH397</f>
        <v>26000000</v>
      </c>
      <c r="AB727" s="63"/>
      <c r="AC727" s="63"/>
      <c r="AD727" s="63">
        <f>'OverNight $'!AV397</f>
        <v>36032493.270000003</v>
      </c>
      <c r="AE727" s="63">
        <f>'OverNight $'!BC397</f>
        <v>40229919.450000003</v>
      </c>
      <c r="AF727" s="63">
        <f>'OverNight $'!BH397</f>
        <v>40228691.289999999</v>
      </c>
      <c r="AG727" s="63">
        <f>'OverNight $'!BM397</f>
        <v>40229401.498411261</v>
      </c>
      <c r="AH727" s="63">
        <f>'OverNight $'!BR397</f>
        <v>40231635.400171325</v>
      </c>
      <c r="AJ727" s="63"/>
      <c r="AK727" s="317"/>
      <c r="AL727" s="317"/>
    </row>
    <row r="728" spans="2:38" x14ac:dyDescent="0.25">
      <c r="B728" s="42">
        <v>46047</v>
      </c>
      <c r="C728" s="38"/>
      <c r="D728" s="38">
        <f t="shared" si="284"/>
        <v>115000</v>
      </c>
      <c r="E728" s="38"/>
      <c r="F728" s="38">
        <v>-80000</v>
      </c>
      <c r="G728" s="38">
        <f t="shared" si="285"/>
        <v>35000</v>
      </c>
      <c r="H728" s="38">
        <f t="shared" si="286"/>
        <v>2110000</v>
      </c>
      <c r="I728" s="38"/>
      <c r="J728" s="38">
        <f t="shared" si="295"/>
        <v>6000000</v>
      </c>
      <c r="K728" s="177">
        <v>12000000</v>
      </c>
      <c r="L728" s="177"/>
      <c r="M728" s="177">
        <f t="shared" si="296"/>
        <v>15000000</v>
      </c>
      <c r="N728" s="177">
        <f>'codeis €'!Z398</f>
        <v>67116390</v>
      </c>
      <c r="O728" s="38">
        <f>'CT- € Ellipsis BNP'!X398</f>
        <v>100524190.8756651</v>
      </c>
      <c r="P728" s="38">
        <f t="shared" si="297"/>
        <v>0</v>
      </c>
      <c r="Q728" s="38">
        <f t="shared" si="297"/>
        <v>0</v>
      </c>
      <c r="R728" s="38">
        <f t="shared" si="297"/>
        <v>0</v>
      </c>
      <c r="S728" s="78">
        <v>46047</v>
      </c>
      <c r="T728" s="63"/>
      <c r="U728" s="63">
        <f t="shared" si="287"/>
        <v>34055.286666680244</v>
      </c>
      <c r="V728" s="63"/>
      <c r="W728" s="63"/>
      <c r="X728" s="63">
        <f t="shared" si="288"/>
        <v>34055.286666680244</v>
      </c>
      <c r="Y728" s="63">
        <f t="shared" si="289"/>
        <v>1540000</v>
      </c>
      <c r="Z728" s="63">
        <f>'codeis $'!AB398</f>
        <v>156249713.39999998</v>
      </c>
      <c r="AA728" s="63">
        <f>'OverNight $'!M398+'OverNight $'!T398+'OverNight $'!AA398+'OverNight $'!AH398</f>
        <v>26000000</v>
      </c>
      <c r="AB728" s="63"/>
      <c r="AC728" s="63"/>
      <c r="AD728" s="63">
        <f>'OverNight $'!AV398</f>
        <v>36032493.270000003</v>
      </c>
      <c r="AE728" s="63">
        <f>'OverNight $'!BC398</f>
        <v>40229919.450000003</v>
      </c>
      <c r="AF728" s="63">
        <f>'OverNight $'!BH398</f>
        <v>40228691.289999999</v>
      </c>
      <c r="AG728" s="63">
        <f>'OverNight $'!BM398</f>
        <v>40229401.498411261</v>
      </c>
      <c r="AH728" s="63">
        <f>'OverNight $'!BR398</f>
        <v>40231635.400171325</v>
      </c>
      <c r="AJ728" s="63"/>
      <c r="AK728" s="317"/>
      <c r="AL728" s="317"/>
    </row>
    <row r="729" spans="2:38" ht="13.7" customHeight="1" x14ac:dyDescent="0.25">
      <c r="B729" s="42">
        <v>46048</v>
      </c>
      <c r="C729" s="38">
        <v>3867363.6</v>
      </c>
      <c r="D729" s="38">
        <f t="shared" si="284"/>
        <v>3902363.6</v>
      </c>
      <c r="E729" s="53">
        <v>-3800000</v>
      </c>
      <c r="F729" s="38"/>
      <c r="G729" s="38">
        <f t="shared" si="285"/>
        <v>102363.60000000009</v>
      </c>
      <c r="H729" s="38">
        <f t="shared" si="286"/>
        <v>5910000</v>
      </c>
      <c r="I729" s="38"/>
      <c r="J729" s="38">
        <f t="shared" si="295"/>
        <v>6000000</v>
      </c>
      <c r="K729" s="177">
        <v>12000000</v>
      </c>
      <c r="L729" s="177"/>
      <c r="M729" s="177">
        <f t="shared" si="296"/>
        <v>15000000</v>
      </c>
      <c r="N729" s="177">
        <f>'codeis €'!Z399</f>
        <v>47193068.799999997</v>
      </c>
      <c r="O729" s="38">
        <f>'CT- € Ellipsis BNP'!X399</f>
        <v>100542982.37893221</v>
      </c>
      <c r="P729" s="38">
        <f t="shared" si="297"/>
        <v>0</v>
      </c>
      <c r="Q729" s="38">
        <f t="shared" si="297"/>
        <v>0</v>
      </c>
      <c r="R729" s="38">
        <f t="shared" si="297"/>
        <v>0</v>
      </c>
      <c r="S729" s="78">
        <v>46048</v>
      </c>
      <c r="T729" s="63">
        <v>-1328121.24</v>
      </c>
      <c r="U729" s="63">
        <f t="shared" si="287"/>
        <v>-1294065.9533333196</v>
      </c>
      <c r="V729" s="82">
        <v>1350000</v>
      </c>
      <c r="W729" s="63"/>
      <c r="X729" s="63">
        <f t="shared" si="288"/>
        <v>55934.04666668037</v>
      </c>
      <c r="Y729" s="63">
        <f t="shared" si="289"/>
        <v>190000</v>
      </c>
      <c r="Z729" s="63">
        <f>'codeis $'!AB399</f>
        <v>156298289.40000001</v>
      </c>
      <c r="AA729" s="63">
        <f>'OverNight $'!M399+'OverNight $'!T399+'OverNight $'!AA399+'OverNight $'!AH399</f>
        <v>26000000</v>
      </c>
      <c r="AB729" s="63"/>
      <c r="AC729" s="63"/>
      <c r="AD729" s="63">
        <f>'OverNight $'!AV399</f>
        <v>35662849.549999997</v>
      </c>
      <c r="AE729" s="63">
        <f>'OverNight $'!BC399</f>
        <v>40229919.450000003</v>
      </c>
      <c r="AF729" s="63">
        <f>'OverNight $'!BH399</f>
        <v>40228691.289999999</v>
      </c>
      <c r="AG729" s="63">
        <f>'OverNight $'!BM399</f>
        <v>40229401.498411261</v>
      </c>
      <c r="AH729" s="63">
        <f>'OverNight $'!BR399</f>
        <v>40231635.400171325</v>
      </c>
      <c r="AJ729" s="63"/>
      <c r="AK729" s="317"/>
      <c r="AL729" s="317"/>
    </row>
    <row r="730" spans="2:38" x14ac:dyDescent="0.25">
      <c r="B730" s="42">
        <v>46049</v>
      </c>
      <c r="C730" s="38">
        <v>-310000</v>
      </c>
      <c r="D730" s="38">
        <f t="shared" si="284"/>
        <v>-207636.39999999991</v>
      </c>
      <c r="E730" s="53">
        <v>300000</v>
      </c>
      <c r="F730" s="38"/>
      <c r="G730" s="38">
        <f t="shared" si="285"/>
        <v>92363.600000000093</v>
      </c>
      <c r="H730" s="38">
        <f t="shared" si="286"/>
        <v>5610000</v>
      </c>
      <c r="I730" s="38"/>
      <c r="J730" s="38">
        <f t="shared" si="295"/>
        <v>6000000</v>
      </c>
      <c r="K730" s="177">
        <v>12000000</v>
      </c>
      <c r="L730" s="177"/>
      <c r="M730" s="177">
        <f t="shared" si="296"/>
        <v>15000000</v>
      </c>
      <c r="N730" s="177">
        <f>'codeis €'!Z400</f>
        <v>47195806.400000006</v>
      </c>
      <c r="O730" s="38">
        <f>'CT- € Ellipsis BNP'!X400</f>
        <v>100549246.21335459</v>
      </c>
      <c r="P730" s="38">
        <f t="shared" si="297"/>
        <v>0</v>
      </c>
      <c r="Q730" s="38">
        <f t="shared" si="297"/>
        <v>0</v>
      </c>
      <c r="R730" s="38">
        <f t="shared" si="297"/>
        <v>0</v>
      </c>
      <c r="S730" s="78">
        <v>46049</v>
      </c>
      <c r="T730" s="63"/>
      <c r="U730" s="63">
        <f t="shared" si="287"/>
        <v>55934.04666668037</v>
      </c>
      <c r="V730" s="63"/>
      <c r="W730" s="63"/>
      <c r="X730" s="63">
        <f t="shared" si="288"/>
        <v>55934.04666668037</v>
      </c>
      <c r="Y730" s="63">
        <f t="shared" si="289"/>
        <v>190000</v>
      </c>
      <c r="Z730" s="63">
        <f>'codeis $'!AB400</f>
        <v>156314532.00000003</v>
      </c>
      <c r="AA730" s="63">
        <f>'OverNight $'!M400+'OverNight $'!T400+'OverNight $'!AA400+'OverNight $'!AH400</f>
        <v>26000000</v>
      </c>
      <c r="AB730" s="63"/>
      <c r="AC730" s="63"/>
      <c r="AD730" s="63">
        <f>'OverNight $'!AV400</f>
        <v>35663536.090000004</v>
      </c>
      <c r="AE730" s="63">
        <f>'OverNight $'!BC400</f>
        <v>40229919.450000003</v>
      </c>
      <c r="AF730" s="63">
        <f>'OverNight $'!BH400</f>
        <v>40228691.289999999</v>
      </c>
      <c r="AG730" s="63">
        <f>'OverNight $'!BM400</f>
        <v>40229401.498411261</v>
      </c>
      <c r="AH730" s="63">
        <f>'OverNight $'!BR400</f>
        <v>40231635.400171325</v>
      </c>
      <c r="AJ730" s="63"/>
      <c r="AK730" s="317"/>
      <c r="AL730" s="317"/>
    </row>
    <row r="731" spans="2:38" x14ac:dyDescent="0.25">
      <c r="B731" s="42">
        <v>46050</v>
      </c>
      <c r="C731" s="38"/>
      <c r="D731" s="38">
        <f t="shared" si="284"/>
        <v>92363.600000000093</v>
      </c>
      <c r="E731" s="38"/>
      <c r="F731" s="38"/>
      <c r="G731" s="38">
        <f t="shared" si="285"/>
        <v>92363.600000000093</v>
      </c>
      <c r="H731" s="38">
        <f t="shared" si="286"/>
        <v>5610000</v>
      </c>
      <c r="I731" s="38"/>
      <c r="J731" s="38">
        <f t="shared" si="295"/>
        <v>6000000</v>
      </c>
      <c r="K731" s="177">
        <v>12000000</v>
      </c>
      <c r="L731" s="177"/>
      <c r="M731" s="177">
        <f t="shared" si="296"/>
        <v>15000000</v>
      </c>
      <c r="N731" s="177">
        <f>'codeis €'!Z401</f>
        <v>47198497.600000001</v>
      </c>
      <c r="O731" s="38">
        <f>'CT- € Ellipsis BNP'!X401</f>
        <v>100555510.04777697</v>
      </c>
      <c r="P731" s="38">
        <f t="shared" si="297"/>
        <v>0</v>
      </c>
      <c r="Q731" s="38">
        <f t="shared" si="297"/>
        <v>0</v>
      </c>
      <c r="R731" s="38">
        <f t="shared" si="297"/>
        <v>0</v>
      </c>
      <c r="S731" s="78">
        <v>46050</v>
      </c>
      <c r="T731" s="63"/>
      <c r="U731" s="63">
        <f t="shared" si="287"/>
        <v>55934.04666668037</v>
      </c>
      <c r="V731" s="63"/>
      <c r="W731" s="63"/>
      <c r="X731" s="63">
        <f t="shared" si="288"/>
        <v>55934.04666668037</v>
      </c>
      <c r="Y731" s="63">
        <f t="shared" si="289"/>
        <v>190000</v>
      </c>
      <c r="Z731" s="63">
        <f>'codeis $'!AB401</f>
        <v>156330774.59999999</v>
      </c>
      <c r="AA731" s="63">
        <f>'OverNight $'!M401+'OverNight $'!T401+'OverNight $'!AA401+'OverNight $'!AH401</f>
        <v>26000000</v>
      </c>
      <c r="AB731" s="63"/>
      <c r="AC731" s="63"/>
      <c r="AD731" s="63">
        <f>'OverNight $'!AV401</f>
        <v>25473067.77</v>
      </c>
      <c r="AE731" s="63">
        <f>'OverNight $'!BC401</f>
        <v>40229919.450000003</v>
      </c>
      <c r="AF731" s="63">
        <f>'OverNight $'!BH401</f>
        <v>40228691.289999999</v>
      </c>
      <c r="AG731" s="63">
        <f>'OverNight $'!BM401</f>
        <v>40229401.498411261</v>
      </c>
      <c r="AH731" s="63">
        <f>'OverNight $'!BR401</f>
        <v>40231635.400171325</v>
      </c>
      <c r="AJ731" s="63"/>
      <c r="AK731" s="317"/>
      <c r="AL731" s="317"/>
    </row>
    <row r="732" spans="2:38" x14ac:dyDescent="0.25">
      <c r="B732" s="42">
        <v>46051</v>
      </c>
      <c r="C732" s="38"/>
      <c r="D732" s="38">
        <f t="shared" si="284"/>
        <v>92363.600000000093</v>
      </c>
      <c r="E732" s="38"/>
      <c r="F732" s="38"/>
      <c r="G732" s="38">
        <f t="shared" si="285"/>
        <v>92363.600000000093</v>
      </c>
      <c r="H732" s="38">
        <f t="shared" si="286"/>
        <v>5610000</v>
      </c>
      <c r="I732" s="38"/>
      <c r="J732" s="38">
        <f t="shared" si="295"/>
        <v>6000000</v>
      </c>
      <c r="K732" s="177">
        <v>12000000</v>
      </c>
      <c r="L732" s="177"/>
      <c r="M732" s="177">
        <f t="shared" si="296"/>
        <v>15000000</v>
      </c>
      <c r="N732" s="177">
        <f>'codeis €'!Z402</f>
        <v>47201235.200000003</v>
      </c>
      <c r="O732" s="38">
        <f>'CT- € Ellipsis BNP'!X402</f>
        <v>100561773.88219932</v>
      </c>
      <c r="P732" s="38">
        <f t="shared" si="297"/>
        <v>0</v>
      </c>
      <c r="Q732" s="38">
        <f t="shared" si="297"/>
        <v>0</v>
      </c>
      <c r="R732" s="38">
        <f t="shared" si="297"/>
        <v>0</v>
      </c>
      <c r="S732" s="78">
        <v>46051</v>
      </c>
      <c r="T732" s="63"/>
      <c r="U732" s="63">
        <f t="shared" si="287"/>
        <v>55934.04666668037</v>
      </c>
      <c r="V732" s="63"/>
      <c r="W732" s="63"/>
      <c r="X732" s="63">
        <f t="shared" si="288"/>
        <v>55934.04666668037</v>
      </c>
      <c r="Y732" s="63">
        <f t="shared" si="289"/>
        <v>190000</v>
      </c>
      <c r="Z732" s="63">
        <f>'codeis $'!AB402</f>
        <v>156347017.20000002</v>
      </c>
      <c r="AA732" s="63">
        <f>'OverNight $'!M402+'OverNight $'!T402+'OverNight $'!AA402+'OverNight $'!AH402</f>
        <v>26000000</v>
      </c>
      <c r="AB732" s="63"/>
      <c r="AC732" s="63"/>
      <c r="AD732" s="63">
        <f>'OverNight $'!AV402</f>
        <v>25461304.600000001</v>
      </c>
      <c r="AE732" s="63">
        <f>'OverNight $'!BC402</f>
        <v>40229919.450000003</v>
      </c>
      <c r="AF732" s="63">
        <f>'OverNight $'!BH402</f>
        <v>40228691.289999999</v>
      </c>
      <c r="AG732" s="63">
        <f>'OverNight $'!BM402</f>
        <v>40229401.498411261</v>
      </c>
      <c r="AH732" s="63">
        <f>'OverNight $'!BR402</f>
        <v>40231635.400171325</v>
      </c>
      <c r="AJ732" s="63"/>
      <c r="AK732" s="317"/>
      <c r="AL732" s="317"/>
    </row>
    <row r="733" spans="2:38" x14ac:dyDescent="0.25">
      <c r="B733" s="42">
        <v>46052</v>
      </c>
      <c r="C733" s="38"/>
      <c r="D733" s="38">
        <f t="shared" si="284"/>
        <v>92363.600000000093</v>
      </c>
      <c r="E733" s="105">
        <v>-1520000</v>
      </c>
      <c r="F733" s="38">
        <f>1665000-90000</f>
        <v>1575000</v>
      </c>
      <c r="G733" s="38">
        <f t="shared" si="285"/>
        <v>147363.60000000009</v>
      </c>
      <c r="H733" s="38">
        <f t="shared" si="286"/>
        <v>7130000</v>
      </c>
      <c r="I733" s="38"/>
      <c r="J733" s="38">
        <f t="shared" si="295"/>
        <v>6000000</v>
      </c>
      <c r="K733" s="177">
        <v>12000000</v>
      </c>
      <c r="L733" s="177"/>
      <c r="M733" s="177">
        <f t="shared" si="296"/>
        <v>15000000</v>
      </c>
      <c r="N733" s="177">
        <f>'codeis €'!Z403</f>
        <v>47203972.799999997</v>
      </c>
      <c r="O733" s="38">
        <f>'CT- € Ellipsis BNP'!X403</f>
        <v>100568037.71662171</v>
      </c>
      <c r="P733" s="38">
        <f t="shared" si="297"/>
        <v>0</v>
      </c>
      <c r="Q733" s="38">
        <f t="shared" si="297"/>
        <v>0</v>
      </c>
      <c r="R733" s="38">
        <f t="shared" si="297"/>
        <v>0</v>
      </c>
      <c r="S733" s="78">
        <v>46052</v>
      </c>
      <c r="T733" s="63"/>
      <c r="U733" s="63">
        <f t="shared" si="287"/>
        <v>55934.04666668037</v>
      </c>
      <c r="V733" s="63"/>
      <c r="W733" s="63"/>
      <c r="X733" s="63">
        <f t="shared" si="288"/>
        <v>55934.04666668037</v>
      </c>
      <c r="Y733" s="63">
        <f t="shared" si="289"/>
        <v>190000</v>
      </c>
      <c r="Z733" s="63">
        <f>'codeis $'!AB403</f>
        <v>156363411.59999999</v>
      </c>
      <c r="AA733" s="63">
        <f>'OverNight $'!M403+'OverNight $'!T403+'OverNight $'!AA403+'OverNight $'!AH403</f>
        <v>26000000</v>
      </c>
      <c r="AB733" s="63"/>
      <c r="AC733" s="63"/>
      <c r="AD733" s="63">
        <f>'OverNight $'!AV403</f>
        <v>25462493.68</v>
      </c>
      <c r="AE733" s="63">
        <f>'OverNight $'!BC403</f>
        <v>40229919.450000003</v>
      </c>
      <c r="AF733" s="63">
        <f>'OverNight $'!BH403</f>
        <v>40228691.289999999</v>
      </c>
      <c r="AG733" s="63">
        <f>'OverNight $'!BM403</f>
        <v>40229401.498411261</v>
      </c>
      <c r="AH733" s="63">
        <f>'OverNight $'!BR403</f>
        <v>40231635.400171325</v>
      </c>
      <c r="AJ733" s="63">
        <v>1.1919</v>
      </c>
      <c r="AK733" s="317">
        <f>SUM(G733:O733)+SUM(X733:AC733)/AJ733</f>
        <v>341257986.95886242</v>
      </c>
      <c r="AL733" s="317">
        <f>AK733+SUM(AD733:AH733)/AJ733</f>
        <v>497631962.39185393</v>
      </c>
    </row>
    <row r="734" spans="2:38" x14ac:dyDescent="0.25">
      <c r="B734" s="685">
        <v>46053</v>
      </c>
      <c r="C734" s="409">
        <v>-51967.46</v>
      </c>
      <c r="D734" s="409">
        <f t="shared" si="284"/>
        <v>95396.140000000101</v>
      </c>
      <c r="E734" s="409"/>
      <c r="F734" s="409"/>
      <c r="G734" s="409">
        <f t="shared" si="285"/>
        <v>95396.140000000101</v>
      </c>
      <c r="H734" s="409">
        <f t="shared" si="286"/>
        <v>7130000</v>
      </c>
      <c r="I734" s="409"/>
      <c r="J734" s="409">
        <f t="shared" si="295"/>
        <v>6000000</v>
      </c>
      <c r="K734" s="411">
        <v>12000000</v>
      </c>
      <c r="L734" s="411"/>
      <c r="M734" s="411">
        <f t="shared" si="296"/>
        <v>15000000</v>
      </c>
      <c r="N734" s="177">
        <f>'codeis €'!Z404</f>
        <v>0</v>
      </c>
      <c r="O734" s="38">
        <f>'CT- € Ellipsis BNP'!X404</f>
        <v>100568037.71662171</v>
      </c>
      <c r="P734" s="409">
        <f t="shared" ref="P734:R735" si="298">P733</f>
        <v>0</v>
      </c>
      <c r="Q734" s="409">
        <f t="shared" si="298"/>
        <v>0</v>
      </c>
      <c r="R734" s="409">
        <f t="shared" si="298"/>
        <v>0</v>
      </c>
      <c r="S734" s="413">
        <v>46053</v>
      </c>
      <c r="T734" s="414"/>
      <c r="U734" s="414">
        <f t="shared" si="287"/>
        <v>55934.04666668037</v>
      </c>
      <c r="V734" s="414"/>
      <c r="W734" s="414"/>
      <c r="X734" s="414">
        <f t="shared" si="288"/>
        <v>55934.04666668037</v>
      </c>
      <c r="Y734" s="414">
        <f t="shared" si="289"/>
        <v>190000</v>
      </c>
      <c r="Z734" s="414">
        <f>'codeis $'!AB404</f>
        <v>156363411.59999999</v>
      </c>
      <c r="AA734" s="63">
        <f>'OverNight $'!M404+'OverNight $'!T404+'OverNight $'!AA404+'OverNight $'!AH404</f>
        <v>26000000</v>
      </c>
      <c r="AB734" s="414"/>
      <c r="AC734" s="414"/>
      <c r="AD734" s="63">
        <f>'OverNight $'!AV404</f>
        <v>25462493.68</v>
      </c>
      <c r="AE734" s="63">
        <f>'OverNight $'!BC404</f>
        <v>40229919.450000003</v>
      </c>
      <c r="AF734" s="63">
        <f>'OverNight $'!BH404</f>
        <v>40228691.289999999</v>
      </c>
      <c r="AG734" s="63">
        <f>'OverNight $'!BM404</f>
        <v>40229401.498411261</v>
      </c>
      <c r="AH734" s="63">
        <f>'OverNight $'!BR404</f>
        <v>40231635.400171325</v>
      </c>
      <c r="AJ734" s="63">
        <v>1.1919</v>
      </c>
      <c r="AK734" s="317"/>
      <c r="AL734" s="317"/>
    </row>
    <row r="735" spans="2:38" x14ac:dyDescent="0.25">
      <c r="B735" s="42">
        <v>46054</v>
      </c>
      <c r="C735" s="38"/>
      <c r="D735" s="38">
        <f t="shared" si="284"/>
        <v>95396.140000000101</v>
      </c>
      <c r="E735" s="38"/>
      <c r="F735" s="38"/>
      <c r="G735" s="38">
        <f t="shared" si="285"/>
        <v>95396.140000000101</v>
      </c>
      <c r="H735" s="38">
        <f t="shared" si="286"/>
        <v>7130000</v>
      </c>
      <c r="I735" s="38"/>
      <c r="J735" s="38">
        <f>'OverNight €'!U405</f>
        <v>6010956.1600000001</v>
      </c>
      <c r="K735" s="177">
        <f>'OverNight €'!N405</f>
        <v>12000000</v>
      </c>
      <c r="L735" s="177"/>
      <c r="M735" s="177">
        <f>'OverNight €'!AB405</f>
        <v>15000000</v>
      </c>
      <c r="N735" s="177">
        <f>'codeis €'!Z405</f>
        <v>0</v>
      </c>
      <c r="O735" s="38">
        <f>'CT- € Ellipsis BNP'!X405</f>
        <v>100568037.71662171</v>
      </c>
      <c r="P735" s="38">
        <f t="shared" si="298"/>
        <v>0</v>
      </c>
      <c r="Q735" s="38">
        <f t="shared" si="298"/>
        <v>0</v>
      </c>
      <c r="R735" s="38">
        <f t="shared" si="298"/>
        <v>0</v>
      </c>
      <c r="S735" s="78">
        <v>46054</v>
      </c>
      <c r="T735" s="63"/>
      <c r="U735" s="63">
        <f t="shared" si="287"/>
        <v>55934.04666668037</v>
      </c>
      <c r="V735" s="63"/>
      <c r="W735" s="63"/>
      <c r="X735" s="63">
        <f t="shared" si="288"/>
        <v>55934.04666668037</v>
      </c>
      <c r="Y735" s="63">
        <f t="shared" si="289"/>
        <v>190000</v>
      </c>
      <c r="Z735" s="63">
        <f>'codeis $'!AB405</f>
        <v>156363411.59999999</v>
      </c>
      <c r="AA735" s="63">
        <f>'OverNight $'!M405+'OverNight $'!T405+'OverNight $'!AA405+'OverNight $'!AH405</f>
        <v>26000000</v>
      </c>
      <c r="AB735" s="63"/>
      <c r="AC735" s="63"/>
      <c r="AD735" s="63">
        <f>'OverNight $'!AV405</f>
        <v>0</v>
      </c>
      <c r="AE735" s="63">
        <f>'OverNight $'!BC405</f>
        <v>40354154.510000005</v>
      </c>
      <c r="AF735" s="63">
        <f>'OverNight $'!BH405</f>
        <v>40352257.880000003</v>
      </c>
      <c r="AG735" s="63">
        <f>'OverNight $'!BM405</f>
        <v>40353452.558411263</v>
      </c>
      <c r="AH735" s="63">
        <f>'OverNight $'!BR405</f>
        <v>40356827.200171322</v>
      </c>
      <c r="AJ735" s="63"/>
      <c r="AK735" s="317"/>
      <c r="AL735" s="317"/>
    </row>
    <row r="736" spans="2:38" x14ac:dyDescent="0.25">
      <c r="B736" s="42">
        <v>46055</v>
      </c>
      <c r="C736" s="38">
        <v>-38197.9</v>
      </c>
      <c r="D736" s="38">
        <f t="shared" ref="D736:D758" si="299">C736+G735</f>
        <v>57198.2400000001</v>
      </c>
      <c r="E736" s="38"/>
      <c r="F736" s="38"/>
      <c r="G736" s="38">
        <f t="shared" ref="G736:G758" si="300">D736+E736+F736</f>
        <v>57198.2400000001</v>
      </c>
      <c r="H736" s="38">
        <f t="shared" ref="H736:H758" si="301">H735-E736</f>
        <v>7130000</v>
      </c>
      <c r="I736" s="38"/>
      <c r="J736" s="38">
        <f>'OverNight €'!U406</f>
        <v>6010956.1600000001</v>
      </c>
      <c r="K736" s="177">
        <f>'OverNight €'!N406</f>
        <v>12000000</v>
      </c>
      <c r="L736" s="177"/>
      <c r="M736" s="177">
        <f>'OverNight €'!AB406</f>
        <v>15000000</v>
      </c>
      <c r="N736" s="177">
        <f>'codeis €'!Z406</f>
        <v>0</v>
      </c>
      <c r="O736" s="38">
        <f>'CT- € Ellipsis BNP'!X406</f>
        <v>100586829.21988881</v>
      </c>
      <c r="P736" s="38">
        <f t="shared" si="283"/>
        <v>0</v>
      </c>
      <c r="Q736" s="38">
        <f t="shared" si="283"/>
        <v>0</v>
      </c>
      <c r="R736" s="38">
        <f t="shared" si="283"/>
        <v>0</v>
      </c>
      <c r="S736" s="78">
        <v>46055</v>
      </c>
      <c r="T736" s="63"/>
      <c r="U736" s="63">
        <f t="shared" ref="U736:U758" si="302">T736+X735+W736</f>
        <v>55934.04666668037</v>
      </c>
      <c r="V736" s="63"/>
      <c r="W736" s="63"/>
      <c r="X736" s="63">
        <f t="shared" ref="X736:X758" si="303">V736+U736</f>
        <v>55934.04666668037</v>
      </c>
      <c r="Y736" s="63">
        <f t="shared" ref="Y736:Y758" si="304">Y735-V736</f>
        <v>190000</v>
      </c>
      <c r="Z736" s="63">
        <f>'codeis $'!AB406</f>
        <v>156412139.40000001</v>
      </c>
      <c r="AA736" s="63">
        <f>'OverNight $'!M406+'OverNight $'!T406+'OverNight $'!AA406+'OverNight $'!AH406</f>
        <v>26000000</v>
      </c>
      <c r="AB736" s="63"/>
      <c r="AC736" s="63"/>
      <c r="AD736" s="63">
        <f>'OverNight $'!AV406</f>
        <v>0</v>
      </c>
      <c r="AE736" s="63">
        <f>'OverNight $'!BC406</f>
        <v>0</v>
      </c>
      <c r="AF736" s="63">
        <f>'OverNight $'!BH406</f>
        <v>0</v>
      </c>
      <c r="AG736" s="63">
        <f>'OverNight $'!BM406</f>
        <v>0</v>
      </c>
      <c r="AH736" s="63">
        <f>'OverNight $'!BR406</f>
        <v>0</v>
      </c>
    </row>
    <row r="737" spans="2:34" x14ac:dyDescent="0.25">
      <c r="B737" s="42">
        <v>46056</v>
      </c>
      <c r="C737" s="38"/>
      <c r="D737" s="38">
        <f t="shared" si="299"/>
        <v>57198.2400000001</v>
      </c>
      <c r="E737" s="38"/>
      <c r="F737" s="38"/>
      <c r="G737" s="38">
        <f t="shared" si="300"/>
        <v>57198.2400000001</v>
      </c>
      <c r="H737" s="38">
        <f t="shared" si="301"/>
        <v>7130000</v>
      </c>
      <c r="I737" s="38"/>
      <c r="J737" s="38">
        <f>'OverNight €'!U407</f>
        <v>6010956.1600000001</v>
      </c>
      <c r="K737" s="177">
        <f>'OverNight €'!N407</f>
        <v>12000000</v>
      </c>
      <c r="L737" s="177"/>
      <c r="M737" s="177">
        <f>'OverNight €'!AB407</f>
        <v>15000000</v>
      </c>
      <c r="N737" s="177">
        <f>'codeis €'!Z407</f>
        <v>0</v>
      </c>
      <c r="O737" s="38">
        <f>'CT- € Ellipsis BNP'!X407</f>
        <v>100593093.05431117</v>
      </c>
      <c r="P737" s="38">
        <f t="shared" si="296"/>
        <v>0</v>
      </c>
      <c r="Q737" s="38">
        <f t="shared" si="296"/>
        <v>0</v>
      </c>
      <c r="R737" s="38">
        <f t="shared" si="296"/>
        <v>0</v>
      </c>
      <c r="S737" s="78">
        <v>46056</v>
      </c>
      <c r="T737" s="63"/>
      <c r="U737" s="63">
        <f t="shared" si="302"/>
        <v>59934.04666668037</v>
      </c>
      <c r="V737" s="63"/>
      <c r="W737" s="63">
        <v>4000</v>
      </c>
      <c r="X737" s="63">
        <f t="shared" si="303"/>
        <v>59934.04666668037</v>
      </c>
      <c r="Y737" s="63">
        <f t="shared" si="304"/>
        <v>190000</v>
      </c>
      <c r="Z737" s="63">
        <f>'codeis $'!AB407</f>
        <v>156428382.00000003</v>
      </c>
      <c r="AA737" s="63">
        <f>'OverNight $'!M407+'OverNight $'!T407+'OverNight $'!AA407+'OverNight $'!AH407</f>
        <v>26000000</v>
      </c>
      <c r="AB737" s="63"/>
      <c r="AC737" s="63"/>
      <c r="AD737" s="63">
        <f>'OverNight $'!AV407</f>
        <v>0</v>
      </c>
      <c r="AE737" s="63">
        <f>'OverNight $'!BC407</f>
        <v>0</v>
      </c>
      <c r="AF737" s="63">
        <f>'OverNight $'!BH407</f>
        <v>0</v>
      </c>
      <c r="AG737" s="63">
        <f>'OverNight $'!BM407</f>
        <v>0</v>
      </c>
      <c r="AH737" s="63">
        <f>'OverNight $'!BR407</f>
        <v>0</v>
      </c>
    </row>
    <row r="738" spans="2:34" x14ac:dyDescent="0.25">
      <c r="B738" s="42">
        <v>46057</v>
      </c>
      <c r="C738" s="38"/>
      <c r="D738" s="38">
        <f t="shared" si="299"/>
        <v>57198.2400000001</v>
      </c>
      <c r="E738" s="38"/>
      <c r="F738" s="38"/>
      <c r="G738" s="38">
        <f t="shared" si="300"/>
        <v>57198.2400000001</v>
      </c>
      <c r="H738" s="38">
        <f t="shared" si="301"/>
        <v>7130000</v>
      </c>
      <c r="I738" s="38"/>
      <c r="J738" s="38">
        <f>'OverNight €'!U408</f>
        <v>6010956.1600000001</v>
      </c>
      <c r="K738" s="177">
        <f>'OverNight €'!N408</f>
        <v>12000000</v>
      </c>
      <c r="L738" s="177"/>
      <c r="M738" s="177">
        <f>'OverNight €'!AB408</f>
        <v>15000000</v>
      </c>
      <c r="N738" s="177">
        <f>'codeis €'!Z408</f>
        <v>0</v>
      </c>
      <c r="O738" s="38">
        <f>'CT- € Ellipsis BNP'!X408</f>
        <v>0</v>
      </c>
      <c r="P738" s="38">
        <f t="shared" ref="P738:R738" si="305">P737</f>
        <v>0</v>
      </c>
      <c r="Q738" s="38">
        <f t="shared" si="305"/>
        <v>0</v>
      </c>
      <c r="R738" s="38">
        <f t="shared" si="305"/>
        <v>0</v>
      </c>
      <c r="S738" s="78">
        <v>46057</v>
      </c>
      <c r="T738" s="63">
        <v>5050983.33</v>
      </c>
      <c r="U738" s="63">
        <f t="shared" si="302"/>
        <v>5110917.37666668</v>
      </c>
      <c r="V738" s="102">
        <v>-5060000</v>
      </c>
      <c r="W738" s="63"/>
      <c r="X738" s="63">
        <f t="shared" si="303"/>
        <v>50917.376666679978</v>
      </c>
      <c r="Y738" s="63">
        <f t="shared" si="304"/>
        <v>5250000</v>
      </c>
      <c r="Z738" s="63">
        <f>'codeis $'!AB408</f>
        <v>0</v>
      </c>
      <c r="AA738" s="63">
        <f>'OverNight $'!M408+'OverNight $'!T408+'OverNight $'!AA408+'OverNight $'!AH408</f>
        <v>21000000</v>
      </c>
      <c r="AB738" s="63"/>
      <c r="AC738" s="63"/>
      <c r="AD738" s="63">
        <f>'OverNight $'!AV408</f>
        <v>0</v>
      </c>
      <c r="AE738" s="63">
        <f>'OverNight $'!BC408</f>
        <v>0</v>
      </c>
      <c r="AF738" s="63">
        <f>'OverNight $'!BH408</f>
        <v>0</v>
      </c>
      <c r="AG738" s="63">
        <f>'OverNight $'!BM408</f>
        <v>0</v>
      </c>
      <c r="AH738" s="63">
        <f>'OverNight $'!BR408</f>
        <v>0</v>
      </c>
    </row>
    <row r="739" spans="2:34" x14ac:dyDescent="0.25">
      <c r="B739" s="42">
        <v>46058</v>
      </c>
      <c r="C739" s="38"/>
      <c r="D739" s="38">
        <f t="shared" si="299"/>
        <v>57198.2400000001</v>
      </c>
      <c r="E739" s="38"/>
      <c r="F739" s="38"/>
      <c r="G739" s="38">
        <f t="shared" si="300"/>
        <v>57198.2400000001</v>
      </c>
      <c r="H739" s="38">
        <f t="shared" si="301"/>
        <v>7130000</v>
      </c>
      <c r="I739" s="38"/>
      <c r="J739" s="38">
        <f>'OverNight €'!U409</f>
        <v>6010956.1600000001</v>
      </c>
      <c r="K739" s="177">
        <f>'OverNight €'!N409</f>
        <v>12000000</v>
      </c>
      <c r="L739" s="177"/>
      <c r="M739" s="177">
        <f>'OverNight €'!AB409</f>
        <v>15000000</v>
      </c>
      <c r="N739" s="177">
        <f>'codeis €'!Z409</f>
        <v>0</v>
      </c>
      <c r="O739" s="38">
        <f>'CT- € Ellipsis BNP'!X409</f>
        <v>0</v>
      </c>
      <c r="P739" s="38">
        <f t="shared" ref="P739:R754" si="306">P738</f>
        <v>0</v>
      </c>
      <c r="Q739" s="38">
        <f t="shared" si="306"/>
        <v>0</v>
      </c>
      <c r="R739" s="38">
        <f t="shared" si="306"/>
        <v>0</v>
      </c>
      <c r="S739" s="78">
        <v>46058</v>
      </c>
      <c r="T739" s="63"/>
      <c r="U739" s="63">
        <f t="shared" si="302"/>
        <v>50917.376666679978</v>
      </c>
      <c r="V739" s="63"/>
      <c r="W739" s="63"/>
      <c r="X739" s="63">
        <f t="shared" si="303"/>
        <v>50917.376666679978</v>
      </c>
      <c r="Y739" s="63">
        <f t="shared" si="304"/>
        <v>5250000</v>
      </c>
      <c r="Z739" s="63">
        <f>'codeis $'!AB409</f>
        <v>0</v>
      </c>
      <c r="AA739" s="63">
        <f>'OverNight $'!M409+'OverNight $'!T409+'OverNight $'!AA409+'OverNight $'!AH409</f>
        <v>21000000</v>
      </c>
      <c r="AB739" s="63"/>
      <c r="AC739" s="63"/>
      <c r="AD739" s="63">
        <f>'OverNight $'!AV409</f>
        <v>0</v>
      </c>
      <c r="AE739" s="63">
        <f>'OverNight $'!BC409</f>
        <v>0</v>
      </c>
      <c r="AF739" s="63">
        <f>'OverNight $'!BH409</f>
        <v>0</v>
      </c>
      <c r="AG739" s="63">
        <f>'OverNight $'!BM409</f>
        <v>0</v>
      </c>
      <c r="AH739" s="63">
        <f>'OverNight $'!BR409</f>
        <v>0</v>
      </c>
    </row>
    <row r="740" spans="2:34" x14ac:dyDescent="0.25">
      <c r="B740" s="42">
        <v>46059</v>
      </c>
      <c r="C740" s="38"/>
      <c r="D740" s="38">
        <f t="shared" si="299"/>
        <v>57198.2400000001</v>
      </c>
      <c r="E740" s="38"/>
      <c r="F740" s="38"/>
      <c r="G740" s="38">
        <f t="shared" si="300"/>
        <v>57198.2400000001</v>
      </c>
      <c r="H740" s="38">
        <f t="shared" si="301"/>
        <v>7130000</v>
      </c>
      <c r="I740" s="38"/>
      <c r="J740" s="38">
        <f>'OverNight €'!U410</f>
        <v>6010956.1600000001</v>
      </c>
      <c r="K740" s="177">
        <f>'OverNight €'!N410</f>
        <v>12000000</v>
      </c>
      <c r="L740" s="177"/>
      <c r="M740" s="177">
        <f>'OverNight €'!AB410</f>
        <v>15000000</v>
      </c>
      <c r="N740" s="177">
        <f>'codeis €'!Z410</f>
        <v>0</v>
      </c>
      <c r="O740" s="38">
        <f>'CT- € Ellipsis BNP'!X410</f>
        <v>0</v>
      </c>
      <c r="P740" s="38">
        <f t="shared" si="306"/>
        <v>0</v>
      </c>
      <c r="Q740" s="38">
        <f t="shared" si="306"/>
        <v>0</v>
      </c>
      <c r="R740" s="38">
        <f t="shared" si="306"/>
        <v>0</v>
      </c>
      <c r="S740" s="78">
        <v>46059</v>
      </c>
      <c r="T740" s="63">
        <v>-4535590.4000000004</v>
      </c>
      <c r="U740" s="63">
        <f t="shared" si="302"/>
        <v>-4484673.0233333204</v>
      </c>
      <c r="V740" s="102">
        <v>4530000</v>
      </c>
      <c r="W740" s="63"/>
      <c r="X740" s="63">
        <f t="shared" si="303"/>
        <v>45326.976666679606</v>
      </c>
      <c r="Y740" s="63">
        <f t="shared" si="304"/>
        <v>720000</v>
      </c>
      <c r="Z740" s="414">
        <f>'codeis $'!AB410</f>
        <v>0</v>
      </c>
      <c r="AA740" s="63">
        <f>'OverNight $'!M410+'OverNight $'!T410+'OverNight $'!AA410+'OverNight $'!AH410</f>
        <v>21000000</v>
      </c>
      <c r="AB740" s="63"/>
      <c r="AC740" s="63"/>
      <c r="AD740" s="63">
        <f>'OverNight $'!AV410</f>
        <v>0</v>
      </c>
      <c r="AE740" s="63">
        <f>'OverNight $'!BC410</f>
        <v>0</v>
      </c>
      <c r="AF740" s="63">
        <f>'OverNight $'!BH410</f>
        <v>0</v>
      </c>
      <c r="AG740" s="63">
        <f>'OverNight $'!BM410</f>
        <v>0</v>
      </c>
      <c r="AH740" s="63">
        <f>'OverNight $'!BR410</f>
        <v>0</v>
      </c>
    </row>
    <row r="741" spans="2:34" x14ac:dyDescent="0.25">
      <c r="B741" s="42">
        <v>46060</v>
      </c>
      <c r="C741" s="38"/>
      <c r="D741" s="38">
        <f t="shared" si="299"/>
        <v>57198.2400000001</v>
      </c>
      <c r="E741" s="38"/>
      <c r="F741" s="38"/>
      <c r="G741" s="38">
        <f t="shared" si="300"/>
        <v>57198.2400000001</v>
      </c>
      <c r="H741" s="38">
        <f t="shared" si="301"/>
        <v>7130000</v>
      </c>
      <c r="I741" s="38"/>
      <c r="J741" s="38">
        <f>'OverNight €'!U411</f>
        <v>6010956.1600000001</v>
      </c>
      <c r="K741" s="177">
        <f>'OverNight €'!N411</f>
        <v>12000000</v>
      </c>
      <c r="L741" s="177"/>
      <c r="M741" s="177">
        <f>'OverNight €'!AB411</f>
        <v>15000000</v>
      </c>
      <c r="N741" s="177">
        <f>'codeis €'!Z411</f>
        <v>0</v>
      </c>
      <c r="O741" s="38">
        <f>'CT- € Ellipsis BNP'!X411</f>
        <v>0</v>
      </c>
      <c r="P741" s="38">
        <f t="shared" si="306"/>
        <v>0</v>
      </c>
      <c r="Q741" s="38">
        <f t="shared" si="306"/>
        <v>0</v>
      </c>
      <c r="R741" s="38">
        <f t="shared" si="306"/>
        <v>0</v>
      </c>
      <c r="S741" s="78">
        <v>46060</v>
      </c>
      <c r="T741" s="63"/>
      <c r="U741" s="63">
        <f t="shared" si="302"/>
        <v>45326.976666679606</v>
      </c>
      <c r="V741" s="63"/>
      <c r="W741" s="63"/>
      <c r="X741" s="63">
        <f t="shared" si="303"/>
        <v>45326.976666679606</v>
      </c>
      <c r="Y741" s="63">
        <f t="shared" si="304"/>
        <v>720000</v>
      </c>
      <c r="Z741" s="63">
        <f>'codeis $'!AB411</f>
        <v>0</v>
      </c>
      <c r="AA741" s="63">
        <f>'OverNight $'!M411+'OverNight $'!T411+'OverNight $'!AA411+'OverNight $'!AH411</f>
        <v>21000000</v>
      </c>
      <c r="AB741" s="63"/>
      <c r="AC741" s="63"/>
      <c r="AD741" s="63">
        <f>'OverNight $'!AV411</f>
        <v>0</v>
      </c>
      <c r="AE741" s="63">
        <f>'OverNight $'!BC411</f>
        <v>0</v>
      </c>
      <c r="AF741" s="63">
        <f>'OverNight $'!BH411</f>
        <v>0</v>
      </c>
      <c r="AG741" s="63">
        <f>'OverNight $'!BM411</f>
        <v>0</v>
      </c>
      <c r="AH741" s="63">
        <f>'OverNight $'!BR411</f>
        <v>0</v>
      </c>
    </row>
    <row r="742" spans="2:34" x14ac:dyDescent="0.25">
      <c r="B742" s="42">
        <v>46061</v>
      </c>
      <c r="C742" s="38"/>
      <c r="D742" s="38">
        <f t="shared" si="299"/>
        <v>57198.2400000001</v>
      </c>
      <c r="E742" s="38"/>
      <c r="F742" s="38"/>
      <c r="G742" s="38">
        <f t="shared" si="300"/>
        <v>57198.2400000001</v>
      </c>
      <c r="H742" s="38">
        <f t="shared" si="301"/>
        <v>7130000</v>
      </c>
      <c r="I742" s="38"/>
      <c r="J742" s="38">
        <f>'OverNight €'!U412</f>
        <v>6010956.1600000001</v>
      </c>
      <c r="K742" s="177">
        <f>'OverNight €'!N412</f>
        <v>12000000</v>
      </c>
      <c r="L742" s="177"/>
      <c r="M742" s="177">
        <f>'OverNight €'!AB412</f>
        <v>15000000</v>
      </c>
      <c r="N742" s="177">
        <f>'codeis €'!Z412</f>
        <v>0</v>
      </c>
      <c r="O742" s="38">
        <f>'CT- € Ellipsis BNP'!X412</f>
        <v>0</v>
      </c>
      <c r="P742" s="38">
        <f t="shared" si="306"/>
        <v>0</v>
      </c>
      <c r="Q742" s="38">
        <f t="shared" si="306"/>
        <v>0</v>
      </c>
      <c r="R742" s="38">
        <f t="shared" si="306"/>
        <v>0</v>
      </c>
      <c r="S742" s="78">
        <v>46061</v>
      </c>
      <c r="T742" s="63"/>
      <c r="U742" s="63">
        <f t="shared" si="302"/>
        <v>45326.976666679606</v>
      </c>
      <c r="V742" s="63"/>
      <c r="W742" s="63"/>
      <c r="X742" s="63">
        <f t="shared" si="303"/>
        <v>45326.976666679606</v>
      </c>
      <c r="Y742" s="63">
        <f t="shared" si="304"/>
        <v>720000</v>
      </c>
      <c r="Z742" s="63">
        <f>'codeis $'!AB412</f>
        <v>0</v>
      </c>
      <c r="AA742" s="63">
        <f>'OverNight $'!M412+'OverNight $'!T412+'OverNight $'!AA412+'OverNight $'!AH412</f>
        <v>21000000</v>
      </c>
      <c r="AB742" s="63"/>
      <c r="AC742" s="63"/>
      <c r="AD742" s="63">
        <f>'OverNight $'!AV412</f>
        <v>0</v>
      </c>
      <c r="AE742" s="63">
        <f>'OverNight $'!BC412</f>
        <v>0</v>
      </c>
      <c r="AF742" s="63">
        <f>'OverNight $'!BH412</f>
        <v>0</v>
      </c>
      <c r="AG742" s="63">
        <f>'OverNight $'!BM412</f>
        <v>0</v>
      </c>
      <c r="AH742" s="63">
        <f>'OverNight $'!BR412</f>
        <v>0</v>
      </c>
    </row>
    <row r="743" spans="2:34" x14ac:dyDescent="0.25">
      <c r="B743" s="42">
        <v>46062</v>
      </c>
      <c r="C743" s="38"/>
      <c r="D743" s="38">
        <f t="shared" si="299"/>
        <v>57198.2400000001</v>
      </c>
      <c r="E743" s="38"/>
      <c r="F743" s="38">
        <v>50000</v>
      </c>
      <c r="G743" s="38">
        <f t="shared" si="300"/>
        <v>107198.24000000011</v>
      </c>
      <c r="H743" s="38">
        <f t="shared" si="301"/>
        <v>7130000</v>
      </c>
      <c r="I743" s="38"/>
      <c r="J743" s="38">
        <f>'OverNight €'!U413</f>
        <v>6010956.1600000001</v>
      </c>
      <c r="K743" s="177">
        <f>'OverNight €'!N413</f>
        <v>12000000</v>
      </c>
      <c r="L743" s="177"/>
      <c r="M743" s="177">
        <f>'OverNight €'!AB413</f>
        <v>15000000</v>
      </c>
      <c r="N743" s="177">
        <f>'codeis €'!Z413</f>
        <v>0</v>
      </c>
      <c r="O743" s="38">
        <f>'CT- € Ellipsis BNP'!X413</f>
        <v>0</v>
      </c>
      <c r="P743" s="38">
        <f t="shared" si="306"/>
        <v>0</v>
      </c>
      <c r="Q743" s="38">
        <f t="shared" si="306"/>
        <v>0</v>
      </c>
      <c r="R743" s="38">
        <f t="shared" si="306"/>
        <v>0</v>
      </c>
      <c r="S743" s="78">
        <v>46062</v>
      </c>
      <c r="T743" s="63"/>
      <c r="U743" s="63">
        <f t="shared" si="302"/>
        <v>45326.976666679606</v>
      </c>
      <c r="V743" s="63"/>
      <c r="W743" s="63"/>
      <c r="X743" s="63">
        <f t="shared" si="303"/>
        <v>45326.976666679606</v>
      </c>
      <c r="Y743" s="63">
        <f t="shared" si="304"/>
        <v>720000</v>
      </c>
      <c r="Z743" s="63">
        <f>'codeis $'!AB413</f>
        <v>0</v>
      </c>
      <c r="AA743" s="63">
        <f>'OverNight $'!M413+'OverNight $'!T413+'OverNight $'!AA413+'OverNight $'!AH413</f>
        <v>21000000</v>
      </c>
      <c r="AB743" s="63"/>
      <c r="AC743" s="63"/>
      <c r="AD743" s="63">
        <f>'OverNight $'!AV413</f>
        <v>0</v>
      </c>
      <c r="AE743" s="63">
        <f>'OverNight $'!BC413</f>
        <v>0</v>
      </c>
      <c r="AF743" s="63">
        <f>'OverNight $'!BH413</f>
        <v>0</v>
      </c>
      <c r="AG743" s="63">
        <f>'OverNight $'!BM413</f>
        <v>0</v>
      </c>
      <c r="AH743" s="63">
        <f>'OverNight $'!BR413</f>
        <v>0</v>
      </c>
    </row>
    <row r="744" spans="2:34" x14ac:dyDescent="0.25">
      <c r="B744" s="42">
        <v>46063</v>
      </c>
      <c r="C744" s="38">
        <v>-2257817.7200000002</v>
      </c>
      <c r="D744" s="38">
        <f t="shared" si="299"/>
        <v>-2150619.48</v>
      </c>
      <c r="E744" s="105">
        <v>2250000</v>
      </c>
      <c r="F744" s="38"/>
      <c r="G744" s="38">
        <f t="shared" si="300"/>
        <v>99380.520000000019</v>
      </c>
      <c r="H744" s="38">
        <f t="shared" si="301"/>
        <v>4880000</v>
      </c>
      <c r="I744" s="38"/>
      <c r="J744" s="38">
        <f>'OverNight €'!U414</f>
        <v>6010956.1600000001</v>
      </c>
      <c r="K744" s="177">
        <f>'OverNight €'!N414</f>
        <v>12000000</v>
      </c>
      <c r="L744" s="177"/>
      <c r="M744" s="177">
        <f>'OverNight €'!AB414</f>
        <v>15000000</v>
      </c>
      <c r="N744" s="177">
        <f>'codeis €'!Z414</f>
        <v>0</v>
      </c>
      <c r="O744" s="38">
        <f>'CT- € Ellipsis BNP'!X414</f>
        <v>0</v>
      </c>
      <c r="P744" s="38">
        <f t="shared" si="306"/>
        <v>0</v>
      </c>
      <c r="Q744" s="38">
        <f t="shared" si="306"/>
        <v>0</v>
      </c>
      <c r="R744" s="38">
        <f t="shared" si="306"/>
        <v>0</v>
      </c>
      <c r="S744" s="78">
        <v>46063</v>
      </c>
      <c r="T744" s="63">
        <v>-480654.55</v>
      </c>
      <c r="U744" s="63">
        <f t="shared" si="302"/>
        <v>-435327.57333332038</v>
      </c>
      <c r="V744" s="102">
        <v>480000</v>
      </c>
      <c r="W744" s="63"/>
      <c r="X744" s="63">
        <f t="shared" si="303"/>
        <v>44672.426666679617</v>
      </c>
      <c r="Y744" s="63">
        <f t="shared" si="304"/>
        <v>240000</v>
      </c>
      <c r="Z744" s="63">
        <f>'codeis $'!AB414</f>
        <v>0</v>
      </c>
      <c r="AA744" s="63">
        <f>'OverNight $'!M414+'OverNight $'!T414+'OverNight $'!AA414+'OverNight $'!AH414</f>
        <v>21000000</v>
      </c>
      <c r="AB744" s="63"/>
      <c r="AC744" s="63"/>
      <c r="AD744" s="63">
        <f>'OverNight $'!AV414</f>
        <v>0</v>
      </c>
      <c r="AE744" s="63">
        <f>'OverNight $'!BC414</f>
        <v>0</v>
      </c>
      <c r="AF744" s="63">
        <f>'OverNight $'!BH414</f>
        <v>0</v>
      </c>
      <c r="AG744" s="63">
        <f>'OverNight $'!BM414</f>
        <v>0</v>
      </c>
      <c r="AH744" s="63">
        <f>'OverNight $'!BR414</f>
        <v>0</v>
      </c>
    </row>
    <row r="745" spans="2:34" x14ac:dyDescent="0.25">
      <c r="B745" s="42">
        <v>46064</v>
      </c>
      <c r="C745" s="38"/>
      <c r="D745" s="38">
        <f t="shared" si="299"/>
        <v>99380.520000000019</v>
      </c>
      <c r="E745" s="38"/>
      <c r="F745" s="38"/>
      <c r="G745" s="38">
        <f t="shared" si="300"/>
        <v>99380.520000000019</v>
      </c>
      <c r="H745" s="38">
        <f t="shared" si="301"/>
        <v>4880000</v>
      </c>
      <c r="I745" s="38"/>
      <c r="J745" s="38">
        <f>'OverNight €'!U415</f>
        <v>6010956.1600000001</v>
      </c>
      <c r="K745" s="177">
        <f>'OverNight €'!N415</f>
        <v>12000000</v>
      </c>
      <c r="L745" s="177"/>
      <c r="M745" s="177">
        <f>'OverNight €'!AB415</f>
        <v>15000000</v>
      </c>
      <c r="N745" s="177">
        <f>'codeis €'!Z415</f>
        <v>0</v>
      </c>
      <c r="O745" s="38">
        <f>'CT- € Ellipsis BNP'!X415</f>
        <v>0</v>
      </c>
      <c r="P745" s="38">
        <f t="shared" si="306"/>
        <v>0</v>
      </c>
      <c r="Q745" s="38">
        <f t="shared" si="306"/>
        <v>0</v>
      </c>
      <c r="R745" s="38">
        <f t="shared" si="306"/>
        <v>0</v>
      </c>
      <c r="S745" s="78">
        <v>46064</v>
      </c>
      <c r="T745" s="63">
        <v>-53827.58</v>
      </c>
      <c r="U745" s="63">
        <f t="shared" si="302"/>
        <v>-9155.1533333203843</v>
      </c>
      <c r="V745" s="82">
        <v>50000</v>
      </c>
      <c r="W745" s="63"/>
      <c r="X745" s="63">
        <f t="shared" si="303"/>
        <v>40844.846666679616</v>
      </c>
      <c r="Y745" s="63">
        <f t="shared" si="304"/>
        <v>190000</v>
      </c>
      <c r="Z745" s="63">
        <f>'codeis $'!AB415</f>
        <v>0</v>
      </c>
      <c r="AA745" s="63">
        <f>'OverNight $'!M415+'OverNight $'!T415+'OverNight $'!AA415+'OverNight $'!AH415</f>
        <v>21000000</v>
      </c>
      <c r="AB745" s="63"/>
      <c r="AC745" s="63"/>
      <c r="AD745" s="63">
        <f>'OverNight $'!AV415</f>
        <v>0</v>
      </c>
      <c r="AE745" s="63">
        <f>'OverNight $'!BC415</f>
        <v>0</v>
      </c>
      <c r="AF745" s="63">
        <f>'OverNight $'!BH415</f>
        <v>0</v>
      </c>
      <c r="AG745" s="63">
        <f>'OverNight $'!BM415</f>
        <v>0</v>
      </c>
      <c r="AH745" s="63">
        <f>'OverNight $'!BR415</f>
        <v>0</v>
      </c>
    </row>
    <row r="746" spans="2:34" x14ac:dyDescent="0.25">
      <c r="B746" s="42">
        <v>46065</v>
      </c>
      <c r="C746" s="38"/>
      <c r="D746" s="38">
        <f t="shared" si="299"/>
        <v>99380.520000000019</v>
      </c>
      <c r="E746" s="38"/>
      <c r="F746" s="38"/>
      <c r="G746" s="38">
        <f t="shared" si="300"/>
        <v>99380.520000000019</v>
      </c>
      <c r="H746" s="38">
        <f t="shared" si="301"/>
        <v>4880000</v>
      </c>
      <c r="I746" s="38"/>
      <c r="J746" s="38">
        <f>'OverNight €'!U416</f>
        <v>6010956.1600000001</v>
      </c>
      <c r="K746" s="177">
        <f>'OverNight €'!N416</f>
        <v>12000000</v>
      </c>
      <c r="L746" s="177"/>
      <c r="M746" s="177">
        <f>'OverNight €'!AB416</f>
        <v>15000000</v>
      </c>
      <c r="N746" s="177">
        <f>'codeis €'!Z416</f>
        <v>0</v>
      </c>
      <c r="O746" s="38">
        <f>'CT- € Ellipsis BNP'!X416</f>
        <v>0</v>
      </c>
      <c r="P746" s="38">
        <f t="shared" si="306"/>
        <v>0</v>
      </c>
      <c r="Q746" s="38">
        <f t="shared" si="306"/>
        <v>0</v>
      </c>
      <c r="R746" s="38">
        <f t="shared" si="306"/>
        <v>0</v>
      </c>
      <c r="S746" s="78">
        <v>46065</v>
      </c>
      <c r="T746" s="63"/>
      <c r="U746" s="63">
        <f t="shared" si="302"/>
        <v>40844.846666679616</v>
      </c>
      <c r="V746" s="63"/>
      <c r="W746" s="63"/>
      <c r="X746" s="63">
        <f t="shared" si="303"/>
        <v>40844.846666679616</v>
      </c>
      <c r="Y746" s="63">
        <f t="shared" si="304"/>
        <v>190000</v>
      </c>
      <c r="Z746" s="63">
        <f>'codeis $'!AB416</f>
        <v>0</v>
      </c>
      <c r="AA746" s="63">
        <f>'OverNight $'!M416+'OverNight $'!T416+'OverNight $'!AA416+'OverNight $'!AH416</f>
        <v>21000000</v>
      </c>
      <c r="AB746" s="63"/>
      <c r="AC746" s="63"/>
      <c r="AD746" s="63">
        <f>'OverNight $'!AV416</f>
        <v>0</v>
      </c>
      <c r="AE746" s="63">
        <f>'OverNight $'!BC416</f>
        <v>0</v>
      </c>
      <c r="AF746" s="63">
        <f>'OverNight $'!BH416</f>
        <v>0</v>
      </c>
      <c r="AG746" s="63">
        <f>'OverNight $'!BM416</f>
        <v>0</v>
      </c>
      <c r="AH746" s="63">
        <f>'OverNight $'!BR416</f>
        <v>0</v>
      </c>
    </row>
    <row r="747" spans="2:34" x14ac:dyDescent="0.25">
      <c r="B747" s="42">
        <v>46066</v>
      </c>
      <c r="C747" s="38"/>
      <c r="D747" s="38">
        <f t="shared" si="299"/>
        <v>99380.520000000019</v>
      </c>
      <c r="E747" s="38"/>
      <c r="F747" s="38"/>
      <c r="G747" s="38">
        <f t="shared" si="300"/>
        <v>99380.520000000019</v>
      </c>
      <c r="H747" s="38">
        <f t="shared" si="301"/>
        <v>4880000</v>
      </c>
      <c r="I747" s="38"/>
      <c r="J747" s="38">
        <f>'OverNight €'!U417</f>
        <v>6010956.1600000001</v>
      </c>
      <c r="K747" s="177">
        <f>'OverNight €'!N417</f>
        <v>12000000</v>
      </c>
      <c r="L747" s="177"/>
      <c r="M747" s="177">
        <f>'OverNight €'!AB417</f>
        <v>15000000</v>
      </c>
      <c r="N747" s="177">
        <f>'codeis €'!Z417</f>
        <v>0</v>
      </c>
      <c r="O747" s="38">
        <f>'CT- € Ellipsis BNP'!X417</f>
        <v>0</v>
      </c>
      <c r="P747" s="38">
        <f t="shared" si="306"/>
        <v>0</v>
      </c>
      <c r="Q747" s="38">
        <f t="shared" si="306"/>
        <v>0</v>
      </c>
      <c r="R747" s="38">
        <f t="shared" si="306"/>
        <v>0</v>
      </c>
      <c r="S747" s="78">
        <v>46066</v>
      </c>
      <c r="T747" s="63"/>
      <c r="U747" s="63">
        <f t="shared" si="302"/>
        <v>40844.846666679616</v>
      </c>
      <c r="V747" s="63"/>
      <c r="W747" s="63"/>
      <c r="X747" s="63">
        <f t="shared" si="303"/>
        <v>40844.846666679616</v>
      </c>
      <c r="Y747" s="63">
        <f t="shared" si="304"/>
        <v>190000</v>
      </c>
      <c r="Z747" s="63">
        <f>'codeis $'!AB417</f>
        <v>0</v>
      </c>
      <c r="AA747" s="63">
        <f>'OverNight $'!M417+'OverNight $'!T417+'OverNight $'!AA417+'OverNight $'!AH417</f>
        <v>21000000</v>
      </c>
      <c r="AB747" s="63"/>
      <c r="AC747" s="63"/>
      <c r="AD747" s="63">
        <f>'OverNight $'!AV417</f>
        <v>0</v>
      </c>
      <c r="AE747" s="63">
        <f>'OverNight $'!BC417</f>
        <v>0</v>
      </c>
      <c r="AF747" s="63">
        <f>'OverNight $'!BH417</f>
        <v>0</v>
      </c>
      <c r="AG747" s="63">
        <f>'OverNight $'!BM417</f>
        <v>0</v>
      </c>
      <c r="AH747" s="63">
        <f>'OverNight $'!BR417</f>
        <v>0</v>
      </c>
    </row>
    <row r="748" spans="2:34" x14ac:dyDescent="0.25">
      <c r="B748" s="42">
        <v>46067</v>
      </c>
      <c r="C748" s="38"/>
      <c r="D748" s="38">
        <f t="shared" si="299"/>
        <v>99380.520000000019</v>
      </c>
      <c r="E748" s="38"/>
      <c r="F748" s="38"/>
      <c r="G748" s="38">
        <f t="shared" si="300"/>
        <v>99380.520000000019</v>
      </c>
      <c r="H748" s="38">
        <f t="shared" si="301"/>
        <v>4880000</v>
      </c>
      <c r="I748" s="38"/>
      <c r="J748" s="38">
        <f>'OverNight €'!U418</f>
        <v>6010956.1600000001</v>
      </c>
      <c r="K748" s="177">
        <f>'OverNight €'!N418</f>
        <v>12000000</v>
      </c>
      <c r="L748" s="177"/>
      <c r="M748" s="177">
        <f>'OverNight €'!AB418</f>
        <v>15000000</v>
      </c>
      <c r="N748" s="177">
        <f>'codeis €'!Z418</f>
        <v>0</v>
      </c>
      <c r="O748" s="38">
        <f>'CT- € Ellipsis BNP'!X418</f>
        <v>0</v>
      </c>
      <c r="P748" s="38">
        <f t="shared" si="306"/>
        <v>0</v>
      </c>
      <c r="Q748" s="38">
        <f t="shared" si="306"/>
        <v>0</v>
      </c>
      <c r="R748" s="38">
        <f t="shared" si="306"/>
        <v>0</v>
      </c>
      <c r="S748" s="78">
        <v>46067</v>
      </c>
      <c r="T748" s="63"/>
      <c r="U748" s="63">
        <f t="shared" si="302"/>
        <v>40844.846666679616</v>
      </c>
      <c r="V748" s="63"/>
      <c r="W748" s="63"/>
      <c r="X748" s="63">
        <f t="shared" si="303"/>
        <v>40844.846666679616</v>
      </c>
      <c r="Y748" s="63">
        <f t="shared" si="304"/>
        <v>190000</v>
      </c>
      <c r="Z748" s="63">
        <f>'codeis $'!AB418</f>
        <v>0</v>
      </c>
      <c r="AA748" s="63">
        <f>'OverNight $'!M418+'OverNight $'!T418+'OverNight $'!AA418+'OverNight $'!AH418</f>
        <v>21000000</v>
      </c>
      <c r="AB748" s="63"/>
      <c r="AC748" s="63"/>
      <c r="AD748" s="63">
        <f>'OverNight $'!AV418</f>
        <v>0</v>
      </c>
      <c r="AE748" s="63">
        <f>'OverNight $'!BC418</f>
        <v>0</v>
      </c>
      <c r="AF748" s="63">
        <f>'OverNight $'!BH418</f>
        <v>0</v>
      </c>
      <c r="AG748" s="63">
        <f>'OverNight $'!BM418</f>
        <v>0</v>
      </c>
      <c r="AH748" s="63">
        <f>'OverNight $'!BR418</f>
        <v>0</v>
      </c>
    </row>
    <row r="749" spans="2:34" x14ac:dyDescent="0.25">
      <c r="B749" s="42">
        <v>46068</v>
      </c>
      <c r="C749" s="38"/>
      <c r="D749" s="38">
        <f t="shared" si="299"/>
        <v>99380.520000000019</v>
      </c>
      <c r="E749" s="38"/>
      <c r="F749" s="38"/>
      <c r="G749" s="38">
        <f t="shared" si="300"/>
        <v>99380.520000000019</v>
      </c>
      <c r="H749" s="38">
        <f t="shared" si="301"/>
        <v>4880000</v>
      </c>
      <c r="I749" s="38"/>
      <c r="J749" s="38">
        <f>'OverNight €'!U419</f>
        <v>6010956.1600000001</v>
      </c>
      <c r="K749" s="177">
        <f>'OverNight €'!N419</f>
        <v>12000000</v>
      </c>
      <c r="L749" s="177"/>
      <c r="M749" s="177">
        <f>'OverNight €'!AB419</f>
        <v>15000000</v>
      </c>
      <c r="N749" s="177">
        <f>'codeis €'!Z419</f>
        <v>0</v>
      </c>
      <c r="O749" s="38">
        <f>'CT- € Ellipsis BNP'!X419</f>
        <v>0</v>
      </c>
      <c r="P749" s="38">
        <f t="shared" si="306"/>
        <v>0</v>
      </c>
      <c r="Q749" s="38">
        <f t="shared" si="306"/>
        <v>0</v>
      </c>
      <c r="R749" s="38">
        <f t="shared" si="306"/>
        <v>0</v>
      </c>
      <c r="S749" s="78">
        <v>46068</v>
      </c>
      <c r="T749" s="63"/>
      <c r="U749" s="63">
        <f t="shared" si="302"/>
        <v>40844.846666679616</v>
      </c>
      <c r="V749" s="63"/>
      <c r="W749" s="63"/>
      <c r="X749" s="63">
        <f t="shared" si="303"/>
        <v>40844.846666679616</v>
      </c>
      <c r="Y749" s="63">
        <f t="shared" si="304"/>
        <v>190000</v>
      </c>
      <c r="Z749" s="63">
        <f>'codeis $'!AB419</f>
        <v>0</v>
      </c>
      <c r="AA749" s="63">
        <f>'OverNight $'!M419+'OverNight $'!T419+'OverNight $'!AA419+'OverNight $'!AH419</f>
        <v>21000000</v>
      </c>
      <c r="AB749" s="63"/>
      <c r="AC749" s="63"/>
      <c r="AD749" s="63">
        <f>'OverNight $'!AV419</f>
        <v>0</v>
      </c>
      <c r="AE749" s="63">
        <f>'OverNight $'!BC419</f>
        <v>0</v>
      </c>
      <c r="AF749" s="63">
        <f>'OverNight $'!BH419</f>
        <v>0</v>
      </c>
      <c r="AG749" s="63">
        <f>'OverNight $'!BM419</f>
        <v>0</v>
      </c>
      <c r="AH749" s="63">
        <f>'OverNight $'!BR419</f>
        <v>0</v>
      </c>
    </row>
    <row r="750" spans="2:34" x14ac:dyDescent="0.25">
      <c r="B750" s="42">
        <v>46069</v>
      </c>
      <c r="C750" s="38">
        <v>-190422.15</v>
      </c>
      <c r="D750" s="38">
        <f t="shared" si="299"/>
        <v>-91041.629999999976</v>
      </c>
      <c r="E750" s="38"/>
      <c r="F750" s="38">
        <f>143000</f>
        <v>143000</v>
      </c>
      <c r="G750" s="38">
        <f t="shared" si="300"/>
        <v>51958.370000000024</v>
      </c>
      <c r="H750" s="38">
        <f t="shared" si="301"/>
        <v>4880000</v>
      </c>
      <c r="I750" s="38"/>
      <c r="J750" s="38">
        <f>'OverNight €'!U420</f>
        <v>6010956.1600000001</v>
      </c>
      <c r="K750" s="177">
        <f>'OverNight €'!N420</f>
        <v>12000000</v>
      </c>
      <c r="L750" s="177"/>
      <c r="M750" s="177">
        <f>'OverNight €'!AB420</f>
        <v>15000000</v>
      </c>
      <c r="N750" s="177">
        <f>'codeis €'!Z420</f>
        <v>0</v>
      </c>
      <c r="O750" s="38">
        <f>'CT- € Ellipsis BNP'!X420</f>
        <v>0</v>
      </c>
      <c r="P750" s="38">
        <f t="shared" si="306"/>
        <v>0</v>
      </c>
      <c r="Q750" s="38">
        <f t="shared" si="306"/>
        <v>0</v>
      </c>
      <c r="R750" s="38">
        <f t="shared" si="306"/>
        <v>0</v>
      </c>
      <c r="S750" s="78">
        <v>46069</v>
      </c>
      <c r="T750" s="63"/>
      <c r="U750" s="63">
        <f t="shared" si="302"/>
        <v>40844.846666679616</v>
      </c>
      <c r="V750" s="63"/>
      <c r="W750" s="63"/>
      <c r="X750" s="63">
        <f t="shared" si="303"/>
        <v>40844.846666679616</v>
      </c>
      <c r="Y750" s="63">
        <f t="shared" si="304"/>
        <v>190000</v>
      </c>
      <c r="Z750" s="63">
        <f>'codeis $'!AB420</f>
        <v>0</v>
      </c>
      <c r="AA750" s="63">
        <f>'OverNight $'!M420+'OverNight $'!T420+'OverNight $'!AA420+'OverNight $'!AH420</f>
        <v>21000000</v>
      </c>
      <c r="AB750" s="63"/>
      <c r="AC750" s="63"/>
      <c r="AD750" s="63">
        <f>'OverNight $'!AV420</f>
        <v>0</v>
      </c>
      <c r="AE750" s="63">
        <f>'OverNight $'!BC420</f>
        <v>0</v>
      </c>
      <c r="AF750" s="63">
        <f>'OverNight $'!BH420</f>
        <v>0</v>
      </c>
      <c r="AG750" s="63">
        <f>'OverNight $'!BM420</f>
        <v>0</v>
      </c>
      <c r="AH750" s="63">
        <f>'OverNight $'!BR420</f>
        <v>0</v>
      </c>
    </row>
    <row r="751" spans="2:34" x14ac:dyDescent="0.25">
      <c r="B751" s="42">
        <v>46070</v>
      </c>
      <c r="C751" s="38"/>
      <c r="D751" s="38">
        <f t="shared" si="299"/>
        <v>51958.370000000024</v>
      </c>
      <c r="E751" s="38"/>
      <c r="F751" s="38">
        <v>-100000</v>
      </c>
      <c r="G751" s="38">
        <f t="shared" si="300"/>
        <v>-48041.629999999976</v>
      </c>
      <c r="H751" s="38">
        <f t="shared" si="301"/>
        <v>4880000</v>
      </c>
      <c r="I751" s="38"/>
      <c r="J751" s="38">
        <f>'OverNight €'!U421</f>
        <v>6010956.1600000001</v>
      </c>
      <c r="K751" s="177">
        <f>'OverNight €'!N421</f>
        <v>12000000</v>
      </c>
      <c r="L751" s="177"/>
      <c r="M751" s="177">
        <f>'OverNight €'!AB421</f>
        <v>15000000</v>
      </c>
      <c r="N751" s="177">
        <f>'codeis €'!Z421</f>
        <v>0</v>
      </c>
      <c r="O751" s="38">
        <f>'CT- € Ellipsis BNP'!X421</f>
        <v>0</v>
      </c>
      <c r="P751" s="38">
        <f t="shared" si="306"/>
        <v>0</v>
      </c>
      <c r="Q751" s="38">
        <f t="shared" si="306"/>
        <v>0</v>
      </c>
      <c r="R751" s="38">
        <f t="shared" si="306"/>
        <v>0</v>
      </c>
      <c r="S751" s="78">
        <v>46070</v>
      </c>
      <c r="T751" s="63"/>
      <c r="U751" s="63">
        <f t="shared" si="302"/>
        <v>40844.846666679616</v>
      </c>
      <c r="V751" s="63"/>
      <c r="W751" s="63"/>
      <c r="X751" s="63">
        <f t="shared" si="303"/>
        <v>40844.846666679616</v>
      </c>
      <c r="Y751" s="63">
        <f t="shared" si="304"/>
        <v>190000</v>
      </c>
      <c r="Z751" s="63">
        <f>'codeis $'!AB421</f>
        <v>0</v>
      </c>
      <c r="AA751" s="63">
        <f>'OverNight $'!M421+'OverNight $'!T421+'OverNight $'!AA421+'OverNight $'!AH421</f>
        <v>21000000</v>
      </c>
      <c r="AB751" s="63"/>
      <c r="AC751" s="63"/>
      <c r="AD751" s="63">
        <f>'OverNight $'!AV421</f>
        <v>0</v>
      </c>
      <c r="AE751" s="63">
        <f>'OverNight $'!BC421</f>
        <v>0</v>
      </c>
      <c r="AF751" s="63">
        <f>'OverNight $'!BH421</f>
        <v>0</v>
      </c>
      <c r="AG751" s="63">
        <f>'OverNight $'!BM421</f>
        <v>0</v>
      </c>
      <c r="AH751" s="63">
        <f>'OverNight $'!BR421</f>
        <v>0</v>
      </c>
    </row>
    <row r="752" spans="2:34" x14ac:dyDescent="0.25">
      <c r="B752" s="42">
        <v>46071</v>
      </c>
      <c r="C752" s="38"/>
      <c r="D752" s="38">
        <f t="shared" si="299"/>
        <v>-48041.629999999976</v>
      </c>
      <c r="E752" s="56"/>
      <c r="F752" s="38">
        <v>200000</v>
      </c>
      <c r="G752" s="38">
        <f t="shared" si="300"/>
        <v>151958.37000000002</v>
      </c>
      <c r="H752" s="38">
        <f t="shared" si="301"/>
        <v>4880000</v>
      </c>
      <c r="I752" s="38"/>
      <c r="J752" s="38">
        <f>'OverNight €'!U422</f>
        <v>6010956.1600000001</v>
      </c>
      <c r="K752" s="177">
        <f>'OverNight €'!N422</f>
        <v>12000000</v>
      </c>
      <c r="L752" s="177"/>
      <c r="M752" s="177">
        <f>'OverNight €'!AB422</f>
        <v>15000000</v>
      </c>
      <c r="N752" s="177">
        <f>'codeis €'!Z422</f>
        <v>0</v>
      </c>
      <c r="O752" s="38">
        <f>'CT- € Ellipsis BNP'!X422</f>
        <v>0</v>
      </c>
      <c r="P752" s="38">
        <f t="shared" si="306"/>
        <v>0</v>
      </c>
      <c r="Q752" s="38">
        <f t="shared" si="306"/>
        <v>0</v>
      </c>
      <c r="R752" s="38">
        <f t="shared" si="306"/>
        <v>0</v>
      </c>
      <c r="S752" s="78">
        <v>46071</v>
      </c>
      <c r="T752" s="63"/>
      <c r="U752" s="63">
        <f t="shared" si="302"/>
        <v>40844.846666679616</v>
      </c>
      <c r="V752" s="63"/>
      <c r="W752" s="63"/>
      <c r="X752" s="63">
        <f t="shared" si="303"/>
        <v>40844.846666679616</v>
      </c>
      <c r="Y752" s="63">
        <f t="shared" si="304"/>
        <v>190000</v>
      </c>
      <c r="Z752" s="63">
        <f>'codeis $'!AB422</f>
        <v>0</v>
      </c>
      <c r="AA752" s="63">
        <f>'OverNight $'!M422+'OverNight $'!T422+'OverNight $'!AA422+'OverNight $'!AH422</f>
        <v>21000000</v>
      </c>
      <c r="AB752" s="63"/>
      <c r="AC752" s="63"/>
      <c r="AD752" s="63">
        <f>'OverNight $'!AV422</f>
        <v>0</v>
      </c>
      <c r="AE752" s="63">
        <f>'OverNight $'!BC422</f>
        <v>0</v>
      </c>
      <c r="AF752" s="63">
        <f>'OverNight $'!BH422</f>
        <v>0</v>
      </c>
      <c r="AG752" s="63">
        <f>'OverNight $'!BM422</f>
        <v>0</v>
      </c>
      <c r="AH752" s="63">
        <f>'OverNight $'!BR422</f>
        <v>0</v>
      </c>
    </row>
    <row r="753" spans="1:34" x14ac:dyDescent="0.25">
      <c r="B753" s="42">
        <v>46072</v>
      </c>
      <c r="C753" s="38"/>
      <c r="D753" s="38">
        <f t="shared" si="299"/>
        <v>151958.37000000002</v>
      </c>
      <c r="E753" s="83">
        <v>-120000</v>
      </c>
      <c r="F753" s="38">
        <v>90000</v>
      </c>
      <c r="G753" s="38">
        <f t="shared" si="300"/>
        <v>121958.37000000002</v>
      </c>
      <c r="H753" s="38">
        <f t="shared" si="301"/>
        <v>5000000</v>
      </c>
      <c r="I753" s="38"/>
      <c r="J753" s="38">
        <f>'OverNight €'!U423</f>
        <v>6010956.1600000001</v>
      </c>
      <c r="K753" s="177">
        <f>'OverNight €'!N423</f>
        <v>12000000</v>
      </c>
      <c r="L753" s="177"/>
      <c r="M753" s="177">
        <f>'OverNight €'!AB423</f>
        <v>15000000</v>
      </c>
      <c r="N753" s="177">
        <f>'codeis €'!Z423</f>
        <v>0</v>
      </c>
      <c r="O753" s="38">
        <f>'CT- € Ellipsis BNP'!X423</f>
        <v>0</v>
      </c>
      <c r="P753" s="38">
        <f t="shared" si="306"/>
        <v>0</v>
      </c>
      <c r="Q753" s="38">
        <f t="shared" si="306"/>
        <v>0</v>
      </c>
      <c r="R753" s="38">
        <f t="shared" si="306"/>
        <v>0</v>
      </c>
      <c r="S753" s="78">
        <v>46072</v>
      </c>
      <c r="T753" s="63"/>
      <c r="U753" s="63">
        <f t="shared" si="302"/>
        <v>40844.846666679616</v>
      </c>
      <c r="V753" s="63"/>
      <c r="W753" s="63"/>
      <c r="X753" s="63">
        <f t="shared" si="303"/>
        <v>40844.846666679616</v>
      </c>
      <c r="Y753" s="63">
        <f t="shared" si="304"/>
        <v>190000</v>
      </c>
      <c r="Z753" s="63">
        <f>'codeis $'!AB423</f>
        <v>0</v>
      </c>
      <c r="AA753" s="63">
        <f>'OverNight $'!M423+'OverNight $'!T423+'OverNight $'!AA423+'OverNight $'!AH423</f>
        <v>21000000</v>
      </c>
      <c r="AB753" s="63"/>
      <c r="AC753" s="63"/>
      <c r="AD753" s="63">
        <f>'OverNight $'!AV423</f>
        <v>0</v>
      </c>
      <c r="AE753" s="63">
        <f>'OverNight $'!BC423</f>
        <v>0</v>
      </c>
      <c r="AF753" s="63">
        <f>'OverNight $'!BH423</f>
        <v>0</v>
      </c>
      <c r="AG753" s="63">
        <f>'OverNight $'!BM423</f>
        <v>0</v>
      </c>
      <c r="AH753" s="63">
        <f>'OverNight $'!BR423</f>
        <v>0</v>
      </c>
    </row>
    <row r="754" spans="1:34" x14ac:dyDescent="0.25">
      <c r="B754" s="42">
        <v>46073</v>
      </c>
      <c r="C754" s="38"/>
      <c r="D754" s="38">
        <f t="shared" si="299"/>
        <v>121958.37000000002</v>
      </c>
      <c r="E754" s="38"/>
      <c r="F754" s="38"/>
      <c r="G754" s="38">
        <f t="shared" si="300"/>
        <v>121958.37000000002</v>
      </c>
      <c r="H754" s="38">
        <f t="shared" si="301"/>
        <v>5000000</v>
      </c>
      <c r="I754" s="38"/>
      <c r="J754" s="38">
        <f>'OverNight €'!U424</f>
        <v>6010956.1600000001</v>
      </c>
      <c r="K754" s="177">
        <f>'OverNight €'!N424</f>
        <v>12000000</v>
      </c>
      <c r="L754" s="177"/>
      <c r="M754" s="177">
        <f>'OverNight €'!AB424</f>
        <v>15000000</v>
      </c>
      <c r="N754" s="177">
        <f>'codeis €'!Z424</f>
        <v>0</v>
      </c>
      <c r="O754" s="38">
        <f>'CT- € Ellipsis BNP'!X424</f>
        <v>0</v>
      </c>
      <c r="P754" s="38">
        <f t="shared" si="306"/>
        <v>0</v>
      </c>
      <c r="Q754" s="38">
        <f t="shared" si="306"/>
        <v>0</v>
      </c>
      <c r="R754" s="38">
        <f t="shared" si="306"/>
        <v>0</v>
      </c>
      <c r="S754" s="78">
        <v>46073</v>
      </c>
      <c r="T754" s="63"/>
      <c r="U754" s="63">
        <f t="shared" si="302"/>
        <v>40844.846666679616</v>
      </c>
      <c r="V754" s="63"/>
      <c r="W754" s="63"/>
      <c r="X754" s="63">
        <f t="shared" si="303"/>
        <v>40844.846666679616</v>
      </c>
      <c r="Y754" s="63">
        <f t="shared" si="304"/>
        <v>190000</v>
      </c>
      <c r="Z754" s="63">
        <f>'codeis $'!AB424</f>
        <v>0</v>
      </c>
      <c r="AA754" s="63">
        <f>'OverNight $'!M424+'OverNight $'!T424+'OverNight $'!AA424+'OverNight $'!AH424</f>
        <v>21000000</v>
      </c>
      <c r="AB754" s="63"/>
      <c r="AC754" s="63"/>
      <c r="AD754" s="63">
        <f>'OverNight $'!AV424</f>
        <v>0</v>
      </c>
      <c r="AE754" s="63">
        <f>'OverNight $'!BC424</f>
        <v>0</v>
      </c>
      <c r="AF754" s="63">
        <f>'OverNight $'!BH424</f>
        <v>0</v>
      </c>
      <c r="AG754" s="63">
        <f>'OverNight $'!BM424</f>
        <v>0</v>
      </c>
      <c r="AH754" s="63">
        <f>'OverNight $'!BR424</f>
        <v>0</v>
      </c>
    </row>
    <row r="755" spans="1:34" x14ac:dyDescent="0.25">
      <c r="B755" s="42">
        <v>46074</v>
      </c>
      <c r="C755" s="38"/>
      <c r="D755" s="38">
        <f t="shared" si="299"/>
        <v>121958.37000000002</v>
      </c>
      <c r="E755" s="38"/>
      <c r="F755" s="38"/>
      <c r="G755" s="38">
        <f t="shared" si="300"/>
        <v>121958.37000000002</v>
      </c>
      <c r="H755" s="38">
        <f t="shared" si="301"/>
        <v>5000000</v>
      </c>
      <c r="I755" s="38"/>
      <c r="J755" s="38">
        <f>'OverNight €'!U425</f>
        <v>6010956.1600000001</v>
      </c>
      <c r="K755" s="177">
        <f>'OverNight €'!N425</f>
        <v>12000000</v>
      </c>
      <c r="L755" s="177"/>
      <c r="M755" s="177">
        <f>'OverNight €'!AB425</f>
        <v>15000000</v>
      </c>
      <c r="N755" s="177">
        <f>'codeis €'!Z425</f>
        <v>0</v>
      </c>
      <c r="O755" s="38">
        <f>'CT- € Ellipsis BNP'!X425</f>
        <v>0</v>
      </c>
      <c r="P755" s="38">
        <f t="shared" ref="P755:R757" si="307">P754</f>
        <v>0</v>
      </c>
      <c r="Q755" s="38">
        <f t="shared" si="307"/>
        <v>0</v>
      </c>
      <c r="R755" s="38">
        <f t="shared" si="307"/>
        <v>0</v>
      </c>
      <c r="S755" s="78">
        <v>46074</v>
      </c>
      <c r="T755" s="63"/>
      <c r="U755" s="63">
        <f t="shared" si="302"/>
        <v>40844.846666679616</v>
      </c>
      <c r="V755" s="63"/>
      <c r="W755" s="63"/>
      <c r="X755" s="63">
        <f t="shared" si="303"/>
        <v>40844.846666679616</v>
      </c>
      <c r="Y755" s="63">
        <f t="shared" si="304"/>
        <v>190000</v>
      </c>
      <c r="Z755" s="63">
        <f>'codeis $'!AB425</f>
        <v>0</v>
      </c>
      <c r="AA755" s="63">
        <f>'OverNight $'!M425+'OverNight $'!T425+'OverNight $'!AA425+'OverNight $'!AH425</f>
        <v>21000000</v>
      </c>
      <c r="AB755" s="63"/>
      <c r="AC755" s="63"/>
      <c r="AD755" s="63">
        <f>'OverNight $'!AV425</f>
        <v>0</v>
      </c>
      <c r="AE755" s="63">
        <f>'OverNight $'!BC425</f>
        <v>0</v>
      </c>
      <c r="AF755" s="63">
        <f>'OverNight $'!BH425</f>
        <v>0</v>
      </c>
      <c r="AG755" s="63">
        <f>'OverNight $'!BM425</f>
        <v>0</v>
      </c>
      <c r="AH755" s="63">
        <f>'OverNight $'!BR425</f>
        <v>0</v>
      </c>
    </row>
    <row r="756" spans="1:34" x14ac:dyDescent="0.25">
      <c r="B756" s="42">
        <v>46075</v>
      </c>
      <c r="C756" s="38"/>
      <c r="D756" s="38">
        <f t="shared" si="299"/>
        <v>121958.37000000002</v>
      </c>
      <c r="E756" s="38"/>
      <c r="F756" s="38"/>
      <c r="G756" s="38">
        <f t="shared" si="300"/>
        <v>121958.37000000002</v>
      </c>
      <c r="H756" s="38">
        <f t="shared" si="301"/>
        <v>5000000</v>
      </c>
      <c r="I756" s="38"/>
      <c r="J756" s="38">
        <f>'OverNight €'!U426</f>
        <v>6010956.1600000001</v>
      </c>
      <c r="K756" s="177">
        <f>'OverNight €'!N426</f>
        <v>12000000</v>
      </c>
      <c r="L756" s="177"/>
      <c r="M756" s="177">
        <f>'OverNight €'!AB426</f>
        <v>15000000</v>
      </c>
      <c r="N756" s="177">
        <f>'codeis €'!Z426</f>
        <v>0</v>
      </c>
      <c r="O756" s="38">
        <f>'CT- € Ellipsis BNP'!X426</f>
        <v>0</v>
      </c>
      <c r="P756" s="38">
        <f t="shared" si="307"/>
        <v>0</v>
      </c>
      <c r="Q756" s="38">
        <f t="shared" si="307"/>
        <v>0</v>
      </c>
      <c r="R756" s="38">
        <f t="shared" si="307"/>
        <v>0</v>
      </c>
      <c r="S756" s="78">
        <v>46075</v>
      </c>
      <c r="T756" s="63"/>
      <c r="U756" s="63">
        <f t="shared" si="302"/>
        <v>40844.846666679616</v>
      </c>
      <c r="V756" s="63"/>
      <c r="W756" s="63"/>
      <c r="X756" s="63">
        <f t="shared" si="303"/>
        <v>40844.846666679616</v>
      </c>
      <c r="Y756" s="63">
        <f t="shared" si="304"/>
        <v>190000</v>
      </c>
      <c r="Z756" s="63">
        <f>'codeis $'!AB426</f>
        <v>0</v>
      </c>
      <c r="AA756" s="63">
        <f>'OverNight $'!M426+'OverNight $'!T426+'OverNight $'!AA426+'OverNight $'!AH426</f>
        <v>21000000</v>
      </c>
      <c r="AB756" s="63"/>
      <c r="AC756" s="63"/>
      <c r="AD756" s="63">
        <f>'OverNight $'!AV426</f>
        <v>0</v>
      </c>
      <c r="AE756" s="63">
        <f>'OverNight $'!BC426</f>
        <v>0</v>
      </c>
      <c r="AF756" s="63">
        <f>'OverNight $'!BH426</f>
        <v>0</v>
      </c>
      <c r="AG756" s="63">
        <f>'OverNight $'!BM426</f>
        <v>0</v>
      </c>
      <c r="AH756" s="63">
        <f>'OverNight $'!BR426</f>
        <v>0</v>
      </c>
    </row>
    <row r="757" spans="1:34" x14ac:dyDescent="0.25">
      <c r="B757" s="42">
        <v>46076</v>
      </c>
      <c r="C757" s="38">
        <v>-70000</v>
      </c>
      <c r="D757" s="38">
        <f t="shared" si="299"/>
        <v>51958.370000000024</v>
      </c>
      <c r="E757" s="38"/>
      <c r="F757" s="38"/>
      <c r="G757" s="38">
        <f t="shared" si="300"/>
        <v>51958.370000000024</v>
      </c>
      <c r="H757" s="38">
        <f t="shared" si="301"/>
        <v>5000000</v>
      </c>
      <c r="I757" s="38"/>
      <c r="J757" s="38">
        <f>'OverNight €'!U427</f>
        <v>6010956.1600000001</v>
      </c>
      <c r="K757" s="177">
        <f>'OverNight €'!N427</f>
        <v>12000000</v>
      </c>
      <c r="L757" s="177"/>
      <c r="M757" s="177">
        <f>'OverNight €'!AB427</f>
        <v>15000000</v>
      </c>
      <c r="N757" s="177">
        <f>'codeis €'!Z427</f>
        <v>0</v>
      </c>
      <c r="O757" s="38">
        <f>'CT- € Ellipsis BNP'!X427</f>
        <v>0</v>
      </c>
      <c r="P757" s="38">
        <f t="shared" si="307"/>
        <v>0</v>
      </c>
      <c r="Q757" s="38">
        <f t="shared" si="307"/>
        <v>0</v>
      </c>
      <c r="R757" s="38">
        <f t="shared" si="307"/>
        <v>0</v>
      </c>
      <c r="S757" s="78">
        <v>46076</v>
      </c>
      <c r="T757" s="63"/>
      <c r="U757" s="63">
        <f t="shared" si="302"/>
        <v>40844.846666679616</v>
      </c>
      <c r="V757" s="63"/>
      <c r="W757" s="63"/>
      <c r="X757" s="63">
        <f t="shared" si="303"/>
        <v>40844.846666679616</v>
      </c>
      <c r="Y757" s="63">
        <f t="shared" si="304"/>
        <v>190000</v>
      </c>
      <c r="Z757" s="63">
        <f>'codeis $'!AB427</f>
        <v>0</v>
      </c>
      <c r="AA757" s="63">
        <f>'OverNight $'!M427+'OverNight $'!T427+'OverNight $'!AA427+'OverNight $'!AH427</f>
        <v>21000000</v>
      </c>
      <c r="AB757" s="63"/>
      <c r="AC757" s="63"/>
      <c r="AD757" s="63">
        <f>'OverNight $'!AV427</f>
        <v>0</v>
      </c>
      <c r="AE757" s="63">
        <f>'OverNight $'!BC427</f>
        <v>0</v>
      </c>
      <c r="AF757" s="63">
        <f>'OverNight $'!BH427</f>
        <v>0</v>
      </c>
      <c r="AG757" s="63">
        <f>'OverNight $'!BM427</f>
        <v>0</v>
      </c>
      <c r="AH757" s="63">
        <f>'OverNight $'!BR427</f>
        <v>0</v>
      </c>
    </row>
    <row r="758" spans="1:34" x14ac:dyDescent="0.25">
      <c r="B758" s="42">
        <v>46077</v>
      </c>
      <c r="C758" s="38"/>
      <c r="D758" s="38">
        <f t="shared" si="299"/>
        <v>51958.370000000024</v>
      </c>
      <c r="E758" s="38"/>
      <c r="F758" s="38">
        <v>26000</v>
      </c>
      <c r="G758" s="38">
        <f t="shared" si="300"/>
        <v>77958.370000000024</v>
      </c>
      <c r="H758" s="38">
        <f t="shared" si="301"/>
        <v>5000000</v>
      </c>
      <c r="I758" s="38"/>
      <c r="J758" s="38">
        <f>'OverNight €'!U428</f>
        <v>6010956.1600000001</v>
      </c>
      <c r="K758" s="177">
        <f>'OverNight €'!N428</f>
        <v>12000000</v>
      </c>
      <c r="L758" s="177"/>
      <c r="M758" s="177">
        <f>'OverNight €'!AB428</f>
        <v>15000000</v>
      </c>
      <c r="N758" s="177">
        <f>'codeis €'!Z428</f>
        <v>0</v>
      </c>
      <c r="O758" s="38">
        <f>'CT- € Ellipsis BNP'!X428</f>
        <v>0</v>
      </c>
      <c r="P758" s="38">
        <f t="shared" ref="P758:R758" si="308">P757</f>
        <v>0</v>
      </c>
      <c r="Q758" s="38">
        <f t="shared" si="308"/>
        <v>0</v>
      </c>
      <c r="R758" s="38">
        <f t="shared" si="308"/>
        <v>0</v>
      </c>
      <c r="S758" s="78">
        <v>46077</v>
      </c>
      <c r="T758" s="63"/>
      <c r="U758" s="63">
        <f t="shared" si="302"/>
        <v>40844.846666679616</v>
      </c>
      <c r="V758" s="63"/>
      <c r="W758" s="63"/>
      <c r="X758" s="63">
        <f t="shared" si="303"/>
        <v>40844.846666679616</v>
      </c>
      <c r="Y758" s="63">
        <f t="shared" si="304"/>
        <v>190000</v>
      </c>
      <c r="Z758" s="63">
        <f>'codeis $'!AB428</f>
        <v>0</v>
      </c>
      <c r="AA758" s="63">
        <f>'OverNight $'!M428+'OverNight $'!T428+'OverNight $'!AA428+'OverNight $'!AH428</f>
        <v>21000000</v>
      </c>
      <c r="AB758" s="63"/>
      <c r="AC758" s="63"/>
      <c r="AD758" s="63">
        <f>'OverNight $'!AV428</f>
        <v>0</v>
      </c>
      <c r="AE758" s="63">
        <f>'OverNight $'!BC428</f>
        <v>0</v>
      </c>
      <c r="AF758" s="63">
        <f>'OverNight $'!BH428</f>
        <v>0</v>
      </c>
      <c r="AG758" s="63">
        <f>'OverNight $'!BM428</f>
        <v>0</v>
      </c>
      <c r="AH758" s="63">
        <f>'OverNight $'!BR428</f>
        <v>0</v>
      </c>
    </row>
    <row r="759" spans="1:34" x14ac:dyDescent="0.25">
      <c r="B759" s="42">
        <v>46078</v>
      </c>
      <c r="C759" s="38">
        <v>-764437.55</v>
      </c>
      <c r="D759" s="38">
        <f t="shared" ref="D759:D766" si="309">C759+G758</f>
        <v>-686479.18</v>
      </c>
      <c r="E759" s="53">
        <v>800000</v>
      </c>
      <c r="F759" s="38">
        <v>10000</v>
      </c>
      <c r="G759" s="38">
        <f t="shared" ref="G759:G766" si="310">D759+E759+F759</f>
        <v>123520.81999999995</v>
      </c>
      <c r="H759" s="38">
        <f t="shared" ref="H759:H766" si="311">H758-E759</f>
        <v>4200000</v>
      </c>
      <c r="I759" s="38"/>
      <c r="J759" s="38">
        <f>'OverNight €'!U429</f>
        <v>6010956.1600000001</v>
      </c>
      <c r="K759" s="177">
        <f>'OverNight €'!N429</f>
        <v>12000000</v>
      </c>
      <c r="L759" s="177"/>
      <c r="M759" s="177">
        <f>'OverNight €'!AB429</f>
        <v>15000000</v>
      </c>
      <c r="N759" s="177">
        <f>'codeis €'!Z429</f>
        <v>0</v>
      </c>
      <c r="O759" s="38">
        <f>'CT- € Ellipsis BNP'!X429</f>
        <v>0</v>
      </c>
      <c r="P759" s="38">
        <f t="shared" ref="P759:R759" si="312">P758</f>
        <v>0</v>
      </c>
      <c r="Q759" s="38">
        <f t="shared" si="312"/>
        <v>0</v>
      </c>
      <c r="R759" s="38">
        <f t="shared" si="312"/>
        <v>0</v>
      </c>
      <c r="S759" s="78">
        <v>46078</v>
      </c>
      <c r="T759" s="63">
        <v>1083642.19</v>
      </c>
      <c r="U759" s="63">
        <f t="shared" ref="U759:U766" si="313">T759+X758+W759</f>
        <v>1124487.0366666797</v>
      </c>
      <c r="V759" s="82">
        <v>-1090000</v>
      </c>
      <c r="W759" s="63"/>
      <c r="X759" s="63">
        <f t="shared" ref="X759:X766" si="314">V759+U759</f>
        <v>34487.036666679662</v>
      </c>
      <c r="Y759" s="63">
        <f t="shared" ref="Y759:Y766" si="315">Y758-V759</f>
        <v>1280000</v>
      </c>
      <c r="Z759" s="63">
        <f>'codeis $'!AB429</f>
        <v>0</v>
      </c>
      <c r="AA759" s="63">
        <f>'OverNight $'!M429+'OverNight $'!T429+'OverNight $'!AA429+'OverNight $'!AH429</f>
        <v>21000000</v>
      </c>
      <c r="AB759" s="63"/>
      <c r="AC759" s="63"/>
      <c r="AD759" s="63">
        <f>'OverNight $'!AV429</f>
        <v>0</v>
      </c>
      <c r="AE759" s="63">
        <f>'OverNight $'!BC429</f>
        <v>0</v>
      </c>
      <c r="AF759" s="63">
        <f>'OverNight $'!BH429</f>
        <v>0</v>
      </c>
      <c r="AG759" s="63">
        <f>'OverNight $'!BM429</f>
        <v>0</v>
      </c>
      <c r="AH759" s="63">
        <f>'OverNight $'!BR429</f>
        <v>0</v>
      </c>
    </row>
    <row r="760" spans="1:34" x14ac:dyDescent="0.25">
      <c r="B760" s="42">
        <v>46079</v>
      </c>
      <c r="C760" s="38"/>
      <c r="D760" s="38">
        <f t="shared" si="309"/>
        <v>123520.81999999995</v>
      </c>
      <c r="E760" s="38"/>
      <c r="F760" s="38"/>
      <c r="G760" s="38">
        <f t="shared" si="310"/>
        <v>123520.81999999995</v>
      </c>
      <c r="H760" s="38">
        <f t="shared" si="311"/>
        <v>4200000</v>
      </c>
      <c r="I760" s="38"/>
      <c r="J760" s="38">
        <f>'OverNight €'!U430</f>
        <v>6010956.1600000001</v>
      </c>
      <c r="K760" s="177">
        <f>'OverNight €'!N430</f>
        <v>12000000</v>
      </c>
      <c r="L760" s="177"/>
      <c r="M760" s="177">
        <f>'OverNight €'!AB430</f>
        <v>15000000</v>
      </c>
      <c r="N760" s="177">
        <f>'codeis €'!Z430</f>
        <v>0</v>
      </c>
      <c r="O760" s="38">
        <f>'CT- € Ellipsis BNP'!X430</f>
        <v>0</v>
      </c>
      <c r="P760" s="38">
        <f t="shared" ref="P760:R760" si="316">P759</f>
        <v>0</v>
      </c>
      <c r="Q760" s="38">
        <f t="shared" si="316"/>
        <v>0</v>
      </c>
      <c r="R760" s="38">
        <f t="shared" si="316"/>
        <v>0</v>
      </c>
      <c r="S760" s="78">
        <v>46079</v>
      </c>
      <c r="T760" s="63"/>
      <c r="U760" s="63">
        <f t="shared" si="313"/>
        <v>34487.036666679662</v>
      </c>
      <c r="V760" s="63"/>
      <c r="W760" s="63"/>
      <c r="X760" s="63">
        <f t="shared" si="314"/>
        <v>34487.036666679662</v>
      </c>
      <c r="Y760" s="63">
        <f t="shared" si="315"/>
        <v>1280000</v>
      </c>
      <c r="Z760" s="63">
        <f>'codeis $'!AB430</f>
        <v>0</v>
      </c>
      <c r="AA760" s="63">
        <f>'OverNight $'!M430+'OverNight $'!T430+'OverNight $'!AA430+'OverNight $'!AH430</f>
        <v>21000000</v>
      </c>
      <c r="AB760" s="63"/>
      <c r="AC760" s="63"/>
      <c r="AD760" s="63">
        <f>'OverNight $'!AV430</f>
        <v>0</v>
      </c>
      <c r="AE760" s="63">
        <f>'OverNight $'!BC430</f>
        <v>0</v>
      </c>
      <c r="AF760" s="63">
        <f>'OverNight $'!BH430</f>
        <v>0</v>
      </c>
      <c r="AG760" s="63">
        <f>'OverNight $'!BM430</f>
        <v>0</v>
      </c>
      <c r="AH760" s="63">
        <f>'OverNight $'!BR430</f>
        <v>0</v>
      </c>
    </row>
    <row r="761" spans="1:34" x14ac:dyDescent="0.25">
      <c r="B761" s="42">
        <v>46080</v>
      </c>
      <c r="C761" s="38"/>
      <c r="D761" s="38">
        <f t="shared" si="309"/>
        <v>123520.81999999995</v>
      </c>
      <c r="E761" s="38"/>
      <c r="F761" s="38">
        <v>10000</v>
      </c>
      <c r="G761" s="38">
        <f t="shared" si="310"/>
        <v>133520.81999999995</v>
      </c>
      <c r="H761" s="38">
        <f t="shared" si="311"/>
        <v>4200000</v>
      </c>
      <c r="I761" s="38"/>
      <c r="J761" s="38">
        <f>'OverNight €'!U431</f>
        <v>6010956.1600000001</v>
      </c>
      <c r="K761" s="177">
        <f>'OverNight €'!N431</f>
        <v>12000000</v>
      </c>
      <c r="L761" s="177"/>
      <c r="M761" s="177">
        <f>'OverNight €'!AB431</f>
        <v>15000000</v>
      </c>
      <c r="N761" s="177">
        <f>'codeis €'!Z431</f>
        <v>0</v>
      </c>
      <c r="O761" s="38">
        <f>'CT- € Ellipsis BNP'!X431</f>
        <v>0</v>
      </c>
      <c r="P761" s="38">
        <f t="shared" ref="P761:R761" si="317">P760</f>
        <v>0</v>
      </c>
      <c r="Q761" s="38">
        <f t="shared" si="317"/>
        <v>0</v>
      </c>
      <c r="R761" s="38">
        <f t="shared" si="317"/>
        <v>0</v>
      </c>
      <c r="S761" s="78">
        <v>46080</v>
      </c>
      <c r="T761" s="63"/>
      <c r="U761" s="63">
        <f t="shared" si="313"/>
        <v>34487.036666679662</v>
      </c>
      <c r="V761" s="63"/>
      <c r="W761" s="63"/>
      <c r="X761" s="63">
        <f t="shared" si="314"/>
        <v>34487.036666679662</v>
      </c>
      <c r="Y761" s="63">
        <f t="shared" si="315"/>
        <v>1280000</v>
      </c>
      <c r="Z761" s="63">
        <f>'codeis $'!AB431</f>
        <v>0</v>
      </c>
      <c r="AA761" s="63">
        <f>'OverNight $'!M431+'OverNight $'!T431+'OverNight $'!AA431+'OverNight $'!AH431</f>
        <v>21000000</v>
      </c>
      <c r="AB761" s="63"/>
      <c r="AC761" s="63"/>
      <c r="AD761" s="63">
        <f>'OverNight $'!AV431</f>
        <v>0</v>
      </c>
      <c r="AE761" s="63">
        <f>'OverNight $'!BC431</f>
        <v>0</v>
      </c>
      <c r="AF761" s="63">
        <f>'OverNight $'!BH431</f>
        <v>0</v>
      </c>
      <c r="AG761" s="63">
        <f>'OverNight $'!BM431</f>
        <v>0</v>
      </c>
      <c r="AH761" s="63">
        <f>'OverNight $'!BR431</f>
        <v>0</v>
      </c>
    </row>
    <row r="762" spans="1:34" x14ac:dyDescent="0.25">
      <c r="B762" s="42">
        <v>46081</v>
      </c>
      <c r="C762" s="38"/>
      <c r="D762" s="38">
        <f t="shared" si="309"/>
        <v>133520.81999999995</v>
      </c>
      <c r="E762" s="38"/>
      <c r="F762" s="38"/>
      <c r="G762" s="38">
        <f t="shared" si="310"/>
        <v>133520.81999999995</v>
      </c>
      <c r="H762" s="38">
        <f t="shared" si="311"/>
        <v>4200000</v>
      </c>
      <c r="I762" s="38"/>
      <c r="J762" s="38">
        <f>'OverNight €'!U432</f>
        <v>6010956.1600000001</v>
      </c>
      <c r="K762" s="177">
        <f>'OverNight €'!N432</f>
        <v>12000000</v>
      </c>
      <c r="L762" s="177"/>
      <c r="M762" s="177">
        <f>'OverNight €'!AB432</f>
        <v>15000000</v>
      </c>
      <c r="N762" s="177">
        <f>'codeis €'!Z432</f>
        <v>0</v>
      </c>
      <c r="O762" s="38">
        <f>'CT- € Ellipsis BNP'!X432</f>
        <v>0</v>
      </c>
      <c r="P762" s="38">
        <f t="shared" ref="P762:R762" si="318">P761</f>
        <v>0</v>
      </c>
      <c r="Q762" s="38">
        <f t="shared" si="318"/>
        <v>0</v>
      </c>
      <c r="R762" s="38">
        <f t="shared" si="318"/>
        <v>0</v>
      </c>
      <c r="S762" s="78">
        <v>46081</v>
      </c>
      <c r="T762" s="63"/>
      <c r="U762" s="63">
        <f t="shared" si="313"/>
        <v>34487.036666679662</v>
      </c>
      <c r="V762" s="63"/>
      <c r="W762" s="63"/>
      <c r="X762" s="63">
        <f t="shared" si="314"/>
        <v>34487.036666679662</v>
      </c>
      <c r="Y762" s="63">
        <f t="shared" si="315"/>
        <v>1280000</v>
      </c>
      <c r="Z762" s="63">
        <f>'codeis $'!AB432</f>
        <v>0</v>
      </c>
      <c r="AA762" s="63">
        <f>'OverNight $'!M432+'OverNight $'!T432+'OverNight $'!AA432+'OverNight $'!AH432</f>
        <v>21000000</v>
      </c>
      <c r="AB762" s="63"/>
      <c r="AC762" s="63"/>
      <c r="AD762" s="63">
        <f>'OverNight $'!AV432</f>
        <v>0</v>
      </c>
      <c r="AE762" s="63">
        <f>'OverNight $'!BC432</f>
        <v>0</v>
      </c>
      <c r="AF762" s="63">
        <f>'OverNight $'!BH432</f>
        <v>0</v>
      </c>
      <c r="AG762" s="63">
        <f>'OverNight $'!BM432</f>
        <v>0</v>
      </c>
      <c r="AH762" s="63">
        <f>'OverNight $'!BR432</f>
        <v>0</v>
      </c>
    </row>
    <row r="763" spans="1:34" x14ac:dyDescent="0.25">
      <c r="B763" s="42">
        <v>46082</v>
      </c>
      <c r="C763" s="38"/>
      <c r="D763" s="38">
        <f t="shared" si="309"/>
        <v>133520.81999999995</v>
      </c>
      <c r="E763" s="38"/>
      <c r="F763" s="38"/>
      <c r="G763" s="38">
        <f t="shared" si="310"/>
        <v>133520.81999999995</v>
      </c>
      <c r="H763" s="38">
        <f t="shared" si="311"/>
        <v>4200000</v>
      </c>
      <c r="I763" s="38"/>
      <c r="J763" s="38">
        <f>'OverNight €'!U433</f>
        <v>6010956.1600000001</v>
      </c>
      <c r="K763" s="177">
        <f>'OverNight €'!N433</f>
        <v>12000000</v>
      </c>
      <c r="L763" s="177"/>
      <c r="M763" s="177">
        <f>'OverNight €'!AB433</f>
        <v>15000000</v>
      </c>
      <c r="N763" s="177">
        <f>'codeis €'!Z433</f>
        <v>0</v>
      </c>
      <c r="O763" s="38">
        <f>'CT- € Ellipsis BNP'!X433</f>
        <v>0</v>
      </c>
      <c r="P763" s="38">
        <f t="shared" ref="P763:R763" si="319">P762</f>
        <v>0</v>
      </c>
      <c r="Q763" s="38">
        <f t="shared" si="319"/>
        <v>0</v>
      </c>
      <c r="R763" s="38">
        <f t="shared" si="319"/>
        <v>0</v>
      </c>
      <c r="S763" s="78">
        <v>46082</v>
      </c>
      <c r="T763" s="63"/>
      <c r="U763" s="63">
        <f t="shared" si="313"/>
        <v>34487.036666679662</v>
      </c>
      <c r="V763" s="63"/>
      <c r="W763" s="63"/>
      <c r="X763" s="63">
        <f t="shared" si="314"/>
        <v>34487.036666679662</v>
      </c>
      <c r="Y763" s="63">
        <f t="shared" si="315"/>
        <v>1280000</v>
      </c>
      <c r="Z763" s="63">
        <f>'codeis $'!AB433</f>
        <v>0</v>
      </c>
      <c r="AA763" s="63">
        <f>'OverNight $'!M433+'OverNight $'!T433+'OverNight $'!AA433+'OverNight $'!AH433</f>
        <v>21000000</v>
      </c>
      <c r="AB763" s="63"/>
      <c r="AC763" s="63"/>
      <c r="AD763" s="63">
        <f>'OverNight $'!AV433</f>
        <v>0</v>
      </c>
      <c r="AE763" s="63">
        <f>'OverNight $'!BC433</f>
        <v>0</v>
      </c>
      <c r="AF763" s="63">
        <f>'OverNight $'!BH433</f>
        <v>0</v>
      </c>
      <c r="AG763" s="63">
        <f>'OverNight $'!BM433</f>
        <v>0</v>
      </c>
      <c r="AH763" s="63">
        <f>'OverNight $'!BR433</f>
        <v>0</v>
      </c>
    </row>
    <row r="764" spans="1:34" x14ac:dyDescent="0.25">
      <c r="B764" s="42">
        <v>46083</v>
      </c>
      <c r="C764" s="38"/>
      <c r="D764" s="38">
        <f t="shared" si="309"/>
        <v>133520.81999999995</v>
      </c>
      <c r="E764" s="38"/>
      <c r="F764" s="38"/>
      <c r="G764" s="38">
        <f t="shared" si="310"/>
        <v>133520.81999999995</v>
      </c>
      <c r="H764" s="38">
        <f t="shared" si="311"/>
        <v>4200000</v>
      </c>
      <c r="I764" s="38"/>
      <c r="J764" s="38">
        <f>'OverNight €'!U434</f>
        <v>6010956.1600000001</v>
      </c>
      <c r="K764" s="177">
        <f>'OverNight €'!N434</f>
        <v>12000000</v>
      </c>
      <c r="L764" s="177"/>
      <c r="M764" s="177">
        <f>'OverNight €'!AB434</f>
        <v>15000000</v>
      </c>
      <c r="N764" s="177">
        <f>'codeis €'!Z434</f>
        <v>0</v>
      </c>
      <c r="O764" s="38">
        <f>'CT- € Ellipsis BNP'!X434</f>
        <v>0</v>
      </c>
      <c r="P764" s="38">
        <f t="shared" ref="P764:R764" si="320">P763</f>
        <v>0</v>
      </c>
      <c r="Q764" s="38">
        <f t="shared" si="320"/>
        <v>0</v>
      </c>
      <c r="R764" s="38">
        <f t="shared" si="320"/>
        <v>0</v>
      </c>
      <c r="S764" s="78">
        <v>46083</v>
      </c>
      <c r="T764" s="63"/>
      <c r="U764" s="63">
        <f t="shared" si="313"/>
        <v>34487.036666679662</v>
      </c>
      <c r="V764" s="63"/>
      <c r="W764" s="63"/>
      <c r="X764" s="63">
        <f t="shared" si="314"/>
        <v>34487.036666679662</v>
      </c>
      <c r="Y764" s="63">
        <f t="shared" si="315"/>
        <v>1280000</v>
      </c>
      <c r="Z764" s="63">
        <f>'codeis $'!AB434</f>
        <v>0</v>
      </c>
      <c r="AA764" s="63">
        <f>'OverNight $'!M434+'OverNight $'!T434+'OverNight $'!AA434+'OverNight $'!AH434</f>
        <v>21000000</v>
      </c>
      <c r="AB764" s="63"/>
      <c r="AC764" s="63"/>
      <c r="AD764" s="63">
        <f>'OverNight $'!AV434</f>
        <v>0</v>
      </c>
      <c r="AE764" s="63">
        <f>'OverNight $'!BC434</f>
        <v>0</v>
      </c>
      <c r="AF764" s="63">
        <f>'OverNight $'!BH434</f>
        <v>0</v>
      </c>
      <c r="AG764" s="63">
        <f>'OverNight $'!BM434</f>
        <v>0</v>
      </c>
      <c r="AH764" s="63">
        <f>'OverNight $'!BR434</f>
        <v>0</v>
      </c>
    </row>
    <row r="765" spans="1:34" x14ac:dyDescent="0.25">
      <c r="B765" s="42">
        <v>46084</v>
      </c>
      <c r="C765" s="38"/>
      <c r="D765" s="38">
        <f t="shared" si="309"/>
        <v>133520.81999999995</v>
      </c>
      <c r="E765" s="38"/>
      <c r="F765" s="38"/>
      <c r="G765" s="38">
        <f t="shared" si="310"/>
        <v>133520.81999999995</v>
      </c>
      <c r="H765" s="38">
        <f t="shared" si="311"/>
        <v>4200000</v>
      </c>
      <c r="I765" s="38"/>
      <c r="J765" s="38">
        <f>'OverNight €'!U435</f>
        <v>6010956.1600000001</v>
      </c>
      <c r="K765" s="177">
        <f>'OverNight €'!N435</f>
        <v>12000000</v>
      </c>
      <c r="L765" s="177"/>
      <c r="M765" s="177">
        <f>'OverNight €'!AB435</f>
        <v>15000000</v>
      </c>
      <c r="N765" s="177">
        <f>'codeis €'!Z435</f>
        <v>0</v>
      </c>
      <c r="O765" s="38">
        <f>'CT- € Ellipsis BNP'!X435</f>
        <v>0</v>
      </c>
      <c r="P765" s="38">
        <f t="shared" ref="P765:R765" si="321">P764</f>
        <v>0</v>
      </c>
      <c r="Q765" s="38">
        <f t="shared" si="321"/>
        <v>0</v>
      </c>
      <c r="R765" s="38">
        <f t="shared" si="321"/>
        <v>0</v>
      </c>
      <c r="S765" s="78">
        <v>46084</v>
      </c>
      <c r="T765" s="63"/>
      <c r="U765" s="63">
        <f t="shared" si="313"/>
        <v>34487.036666679662</v>
      </c>
      <c r="V765" s="63"/>
      <c r="W765" s="63"/>
      <c r="X765" s="63">
        <f t="shared" si="314"/>
        <v>34487.036666679662</v>
      </c>
      <c r="Y765" s="63">
        <f t="shared" si="315"/>
        <v>1280000</v>
      </c>
      <c r="Z765" s="63">
        <f>'codeis $'!AB435</f>
        <v>0</v>
      </c>
      <c r="AA765" s="63">
        <f>'OverNight $'!M435+'OverNight $'!T435+'OverNight $'!AA435+'OverNight $'!AH435</f>
        <v>21000000</v>
      </c>
      <c r="AB765" s="63"/>
      <c r="AC765" s="63"/>
      <c r="AD765" s="63">
        <f>'OverNight $'!AV435</f>
        <v>0</v>
      </c>
      <c r="AE765" s="63">
        <f>'OverNight $'!BC435</f>
        <v>0</v>
      </c>
      <c r="AF765" s="63">
        <f>'OverNight $'!BH435</f>
        <v>0</v>
      </c>
      <c r="AG765" s="63">
        <f>'OverNight $'!BM435</f>
        <v>0</v>
      </c>
      <c r="AH765" s="63">
        <f>'OverNight $'!BR435</f>
        <v>0</v>
      </c>
    </row>
    <row r="766" spans="1:34" x14ac:dyDescent="0.25">
      <c r="B766" s="42">
        <v>46085</v>
      </c>
      <c r="C766" s="38">
        <v>30000000</v>
      </c>
      <c r="D766" s="38">
        <f t="shared" si="309"/>
        <v>30133520.82</v>
      </c>
      <c r="E766" s="38">
        <v>-30000000</v>
      </c>
      <c r="F766" s="38"/>
      <c r="G766" s="38">
        <f t="shared" si="310"/>
        <v>133520.8200000003</v>
      </c>
      <c r="H766" s="38">
        <f t="shared" si="311"/>
        <v>34200000</v>
      </c>
      <c r="I766" s="38"/>
      <c r="J766" s="38">
        <f>'OverNight €'!U436</f>
        <v>6010956.1600000001</v>
      </c>
      <c r="K766" s="177">
        <f>'OverNight €'!N436</f>
        <v>12000000</v>
      </c>
      <c r="L766" s="177"/>
      <c r="M766" s="177">
        <f>'OverNight €'!AB436</f>
        <v>15000000</v>
      </c>
      <c r="N766" s="177">
        <f>'codeis €'!Z436</f>
        <v>0</v>
      </c>
      <c r="O766" s="38">
        <f>'CT- € Ellipsis BNP'!X436</f>
        <v>0</v>
      </c>
      <c r="P766" s="38">
        <f t="shared" ref="P766:R766" si="322">P765</f>
        <v>0</v>
      </c>
      <c r="Q766" s="38">
        <f t="shared" si="322"/>
        <v>0</v>
      </c>
      <c r="R766" s="38">
        <f t="shared" si="322"/>
        <v>0</v>
      </c>
      <c r="S766" s="78">
        <v>46085</v>
      </c>
      <c r="T766" s="63"/>
      <c r="U766" s="63">
        <f t="shared" si="313"/>
        <v>34487.036666679662</v>
      </c>
      <c r="V766" s="63"/>
      <c r="W766" s="63"/>
      <c r="X766" s="63">
        <f t="shared" si="314"/>
        <v>34487.036666679662</v>
      </c>
      <c r="Y766" s="63">
        <f t="shared" si="315"/>
        <v>1280000</v>
      </c>
      <c r="Z766" s="63">
        <f>'codeis $'!AB436</f>
        <v>0</v>
      </c>
      <c r="AA766" s="63">
        <f>'OverNight $'!M436+'OverNight $'!T436+'OverNight $'!AA436+'OverNight $'!AH436</f>
        <v>21000000</v>
      </c>
      <c r="AB766" s="63"/>
      <c r="AC766" s="63"/>
      <c r="AD766" s="63">
        <f>'OverNight $'!AV436</f>
        <v>0</v>
      </c>
      <c r="AE766" s="63">
        <f>'OverNight $'!BC436</f>
        <v>0</v>
      </c>
      <c r="AF766" s="63">
        <f>'OverNight $'!BH436</f>
        <v>0</v>
      </c>
      <c r="AG766" s="63">
        <f>'OverNight $'!BM436</f>
        <v>0</v>
      </c>
      <c r="AH766" s="63">
        <f>'OverNight $'!BR436</f>
        <v>0</v>
      </c>
    </row>
    <row r="767" spans="1:34" x14ac:dyDescent="0.25">
      <c r="A767" s="691" t="s">
        <v>88</v>
      </c>
      <c r="B767" s="42">
        <v>46086</v>
      </c>
      <c r="C767" s="38"/>
      <c r="D767" s="38">
        <f t="shared" ref="D767:D790" si="323">C767+G766</f>
        <v>133520.8200000003</v>
      </c>
      <c r="E767" s="707">
        <v>-50000</v>
      </c>
      <c r="F767" s="38">
        <v>-10000</v>
      </c>
      <c r="G767" s="38">
        <f t="shared" ref="G767:G790" si="324">D767+E767+F767</f>
        <v>73520.820000000298</v>
      </c>
      <c r="H767" s="38">
        <f t="shared" ref="H767:H790" si="325">H766-E767</f>
        <v>34250000</v>
      </c>
      <c r="I767" s="38"/>
      <c r="J767" s="38">
        <f>'OverNight €'!U437</f>
        <v>6010956.1600000001</v>
      </c>
      <c r="K767" s="177">
        <f>'OverNight €'!N437</f>
        <v>12000000</v>
      </c>
      <c r="L767" s="177"/>
      <c r="M767" s="177">
        <f>'OverNight €'!AB437</f>
        <v>15000000</v>
      </c>
      <c r="N767" s="177">
        <f>'codeis €'!Z437</f>
        <v>0</v>
      </c>
      <c r="O767" s="38">
        <f>'CT- € Ellipsis BNP'!X437</f>
        <v>0</v>
      </c>
      <c r="P767" s="38">
        <f t="shared" ref="P767:R767" si="326">P766</f>
        <v>0</v>
      </c>
      <c r="Q767" s="38">
        <f t="shared" si="326"/>
        <v>0</v>
      </c>
      <c r="R767" s="38">
        <f t="shared" si="326"/>
        <v>0</v>
      </c>
      <c r="S767" s="78">
        <v>46086</v>
      </c>
      <c r="T767" s="63"/>
      <c r="U767" s="63">
        <f t="shared" ref="U767:U790" si="327">T767+X766+W767</f>
        <v>202487.03666667966</v>
      </c>
      <c r="V767" s="309">
        <v>-170000</v>
      </c>
      <c r="W767" s="63">
        <v>168000</v>
      </c>
      <c r="X767" s="63">
        <f t="shared" ref="X767:X790" si="328">V767+U767</f>
        <v>32487.036666679662</v>
      </c>
      <c r="Y767" s="63">
        <f t="shared" ref="Y767:Y790" si="329">Y766-V767</f>
        <v>1450000</v>
      </c>
      <c r="Z767" s="63">
        <f>'codeis $'!AB437</f>
        <v>0</v>
      </c>
      <c r="AA767" s="63">
        <f>'OverNight $'!M437+'OverNight $'!T437+'OverNight $'!AA437+'OverNight $'!AH437</f>
        <v>21000000</v>
      </c>
      <c r="AB767" s="63"/>
      <c r="AC767" s="63"/>
      <c r="AD767" s="63">
        <f>'OverNight $'!AV437</f>
        <v>0</v>
      </c>
      <c r="AE767" s="63">
        <f>'OverNight $'!BC437</f>
        <v>0</v>
      </c>
      <c r="AF767" s="63">
        <f>'OverNight $'!BH437</f>
        <v>0</v>
      </c>
      <c r="AG767" s="63">
        <f>'OverNight $'!BM437</f>
        <v>0</v>
      </c>
      <c r="AH767" s="63">
        <f>'OverNight $'!BR437</f>
        <v>0</v>
      </c>
    </row>
    <row r="768" spans="1:34" x14ac:dyDescent="0.25">
      <c r="B768" s="42">
        <v>46087</v>
      </c>
      <c r="C768" s="38"/>
      <c r="D768" s="38">
        <f t="shared" si="323"/>
        <v>73520.820000000298</v>
      </c>
      <c r="E768" s="38"/>
      <c r="F768" s="38"/>
      <c r="G768" s="38">
        <f t="shared" si="324"/>
        <v>73520.820000000298</v>
      </c>
      <c r="H768" s="38">
        <f t="shared" si="325"/>
        <v>34250000</v>
      </c>
      <c r="I768" s="38"/>
      <c r="J768" s="38">
        <f>'OverNight €'!U438</f>
        <v>6010956.1600000001</v>
      </c>
      <c r="K768" s="177">
        <f>'OverNight €'!N438</f>
        <v>12000000</v>
      </c>
      <c r="L768" s="177"/>
      <c r="M768" s="177">
        <f>'OverNight €'!AB438</f>
        <v>15000000</v>
      </c>
      <c r="N768" s="177">
        <f>'codeis €'!Z438</f>
        <v>0</v>
      </c>
      <c r="O768" s="38">
        <f>'CT- € Ellipsis BNP'!X438</f>
        <v>0</v>
      </c>
      <c r="P768" s="38">
        <f t="shared" ref="P768:R768" si="330">P767</f>
        <v>0</v>
      </c>
      <c r="Q768" s="38">
        <f t="shared" si="330"/>
        <v>0</v>
      </c>
      <c r="R768" s="38">
        <f t="shared" si="330"/>
        <v>0</v>
      </c>
      <c r="S768" s="78">
        <v>46087</v>
      </c>
      <c r="T768" s="63"/>
      <c r="U768" s="63">
        <f t="shared" si="327"/>
        <v>32487.036666679662</v>
      </c>
      <c r="V768" s="63"/>
      <c r="W768" s="63"/>
      <c r="X768" s="63">
        <f t="shared" si="328"/>
        <v>32487.036666679662</v>
      </c>
      <c r="Y768" s="63">
        <f t="shared" si="329"/>
        <v>1450000</v>
      </c>
      <c r="Z768" s="63">
        <f>'codeis $'!AB438</f>
        <v>0</v>
      </c>
      <c r="AA768" s="63">
        <f>'OverNight $'!M438+'OverNight $'!T438+'OverNight $'!AA438+'OverNight $'!AH438</f>
        <v>21000000</v>
      </c>
      <c r="AB768" s="63"/>
      <c r="AC768" s="63"/>
      <c r="AD768" s="63">
        <f>'OverNight $'!AV438</f>
        <v>0</v>
      </c>
      <c r="AE768" s="63">
        <f>'OverNight $'!BC438</f>
        <v>0</v>
      </c>
      <c r="AF768" s="63">
        <f>'OverNight $'!BH438</f>
        <v>0</v>
      </c>
      <c r="AG768" s="63">
        <f>'OverNight $'!BM438</f>
        <v>0</v>
      </c>
      <c r="AH768" s="63">
        <f>'OverNight $'!BR438</f>
        <v>0</v>
      </c>
    </row>
    <row r="769" spans="2:34" x14ac:dyDescent="0.25">
      <c r="B769" s="42">
        <v>46088</v>
      </c>
      <c r="C769" s="38"/>
      <c r="D769" s="38">
        <f t="shared" si="323"/>
        <v>73520.820000000298</v>
      </c>
      <c r="E769" s="38"/>
      <c r="F769" s="38"/>
      <c r="G769" s="38">
        <f t="shared" si="324"/>
        <v>73520.820000000298</v>
      </c>
      <c r="H769" s="38">
        <f t="shared" si="325"/>
        <v>34250000</v>
      </c>
      <c r="I769" s="38"/>
      <c r="J769" s="38">
        <f>'OverNight €'!U439</f>
        <v>6010956.1600000001</v>
      </c>
      <c r="K769" s="177">
        <f>'OverNight €'!N439</f>
        <v>12000000</v>
      </c>
      <c r="L769" s="177"/>
      <c r="M769" s="177">
        <f>'OverNight €'!AB439</f>
        <v>15000000</v>
      </c>
      <c r="N769" s="177">
        <f>'codeis €'!Z439</f>
        <v>0</v>
      </c>
      <c r="O769" s="38">
        <f>'CT- € Ellipsis BNP'!X439</f>
        <v>0</v>
      </c>
      <c r="P769" s="38">
        <f t="shared" ref="P769:R769" si="331">P768</f>
        <v>0</v>
      </c>
      <c r="Q769" s="38">
        <f t="shared" si="331"/>
        <v>0</v>
      </c>
      <c r="R769" s="38">
        <f t="shared" si="331"/>
        <v>0</v>
      </c>
      <c r="S769" s="78">
        <v>46088</v>
      </c>
      <c r="T769" s="63"/>
      <c r="U769" s="63">
        <f t="shared" si="327"/>
        <v>32487.036666679662</v>
      </c>
      <c r="V769" s="63"/>
      <c r="W769" s="63"/>
      <c r="X769" s="63">
        <f t="shared" si="328"/>
        <v>32487.036666679662</v>
      </c>
      <c r="Y769" s="63">
        <f t="shared" si="329"/>
        <v>1450000</v>
      </c>
      <c r="Z769" s="63">
        <f>'codeis $'!AB439</f>
        <v>0</v>
      </c>
      <c r="AA769" s="63">
        <f>'OverNight $'!M439+'OverNight $'!T439+'OverNight $'!AA439+'OverNight $'!AH439</f>
        <v>21000000</v>
      </c>
      <c r="AB769" s="63"/>
      <c r="AC769" s="63"/>
      <c r="AD769" s="63">
        <f>'OverNight $'!AV439</f>
        <v>0</v>
      </c>
      <c r="AE769" s="63">
        <f>'OverNight $'!BC439</f>
        <v>0</v>
      </c>
      <c r="AF769" s="63">
        <f>'OverNight $'!BH439</f>
        <v>0</v>
      </c>
      <c r="AG769" s="63">
        <f>'OverNight $'!BM439</f>
        <v>0</v>
      </c>
      <c r="AH769" s="63">
        <f>'OverNight $'!BR439</f>
        <v>0</v>
      </c>
    </row>
    <row r="770" spans="2:34" x14ac:dyDescent="0.25">
      <c r="B770" s="42">
        <v>46089</v>
      </c>
      <c r="C770" s="38"/>
      <c r="D770" s="38">
        <f t="shared" si="323"/>
        <v>73520.820000000298</v>
      </c>
      <c r="E770" s="38"/>
      <c r="F770" s="38"/>
      <c r="G770" s="38">
        <f t="shared" si="324"/>
        <v>73520.820000000298</v>
      </c>
      <c r="H770" s="38">
        <f t="shared" si="325"/>
        <v>34250000</v>
      </c>
      <c r="I770" s="38"/>
      <c r="J770" s="38">
        <f>'OverNight €'!U440</f>
        <v>6010956.1600000001</v>
      </c>
      <c r="K770" s="177">
        <f>'OverNight €'!N440</f>
        <v>12000000</v>
      </c>
      <c r="L770" s="177"/>
      <c r="M770" s="177">
        <f>'OverNight €'!AB440</f>
        <v>15000000</v>
      </c>
      <c r="N770" s="177">
        <f>'codeis €'!Z440</f>
        <v>0</v>
      </c>
      <c r="O770" s="38">
        <f>'CT- € Ellipsis BNP'!X440</f>
        <v>0</v>
      </c>
      <c r="P770" s="38">
        <f t="shared" ref="P770:R770" si="332">P769</f>
        <v>0</v>
      </c>
      <c r="Q770" s="38">
        <f t="shared" si="332"/>
        <v>0</v>
      </c>
      <c r="R770" s="38">
        <f t="shared" si="332"/>
        <v>0</v>
      </c>
      <c r="S770" s="78">
        <v>46089</v>
      </c>
      <c r="T770" s="63"/>
      <c r="U770" s="63">
        <f t="shared" si="327"/>
        <v>32487.036666679662</v>
      </c>
      <c r="V770" s="63"/>
      <c r="W770" s="63"/>
      <c r="X770" s="63">
        <f t="shared" si="328"/>
        <v>32487.036666679662</v>
      </c>
      <c r="Y770" s="63">
        <f t="shared" si="329"/>
        <v>1450000</v>
      </c>
      <c r="Z770" s="63">
        <f>'codeis $'!AB440</f>
        <v>0</v>
      </c>
      <c r="AA770" s="63">
        <f>'OverNight $'!M440+'OverNight $'!T440+'OverNight $'!AA440+'OverNight $'!AH440</f>
        <v>21000000</v>
      </c>
      <c r="AB770" s="63"/>
      <c r="AC770" s="63"/>
      <c r="AD770" s="63">
        <f>'OverNight $'!AV440</f>
        <v>0</v>
      </c>
      <c r="AE770" s="63">
        <f>'OverNight $'!BC440</f>
        <v>0</v>
      </c>
      <c r="AF770" s="63">
        <f>'OverNight $'!BH440</f>
        <v>0</v>
      </c>
      <c r="AG770" s="63">
        <f>'OverNight $'!BM440</f>
        <v>0</v>
      </c>
      <c r="AH770" s="63">
        <f>'OverNight $'!BR440</f>
        <v>0</v>
      </c>
    </row>
    <row r="771" spans="2:34" x14ac:dyDescent="0.25">
      <c r="B771" s="42">
        <v>46090</v>
      </c>
      <c r="C771" s="38"/>
      <c r="D771" s="38">
        <f t="shared" si="323"/>
        <v>73520.820000000298</v>
      </c>
      <c r="E771" s="38"/>
      <c r="F771" s="38"/>
      <c r="G771" s="38">
        <f t="shared" si="324"/>
        <v>73520.820000000298</v>
      </c>
      <c r="H771" s="38">
        <f t="shared" si="325"/>
        <v>34250000</v>
      </c>
      <c r="I771" s="38"/>
      <c r="J771" s="38">
        <f>'OverNight €'!U441</f>
        <v>6010956.1600000001</v>
      </c>
      <c r="K771" s="177">
        <f>'OverNight €'!N441</f>
        <v>12000000</v>
      </c>
      <c r="L771" s="177"/>
      <c r="M771" s="177">
        <f>'OverNight €'!AB441</f>
        <v>15000000</v>
      </c>
      <c r="N771" s="177">
        <f>'codeis €'!Z441</f>
        <v>0</v>
      </c>
      <c r="O771" s="38">
        <f>'CT- € Ellipsis BNP'!X441</f>
        <v>0</v>
      </c>
      <c r="P771" s="38">
        <f t="shared" ref="P771:R771" si="333">P770</f>
        <v>0</v>
      </c>
      <c r="Q771" s="38">
        <f t="shared" si="333"/>
        <v>0</v>
      </c>
      <c r="R771" s="38">
        <f t="shared" si="333"/>
        <v>0</v>
      </c>
      <c r="S771" s="78">
        <v>46090</v>
      </c>
      <c r="T771" s="63"/>
      <c r="U771" s="63">
        <f t="shared" si="327"/>
        <v>32487.036666679662</v>
      </c>
      <c r="V771" s="63"/>
      <c r="W771" s="63"/>
      <c r="X771" s="63">
        <f t="shared" si="328"/>
        <v>32487.036666679662</v>
      </c>
      <c r="Y771" s="63">
        <f t="shared" si="329"/>
        <v>1450000</v>
      </c>
      <c r="Z771" s="63">
        <f>'codeis $'!AB441</f>
        <v>0</v>
      </c>
      <c r="AA771" s="63">
        <f>'OverNight $'!M441+'OverNight $'!T441+'OverNight $'!AA441+'OverNight $'!AH441</f>
        <v>21000000</v>
      </c>
      <c r="AB771" s="63"/>
      <c r="AC771" s="63"/>
      <c r="AD771" s="63">
        <f>'OverNight $'!AV441</f>
        <v>0</v>
      </c>
      <c r="AE771" s="63">
        <f>'OverNight $'!BC441</f>
        <v>0</v>
      </c>
      <c r="AF771" s="63">
        <f>'OverNight $'!BH441</f>
        <v>0</v>
      </c>
      <c r="AG771" s="63">
        <f>'OverNight $'!BM441</f>
        <v>0</v>
      </c>
      <c r="AH771" s="63">
        <f>'OverNight $'!BR441</f>
        <v>0</v>
      </c>
    </row>
    <row r="772" spans="2:34" x14ac:dyDescent="0.25">
      <c r="B772" s="42">
        <v>46091</v>
      </c>
      <c r="C772" s="38"/>
      <c r="D772" s="38">
        <f t="shared" si="323"/>
        <v>73520.820000000298</v>
      </c>
      <c r="E772" s="38"/>
      <c r="F772" s="38"/>
      <c r="G772" s="38">
        <f t="shared" si="324"/>
        <v>73520.820000000298</v>
      </c>
      <c r="H772" s="38">
        <f t="shared" si="325"/>
        <v>34250000</v>
      </c>
      <c r="I772" s="38"/>
      <c r="J772" s="38">
        <f>'OverNight €'!U442</f>
        <v>6010956.1600000001</v>
      </c>
      <c r="K772" s="177">
        <f>'OverNight €'!N442</f>
        <v>12000000</v>
      </c>
      <c r="L772" s="177"/>
      <c r="M772" s="177">
        <f>'OverNight €'!AB442</f>
        <v>15000000</v>
      </c>
      <c r="N772" s="177">
        <f>'codeis €'!Z442</f>
        <v>0</v>
      </c>
      <c r="O772" s="38">
        <f>'CT- € Ellipsis BNP'!X442</f>
        <v>0</v>
      </c>
      <c r="P772" s="38">
        <f t="shared" ref="P772:R772" si="334">P771</f>
        <v>0</v>
      </c>
      <c r="Q772" s="38">
        <f t="shared" si="334"/>
        <v>0</v>
      </c>
      <c r="R772" s="38">
        <f t="shared" si="334"/>
        <v>0</v>
      </c>
      <c r="S772" s="78">
        <v>46091</v>
      </c>
      <c r="T772" s="63"/>
      <c r="U772" s="63">
        <f t="shared" si="327"/>
        <v>32487.036666679662</v>
      </c>
      <c r="V772" s="63"/>
      <c r="W772" s="63"/>
      <c r="X772" s="63">
        <f t="shared" si="328"/>
        <v>32487.036666679662</v>
      </c>
      <c r="Y772" s="63">
        <f t="shared" si="329"/>
        <v>1450000</v>
      </c>
      <c r="Z772" s="63">
        <f>'codeis $'!AB442</f>
        <v>0</v>
      </c>
      <c r="AA772" s="63">
        <f>'OverNight $'!M442+'OverNight $'!T442+'OverNight $'!AA442+'OverNight $'!AH442</f>
        <v>21000000</v>
      </c>
      <c r="AB772" s="63"/>
      <c r="AC772" s="63"/>
      <c r="AD772" s="63">
        <f>'OverNight $'!AV442</f>
        <v>0</v>
      </c>
      <c r="AE772" s="63">
        <f>'OverNight $'!BC442</f>
        <v>0</v>
      </c>
      <c r="AF772" s="63">
        <f>'OverNight $'!BH442</f>
        <v>0</v>
      </c>
      <c r="AG772" s="63">
        <f>'OverNight $'!BM442</f>
        <v>0</v>
      </c>
      <c r="AH772" s="63">
        <f>'OverNight $'!BR442</f>
        <v>0</v>
      </c>
    </row>
    <row r="773" spans="2:34" x14ac:dyDescent="0.25">
      <c r="B773" s="42">
        <v>46092</v>
      </c>
      <c r="C773" s="38"/>
      <c r="D773" s="38">
        <f t="shared" si="323"/>
        <v>73520.820000000298</v>
      </c>
      <c r="E773" s="38"/>
      <c r="F773" s="38"/>
      <c r="G773" s="38">
        <f t="shared" si="324"/>
        <v>73520.820000000298</v>
      </c>
      <c r="H773" s="38">
        <f t="shared" si="325"/>
        <v>34250000</v>
      </c>
      <c r="I773" s="38"/>
      <c r="J773" s="38">
        <f>'OverNight €'!U443</f>
        <v>6010956.1600000001</v>
      </c>
      <c r="K773" s="177">
        <f>'OverNight €'!N443</f>
        <v>12000000</v>
      </c>
      <c r="L773" s="177"/>
      <c r="M773" s="177">
        <f>'OverNight €'!AB443</f>
        <v>15000000</v>
      </c>
      <c r="N773" s="177">
        <f>'codeis €'!Z443</f>
        <v>0</v>
      </c>
      <c r="O773" s="38">
        <f>'CT- € Ellipsis BNP'!X443</f>
        <v>0</v>
      </c>
      <c r="P773" s="38">
        <f t="shared" ref="P773:R773" si="335">P772</f>
        <v>0</v>
      </c>
      <c r="Q773" s="38">
        <f t="shared" si="335"/>
        <v>0</v>
      </c>
      <c r="R773" s="38">
        <f t="shared" si="335"/>
        <v>0</v>
      </c>
      <c r="S773" s="78">
        <v>46092</v>
      </c>
      <c r="T773" s="63"/>
      <c r="U773" s="63">
        <f t="shared" si="327"/>
        <v>32487.036666679662</v>
      </c>
      <c r="V773" s="63"/>
      <c r="W773" s="63"/>
      <c r="X773" s="63">
        <f t="shared" si="328"/>
        <v>32487.036666679662</v>
      </c>
      <c r="Y773" s="63">
        <f t="shared" si="329"/>
        <v>1450000</v>
      </c>
      <c r="Z773" s="63">
        <f>'codeis $'!AB443</f>
        <v>0</v>
      </c>
      <c r="AA773" s="63">
        <f>'OverNight $'!M443+'OverNight $'!T443+'OverNight $'!AA443+'OverNight $'!AH443</f>
        <v>21000000</v>
      </c>
      <c r="AB773" s="63"/>
      <c r="AC773" s="63"/>
      <c r="AD773" s="63">
        <f>'OverNight $'!AV443</f>
        <v>0</v>
      </c>
      <c r="AE773" s="63">
        <f>'OverNight $'!BC443</f>
        <v>0</v>
      </c>
      <c r="AF773" s="63">
        <f>'OverNight $'!BH443</f>
        <v>0</v>
      </c>
      <c r="AG773" s="63">
        <f>'OverNight $'!BM443</f>
        <v>0</v>
      </c>
      <c r="AH773" s="63">
        <f>'OverNight $'!BR443</f>
        <v>0</v>
      </c>
    </row>
    <row r="774" spans="2:34" x14ac:dyDescent="0.25">
      <c r="B774" s="42">
        <v>46093</v>
      </c>
      <c r="C774" s="38"/>
      <c r="D774" s="38">
        <f t="shared" si="323"/>
        <v>73520.820000000298</v>
      </c>
      <c r="E774" s="38"/>
      <c r="F774" s="38"/>
      <c r="G774" s="38">
        <f t="shared" si="324"/>
        <v>73520.820000000298</v>
      </c>
      <c r="H774" s="38">
        <f t="shared" si="325"/>
        <v>34250000</v>
      </c>
      <c r="I774" s="38"/>
      <c r="J774" s="38">
        <f>'OverNight €'!U444</f>
        <v>6010956.1600000001</v>
      </c>
      <c r="K774" s="177">
        <f>'OverNight €'!N444</f>
        <v>12000000</v>
      </c>
      <c r="L774" s="177"/>
      <c r="M774" s="177">
        <f>'OverNight €'!AB444</f>
        <v>15000000</v>
      </c>
      <c r="N774" s="177">
        <f>'codeis €'!Z444</f>
        <v>0</v>
      </c>
      <c r="O774" s="38">
        <f>'CT- € Ellipsis BNP'!X444</f>
        <v>0</v>
      </c>
      <c r="P774" s="38">
        <f t="shared" ref="P774:R774" si="336">P773</f>
        <v>0</v>
      </c>
      <c r="Q774" s="38">
        <f t="shared" si="336"/>
        <v>0</v>
      </c>
      <c r="R774" s="38">
        <f t="shared" si="336"/>
        <v>0</v>
      </c>
      <c r="S774" s="78">
        <v>46093</v>
      </c>
      <c r="T774" s="63"/>
      <c r="U774" s="63">
        <f t="shared" si="327"/>
        <v>32487.036666679662</v>
      </c>
      <c r="V774" s="63"/>
      <c r="W774" s="63"/>
      <c r="X774" s="63">
        <f t="shared" si="328"/>
        <v>32487.036666679662</v>
      </c>
      <c r="Y774" s="63">
        <f t="shared" si="329"/>
        <v>1450000</v>
      </c>
      <c r="Z774" s="63">
        <f>'codeis $'!AB444</f>
        <v>0</v>
      </c>
      <c r="AA774" s="63">
        <f>'OverNight $'!M444+'OverNight $'!T444+'OverNight $'!AA444+'OverNight $'!AH444</f>
        <v>21000000</v>
      </c>
      <c r="AB774" s="63"/>
      <c r="AC774" s="63"/>
      <c r="AD774" s="63">
        <f>'OverNight $'!AV444</f>
        <v>0</v>
      </c>
      <c r="AE774" s="63">
        <f>'OverNight $'!BC444</f>
        <v>0</v>
      </c>
      <c r="AF774" s="63">
        <f>'OverNight $'!BH444</f>
        <v>0</v>
      </c>
      <c r="AG774" s="63">
        <f>'OverNight $'!BM444</f>
        <v>0</v>
      </c>
      <c r="AH774" s="63">
        <f>'OverNight $'!BR444</f>
        <v>0</v>
      </c>
    </row>
    <row r="775" spans="2:34" x14ac:dyDescent="0.25">
      <c r="B775" s="42">
        <v>46094</v>
      </c>
      <c r="C775" s="38"/>
      <c r="D775" s="38">
        <f t="shared" si="323"/>
        <v>73520.820000000298</v>
      </c>
      <c r="E775" s="38"/>
      <c r="F775" s="38"/>
      <c r="G775" s="38">
        <f t="shared" si="324"/>
        <v>73520.820000000298</v>
      </c>
      <c r="H775" s="38">
        <f t="shared" si="325"/>
        <v>34250000</v>
      </c>
      <c r="I775" s="38"/>
      <c r="J775" s="38">
        <f>'OverNight €'!U445</f>
        <v>6010956.1600000001</v>
      </c>
      <c r="K775" s="177">
        <f>'OverNight €'!N445</f>
        <v>12000000</v>
      </c>
      <c r="L775" s="177"/>
      <c r="M775" s="177">
        <f>'OverNight €'!AB445</f>
        <v>15000000</v>
      </c>
      <c r="N775" s="177">
        <f>'codeis €'!Z445</f>
        <v>0</v>
      </c>
      <c r="O775" s="38">
        <f>'CT- € Ellipsis BNP'!X445</f>
        <v>0</v>
      </c>
      <c r="P775" s="38">
        <f t="shared" ref="P775:R775" si="337">P774</f>
        <v>0</v>
      </c>
      <c r="Q775" s="38">
        <f t="shared" si="337"/>
        <v>0</v>
      </c>
      <c r="R775" s="38">
        <f t="shared" si="337"/>
        <v>0</v>
      </c>
      <c r="S775" s="78">
        <v>46094</v>
      </c>
      <c r="T775" s="63"/>
      <c r="U775" s="63">
        <f t="shared" si="327"/>
        <v>32487.036666679662</v>
      </c>
      <c r="V775" s="63"/>
      <c r="W775" s="63"/>
      <c r="X775" s="63">
        <f t="shared" si="328"/>
        <v>32487.036666679662</v>
      </c>
      <c r="Y775" s="63">
        <f t="shared" si="329"/>
        <v>1450000</v>
      </c>
      <c r="Z775" s="63">
        <f>'codeis $'!AB445</f>
        <v>0</v>
      </c>
      <c r="AA775" s="63">
        <f>'OverNight $'!M445+'OverNight $'!T445+'OverNight $'!AA445+'OverNight $'!AH445</f>
        <v>21000000</v>
      </c>
      <c r="AB775" s="63"/>
      <c r="AC775" s="63"/>
      <c r="AD775" s="63">
        <f>'OverNight $'!AV445</f>
        <v>0</v>
      </c>
      <c r="AE775" s="63">
        <f>'OverNight $'!BC445</f>
        <v>0</v>
      </c>
      <c r="AF775" s="63">
        <f>'OverNight $'!BH445</f>
        <v>0</v>
      </c>
      <c r="AG775" s="63">
        <f>'OverNight $'!BM445</f>
        <v>0</v>
      </c>
      <c r="AH775" s="63">
        <f>'OverNight $'!BR445</f>
        <v>0</v>
      </c>
    </row>
    <row r="776" spans="2:34" x14ac:dyDescent="0.25">
      <c r="B776" s="42">
        <v>46095</v>
      </c>
      <c r="C776" s="38"/>
      <c r="D776" s="38">
        <f t="shared" si="323"/>
        <v>73520.820000000298</v>
      </c>
      <c r="E776" s="38"/>
      <c r="F776" s="38"/>
      <c r="G776" s="38">
        <f t="shared" si="324"/>
        <v>73520.820000000298</v>
      </c>
      <c r="H776" s="38">
        <f t="shared" si="325"/>
        <v>34250000</v>
      </c>
      <c r="I776" s="38"/>
      <c r="J776" s="38">
        <f>'OverNight €'!U446</f>
        <v>6010956.1600000001</v>
      </c>
      <c r="K776" s="177">
        <f>'OverNight €'!N446</f>
        <v>12000000</v>
      </c>
      <c r="L776" s="177"/>
      <c r="M776" s="177">
        <f>'OverNight €'!AB446</f>
        <v>15000000</v>
      </c>
      <c r="N776" s="177">
        <f>'codeis €'!Z446</f>
        <v>0</v>
      </c>
      <c r="O776" s="38">
        <f>'CT- € Ellipsis BNP'!X446</f>
        <v>0</v>
      </c>
      <c r="P776" s="38">
        <f t="shared" ref="P776:R776" si="338">P775</f>
        <v>0</v>
      </c>
      <c r="Q776" s="38">
        <f t="shared" si="338"/>
        <v>0</v>
      </c>
      <c r="R776" s="38">
        <f t="shared" si="338"/>
        <v>0</v>
      </c>
      <c r="S776" s="78">
        <v>46095</v>
      </c>
      <c r="T776" s="63"/>
      <c r="U776" s="63">
        <f t="shared" si="327"/>
        <v>32487.036666679662</v>
      </c>
      <c r="V776" s="63"/>
      <c r="W776" s="63"/>
      <c r="X776" s="63">
        <f t="shared" si="328"/>
        <v>32487.036666679662</v>
      </c>
      <c r="Y776" s="63">
        <f t="shared" si="329"/>
        <v>1450000</v>
      </c>
      <c r="Z776" s="63">
        <f>'codeis $'!AB446</f>
        <v>0</v>
      </c>
      <c r="AA776" s="63">
        <f>'OverNight $'!M446+'OverNight $'!T446+'OverNight $'!AA446+'OverNight $'!AH446</f>
        <v>21000000</v>
      </c>
      <c r="AB776" s="63"/>
      <c r="AC776" s="63"/>
      <c r="AD776" s="63">
        <f>'OverNight $'!AV446</f>
        <v>0</v>
      </c>
      <c r="AE776" s="63">
        <f>'OverNight $'!BC446</f>
        <v>0</v>
      </c>
      <c r="AF776" s="63">
        <f>'OverNight $'!BH446</f>
        <v>0</v>
      </c>
      <c r="AG776" s="63">
        <f>'OverNight $'!BM446</f>
        <v>0</v>
      </c>
      <c r="AH776" s="63">
        <f>'OverNight $'!BR446</f>
        <v>0</v>
      </c>
    </row>
    <row r="777" spans="2:34" x14ac:dyDescent="0.25">
      <c r="B777" s="42">
        <v>46096</v>
      </c>
      <c r="C777" s="38"/>
      <c r="D777" s="38">
        <f t="shared" si="323"/>
        <v>73520.820000000298</v>
      </c>
      <c r="E777" s="38"/>
      <c r="F777" s="38"/>
      <c r="G777" s="38">
        <f t="shared" si="324"/>
        <v>73520.820000000298</v>
      </c>
      <c r="H777" s="38">
        <f t="shared" si="325"/>
        <v>34250000</v>
      </c>
      <c r="I777" s="38"/>
      <c r="J777" s="38">
        <f>'OverNight €'!U447</f>
        <v>6010956.1600000001</v>
      </c>
      <c r="K777" s="177">
        <f>'OverNight €'!N447</f>
        <v>12000000</v>
      </c>
      <c r="L777" s="177"/>
      <c r="M777" s="177">
        <f>'OverNight €'!AB447</f>
        <v>15000000</v>
      </c>
      <c r="N777" s="177">
        <f>'codeis €'!Z447</f>
        <v>0</v>
      </c>
      <c r="O777" s="38">
        <f>'CT- € Ellipsis BNP'!X447</f>
        <v>0</v>
      </c>
      <c r="P777" s="38">
        <f t="shared" ref="P777:R777" si="339">P776</f>
        <v>0</v>
      </c>
      <c r="Q777" s="38">
        <f t="shared" si="339"/>
        <v>0</v>
      </c>
      <c r="R777" s="38">
        <f t="shared" si="339"/>
        <v>0</v>
      </c>
      <c r="S777" s="78">
        <v>46096</v>
      </c>
      <c r="T777" s="63"/>
      <c r="U777" s="63">
        <f t="shared" si="327"/>
        <v>32487.036666679662</v>
      </c>
      <c r="V777" s="63"/>
      <c r="W777" s="63"/>
      <c r="X777" s="63">
        <f t="shared" si="328"/>
        <v>32487.036666679662</v>
      </c>
      <c r="Y777" s="63">
        <f t="shared" si="329"/>
        <v>1450000</v>
      </c>
      <c r="Z777" s="63">
        <f>'codeis $'!AB447</f>
        <v>0</v>
      </c>
      <c r="AA777" s="63">
        <f>'OverNight $'!M447+'OverNight $'!T447+'OverNight $'!AA447+'OverNight $'!AH447</f>
        <v>21000000</v>
      </c>
      <c r="AB777" s="63"/>
      <c r="AC777" s="63"/>
      <c r="AD777" s="63">
        <f>'OverNight $'!AV447</f>
        <v>0</v>
      </c>
      <c r="AE777" s="63">
        <f>'OverNight $'!BC447</f>
        <v>0</v>
      </c>
      <c r="AF777" s="63">
        <f>'OverNight $'!BH447</f>
        <v>0</v>
      </c>
      <c r="AG777" s="63">
        <f>'OverNight $'!BM447</f>
        <v>0</v>
      </c>
      <c r="AH777" s="63">
        <f>'OverNight $'!BR447</f>
        <v>0</v>
      </c>
    </row>
    <row r="778" spans="2:34" x14ac:dyDescent="0.25">
      <c r="B778" s="42">
        <v>46097</v>
      </c>
      <c r="C778" s="38"/>
      <c r="D778" s="38">
        <f t="shared" si="323"/>
        <v>73520.820000000298</v>
      </c>
      <c r="E778" s="38"/>
      <c r="F778" s="38"/>
      <c r="G778" s="38">
        <f t="shared" si="324"/>
        <v>73520.820000000298</v>
      </c>
      <c r="H778" s="38">
        <f t="shared" si="325"/>
        <v>34250000</v>
      </c>
      <c r="I778" s="38"/>
      <c r="J778" s="38">
        <f>'OverNight €'!U448</f>
        <v>6010956.1600000001</v>
      </c>
      <c r="K778" s="177">
        <f>'OverNight €'!N448</f>
        <v>12000000</v>
      </c>
      <c r="L778" s="177"/>
      <c r="M778" s="177">
        <f>'OverNight €'!AB448</f>
        <v>15000000</v>
      </c>
      <c r="N778" s="177">
        <f>'codeis €'!Z448</f>
        <v>0</v>
      </c>
      <c r="O778" s="38">
        <f>'CT- € Ellipsis BNP'!X448</f>
        <v>0</v>
      </c>
      <c r="P778" s="38">
        <f t="shared" ref="P778:R778" si="340">P777</f>
        <v>0</v>
      </c>
      <c r="Q778" s="38">
        <f t="shared" si="340"/>
        <v>0</v>
      </c>
      <c r="R778" s="38">
        <f t="shared" si="340"/>
        <v>0</v>
      </c>
      <c r="S778" s="78">
        <v>46097</v>
      </c>
      <c r="T778" s="63"/>
      <c r="U778" s="63">
        <f t="shared" si="327"/>
        <v>32487.036666679662</v>
      </c>
      <c r="V778" s="63"/>
      <c r="W778" s="63"/>
      <c r="X778" s="63">
        <f t="shared" si="328"/>
        <v>32487.036666679662</v>
      </c>
      <c r="Y778" s="63">
        <f t="shared" si="329"/>
        <v>1450000</v>
      </c>
      <c r="Z778" s="63">
        <f>'codeis $'!AB448</f>
        <v>0</v>
      </c>
      <c r="AA778" s="63">
        <f>'OverNight $'!M448+'OverNight $'!T448+'OverNight $'!AA448+'OverNight $'!AH448</f>
        <v>21000000</v>
      </c>
      <c r="AB778" s="63"/>
      <c r="AC778" s="63"/>
      <c r="AD778" s="63">
        <f>'OverNight $'!AV448</f>
        <v>0</v>
      </c>
      <c r="AE778" s="63">
        <f>'OverNight $'!BC448</f>
        <v>0</v>
      </c>
      <c r="AF778" s="63">
        <f>'OverNight $'!BH448</f>
        <v>0</v>
      </c>
      <c r="AG778" s="63">
        <f>'OverNight $'!BM448</f>
        <v>0</v>
      </c>
      <c r="AH778" s="63">
        <f>'OverNight $'!BR448</f>
        <v>0</v>
      </c>
    </row>
    <row r="779" spans="2:34" x14ac:dyDescent="0.25">
      <c r="B779" s="42">
        <v>46098</v>
      </c>
      <c r="C779" s="38"/>
      <c r="D779" s="38">
        <f t="shared" si="323"/>
        <v>73520.820000000298</v>
      </c>
      <c r="E779" s="38"/>
      <c r="F779" s="38"/>
      <c r="G779" s="38">
        <f t="shared" si="324"/>
        <v>73520.820000000298</v>
      </c>
      <c r="H779" s="38">
        <f t="shared" si="325"/>
        <v>34250000</v>
      </c>
      <c r="I779" s="38"/>
      <c r="J779" s="38">
        <f>'OverNight €'!U449</f>
        <v>6010956.1600000001</v>
      </c>
      <c r="K779" s="177">
        <f>'OverNight €'!N449</f>
        <v>12000000</v>
      </c>
      <c r="L779" s="177"/>
      <c r="M779" s="177">
        <f>'OverNight €'!AB449</f>
        <v>15000000</v>
      </c>
      <c r="N779" s="177">
        <f>'codeis €'!Z449</f>
        <v>0</v>
      </c>
      <c r="O779" s="38">
        <f>'CT- € Ellipsis BNP'!X449</f>
        <v>0</v>
      </c>
      <c r="P779" s="38">
        <f t="shared" ref="P779:R779" si="341">P778</f>
        <v>0</v>
      </c>
      <c r="Q779" s="38">
        <f t="shared" si="341"/>
        <v>0</v>
      </c>
      <c r="R779" s="38">
        <f t="shared" si="341"/>
        <v>0</v>
      </c>
      <c r="S779" s="78">
        <v>46098</v>
      </c>
      <c r="T779" s="63"/>
      <c r="U779" s="63">
        <f t="shared" si="327"/>
        <v>32487.036666679662</v>
      </c>
      <c r="V779" s="63"/>
      <c r="W779" s="63"/>
      <c r="X779" s="63">
        <f t="shared" si="328"/>
        <v>32487.036666679662</v>
      </c>
      <c r="Y779" s="63">
        <f t="shared" si="329"/>
        <v>1450000</v>
      </c>
      <c r="Z779" s="63">
        <f>'codeis $'!AB449</f>
        <v>0</v>
      </c>
      <c r="AA779" s="63">
        <f>'OverNight $'!M449+'OverNight $'!T449+'OverNight $'!AA449+'OverNight $'!AH449</f>
        <v>21000000</v>
      </c>
      <c r="AB779" s="63"/>
      <c r="AC779" s="63"/>
      <c r="AD779" s="63">
        <f>'OverNight $'!AV449</f>
        <v>0</v>
      </c>
      <c r="AE779" s="63">
        <f>'OverNight $'!BC449</f>
        <v>0</v>
      </c>
      <c r="AF779" s="63">
        <f>'OverNight $'!BH449</f>
        <v>0</v>
      </c>
      <c r="AG779" s="63">
        <f>'OverNight $'!BM449</f>
        <v>0</v>
      </c>
      <c r="AH779" s="63">
        <f>'OverNight $'!BR449</f>
        <v>0</v>
      </c>
    </row>
    <row r="780" spans="2:34" x14ac:dyDescent="0.25">
      <c r="B780" s="42">
        <v>46099</v>
      </c>
      <c r="C780" s="38"/>
      <c r="D780" s="38">
        <f t="shared" si="323"/>
        <v>73520.820000000298</v>
      </c>
      <c r="E780" s="38"/>
      <c r="F780" s="38"/>
      <c r="G780" s="38">
        <f t="shared" si="324"/>
        <v>73520.820000000298</v>
      </c>
      <c r="H780" s="38">
        <f t="shared" si="325"/>
        <v>34250000</v>
      </c>
      <c r="I780" s="38"/>
      <c r="J780" s="38">
        <f>'OverNight €'!U450</f>
        <v>6010956.1600000001</v>
      </c>
      <c r="K780" s="177">
        <f>'OverNight €'!N450</f>
        <v>12000000</v>
      </c>
      <c r="L780" s="177"/>
      <c r="M780" s="177">
        <f>'OverNight €'!AB450</f>
        <v>15000000</v>
      </c>
      <c r="N780" s="177">
        <f>'codeis €'!Z450</f>
        <v>0</v>
      </c>
      <c r="O780" s="38">
        <f>'CT- € Ellipsis BNP'!X450</f>
        <v>0</v>
      </c>
      <c r="P780" s="38">
        <f t="shared" ref="P780:R780" si="342">P779</f>
        <v>0</v>
      </c>
      <c r="Q780" s="38">
        <f t="shared" si="342"/>
        <v>0</v>
      </c>
      <c r="R780" s="38">
        <f t="shared" si="342"/>
        <v>0</v>
      </c>
      <c r="S780" s="78">
        <v>46099</v>
      </c>
      <c r="T780" s="63"/>
      <c r="U780" s="63">
        <f t="shared" si="327"/>
        <v>32487.036666679662</v>
      </c>
      <c r="V780" s="63"/>
      <c r="W780" s="63"/>
      <c r="X780" s="63">
        <f t="shared" si="328"/>
        <v>32487.036666679662</v>
      </c>
      <c r="Y780" s="63">
        <f t="shared" si="329"/>
        <v>1450000</v>
      </c>
      <c r="Z780" s="63">
        <f>'codeis $'!AB450</f>
        <v>0</v>
      </c>
      <c r="AA780" s="63">
        <f>'OverNight $'!M450+'OverNight $'!T450+'OverNight $'!AA450+'OverNight $'!AH450</f>
        <v>21000000</v>
      </c>
      <c r="AB780" s="63"/>
      <c r="AC780" s="63"/>
      <c r="AD780" s="63">
        <f>'OverNight $'!AV450</f>
        <v>0</v>
      </c>
      <c r="AE780" s="63">
        <f>'OverNight $'!BC450</f>
        <v>0</v>
      </c>
      <c r="AF780" s="63">
        <f>'OverNight $'!BH450</f>
        <v>0</v>
      </c>
      <c r="AG780" s="63">
        <f>'OverNight $'!BM450</f>
        <v>0</v>
      </c>
      <c r="AH780" s="63">
        <f>'OverNight $'!BR450</f>
        <v>0</v>
      </c>
    </row>
    <row r="781" spans="2:34" x14ac:dyDescent="0.25">
      <c r="B781" s="42">
        <v>46100</v>
      </c>
      <c r="C781" s="38"/>
      <c r="D781" s="38">
        <f t="shared" si="323"/>
        <v>73520.820000000298</v>
      </c>
      <c r="E781" s="38"/>
      <c r="F781" s="38"/>
      <c r="G781" s="38">
        <f t="shared" si="324"/>
        <v>73520.820000000298</v>
      </c>
      <c r="H781" s="38">
        <f t="shared" si="325"/>
        <v>34250000</v>
      </c>
      <c r="I781" s="38"/>
      <c r="J781" s="38">
        <f>'OverNight €'!U451</f>
        <v>6010956.1600000001</v>
      </c>
      <c r="K781" s="177">
        <f>'OverNight €'!N451</f>
        <v>12000000</v>
      </c>
      <c r="L781" s="177"/>
      <c r="M781" s="177">
        <f>'OverNight €'!AB451</f>
        <v>15000000</v>
      </c>
      <c r="N781" s="177">
        <f>'codeis €'!Z451</f>
        <v>0</v>
      </c>
      <c r="O781" s="38">
        <f>'CT- € Ellipsis BNP'!X451</f>
        <v>0</v>
      </c>
      <c r="P781" s="38">
        <f t="shared" ref="P781:R781" si="343">P780</f>
        <v>0</v>
      </c>
      <c r="Q781" s="38">
        <f t="shared" si="343"/>
        <v>0</v>
      </c>
      <c r="R781" s="38">
        <f t="shared" si="343"/>
        <v>0</v>
      </c>
      <c r="S781" s="78">
        <v>46100</v>
      </c>
      <c r="T781" s="63"/>
      <c r="U781" s="63">
        <f t="shared" si="327"/>
        <v>32487.036666679662</v>
      </c>
      <c r="V781" s="63"/>
      <c r="W781" s="63"/>
      <c r="X781" s="63">
        <f t="shared" si="328"/>
        <v>32487.036666679662</v>
      </c>
      <c r="Y781" s="63">
        <f t="shared" si="329"/>
        <v>1450000</v>
      </c>
      <c r="Z781" s="63">
        <f>'codeis $'!AB451</f>
        <v>0</v>
      </c>
      <c r="AA781" s="63">
        <f>'OverNight $'!M451+'OverNight $'!T451+'OverNight $'!AA451+'OverNight $'!AH451</f>
        <v>21000000</v>
      </c>
      <c r="AB781" s="63"/>
      <c r="AC781" s="63"/>
      <c r="AD781" s="63">
        <f>'OverNight $'!AV451</f>
        <v>0</v>
      </c>
      <c r="AE781" s="63">
        <f>'OverNight $'!BC451</f>
        <v>0</v>
      </c>
      <c r="AF781" s="63">
        <f>'OverNight $'!BH451</f>
        <v>0</v>
      </c>
      <c r="AG781" s="63">
        <f>'OverNight $'!BM451</f>
        <v>0</v>
      </c>
      <c r="AH781" s="63">
        <f>'OverNight $'!BR451</f>
        <v>0</v>
      </c>
    </row>
    <row r="782" spans="2:34" x14ac:dyDescent="0.25">
      <c r="B782" s="42">
        <v>46101</v>
      </c>
      <c r="C782" s="38"/>
      <c r="D782" s="38">
        <f t="shared" si="323"/>
        <v>73520.820000000298</v>
      </c>
      <c r="E782" s="38"/>
      <c r="F782" s="38"/>
      <c r="G782" s="38">
        <f t="shared" si="324"/>
        <v>73520.820000000298</v>
      </c>
      <c r="H782" s="38">
        <f t="shared" si="325"/>
        <v>34250000</v>
      </c>
      <c r="I782" s="38"/>
      <c r="J782" s="38">
        <f>'OverNight €'!U452</f>
        <v>6010956.1600000001</v>
      </c>
      <c r="K782" s="177">
        <f>'OverNight €'!N452</f>
        <v>12000000</v>
      </c>
      <c r="L782" s="177"/>
      <c r="M782" s="177">
        <f>'OverNight €'!AB452</f>
        <v>15000000</v>
      </c>
      <c r="N782" s="177">
        <f>'codeis €'!Z452</f>
        <v>0</v>
      </c>
      <c r="O782" s="38">
        <f>'CT- € Ellipsis BNP'!X452</f>
        <v>0</v>
      </c>
      <c r="P782" s="38">
        <f t="shared" ref="P782:R782" si="344">P781</f>
        <v>0</v>
      </c>
      <c r="Q782" s="38">
        <f t="shared" si="344"/>
        <v>0</v>
      </c>
      <c r="R782" s="38">
        <f t="shared" si="344"/>
        <v>0</v>
      </c>
      <c r="S782" s="78">
        <v>46101</v>
      </c>
      <c r="T782" s="63"/>
      <c r="U782" s="63">
        <f t="shared" si="327"/>
        <v>32487.036666679662</v>
      </c>
      <c r="V782" s="63"/>
      <c r="W782" s="63"/>
      <c r="X782" s="63">
        <f t="shared" si="328"/>
        <v>32487.036666679662</v>
      </c>
      <c r="Y782" s="63">
        <f t="shared" si="329"/>
        <v>1450000</v>
      </c>
      <c r="Z782" s="63">
        <f>'codeis $'!AB452</f>
        <v>0</v>
      </c>
      <c r="AA782" s="63">
        <f>'OverNight $'!M452+'OverNight $'!T452+'OverNight $'!AA452+'OverNight $'!AH452</f>
        <v>21000000</v>
      </c>
      <c r="AB782" s="63"/>
      <c r="AC782" s="63"/>
      <c r="AD782" s="63">
        <f>'OverNight $'!AV452</f>
        <v>0</v>
      </c>
      <c r="AE782" s="63">
        <f>'OverNight $'!BC452</f>
        <v>0</v>
      </c>
      <c r="AF782" s="63">
        <f>'OverNight $'!BH452</f>
        <v>0</v>
      </c>
      <c r="AG782" s="63">
        <f>'OverNight $'!BM452</f>
        <v>0</v>
      </c>
      <c r="AH782" s="63">
        <f>'OverNight $'!BR452</f>
        <v>0</v>
      </c>
    </row>
    <row r="783" spans="2:34" x14ac:dyDescent="0.25">
      <c r="B783" s="42">
        <v>46102</v>
      </c>
      <c r="C783" s="38"/>
      <c r="D783" s="38">
        <f t="shared" si="323"/>
        <v>73520.820000000298</v>
      </c>
      <c r="E783" s="38"/>
      <c r="F783" s="38"/>
      <c r="G783" s="38">
        <f t="shared" si="324"/>
        <v>73520.820000000298</v>
      </c>
      <c r="H783" s="38">
        <f t="shared" si="325"/>
        <v>34250000</v>
      </c>
      <c r="I783" s="38"/>
      <c r="J783" s="38">
        <f>'OverNight €'!U453</f>
        <v>6010956.1600000001</v>
      </c>
      <c r="K783" s="177">
        <f>'OverNight €'!N453</f>
        <v>12000000</v>
      </c>
      <c r="L783" s="177"/>
      <c r="M783" s="177">
        <f>'OverNight €'!AB453</f>
        <v>15000000</v>
      </c>
      <c r="N783" s="177">
        <f>'codeis €'!Z453</f>
        <v>0</v>
      </c>
      <c r="O783" s="38">
        <f>'CT- € Ellipsis BNP'!X453</f>
        <v>0</v>
      </c>
      <c r="P783" s="38">
        <f t="shared" ref="P783:R783" si="345">P782</f>
        <v>0</v>
      </c>
      <c r="Q783" s="38">
        <f t="shared" si="345"/>
        <v>0</v>
      </c>
      <c r="R783" s="38">
        <f t="shared" si="345"/>
        <v>0</v>
      </c>
      <c r="S783" s="78">
        <v>46102</v>
      </c>
      <c r="T783" s="63"/>
      <c r="U783" s="63">
        <f t="shared" si="327"/>
        <v>32487.036666679662</v>
      </c>
      <c r="V783" s="63"/>
      <c r="W783" s="63"/>
      <c r="X783" s="63">
        <f t="shared" si="328"/>
        <v>32487.036666679662</v>
      </c>
      <c r="Y783" s="63">
        <f t="shared" si="329"/>
        <v>1450000</v>
      </c>
      <c r="Z783" s="63">
        <f>'codeis $'!AB453</f>
        <v>0</v>
      </c>
      <c r="AA783" s="63">
        <f>'OverNight $'!M453+'OverNight $'!T453+'OverNight $'!AA453+'OverNight $'!AH453</f>
        <v>21000000</v>
      </c>
      <c r="AB783" s="63"/>
      <c r="AC783" s="63"/>
      <c r="AD783" s="63">
        <f>'OverNight $'!AV453</f>
        <v>0</v>
      </c>
      <c r="AE783" s="63">
        <f>'OverNight $'!BC453</f>
        <v>0</v>
      </c>
      <c r="AF783" s="63">
        <f>'OverNight $'!BH453</f>
        <v>0</v>
      </c>
      <c r="AG783" s="63">
        <f>'OverNight $'!BM453</f>
        <v>0</v>
      </c>
      <c r="AH783" s="63">
        <f>'OverNight $'!BR453</f>
        <v>0</v>
      </c>
    </row>
    <row r="784" spans="2:34" x14ac:dyDescent="0.25">
      <c r="B784" s="42">
        <v>46103</v>
      </c>
      <c r="C784" s="38"/>
      <c r="D784" s="38">
        <f t="shared" si="323"/>
        <v>73520.820000000298</v>
      </c>
      <c r="E784" s="38"/>
      <c r="F784" s="38"/>
      <c r="G784" s="38">
        <f t="shared" si="324"/>
        <v>73520.820000000298</v>
      </c>
      <c r="H784" s="38">
        <f t="shared" si="325"/>
        <v>34250000</v>
      </c>
      <c r="I784" s="38"/>
      <c r="J784" s="38">
        <f>'OverNight €'!U454</f>
        <v>6010956.1600000001</v>
      </c>
      <c r="K784" s="177">
        <f>'OverNight €'!N454</f>
        <v>12000000</v>
      </c>
      <c r="L784" s="177"/>
      <c r="M784" s="177">
        <f>'OverNight €'!AB454</f>
        <v>15000000</v>
      </c>
      <c r="N784" s="177">
        <f>'codeis €'!Z454</f>
        <v>0</v>
      </c>
      <c r="O784" s="38">
        <f>'CT- € Ellipsis BNP'!X454</f>
        <v>0</v>
      </c>
      <c r="P784" s="38">
        <f t="shared" ref="P784:R784" si="346">P783</f>
        <v>0</v>
      </c>
      <c r="Q784" s="38">
        <f t="shared" si="346"/>
        <v>0</v>
      </c>
      <c r="R784" s="38">
        <f t="shared" si="346"/>
        <v>0</v>
      </c>
      <c r="S784" s="78">
        <v>46103</v>
      </c>
      <c r="T784" s="63"/>
      <c r="U784" s="63">
        <f t="shared" si="327"/>
        <v>32487.036666679662</v>
      </c>
      <c r="V784" s="63"/>
      <c r="W784" s="63"/>
      <c r="X784" s="63">
        <f t="shared" si="328"/>
        <v>32487.036666679662</v>
      </c>
      <c r="Y784" s="63">
        <f t="shared" si="329"/>
        <v>1450000</v>
      </c>
      <c r="Z784" s="63">
        <f>'codeis $'!AB454</f>
        <v>0</v>
      </c>
      <c r="AA784" s="63">
        <f>'OverNight $'!M454+'OverNight $'!T454+'OverNight $'!AA454+'OverNight $'!AH454</f>
        <v>21000000</v>
      </c>
      <c r="AB784" s="63"/>
      <c r="AC784" s="63"/>
      <c r="AD784" s="63">
        <f>'OverNight $'!AV454</f>
        <v>0</v>
      </c>
      <c r="AE784" s="63">
        <f>'OverNight $'!BC454</f>
        <v>0</v>
      </c>
      <c r="AF784" s="63">
        <f>'OverNight $'!BH454</f>
        <v>0</v>
      </c>
      <c r="AG784" s="63">
        <f>'OverNight $'!BM454</f>
        <v>0</v>
      </c>
      <c r="AH784" s="63">
        <f>'OverNight $'!BR454</f>
        <v>0</v>
      </c>
    </row>
    <row r="785" spans="2:34" x14ac:dyDescent="0.25">
      <c r="B785" s="42">
        <v>46104</v>
      </c>
      <c r="C785" s="38"/>
      <c r="D785" s="38">
        <f t="shared" si="323"/>
        <v>73520.820000000298</v>
      </c>
      <c r="E785" s="38"/>
      <c r="F785" s="38"/>
      <c r="G785" s="38">
        <f t="shared" si="324"/>
        <v>73520.820000000298</v>
      </c>
      <c r="H785" s="38">
        <f t="shared" si="325"/>
        <v>34250000</v>
      </c>
      <c r="I785" s="38"/>
      <c r="J785" s="38">
        <f>'OverNight €'!U455</f>
        <v>6010956.1600000001</v>
      </c>
      <c r="K785" s="177">
        <f>'OverNight €'!N455</f>
        <v>12000000</v>
      </c>
      <c r="L785" s="177"/>
      <c r="M785" s="177">
        <f>'OverNight €'!AB455</f>
        <v>15000000</v>
      </c>
      <c r="N785" s="177">
        <f>'codeis €'!Z455</f>
        <v>0</v>
      </c>
      <c r="O785" s="38">
        <f>'CT- € Ellipsis BNP'!X455</f>
        <v>0</v>
      </c>
      <c r="P785" s="38">
        <f t="shared" ref="P785:R785" si="347">P784</f>
        <v>0</v>
      </c>
      <c r="Q785" s="38">
        <f t="shared" si="347"/>
        <v>0</v>
      </c>
      <c r="R785" s="38">
        <f t="shared" si="347"/>
        <v>0</v>
      </c>
      <c r="S785" s="78">
        <v>46104</v>
      </c>
      <c r="T785" s="63"/>
      <c r="U785" s="63">
        <f t="shared" si="327"/>
        <v>32487.036666679662</v>
      </c>
      <c r="V785" s="63"/>
      <c r="W785" s="63"/>
      <c r="X785" s="63">
        <f t="shared" si="328"/>
        <v>32487.036666679662</v>
      </c>
      <c r="Y785" s="63">
        <f t="shared" si="329"/>
        <v>1450000</v>
      </c>
      <c r="Z785" s="63">
        <f>'codeis $'!AB455</f>
        <v>0</v>
      </c>
      <c r="AA785" s="63">
        <f>'OverNight $'!M455+'OverNight $'!T455+'OverNight $'!AA455+'OverNight $'!AH455</f>
        <v>21000000</v>
      </c>
      <c r="AB785" s="63"/>
      <c r="AC785" s="63"/>
      <c r="AD785" s="63">
        <f>'OverNight $'!AV455</f>
        <v>0</v>
      </c>
      <c r="AE785" s="63">
        <f>'OverNight $'!BC455</f>
        <v>0</v>
      </c>
      <c r="AF785" s="63">
        <f>'OverNight $'!BH455</f>
        <v>0</v>
      </c>
      <c r="AG785" s="63">
        <f>'OverNight $'!BM455</f>
        <v>0</v>
      </c>
      <c r="AH785" s="63">
        <f>'OverNight $'!BR455</f>
        <v>0</v>
      </c>
    </row>
    <row r="786" spans="2:34" x14ac:dyDescent="0.25">
      <c r="B786" s="42">
        <v>46105</v>
      </c>
      <c r="C786" s="38"/>
      <c r="D786" s="38">
        <f t="shared" si="323"/>
        <v>73520.820000000298</v>
      </c>
      <c r="E786" s="38"/>
      <c r="F786" s="38"/>
      <c r="G786" s="38">
        <f t="shared" si="324"/>
        <v>73520.820000000298</v>
      </c>
      <c r="H786" s="38">
        <f t="shared" si="325"/>
        <v>34250000</v>
      </c>
      <c r="I786" s="38"/>
      <c r="J786" s="38">
        <f>'OverNight €'!U456</f>
        <v>6010956.1600000001</v>
      </c>
      <c r="K786" s="177">
        <f>'OverNight €'!N456</f>
        <v>12000000</v>
      </c>
      <c r="L786" s="177"/>
      <c r="M786" s="177">
        <f>'OverNight €'!AB456</f>
        <v>15000000</v>
      </c>
      <c r="N786" s="177">
        <f>'codeis €'!Z456</f>
        <v>0</v>
      </c>
      <c r="O786" s="38">
        <f>'CT- € Ellipsis BNP'!X456</f>
        <v>0</v>
      </c>
      <c r="P786" s="38">
        <f t="shared" ref="P786:R786" si="348">P785</f>
        <v>0</v>
      </c>
      <c r="Q786" s="38">
        <f t="shared" si="348"/>
        <v>0</v>
      </c>
      <c r="R786" s="38">
        <f t="shared" si="348"/>
        <v>0</v>
      </c>
      <c r="S786" s="78">
        <v>46105</v>
      </c>
      <c r="T786" s="63"/>
      <c r="U786" s="63">
        <f t="shared" si="327"/>
        <v>32487.036666679662</v>
      </c>
      <c r="V786" s="63"/>
      <c r="W786" s="63"/>
      <c r="X786" s="63">
        <f t="shared" si="328"/>
        <v>32487.036666679662</v>
      </c>
      <c r="Y786" s="63">
        <f t="shared" si="329"/>
        <v>1450000</v>
      </c>
      <c r="Z786" s="63">
        <f>'codeis $'!AB456</f>
        <v>0</v>
      </c>
      <c r="AA786" s="63">
        <f>'OverNight $'!M456+'OverNight $'!T456+'OverNight $'!AA456+'OverNight $'!AH456</f>
        <v>21000000</v>
      </c>
      <c r="AB786" s="63"/>
      <c r="AC786" s="63"/>
      <c r="AD786" s="63">
        <f>'OverNight $'!AV456</f>
        <v>0</v>
      </c>
      <c r="AE786" s="63">
        <f>'OverNight $'!BC456</f>
        <v>0</v>
      </c>
      <c r="AF786" s="63">
        <f>'OverNight $'!BH456</f>
        <v>0</v>
      </c>
      <c r="AG786" s="63">
        <f>'OverNight $'!BM456</f>
        <v>0</v>
      </c>
      <c r="AH786" s="63">
        <f>'OverNight $'!BR456</f>
        <v>0</v>
      </c>
    </row>
    <row r="787" spans="2:34" x14ac:dyDescent="0.25">
      <c r="B787" s="42">
        <v>46106</v>
      </c>
      <c r="C787" s="38"/>
      <c r="D787" s="38">
        <f t="shared" si="323"/>
        <v>73520.820000000298</v>
      </c>
      <c r="E787" s="38"/>
      <c r="F787" s="38"/>
      <c r="G787" s="38">
        <f t="shared" si="324"/>
        <v>73520.820000000298</v>
      </c>
      <c r="H787" s="38">
        <f t="shared" si="325"/>
        <v>34250000</v>
      </c>
      <c r="I787" s="38"/>
      <c r="J787" s="38">
        <f>'OverNight €'!U457</f>
        <v>6010956.1600000001</v>
      </c>
      <c r="K787" s="177">
        <f>'OverNight €'!N457</f>
        <v>12000000</v>
      </c>
      <c r="L787" s="177"/>
      <c r="M787" s="177">
        <f>'OverNight €'!AB457</f>
        <v>15000000</v>
      </c>
      <c r="N787" s="177">
        <f>'codeis €'!Z457</f>
        <v>0</v>
      </c>
      <c r="O787" s="38">
        <f>'CT- € Ellipsis BNP'!X457</f>
        <v>0</v>
      </c>
      <c r="P787" s="38">
        <f t="shared" ref="P787:R787" si="349">P786</f>
        <v>0</v>
      </c>
      <c r="Q787" s="38">
        <f t="shared" si="349"/>
        <v>0</v>
      </c>
      <c r="R787" s="38">
        <f t="shared" si="349"/>
        <v>0</v>
      </c>
      <c r="S787" s="78">
        <v>46106</v>
      </c>
      <c r="T787" s="63"/>
      <c r="U787" s="63">
        <f t="shared" si="327"/>
        <v>32487.036666679662</v>
      </c>
      <c r="V787" s="63"/>
      <c r="W787" s="63"/>
      <c r="X787" s="63">
        <f t="shared" si="328"/>
        <v>32487.036666679662</v>
      </c>
      <c r="Y787" s="63">
        <f t="shared" si="329"/>
        <v>1450000</v>
      </c>
      <c r="Z787" s="63">
        <f>'codeis $'!AB457</f>
        <v>0</v>
      </c>
      <c r="AA787" s="63">
        <f>'OverNight $'!M457+'OverNight $'!T457+'OverNight $'!AA457+'OverNight $'!AH457</f>
        <v>21000000</v>
      </c>
      <c r="AB787" s="63"/>
      <c r="AC787" s="63"/>
      <c r="AD787" s="63">
        <f>'OverNight $'!AV457</f>
        <v>0</v>
      </c>
      <c r="AE787" s="63">
        <f>'OverNight $'!BC457</f>
        <v>0</v>
      </c>
      <c r="AF787" s="63">
        <f>'OverNight $'!BH457</f>
        <v>0</v>
      </c>
      <c r="AG787" s="63">
        <f>'OverNight $'!BM457</f>
        <v>0</v>
      </c>
      <c r="AH787" s="63">
        <f>'OverNight $'!BR457</f>
        <v>0</v>
      </c>
    </row>
    <row r="788" spans="2:34" x14ac:dyDescent="0.25">
      <c r="B788" s="42">
        <v>46107</v>
      </c>
      <c r="C788" s="38"/>
      <c r="D788" s="38">
        <f t="shared" si="323"/>
        <v>73520.820000000298</v>
      </c>
      <c r="E788" s="38"/>
      <c r="F788" s="38"/>
      <c r="G788" s="38">
        <f t="shared" si="324"/>
        <v>73520.820000000298</v>
      </c>
      <c r="H788" s="38">
        <f t="shared" si="325"/>
        <v>34250000</v>
      </c>
      <c r="I788" s="38"/>
      <c r="J788" s="38">
        <f>'OverNight €'!U458</f>
        <v>6010956.1600000001</v>
      </c>
      <c r="K788" s="177">
        <f>'OverNight €'!N458</f>
        <v>12000000</v>
      </c>
      <c r="L788" s="177"/>
      <c r="M788" s="177">
        <f>'OverNight €'!AB458</f>
        <v>15000000</v>
      </c>
      <c r="N788" s="177">
        <f>'codeis €'!Z458</f>
        <v>0</v>
      </c>
      <c r="O788" s="38">
        <f>'CT- € Ellipsis BNP'!X458</f>
        <v>0</v>
      </c>
      <c r="P788" s="38">
        <f t="shared" ref="P788:R788" si="350">P787</f>
        <v>0</v>
      </c>
      <c r="Q788" s="38">
        <f t="shared" si="350"/>
        <v>0</v>
      </c>
      <c r="R788" s="38">
        <f t="shared" si="350"/>
        <v>0</v>
      </c>
      <c r="S788" s="78">
        <v>46107</v>
      </c>
      <c r="T788" s="63"/>
      <c r="U788" s="63">
        <f t="shared" si="327"/>
        <v>32487.036666679662</v>
      </c>
      <c r="V788" s="63"/>
      <c r="W788" s="63"/>
      <c r="X788" s="63">
        <f t="shared" si="328"/>
        <v>32487.036666679662</v>
      </c>
      <c r="Y788" s="63">
        <f t="shared" si="329"/>
        <v>1450000</v>
      </c>
      <c r="Z788" s="63">
        <f>'codeis $'!AB458</f>
        <v>0</v>
      </c>
      <c r="AA788" s="63">
        <f>'OverNight $'!M458+'OverNight $'!T458+'OverNight $'!AA458+'OverNight $'!AH458</f>
        <v>21000000</v>
      </c>
      <c r="AB788" s="63"/>
      <c r="AC788" s="63"/>
      <c r="AD788" s="63">
        <f>'OverNight $'!AV458</f>
        <v>0</v>
      </c>
      <c r="AE788" s="63">
        <f>'OverNight $'!BC458</f>
        <v>0</v>
      </c>
      <c r="AF788" s="63">
        <f>'OverNight $'!BH458</f>
        <v>0</v>
      </c>
      <c r="AG788" s="63">
        <f>'OverNight $'!BM458</f>
        <v>0</v>
      </c>
      <c r="AH788" s="63">
        <f>'OverNight $'!BR458</f>
        <v>0</v>
      </c>
    </row>
    <row r="789" spans="2:34" x14ac:dyDescent="0.25">
      <c r="B789" s="42">
        <v>46108</v>
      </c>
      <c r="C789" s="38"/>
      <c r="D789" s="38">
        <f t="shared" si="323"/>
        <v>73520.820000000298</v>
      </c>
      <c r="E789" s="38"/>
      <c r="F789" s="38"/>
      <c r="G789" s="38">
        <f t="shared" si="324"/>
        <v>73520.820000000298</v>
      </c>
      <c r="H789" s="38">
        <f t="shared" si="325"/>
        <v>34250000</v>
      </c>
      <c r="I789" s="38"/>
      <c r="J789" s="38">
        <f>'OverNight €'!U459</f>
        <v>6010956.1600000001</v>
      </c>
      <c r="K789" s="177">
        <f>'OverNight €'!N459</f>
        <v>12000000</v>
      </c>
      <c r="L789" s="177"/>
      <c r="M789" s="177">
        <f>'OverNight €'!AB459</f>
        <v>15000000</v>
      </c>
      <c r="N789" s="177">
        <f>'codeis €'!Z459</f>
        <v>0</v>
      </c>
      <c r="O789" s="38">
        <f>'CT- € Ellipsis BNP'!X459</f>
        <v>0</v>
      </c>
      <c r="P789" s="38">
        <f t="shared" ref="P789:R789" si="351">P788</f>
        <v>0</v>
      </c>
      <c r="Q789" s="38">
        <f t="shared" si="351"/>
        <v>0</v>
      </c>
      <c r="R789" s="38">
        <f t="shared" si="351"/>
        <v>0</v>
      </c>
      <c r="S789" s="78">
        <v>46108</v>
      </c>
      <c r="T789" s="63"/>
      <c r="U789" s="63">
        <f t="shared" si="327"/>
        <v>32487.036666679662</v>
      </c>
      <c r="V789" s="63"/>
      <c r="W789" s="63"/>
      <c r="X789" s="63">
        <f t="shared" si="328"/>
        <v>32487.036666679662</v>
      </c>
      <c r="Y789" s="63">
        <f t="shared" si="329"/>
        <v>1450000</v>
      </c>
      <c r="Z789" s="63">
        <f>'codeis $'!AB459</f>
        <v>0</v>
      </c>
      <c r="AA789" s="63">
        <f>'OverNight $'!M459+'OverNight $'!T459+'OverNight $'!AA459+'OverNight $'!AH459</f>
        <v>21000000</v>
      </c>
      <c r="AB789" s="63"/>
      <c r="AC789" s="63"/>
      <c r="AD789" s="63">
        <f>'OverNight $'!AV459</f>
        <v>0</v>
      </c>
      <c r="AE789" s="63">
        <f>'OverNight $'!BC459</f>
        <v>0</v>
      </c>
      <c r="AF789" s="63">
        <f>'OverNight $'!BH459</f>
        <v>0</v>
      </c>
      <c r="AG789" s="63">
        <f>'OverNight $'!BM459</f>
        <v>0</v>
      </c>
      <c r="AH789" s="63">
        <f>'OverNight $'!BR459</f>
        <v>0</v>
      </c>
    </row>
    <row r="790" spans="2:34" x14ac:dyDescent="0.25">
      <c r="B790" s="42">
        <v>46109</v>
      </c>
      <c r="C790" s="38"/>
      <c r="D790" s="38">
        <f t="shared" si="323"/>
        <v>73520.820000000298</v>
      </c>
      <c r="E790" s="38"/>
      <c r="F790" s="38"/>
      <c r="G790" s="38">
        <f t="shared" si="324"/>
        <v>73520.820000000298</v>
      </c>
      <c r="H790" s="38">
        <f t="shared" si="325"/>
        <v>34250000</v>
      </c>
      <c r="I790" s="38"/>
      <c r="J790" s="38">
        <f>'OverNight €'!U460</f>
        <v>6010956.1600000001</v>
      </c>
      <c r="K790" s="177">
        <f>'OverNight €'!N460</f>
        <v>12000000</v>
      </c>
      <c r="L790" s="177"/>
      <c r="M790" s="177">
        <f>'OverNight €'!AB460</f>
        <v>15000000</v>
      </c>
      <c r="N790" s="177">
        <f>'codeis €'!Z460</f>
        <v>0</v>
      </c>
      <c r="O790" s="38">
        <f>'CT- € Ellipsis BNP'!X460</f>
        <v>0</v>
      </c>
      <c r="P790" s="38">
        <f t="shared" ref="P790:R790" si="352">P789</f>
        <v>0</v>
      </c>
      <c r="Q790" s="38">
        <f t="shared" si="352"/>
        <v>0</v>
      </c>
      <c r="R790" s="38">
        <f t="shared" si="352"/>
        <v>0</v>
      </c>
      <c r="S790" s="78">
        <v>46109</v>
      </c>
      <c r="T790" s="63"/>
      <c r="U790" s="63">
        <f t="shared" si="327"/>
        <v>32487.036666679662</v>
      </c>
      <c r="V790" s="63"/>
      <c r="W790" s="63"/>
      <c r="X790" s="63">
        <f t="shared" si="328"/>
        <v>32487.036666679662</v>
      </c>
      <c r="Y790" s="63">
        <f t="shared" si="329"/>
        <v>1450000</v>
      </c>
      <c r="Z790" s="63">
        <f>'codeis $'!AB460</f>
        <v>0</v>
      </c>
      <c r="AA790" s="63">
        <f>'OverNight $'!M460+'OverNight $'!T460+'OverNight $'!AA460+'OverNight $'!AH460</f>
        <v>21000000</v>
      </c>
      <c r="AB790" s="63"/>
      <c r="AC790" s="63"/>
      <c r="AD790" s="63">
        <f>'OverNight $'!AV460</f>
        <v>0</v>
      </c>
      <c r="AE790" s="63">
        <f>'OverNight $'!BC460</f>
        <v>0</v>
      </c>
      <c r="AF790" s="63">
        <f>'OverNight $'!BH460</f>
        <v>0</v>
      </c>
      <c r="AG790" s="63">
        <f>'OverNight $'!BM460</f>
        <v>0</v>
      </c>
      <c r="AH790" s="63">
        <f>'OverNight $'!BR460</f>
        <v>0</v>
      </c>
    </row>
    <row r="791" spans="2:34" x14ac:dyDescent="0.25">
      <c r="B791" s="42">
        <v>46110</v>
      </c>
      <c r="C791" s="38"/>
      <c r="D791" s="38">
        <f t="shared" ref="D791:D810" si="353">C791+G790</f>
        <v>73520.820000000298</v>
      </c>
      <c r="E791" s="38"/>
      <c r="F791" s="38"/>
      <c r="G791" s="38">
        <f t="shared" ref="G791:G810" si="354">D791+E791+F791</f>
        <v>73520.820000000298</v>
      </c>
      <c r="H791" s="38">
        <f t="shared" ref="H791:H810" si="355">H790-E791</f>
        <v>34250000</v>
      </c>
      <c r="I791" s="38"/>
      <c r="J791" s="38">
        <f>'OverNight €'!U461</f>
        <v>6010956.1600000001</v>
      </c>
      <c r="K791" s="177">
        <f>'OverNight €'!N461</f>
        <v>12000000</v>
      </c>
      <c r="L791" s="177"/>
      <c r="M791" s="177">
        <f>'OverNight €'!AB461</f>
        <v>15000000</v>
      </c>
      <c r="N791" s="177">
        <f>'codeis €'!Z461</f>
        <v>0</v>
      </c>
      <c r="O791" s="38">
        <f>'CT- € Ellipsis BNP'!X461</f>
        <v>0</v>
      </c>
      <c r="P791" s="38">
        <f t="shared" ref="P791:R791" si="356">P790</f>
        <v>0</v>
      </c>
      <c r="Q791" s="38">
        <f t="shared" si="356"/>
        <v>0</v>
      </c>
      <c r="R791" s="38">
        <f t="shared" si="356"/>
        <v>0</v>
      </c>
      <c r="S791" s="78">
        <v>46110</v>
      </c>
      <c r="T791" s="63"/>
      <c r="U791" s="63">
        <f t="shared" ref="U791:U810" si="357">T791+X790+W791</f>
        <v>32487.036666679662</v>
      </c>
      <c r="V791" s="63"/>
      <c r="W791" s="63"/>
      <c r="X791" s="63">
        <f t="shared" ref="X791:X810" si="358">V791+U791</f>
        <v>32487.036666679662</v>
      </c>
      <c r="Y791" s="63">
        <f t="shared" ref="Y791:Y810" si="359">Y790-V791</f>
        <v>1450000</v>
      </c>
      <c r="Z791" s="63">
        <f>'codeis $'!AB461</f>
        <v>0</v>
      </c>
      <c r="AA791" s="63">
        <f>'OverNight $'!M461+'OverNight $'!T461+'OverNight $'!AA461+'OverNight $'!AH461</f>
        <v>21000000</v>
      </c>
      <c r="AB791" s="63"/>
      <c r="AC791" s="63"/>
      <c r="AD791" s="63">
        <f>'OverNight $'!AV461</f>
        <v>0</v>
      </c>
      <c r="AE791" s="63">
        <f>'OverNight $'!BC461</f>
        <v>0</v>
      </c>
      <c r="AF791" s="63">
        <f>'OverNight $'!BH461</f>
        <v>0</v>
      </c>
      <c r="AG791" s="63">
        <f>'OverNight $'!BM461</f>
        <v>0</v>
      </c>
      <c r="AH791" s="63">
        <f>'OverNight $'!BR461</f>
        <v>0</v>
      </c>
    </row>
    <row r="792" spans="2:34" x14ac:dyDescent="0.25">
      <c r="B792" s="42">
        <v>46111</v>
      </c>
      <c r="C792" s="38"/>
      <c r="D792" s="38">
        <f t="shared" si="353"/>
        <v>73520.820000000298</v>
      </c>
      <c r="E792" s="38"/>
      <c r="F792" s="38"/>
      <c r="G792" s="38">
        <f t="shared" si="354"/>
        <v>73520.820000000298</v>
      </c>
      <c r="H792" s="38">
        <f t="shared" si="355"/>
        <v>34250000</v>
      </c>
      <c r="I792" s="38"/>
      <c r="J792" s="38">
        <f>'OverNight €'!U462</f>
        <v>6010956.1600000001</v>
      </c>
      <c r="K792" s="177">
        <f>'OverNight €'!N462</f>
        <v>12000000</v>
      </c>
      <c r="L792" s="177"/>
      <c r="M792" s="177">
        <f>'OverNight €'!AB462</f>
        <v>15000000</v>
      </c>
      <c r="N792" s="177">
        <f>'codeis €'!Z462</f>
        <v>0</v>
      </c>
      <c r="O792" s="38">
        <f>'CT- € Ellipsis BNP'!X462</f>
        <v>0</v>
      </c>
      <c r="P792" s="38">
        <f t="shared" ref="P792:R792" si="360">P791</f>
        <v>0</v>
      </c>
      <c r="Q792" s="38">
        <f t="shared" si="360"/>
        <v>0</v>
      </c>
      <c r="R792" s="38">
        <f t="shared" si="360"/>
        <v>0</v>
      </c>
      <c r="S792" s="78">
        <v>46111</v>
      </c>
      <c r="T792" s="63"/>
      <c r="U792" s="63">
        <f t="shared" si="357"/>
        <v>32487.036666679662</v>
      </c>
      <c r="V792" s="63"/>
      <c r="W792" s="63"/>
      <c r="X792" s="63">
        <f t="shared" si="358"/>
        <v>32487.036666679662</v>
      </c>
      <c r="Y792" s="63">
        <f t="shared" si="359"/>
        <v>1450000</v>
      </c>
      <c r="Z792" s="63">
        <f>'codeis $'!AB462</f>
        <v>0</v>
      </c>
      <c r="AA792" s="63">
        <f>'OverNight $'!M462+'OverNight $'!T462+'OverNight $'!AA462+'OverNight $'!AH462</f>
        <v>21000000</v>
      </c>
      <c r="AB792" s="63"/>
      <c r="AC792" s="63"/>
      <c r="AD792" s="63">
        <f>'OverNight $'!AV462</f>
        <v>0</v>
      </c>
      <c r="AE792" s="63">
        <f>'OverNight $'!BC462</f>
        <v>0</v>
      </c>
      <c r="AF792" s="63">
        <f>'OverNight $'!BH462</f>
        <v>0</v>
      </c>
      <c r="AG792" s="63">
        <f>'OverNight $'!BM462</f>
        <v>0</v>
      </c>
      <c r="AH792" s="63">
        <f>'OverNight $'!BR462</f>
        <v>0</v>
      </c>
    </row>
    <row r="793" spans="2:34" x14ac:dyDescent="0.25">
      <c r="B793" s="42">
        <v>46112</v>
      </c>
      <c r="C793" s="38"/>
      <c r="D793" s="38">
        <f t="shared" si="353"/>
        <v>73520.820000000298</v>
      </c>
      <c r="E793" s="38"/>
      <c r="F793" s="38"/>
      <c r="G793" s="38">
        <f t="shared" si="354"/>
        <v>73520.820000000298</v>
      </c>
      <c r="H793" s="38">
        <f t="shared" si="355"/>
        <v>34250000</v>
      </c>
      <c r="I793" s="38"/>
      <c r="J793" s="38">
        <f>'OverNight €'!U463</f>
        <v>6010956.1600000001</v>
      </c>
      <c r="K793" s="177">
        <f>'OverNight €'!N463</f>
        <v>12000000</v>
      </c>
      <c r="L793" s="177"/>
      <c r="M793" s="177">
        <f>'OverNight €'!AB463</f>
        <v>15000000</v>
      </c>
      <c r="N793" s="177">
        <f>'codeis €'!Z463</f>
        <v>0</v>
      </c>
      <c r="O793" s="38">
        <f>'CT- € Ellipsis BNP'!X463</f>
        <v>0</v>
      </c>
      <c r="P793" s="38">
        <f t="shared" ref="P793:R793" si="361">P792</f>
        <v>0</v>
      </c>
      <c r="Q793" s="38">
        <f t="shared" si="361"/>
        <v>0</v>
      </c>
      <c r="R793" s="38">
        <f t="shared" si="361"/>
        <v>0</v>
      </c>
      <c r="S793" s="78">
        <v>46112</v>
      </c>
      <c r="T793" s="63"/>
      <c r="U793" s="63">
        <f t="shared" si="357"/>
        <v>32487.036666679662</v>
      </c>
      <c r="V793" s="63"/>
      <c r="W793" s="63"/>
      <c r="X793" s="63">
        <f t="shared" si="358"/>
        <v>32487.036666679662</v>
      </c>
      <c r="Y793" s="63">
        <f t="shared" si="359"/>
        <v>1450000</v>
      </c>
      <c r="Z793" s="63">
        <f>'codeis $'!AB463</f>
        <v>0</v>
      </c>
      <c r="AA793" s="63">
        <f>'OverNight $'!M463+'OverNight $'!T463+'OverNight $'!AA463+'OverNight $'!AH463</f>
        <v>21000000</v>
      </c>
      <c r="AB793" s="63"/>
      <c r="AC793" s="63"/>
      <c r="AD793" s="63">
        <f>'OverNight $'!AV463</f>
        <v>0</v>
      </c>
      <c r="AE793" s="63">
        <f>'OverNight $'!BC463</f>
        <v>0</v>
      </c>
      <c r="AF793" s="63">
        <f>'OverNight $'!BH463</f>
        <v>0</v>
      </c>
      <c r="AG793" s="63">
        <f>'OverNight $'!BM463</f>
        <v>0</v>
      </c>
      <c r="AH793" s="63">
        <f>'OverNight $'!BR463</f>
        <v>0</v>
      </c>
    </row>
    <row r="794" spans="2:34" x14ac:dyDescent="0.25">
      <c r="B794" s="42">
        <v>46113</v>
      </c>
      <c r="C794" s="38"/>
      <c r="D794" s="38">
        <f t="shared" si="353"/>
        <v>73520.820000000298</v>
      </c>
      <c r="E794" s="38"/>
      <c r="F794" s="38"/>
      <c r="G794" s="38">
        <f t="shared" si="354"/>
        <v>73520.820000000298</v>
      </c>
      <c r="H794" s="38">
        <f t="shared" si="355"/>
        <v>34250000</v>
      </c>
      <c r="I794" s="38"/>
      <c r="J794" s="38">
        <f>'OverNight €'!U464</f>
        <v>6010956.1600000001</v>
      </c>
      <c r="K794" s="177">
        <f>'OverNight €'!N464</f>
        <v>12000000</v>
      </c>
      <c r="L794" s="177"/>
      <c r="M794" s="177">
        <f>'OverNight €'!AB464</f>
        <v>15000000</v>
      </c>
      <c r="N794" s="177">
        <f>'codeis €'!Z464</f>
        <v>0</v>
      </c>
      <c r="O794" s="38">
        <f>'CT- € Ellipsis BNP'!X464</f>
        <v>0</v>
      </c>
      <c r="P794" s="38">
        <f t="shared" ref="P794:R794" si="362">P793</f>
        <v>0</v>
      </c>
      <c r="Q794" s="38">
        <f t="shared" si="362"/>
        <v>0</v>
      </c>
      <c r="R794" s="38">
        <f t="shared" si="362"/>
        <v>0</v>
      </c>
      <c r="S794" s="78">
        <v>46113</v>
      </c>
      <c r="T794" s="63"/>
      <c r="U794" s="63">
        <f t="shared" si="357"/>
        <v>32487.036666679662</v>
      </c>
      <c r="V794" s="63"/>
      <c r="W794" s="63"/>
      <c r="X794" s="63">
        <f t="shared" si="358"/>
        <v>32487.036666679662</v>
      </c>
      <c r="Y794" s="63">
        <f t="shared" si="359"/>
        <v>1450000</v>
      </c>
      <c r="Z794" s="63">
        <f>'codeis $'!AB464</f>
        <v>0</v>
      </c>
      <c r="AA794" s="63">
        <f>'OverNight $'!M464+'OverNight $'!T464+'OverNight $'!AA464+'OverNight $'!AH464</f>
        <v>21000000</v>
      </c>
      <c r="AB794" s="63"/>
      <c r="AC794" s="63"/>
      <c r="AD794" s="63">
        <f>'OverNight $'!AV464</f>
        <v>0</v>
      </c>
      <c r="AE794" s="63">
        <f>'OverNight $'!BC464</f>
        <v>0</v>
      </c>
      <c r="AF794" s="63">
        <f>'OverNight $'!BH464</f>
        <v>0</v>
      </c>
      <c r="AG794" s="63">
        <f>'OverNight $'!BM464</f>
        <v>0</v>
      </c>
      <c r="AH794" s="63">
        <f>'OverNight $'!BR464</f>
        <v>0</v>
      </c>
    </row>
    <row r="795" spans="2:34" x14ac:dyDescent="0.25">
      <c r="B795" s="42">
        <v>46114</v>
      </c>
      <c r="C795" s="38"/>
      <c r="D795" s="38">
        <f t="shared" si="353"/>
        <v>73520.820000000298</v>
      </c>
      <c r="E795" s="38"/>
      <c r="F795" s="38"/>
      <c r="G795" s="38">
        <f t="shared" si="354"/>
        <v>73520.820000000298</v>
      </c>
      <c r="H795" s="38">
        <f t="shared" si="355"/>
        <v>34250000</v>
      </c>
      <c r="I795" s="38"/>
      <c r="J795" s="38">
        <f>'OverNight €'!U465</f>
        <v>6010956.1600000001</v>
      </c>
      <c r="K795" s="177">
        <f>'OverNight €'!N465</f>
        <v>12000000</v>
      </c>
      <c r="L795" s="177"/>
      <c r="M795" s="177">
        <f>'OverNight €'!AB465</f>
        <v>15000000</v>
      </c>
      <c r="N795" s="177">
        <f>'codeis €'!Z465</f>
        <v>0</v>
      </c>
      <c r="O795" s="38">
        <f>'CT- € Ellipsis BNP'!X465</f>
        <v>0</v>
      </c>
      <c r="P795" s="38">
        <f t="shared" ref="P795:R795" si="363">P794</f>
        <v>0</v>
      </c>
      <c r="Q795" s="38">
        <f t="shared" si="363"/>
        <v>0</v>
      </c>
      <c r="R795" s="38">
        <f t="shared" si="363"/>
        <v>0</v>
      </c>
      <c r="S795" s="78">
        <v>46114</v>
      </c>
      <c r="T795" s="63"/>
      <c r="U795" s="63">
        <f t="shared" si="357"/>
        <v>32487.036666679662</v>
      </c>
      <c r="V795" s="63"/>
      <c r="W795" s="63"/>
      <c r="X795" s="63">
        <f t="shared" si="358"/>
        <v>32487.036666679662</v>
      </c>
      <c r="Y795" s="63">
        <f t="shared" si="359"/>
        <v>1450000</v>
      </c>
      <c r="Z795" s="63">
        <f>'codeis $'!AB465</f>
        <v>0</v>
      </c>
      <c r="AA795" s="63">
        <f>'OverNight $'!M465+'OverNight $'!T465+'OverNight $'!AA465+'OverNight $'!AH465</f>
        <v>21000000</v>
      </c>
      <c r="AB795" s="63"/>
      <c r="AC795" s="63"/>
      <c r="AD795" s="63">
        <f>'OverNight $'!AV465</f>
        <v>0</v>
      </c>
      <c r="AE795" s="63">
        <f>'OverNight $'!BC465</f>
        <v>0</v>
      </c>
      <c r="AF795" s="63">
        <f>'OverNight $'!BH465</f>
        <v>0</v>
      </c>
      <c r="AG795" s="63">
        <f>'OverNight $'!BM465</f>
        <v>0</v>
      </c>
      <c r="AH795" s="63">
        <f>'OverNight $'!BR465</f>
        <v>0</v>
      </c>
    </row>
    <row r="796" spans="2:34" x14ac:dyDescent="0.25">
      <c r="B796" s="42">
        <v>46115</v>
      </c>
      <c r="C796" s="38"/>
      <c r="D796" s="38">
        <f t="shared" si="353"/>
        <v>73520.820000000298</v>
      </c>
      <c r="E796" s="38"/>
      <c r="F796" s="38"/>
      <c r="G796" s="38">
        <f t="shared" si="354"/>
        <v>73520.820000000298</v>
      </c>
      <c r="H796" s="38">
        <f t="shared" si="355"/>
        <v>34250000</v>
      </c>
      <c r="I796" s="38"/>
      <c r="J796" s="38">
        <f>'OverNight €'!U466</f>
        <v>6010956.1600000001</v>
      </c>
      <c r="K796" s="177">
        <f>'OverNight €'!N466</f>
        <v>12000000</v>
      </c>
      <c r="L796" s="177"/>
      <c r="M796" s="177">
        <f>'OverNight €'!AB466</f>
        <v>15000000</v>
      </c>
      <c r="N796" s="177">
        <f>'codeis €'!Z466</f>
        <v>0</v>
      </c>
      <c r="O796" s="38">
        <f>'CT- € Ellipsis BNP'!X466</f>
        <v>0</v>
      </c>
      <c r="P796" s="38">
        <f t="shared" ref="P796:R796" si="364">P795</f>
        <v>0</v>
      </c>
      <c r="Q796" s="38">
        <f t="shared" si="364"/>
        <v>0</v>
      </c>
      <c r="R796" s="38">
        <f t="shared" si="364"/>
        <v>0</v>
      </c>
      <c r="S796" s="78">
        <v>46115</v>
      </c>
      <c r="T796" s="63"/>
      <c r="U796" s="63">
        <f t="shared" si="357"/>
        <v>32487.036666679662</v>
      </c>
      <c r="V796" s="63"/>
      <c r="W796" s="63"/>
      <c r="X796" s="63">
        <f t="shared" si="358"/>
        <v>32487.036666679662</v>
      </c>
      <c r="Y796" s="63">
        <f t="shared" si="359"/>
        <v>1450000</v>
      </c>
      <c r="Z796" s="63">
        <f>'codeis $'!AB466</f>
        <v>0</v>
      </c>
      <c r="AA796" s="63">
        <f>'OverNight $'!M466+'OverNight $'!T466+'OverNight $'!AA466+'OverNight $'!AH466</f>
        <v>21000000</v>
      </c>
      <c r="AB796" s="63"/>
      <c r="AC796" s="63"/>
      <c r="AD796" s="63">
        <f>'OverNight $'!AV466</f>
        <v>0</v>
      </c>
      <c r="AE796" s="63">
        <f>'OverNight $'!BC466</f>
        <v>0</v>
      </c>
      <c r="AF796" s="63">
        <f>'OverNight $'!BH466</f>
        <v>0</v>
      </c>
      <c r="AG796" s="63">
        <f>'OverNight $'!BM466</f>
        <v>0</v>
      </c>
      <c r="AH796" s="63">
        <f>'OverNight $'!BR466</f>
        <v>0</v>
      </c>
    </row>
    <row r="797" spans="2:34" x14ac:dyDescent="0.25">
      <c r="B797" s="42">
        <v>46116</v>
      </c>
      <c r="C797" s="38"/>
      <c r="D797" s="38">
        <f t="shared" si="353"/>
        <v>73520.820000000298</v>
      </c>
      <c r="E797" s="38"/>
      <c r="F797" s="38"/>
      <c r="G797" s="38">
        <f t="shared" si="354"/>
        <v>73520.820000000298</v>
      </c>
      <c r="H797" s="38">
        <f t="shared" si="355"/>
        <v>34250000</v>
      </c>
      <c r="I797" s="38"/>
      <c r="J797" s="38">
        <f>'OverNight €'!U467</f>
        <v>6010956.1600000001</v>
      </c>
      <c r="K797" s="177">
        <f>'OverNight €'!N467</f>
        <v>12000000</v>
      </c>
      <c r="L797" s="177"/>
      <c r="M797" s="177">
        <f>'OverNight €'!AB467</f>
        <v>15000000</v>
      </c>
      <c r="N797" s="177">
        <f>'codeis €'!Z467</f>
        <v>0</v>
      </c>
      <c r="O797" s="38">
        <f>'CT- € Ellipsis BNP'!X467</f>
        <v>0</v>
      </c>
      <c r="P797" s="38">
        <f t="shared" ref="P797:R797" si="365">P796</f>
        <v>0</v>
      </c>
      <c r="Q797" s="38">
        <f t="shared" si="365"/>
        <v>0</v>
      </c>
      <c r="R797" s="38">
        <f t="shared" si="365"/>
        <v>0</v>
      </c>
      <c r="S797" s="78">
        <v>46116</v>
      </c>
      <c r="T797" s="63"/>
      <c r="U797" s="63">
        <f t="shared" si="357"/>
        <v>32487.036666679662</v>
      </c>
      <c r="V797" s="63"/>
      <c r="W797" s="63"/>
      <c r="X797" s="63">
        <f t="shared" si="358"/>
        <v>32487.036666679662</v>
      </c>
      <c r="Y797" s="63">
        <f t="shared" si="359"/>
        <v>1450000</v>
      </c>
      <c r="Z797" s="63">
        <f>'codeis $'!AB467</f>
        <v>0</v>
      </c>
      <c r="AA797" s="63">
        <f>'OverNight $'!M467+'OverNight $'!T467+'OverNight $'!AA467+'OverNight $'!AH467</f>
        <v>21000000</v>
      </c>
      <c r="AB797" s="63"/>
      <c r="AC797" s="63"/>
      <c r="AD797" s="63">
        <f>'OverNight $'!AV467</f>
        <v>0</v>
      </c>
      <c r="AE797" s="63">
        <f>'OverNight $'!BC467</f>
        <v>0</v>
      </c>
      <c r="AF797" s="63">
        <f>'OverNight $'!BH467</f>
        <v>0</v>
      </c>
      <c r="AG797" s="63">
        <f>'OverNight $'!BM467</f>
        <v>0</v>
      </c>
      <c r="AH797" s="63">
        <f>'OverNight $'!BR467</f>
        <v>0</v>
      </c>
    </row>
    <row r="798" spans="2:34" x14ac:dyDescent="0.25">
      <c r="B798" s="42">
        <v>46117</v>
      </c>
      <c r="C798" s="38"/>
      <c r="D798" s="38">
        <f t="shared" si="353"/>
        <v>73520.820000000298</v>
      </c>
      <c r="E798" s="38"/>
      <c r="F798" s="38"/>
      <c r="G798" s="38">
        <f t="shared" si="354"/>
        <v>73520.820000000298</v>
      </c>
      <c r="H798" s="38">
        <f t="shared" si="355"/>
        <v>34250000</v>
      </c>
      <c r="I798" s="38"/>
      <c r="J798" s="38">
        <f>'OverNight €'!U468</f>
        <v>6010956.1600000001</v>
      </c>
      <c r="K798" s="177">
        <f>'OverNight €'!N468</f>
        <v>12000000</v>
      </c>
      <c r="L798" s="177"/>
      <c r="M798" s="177">
        <f>'OverNight €'!AB468</f>
        <v>15000000</v>
      </c>
      <c r="N798" s="177">
        <f>'codeis €'!Z468</f>
        <v>0</v>
      </c>
      <c r="O798" s="38">
        <f>'CT- € Ellipsis BNP'!X468</f>
        <v>0</v>
      </c>
      <c r="P798" s="38">
        <f t="shared" ref="P798:R798" si="366">P797</f>
        <v>0</v>
      </c>
      <c r="Q798" s="38">
        <f t="shared" si="366"/>
        <v>0</v>
      </c>
      <c r="R798" s="38">
        <f t="shared" si="366"/>
        <v>0</v>
      </c>
      <c r="S798" s="78">
        <v>46117</v>
      </c>
      <c r="T798" s="63"/>
      <c r="U798" s="63">
        <f t="shared" si="357"/>
        <v>32487.036666679662</v>
      </c>
      <c r="V798" s="63"/>
      <c r="W798" s="63"/>
      <c r="X798" s="63">
        <f t="shared" si="358"/>
        <v>32487.036666679662</v>
      </c>
      <c r="Y798" s="63">
        <f t="shared" si="359"/>
        <v>1450000</v>
      </c>
      <c r="Z798" s="63">
        <f>'codeis $'!AB468</f>
        <v>0</v>
      </c>
      <c r="AA798" s="63">
        <f>'OverNight $'!M468+'OverNight $'!T468+'OverNight $'!AA468+'OverNight $'!AH468</f>
        <v>21000000</v>
      </c>
      <c r="AB798" s="63"/>
      <c r="AC798" s="63"/>
      <c r="AD798" s="63">
        <f>'OverNight $'!AV468</f>
        <v>0</v>
      </c>
      <c r="AE798" s="63">
        <f>'OverNight $'!BC468</f>
        <v>0</v>
      </c>
      <c r="AF798" s="63">
        <f>'OverNight $'!BH468</f>
        <v>0</v>
      </c>
      <c r="AG798" s="63">
        <f>'OverNight $'!BM468</f>
        <v>0</v>
      </c>
      <c r="AH798" s="63">
        <f>'OverNight $'!BR468</f>
        <v>0</v>
      </c>
    </row>
    <row r="799" spans="2:34" x14ac:dyDescent="0.25">
      <c r="B799" s="42">
        <v>46118</v>
      </c>
      <c r="C799" s="38"/>
      <c r="D799" s="38">
        <f t="shared" si="353"/>
        <v>73520.820000000298</v>
      </c>
      <c r="E799" s="38"/>
      <c r="F799" s="38"/>
      <c r="G799" s="38">
        <f t="shared" si="354"/>
        <v>73520.820000000298</v>
      </c>
      <c r="H799" s="38">
        <f t="shared" si="355"/>
        <v>34250000</v>
      </c>
      <c r="I799" s="38"/>
      <c r="J799" s="38">
        <f>'OverNight €'!U469</f>
        <v>6010956.1600000001</v>
      </c>
      <c r="K799" s="177">
        <f>'OverNight €'!N469</f>
        <v>12000000</v>
      </c>
      <c r="L799" s="177"/>
      <c r="M799" s="177">
        <f>'OverNight €'!AB469</f>
        <v>15000000</v>
      </c>
      <c r="N799" s="177">
        <f>'codeis €'!Z469</f>
        <v>0</v>
      </c>
      <c r="O799" s="38">
        <f>'CT- € Ellipsis BNP'!X469</f>
        <v>0</v>
      </c>
      <c r="P799" s="38">
        <f t="shared" ref="P799:R799" si="367">P798</f>
        <v>0</v>
      </c>
      <c r="Q799" s="38">
        <f t="shared" si="367"/>
        <v>0</v>
      </c>
      <c r="R799" s="38">
        <f t="shared" si="367"/>
        <v>0</v>
      </c>
      <c r="S799" s="78">
        <v>46118</v>
      </c>
      <c r="T799" s="63"/>
      <c r="U799" s="63">
        <f t="shared" si="357"/>
        <v>32487.036666679662</v>
      </c>
      <c r="V799" s="63"/>
      <c r="W799" s="63"/>
      <c r="X799" s="63">
        <f t="shared" si="358"/>
        <v>32487.036666679662</v>
      </c>
      <c r="Y799" s="63">
        <f t="shared" si="359"/>
        <v>1450000</v>
      </c>
      <c r="Z799" s="63">
        <f>'codeis $'!AB469</f>
        <v>0</v>
      </c>
      <c r="AA799" s="63">
        <f>'OverNight $'!M469+'OverNight $'!T469+'OverNight $'!AA469+'OverNight $'!AH469</f>
        <v>21000000</v>
      </c>
      <c r="AB799" s="63"/>
      <c r="AC799" s="63"/>
      <c r="AD799" s="63">
        <f>'OverNight $'!AV469</f>
        <v>0</v>
      </c>
      <c r="AE799" s="63">
        <f>'OverNight $'!BC469</f>
        <v>0</v>
      </c>
      <c r="AF799" s="63">
        <f>'OverNight $'!BH469</f>
        <v>0</v>
      </c>
      <c r="AG799" s="63">
        <f>'OverNight $'!BM469</f>
        <v>0</v>
      </c>
      <c r="AH799" s="63">
        <f>'OverNight $'!BR469</f>
        <v>0</v>
      </c>
    </row>
    <row r="800" spans="2:34" x14ac:dyDescent="0.25">
      <c r="B800" s="42">
        <v>46119</v>
      </c>
      <c r="C800" s="38"/>
      <c r="D800" s="38">
        <f t="shared" si="353"/>
        <v>73520.820000000298</v>
      </c>
      <c r="E800" s="38"/>
      <c r="F800" s="38"/>
      <c r="G800" s="38">
        <f t="shared" si="354"/>
        <v>73520.820000000298</v>
      </c>
      <c r="H800" s="38">
        <f t="shared" si="355"/>
        <v>34250000</v>
      </c>
      <c r="I800" s="38"/>
      <c r="J800" s="38">
        <f>'OverNight €'!U470</f>
        <v>6010956.1600000001</v>
      </c>
      <c r="K800" s="177">
        <f>'OverNight €'!N470</f>
        <v>12000000</v>
      </c>
      <c r="L800" s="177"/>
      <c r="M800" s="177">
        <f>'OverNight €'!AB470</f>
        <v>15000000</v>
      </c>
      <c r="N800" s="177">
        <f>'codeis €'!Z470</f>
        <v>0</v>
      </c>
      <c r="O800" s="38">
        <f>'CT- € Ellipsis BNP'!X470</f>
        <v>0</v>
      </c>
      <c r="P800" s="38">
        <f t="shared" ref="P800:R800" si="368">P799</f>
        <v>0</v>
      </c>
      <c r="Q800" s="38">
        <f t="shared" si="368"/>
        <v>0</v>
      </c>
      <c r="R800" s="38">
        <f t="shared" si="368"/>
        <v>0</v>
      </c>
      <c r="S800" s="78">
        <v>46119</v>
      </c>
      <c r="T800" s="63"/>
      <c r="U800" s="63">
        <f t="shared" si="357"/>
        <v>32487.036666679662</v>
      </c>
      <c r="V800" s="63"/>
      <c r="W800" s="63"/>
      <c r="X800" s="63">
        <f t="shared" si="358"/>
        <v>32487.036666679662</v>
      </c>
      <c r="Y800" s="63">
        <f t="shared" si="359"/>
        <v>1450000</v>
      </c>
      <c r="Z800" s="63">
        <f>'codeis $'!AB470</f>
        <v>0</v>
      </c>
      <c r="AA800" s="63">
        <f>'OverNight $'!M470+'OverNight $'!T470+'OverNight $'!AA470+'OverNight $'!AH470</f>
        <v>21000000</v>
      </c>
      <c r="AB800" s="63"/>
      <c r="AC800" s="63"/>
      <c r="AD800" s="63">
        <f>'OverNight $'!AV470</f>
        <v>0</v>
      </c>
      <c r="AE800" s="63">
        <f>'OverNight $'!BC470</f>
        <v>0</v>
      </c>
      <c r="AF800" s="63">
        <f>'OverNight $'!BH470</f>
        <v>0</v>
      </c>
      <c r="AG800" s="63">
        <f>'OverNight $'!BM470</f>
        <v>0</v>
      </c>
      <c r="AH800" s="63">
        <f>'OverNight $'!BR470</f>
        <v>0</v>
      </c>
    </row>
    <row r="801" spans="2:34" x14ac:dyDescent="0.25">
      <c r="B801" s="42">
        <v>46120</v>
      </c>
      <c r="C801" s="38"/>
      <c r="D801" s="38">
        <f t="shared" si="353"/>
        <v>73520.820000000298</v>
      </c>
      <c r="E801" s="38"/>
      <c r="F801" s="38"/>
      <c r="G801" s="38">
        <f t="shared" si="354"/>
        <v>73520.820000000298</v>
      </c>
      <c r="H801" s="38">
        <f t="shared" si="355"/>
        <v>34250000</v>
      </c>
      <c r="I801" s="38"/>
      <c r="J801" s="38">
        <f>'OverNight €'!U471</f>
        <v>6010956.1600000001</v>
      </c>
      <c r="K801" s="177">
        <f>'OverNight €'!N471</f>
        <v>12000000</v>
      </c>
      <c r="L801" s="177"/>
      <c r="M801" s="177">
        <f>'OverNight €'!AB471</f>
        <v>15000000</v>
      </c>
      <c r="N801" s="177">
        <f>'codeis €'!Z471</f>
        <v>0</v>
      </c>
      <c r="O801" s="38">
        <f>'CT- € Ellipsis BNP'!X471</f>
        <v>0</v>
      </c>
      <c r="P801" s="38">
        <f t="shared" ref="P801:R801" si="369">P800</f>
        <v>0</v>
      </c>
      <c r="Q801" s="38">
        <f t="shared" si="369"/>
        <v>0</v>
      </c>
      <c r="R801" s="38">
        <f t="shared" si="369"/>
        <v>0</v>
      </c>
      <c r="S801" s="78">
        <v>46120</v>
      </c>
      <c r="T801" s="63"/>
      <c r="U801" s="63">
        <f t="shared" si="357"/>
        <v>32487.036666679662</v>
      </c>
      <c r="V801" s="63"/>
      <c r="W801" s="63"/>
      <c r="X801" s="63">
        <f t="shared" si="358"/>
        <v>32487.036666679662</v>
      </c>
      <c r="Y801" s="63">
        <f t="shared" si="359"/>
        <v>1450000</v>
      </c>
      <c r="Z801" s="63">
        <f>'codeis $'!AB471</f>
        <v>0</v>
      </c>
      <c r="AA801" s="63">
        <f>'OverNight $'!M471+'OverNight $'!T471+'OverNight $'!AA471+'OverNight $'!AH471</f>
        <v>21000000</v>
      </c>
      <c r="AB801" s="63"/>
      <c r="AC801" s="63"/>
      <c r="AD801" s="63">
        <f>'OverNight $'!AV471</f>
        <v>0</v>
      </c>
      <c r="AE801" s="63">
        <f>'OverNight $'!BC471</f>
        <v>0</v>
      </c>
      <c r="AF801" s="63">
        <f>'OverNight $'!BH471</f>
        <v>0</v>
      </c>
      <c r="AG801" s="63">
        <f>'OverNight $'!BM471</f>
        <v>0</v>
      </c>
      <c r="AH801" s="63">
        <f>'OverNight $'!BR471</f>
        <v>0</v>
      </c>
    </row>
    <row r="802" spans="2:34" x14ac:dyDescent="0.25">
      <c r="B802" s="42">
        <v>46121</v>
      </c>
      <c r="C802" s="38"/>
      <c r="D802" s="38">
        <f t="shared" si="353"/>
        <v>73520.820000000298</v>
      </c>
      <c r="E802" s="38"/>
      <c r="F802" s="38"/>
      <c r="G802" s="38">
        <f t="shared" si="354"/>
        <v>73520.820000000298</v>
      </c>
      <c r="H802" s="38">
        <f t="shared" si="355"/>
        <v>34250000</v>
      </c>
      <c r="I802" s="38"/>
      <c r="J802" s="38">
        <f>'OverNight €'!U472</f>
        <v>6010956.1600000001</v>
      </c>
      <c r="K802" s="177">
        <f>'OverNight €'!N472</f>
        <v>12000000</v>
      </c>
      <c r="L802" s="177"/>
      <c r="M802" s="177">
        <f>'OverNight €'!AB472</f>
        <v>15000000</v>
      </c>
      <c r="N802" s="177">
        <f>'codeis €'!Z472</f>
        <v>0</v>
      </c>
      <c r="O802" s="38">
        <f>'CT- € Ellipsis BNP'!X472</f>
        <v>0</v>
      </c>
      <c r="P802" s="38">
        <f t="shared" ref="P802:R802" si="370">P801</f>
        <v>0</v>
      </c>
      <c r="Q802" s="38">
        <f t="shared" si="370"/>
        <v>0</v>
      </c>
      <c r="R802" s="38">
        <f t="shared" si="370"/>
        <v>0</v>
      </c>
      <c r="S802" s="78">
        <v>46121</v>
      </c>
      <c r="T802" s="63"/>
      <c r="U802" s="63">
        <f t="shared" si="357"/>
        <v>32487.036666679662</v>
      </c>
      <c r="V802" s="63"/>
      <c r="W802" s="63"/>
      <c r="X802" s="63">
        <f t="shared" si="358"/>
        <v>32487.036666679662</v>
      </c>
      <c r="Y802" s="63">
        <f t="shared" si="359"/>
        <v>1450000</v>
      </c>
      <c r="Z802" s="63">
        <f>'codeis $'!AB472</f>
        <v>0</v>
      </c>
      <c r="AA802" s="63">
        <f>'OverNight $'!M472+'OverNight $'!T472+'OverNight $'!AA472+'OverNight $'!AH472</f>
        <v>21000000</v>
      </c>
      <c r="AB802" s="63"/>
      <c r="AC802" s="63"/>
      <c r="AD802" s="63">
        <f>'OverNight $'!AV472</f>
        <v>0</v>
      </c>
      <c r="AE802" s="63">
        <f>'OverNight $'!BC472</f>
        <v>0</v>
      </c>
      <c r="AF802" s="63">
        <f>'OverNight $'!BH472</f>
        <v>0</v>
      </c>
      <c r="AG802" s="63">
        <f>'OverNight $'!BM472</f>
        <v>0</v>
      </c>
      <c r="AH802" s="63">
        <f>'OverNight $'!BR472</f>
        <v>0</v>
      </c>
    </row>
    <row r="803" spans="2:34" x14ac:dyDescent="0.25">
      <c r="B803" s="42">
        <v>46122</v>
      </c>
      <c r="C803" s="38"/>
      <c r="D803" s="38">
        <f t="shared" si="353"/>
        <v>73520.820000000298</v>
      </c>
      <c r="E803" s="38"/>
      <c r="F803" s="38"/>
      <c r="G803" s="38">
        <f t="shared" si="354"/>
        <v>73520.820000000298</v>
      </c>
      <c r="H803" s="38">
        <f t="shared" si="355"/>
        <v>34250000</v>
      </c>
      <c r="I803" s="38"/>
      <c r="J803" s="38">
        <f>'OverNight €'!U473</f>
        <v>6010956.1600000001</v>
      </c>
      <c r="K803" s="177">
        <f>'OverNight €'!N473</f>
        <v>12000000</v>
      </c>
      <c r="L803" s="177"/>
      <c r="M803" s="177">
        <f>'OverNight €'!AB473</f>
        <v>15000000</v>
      </c>
      <c r="N803" s="177">
        <f>'codeis €'!Z473</f>
        <v>0</v>
      </c>
      <c r="O803" s="38">
        <f>'CT- € Ellipsis BNP'!X473</f>
        <v>0</v>
      </c>
      <c r="P803" s="38">
        <f t="shared" ref="P803:R803" si="371">P802</f>
        <v>0</v>
      </c>
      <c r="Q803" s="38">
        <f t="shared" si="371"/>
        <v>0</v>
      </c>
      <c r="R803" s="38">
        <f t="shared" si="371"/>
        <v>0</v>
      </c>
      <c r="S803" s="78">
        <v>46122</v>
      </c>
      <c r="T803" s="63"/>
      <c r="U803" s="63">
        <f t="shared" si="357"/>
        <v>32487.036666679662</v>
      </c>
      <c r="V803" s="63"/>
      <c r="W803" s="63"/>
      <c r="X803" s="63">
        <f t="shared" si="358"/>
        <v>32487.036666679662</v>
      </c>
      <c r="Y803" s="63">
        <f t="shared" si="359"/>
        <v>1450000</v>
      </c>
      <c r="Z803" s="63">
        <f>'codeis $'!AB473</f>
        <v>0</v>
      </c>
      <c r="AA803" s="63">
        <f>'OverNight $'!M473+'OverNight $'!T473+'OverNight $'!AA473+'OverNight $'!AH473</f>
        <v>21000000</v>
      </c>
      <c r="AB803" s="63"/>
      <c r="AC803" s="63"/>
      <c r="AD803" s="63">
        <f>'OverNight $'!AV473</f>
        <v>0</v>
      </c>
      <c r="AE803" s="63">
        <f>'OverNight $'!BC473</f>
        <v>0</v>
      </c>
      <c r="AF803" s="63">
        <f>'OverNight $'!BH473</f>
        <v>0</v>
      </c>
      <c r="AG803" s="63">
        <f>'OverNight $'!BM473</f>
        <v>0</v>
      </c>
      <c r="AH803" s="63">
        <f>'OverNight $'!BR473</f>
        <v>0</v>
      </c>
    </row>
    <row r="804" spans="2:34" x14ac:dyDescent="0.25">
      <c r="B804" s="42">
        <v>46123</v>
      </c>
      <c r="C804" s="38"/>
      <c r="D804" s="38">
        <f t="shared" si="353"/>
        <v>73520.820000000298</v>
      </c>
      <c r="E804" s="38"/>
      <c r="F804" s="38"/>
      <c r="G804" s="38">
        <f t="shared" si="354"/>
        <v>73520.820000000298</v>
      </c>
      <c r="H804" s="38">
        <f t="shared" si="355"/>
        <v>34250000</v>
      </c>
      <c r="I804" s="38"/>
      <c r="J804" s="38">
        <f>'OverNight €'!U474</f>
        <v>6010956.1600000001</v>
      </c>
      <c r="K804" s="177">
        <f>'OverNight €'!N474</f>
        <v>12000000</v>
      </c>
      <c r="L804" s="177"/>
      <c r="M804" s="177">
        <f>'OverNight €'!AB474</f>
        <v>15000000</v>
      </c>
      <c r="N804" s="177">
        <f>'codeis €'!Z474</f>
        <v>0</v>
      </c>
      <c r="O804" s="38">
        <f>'CT- € Ellipsis BNP'!X474</f>
        <v>0</v>
      </c>
      <c r="P804" s="38">
        <f t="shared" ref="P804:R804" si="372">P803</f>
        <v>0</v>
      </c>
      <c r="Q804" s="38">
        <f t="shared" si="372"/>
        <v>0</v>
      </c>
      <c r="R804" s="38">
        <f t="shared" si="372"/>
        <v>0</v>
      </c>
      <c r="S804" s="78">
        <v>46123</v>
      </c>
      <c r="T804" s="63"/>
      <c r="U804" s="63">
        <f t="shared" si="357"/>
        <v>32487.036666679662</v>
      </c>
      <c r="V804" s="63"/>
      <c r="W804" s="63"/>
      <c r="X804" s="63">
        <f t="shared" si="358"/>
        <v>32487.036666679662</v>
      </c>
      <c r="Y804" s="63">
        <f t="shared" si="359"/>
        <v>1450000</v>
      </c>
      <c r="Z804" s="63">
        <f>'codeis $'!AB474</f>
        <v>0</v>
      </c>
      <c r="AA804" s="63">
        <f>'OverNight $'!M474+'OverNight $'!T474+'OverNight $'!AA474+'OverNight $'!AH474</f>
        <v>21000000</v>
      </c>
      <c r="AB804" s="63"/>
      <c r="AC804" s="63"/>
      <c r="AD804" s="63">
        <f>'OverNight $'!AV474</f>
        <v>0</v>
      </c>
      <c r="AE804" s="63">
        <f>'OverNight $'!BC474</f>
        <v>0</v>
      </c>
      <c r="AF804" s="63">
        <f>'OverNight $'!BH474</f>
        <v>0</v>
      </c>
      <c r="AG804" s="63">
        <f>'OverNight $'!BM474</f>
        <v>0</v>
      </c>
      <c r="AH804" s="63">
        <f>'OverNight $'!BR474</f>
        <v>0</v>
      </c>
    </row>
    <row r="805" spans="2:34" x14ac:dyDescent="0.25">
      <c r="B805" s="42">
        <v>46124</v>
      </c>
      <c r="C805" s="38"/>
      <c r="D805" s="38">
        <f t="shared" si="353"/>
        <v>73520.820000000298</v>
      </c>
      <c r="E805" s="38"/>
      <c r="F805" s="38"/>
      <c r="G805" s="38">
        <f t="shared" si="354"/>
        <v>73520.820000000298</v>
      </c>
      <c r="H805" s="38">
        <f t="shared" si="355"/>
        <v>34250000</v>
      </c>
      <c r="I805" s="38"/>
      <c r="J805" s="38">
        <f>'OverNight €'!U475</f>
        <v>6010956.1600000001</v>
      </c>
      <c r="K805" s="177">
        <f>'OverNight €'!N475</f>
        <v>12000000</v>
      </c>
      <c r="L805" s="177"/>
      <c r="M805" s="177">
        <f>'OverNight €'!AB475</f>
        <v>15000000</v>
      </c>
      <c r="N805" s="177">
        <f>'codeis €'!Z475</f>
        <v>0</v>
      </c>
      <c r="O805" s="38">
        <f>'CT- € Ellipsis BNP'!X475</f>
        <v>0</v>
      </c>
      <c r="P805" s="38">
        <f t="shared" ref="P805:R805" si="373">P804</f>
        <v>0</v>
      </c>
      <c r="Q805" s="38">
        <f t="shared" si="373"/>
        <v>0</v>
      </c>
      <c r="R805" s="38">
        <f t="shared" si="373"/>
        <v>0</v>
      </c>
      <c r="S805" s="78">
        <v>46124</v>
      </c>
      <c r="T805" s="63"/>
      <c r="U805" s="63">
        <f t="shared" si="357"/>
        <v>32487.036666679662</v>
      </c>
      <c r="V805" s="63"/>
      <c r="W805" s="63"/>
      <c r="X805" s="63">
        <f t="shared" si="358"/>
        <v>32487.036666679662</v>
      </c>
      <c r="Y805" s="63">
        <f t="shared" si="359"/>
        <v>1450000</v>
      </c>
      <c r="Z805" s="63">
        <f>'codeis $'!AB475</f>
        <v>0</v>
      </c>
      <c r="AA805" s="63">
        <f>'OverNight $'!M475+'OverNight $'!T475+'OverNight $'!AA475+'OverNight $'!AH475</f>
        <v>21000000</v>
      </c>
      <c r="AB805" s="63"/>
      <c r="AC805" s="63"/>
      <c r="AD805" s="63">
        <f>'OverNight $'!AV475</f>
        <v>0</v>
      </c>
      <c r="AE805" s="63">
        <f>'OverNight $'!BC475</f>
        <v>0</v>
      </c>
      <c r="AF805" s="63">
        <f>'OverNight $'!BH475</f>
        <v>0</v>
      </c>
      <c r="AG805" s="63">
        <f>'OverNight $'!BM475</f>
        <v>0</v>
      </c>
      <c r="AH805" s="63">
        <f>'OverNight $'!BR475</f>
        <v>0</v>
      </c>
    </row>
    <row r="806" spans="2:34" x14ac:dyDescent="0.25">
      <c r="B806" s="42">
        <v>46125</v>
      </c>
      <c r="C806" s="38"/>
      <c r="D806" s="38">
        <f t="shared" si="353"/>
        <v>73520.820000000298</v>
      </c>
      <c r="E806" s="38"/>
      <c r="F806" s="38"/>
      <c r="G806" s="38">
        <f t="shared" si="354"/>
        <v>73520.820000000298</v>
      </c>
      <c r="H806" s="38">
        <f t="shared" si="355"/>
        <v>34250000</v>
      </c>
      <c r="I806" s="38"/>
      <c r="J806" s="38">
        <f>'OverNight €'!U476</f>
        <v>6010956.1600000001</v>
      </c>
      <c r="K806" s="177">
        <f>'OverNight €'!N476</f>
        <v>12000000</v>
      </c>
      <c r="L806" s="177"/>
      <c r="M806" s="177">
        <f>'OverNight €'!AB476</f>
        <v>15000000</v>
      </c>
      <c r="N806" s="177">
        <f>'codeis €'!Z476</f>
        <v>0</v>
      </c>
      <c r="O806" s="38">
        <f>'CT- € Ellipsis BNP'!X476</f>
        <v>0</v>
      </c>
      <c r="P806" s="38">
        <f t="shared" ref="P806:R806" si="374">P805</f>
        <v>0</v>
      </c>
      <c r="Q806" s="38">
        <f t="shared" si="374"/>
        <v>0</v>
      </c>
      <c r="R806" s="38">
        <f t="shared" si="374"/>
        <v>0</v>
      </c>
      <c r="S806" s="78">
        <v>46125</v>
      </c>
      <c r="T806" s="63"/>
      <c r="U806" s="63">
        <f t="shared" si="357"/>
        <v>32487.036666679662</v>
      </c>
      <c r="V806" s="63"/>
      <c r="W806" s="63"/>
      <c r="X806" s="63">
        <f t="shared" si="358"/>
        <v>32487.036666679662</v>
      </c>
      <c r="Y806" s="63">
        <f t="shared" si="359"/>
        <v>1450000</v>
      </c>
      <c r="Z806" s="63">
        <f>'codeis $'!AB476</f>
        <v>0</v>
      </c>
      <c r="AA806" s="63">
        <f>'OverNight $'!M476+'OverNight $'!T476+'OverNight $'!AA476+'OverNight $'!AH476</f>
        <v>21000000</v>
      </c>
      <c r="AB806" s="63"/>
      <c r="AC806" s="63"/>
      <c r="AD806" s="63">
        <f>'OverNight $'!AV476</f>
        <v>0</v>
      </c>
      <c r="AE806" s="63">
        <f>'OverNight $'!BC476</f>
        <v>0</v>
      </c>
      <c r="AF806" s="63">
        <f>'OverNight $'!BH476</f>
        <v>0</v>
      </c>
      <c r="AG806" s="63">
        <f>'OverNight $'!BM476</f>
        <v>0</v>
      </c>
      <c r="AH806" s="63">
        <f>'OverNight $'!BR476</f>
        <v>0</v>
      </c>
    </row>
    <row r="807" spans="2:34" x14ac:dyDescent="0.25">
      <c r="B807" s="42">
        <v>46126</v>
      </c>
      <c r="C807" s="38"/>
      <c r="D807" s="38">
        <f t="shared" si="353"/>
        <v>73520.820000000298</v>
      </c>
      <c r="E807" s="38"/>
      <c r="F807" s="38"/>
      <c r="G807" s="38">
        <f t="shared" si="354"/>
        <v>73520.820000000298</v>
      </c>
      <c r="H807" s="38">
        <f t="shared" si="355"/>
        <v>34250000</v>
      </c>
      <c r="I807" s="38"/>
      <c r="J807" s="38">
        <f>'OverNight €'!U477</f>
        <v>6010956.1600000001</v>
      </c>
      <c r="K807" s="177">
        <f>'OverNight €'!N477</f>
        <v>12000000</v>
      </c>
      <c r="L807" s="177"/>
      <c r="M807" s="177">
        <f>'OverNight €'!AB477</f>
        <v>15000000</v>
      </c>
      <c r="N807" s="177">
        <f>'codeis €'!Z477</f>
        <v>0</v>
      </c>
      <c r="O807" s="38">
        <f>'CT- € Ellipsis BNP'!X477</f>
        <v>0</v>
      </c>
      <c r="P807" s="38">
        <f t="shared" ref="P807:R807" si="375">P806</f>
        <v>0</v>
      </c>
      <c r="Q807" s="38">
        <f t="shared" si="375"/>
        <v>0</v>
      </c>
      <c r="R807" s="38">
        <f t="shared" si="375"/>
        <v>0</v>
      </c>
      <c r="S807" s="78">
        <v>46126</v>
      </c>
      <c r="T807" s="63"/>
      <c r="U807" s="63">
        <f t="shared" si="357"/>
        <v>32487.036666679662</v>
      </c>
      <c r="V807" s="63"/>
      <c r="W807" s="63"/>
      <c r="X807" s="63">
        <f t="shared" si="358"/>
        <v>32487.036666679662</v>
      </c>
      <c r="Y807" s="63">
        <f t="shared" si="359"/>
        <v>1450000</v>
      </c>
      <c r="Z807" s="63">
        <f>'codeis $'!AB477</f>
        <v>0</v>
      </c>
      <c r="AA807" s="63">
        <f>'OverNight $'!M477+'OverNight $'!T477+'OverNight $'!AA477+'OverNight $'!AH477</f>
        <v>21000000</v>
      </c>
      <c r="AB807" s="63"/>
      <c r="AC807" s="63"/>
      <c r="AD807" s="63">
        <f>'OverNight $'!AV477</f>
        <v>0</v>
      </c>
      <c r="AE807" s="63">
        <f>'OverNight $'!BC477</f>
        <v>0</v>
      </c>
      <c r="AF807" s="63">
        <f>'OverNight $'!BH477</f>
        <v>0</v>
      </c>
      <c r="AG807" s="63">
        <f>'OverNight $'!BM477</f>
        <v>0</v>
      </c>
      <c r="AH807" s="63">
        <f>'OverNight $'!BR477</f>
        <v>0</v>
      </c>
    </row>
    <row r="808" spans="2:34" x14ac:dyDescent="0.25">
      <c r="B808" s="42">
        <v>46127</v>
      </c>
      <c r="C808" s="38"/>
      <c r="D808" s="38">
        <f t="shared" si="353"/>
        <v>73520.820000000298</v>
      </c>
      <c r="E808" s="38"/>
      <c r="F808" s="38"/>
      <c r="G808" s="38">
        <f t="shared" si="354"/>
        <v>73520.820000000298</v>
      </c>
      <c r="H808" s="38">
        <f t="shared" si="355"/>
        <v>34250000</v>
      </c>
      <c r="I808" s="38"/>
      <c r="J808" s="38">
        <f>'OverNight €'!U478</f>
        <v>6010956.1600000001</v>
      </c>
      <c r="K808" s="177">
        <f>'OverNight €'!N478</f>
        <v>12000000</v>
      </c>
      <c r="L808" s="177"/>
      <c r="M808" s="177">
        <f>'OverNight €'!AB478</f>
        <v>15000000</v>
      </c>
      <c r="N808" s="177">
        <f>'codeis €'!Z478</f>
        <v>0</v>
      </c>
      <c r="O808" s="38">
        <f>'CT- € Ellipsis BNP'!X478</f>
        <v>0</v>
      </c>
      <c r="P808" s="38">
        <f t="shared" ref="P808:R808" si="376">P807</f>
        <v>0</v>
      </c>
      <c r="Q808" s="38">
        <f t="shared" si="376"/>
        <v>0</v>
      </c>
      <c r="R808" s="38">
        <f t="shared" si="376"/>
        <v>0</v>
      </c>
      <c r="S808" s="78">
        <v>46127</v>
      </c>
      <c r="T808" s="63"/>
      <c r="U808" s="63">
        <f t="shared" si="357"/>
        <v>32487.036666679662</v>
      </c>
      <c r="V808" s="63"/>
      <c r="W808" s="63"/>
      <c r="X808" s="63">
        <f t="shared" si="358"/>
        <v>32487.036666679662</v>
      </c>
      <c r="Y808" s="63">
        <f t="shared" si="359"/>
        <v>1450000</v>
      </c>
      <c r="Z808" s="63">
        <f>'codeis $'!AB478</f>
        <v>0</v>
      </c>
      <c r="AA808" s="63">
        <f>'OverNight $'!M478+'OverNight $'!T478+'OverNight $'!AA478+'OverNight $'!AH478</f>
        <v>21000000</v>
      </c>
      <c r="AB808" s="63"/>
      <c r="AC808" s="63"/>
      <c r="AD808" s="63">
        <f>'OverNight $'!AV478</f>
        <v>0</v>
      </c>
      <c r="AE808" s="63">
        <f>'OverNight $'!BC478</f>
        <v>0</v>
      </c>
      <c r="AF808" s="63">
        <f>'OverNight $'!BH478</f>
        <v>0</v>
      </c>
      <c r="AG808" s="63">
        <f>'OverNight $'!BM478</f>
        <v>0</v>
      </c>
      <c r="AH808" s="63">
        <f>'OverNight $'!BR478</f>
        <v>0</v>
      </c>
    </row>
    <row r="809" spans="2:34" x14ac:dyDescent="0.25">
      <c r="B809" s="42">
        <v>46128</v>
      </c>
      <c r="C809" s="38"/>
      <c r="D809" s="38">
        <f t="shared" si="353"/>
        <v>73520.820000000298</v>
      </c>
      <c r="E809" s="38"/>
      <c r="F809" s="38"/>
      <c r="G809" s="38">
        <f t="shared" si="354"/>
        <v>73520.820000000298</v>
      </c>
      <c r="H809" s="38">
        <f t="shared" si="355"/>
        <v>34250000</v>
      </c>
      <c r="I809" s="38"/>
      <c r="J809" s="38">
        <f>'OverNight €'!U479</f>
        <v>6010956.1600000001</v>
      </c>
      <c r="K809" s="177">
        <f>'OverNight €'!N479</f>
        <v>12000000</v>
      </c>
      <c r="L809" s="177"/>
      <c r="M809" s="177">
        <f>'OverNight €'!AB479</f>
        <v>15000000</v>
      </c>
      <c r="N809" s="177">
        <f>'codeis €'!Z479</f>
        <v>0</v>
      </c>
      <c r="O809" s="38">
        <f>'CT- € Ellipsis BNP'!X479</f>
        <v>0</v>
      </c>
      <c r="P809" s="38">
        <f t="shared" ref="P809:R809" si="377">P808</f>
        <v>0</v>
      </c>
      <c r="Q809" s="38">
        <f t="shared" si="377"/>
        <v>0</v>
      </c>
      <c r="R809" s="38">
        <f t="shared" si="377"/>
        <v>0</v>
      </c>
      <c r="S809" s="78">
        <v>46128</v>
      </c>
      <c r="T809" s="63"/>
      <c r="U809" s="63">
        <f t="shared" si="357"/>
        <v>32487.036666679662</v>
      </c>
      <c r="V809" s="63"/>
      <c r="W809" s="63"/>
      <c r="X809" s="63">
        <f t="shared" si="358"/>
        <v>32487.036666679662</v>
      </c>
      <c r="Y809" s="63">
        <f t="shared" si="359"/>
        <v>1450000</v>
      </c>
      <c r="Z809" s="63">
        <f>'codeis $'!AB479</f>
        <v>0</v>
      </c>
      <c r="AA809" s="63">
        <f>'OverNight $'!M479+'OverNight $'!T479+'OverNight $'!AA479+'OverNight $'!AH479</f>
        <v>21000000</v>
      </c>
      <c r="AB809" s="63"/>
      <c r="AC809" s="63"/>
      <c r="AD809" s="63">
        <f>'OverNight $'!AV479</f>
        <v>0</v>
      </c>
      <c r="AE809" s="63">
        <f>'OverNight $'!BC479</f>
        <v>0</v>
      </c>
      <c r="AF809" s="63">
        <f>'OverNight $'!BH479</f>
        <v>0</v>
      </c>
      <c r="AG809" s="63">
        <f>'OverNight $'!BM479</f>
        <v>0</v>
      </c>
      <c r="AH809" s="63">
        <f>'OverNight $'!BR479</f>
        <v>0</v>
      </c>
    </row>
    <row r="810" spans="2:34" x14ac:dyDescent="0.25">
      <c r="B810" s="42">
        <v>46129</v>
      </c>
      <c r="C810" s="38"/>
      <c r="D810" s="38">
        <f t="shared" si="353"/>
        <v>73520.820000000298</v>
      </c>
      <c r="E810" s="38"/>
      <c r="F810" s="38"/>
      <c r="G810" s="38">
        <f t="shared" si="354"/>
        <v>73520.820000000298</v>
      </c>
      <c r="H810" s="38">
        <f t="shared" si="355"/>
        <v>34250000</v>
      </c>
      <c r="I810" s="38"/>
      <c r="J810" s="38">
        <f>'OverNight €'!U480</f>
        <v>6010956.1600000001</v>
      </c>
      <c r="K810" s="177">
        <f>'OverNight €'!N480</f>
        <v>12000000</v>
      </c>
      <c r="L810" s="177"/>
      <c r="M810" s="177">
        <f>'OverNight €'!AB480</f>
        <v>15000000</v>
      </c>
      <c r="N810" s="177">
        <f>'codeis €'!Z480</f>
        <v>0</v>
      </c>
      <c r="O810" s="38">
        <f>'CT- € Ellipsis BNP'!X480</f>
        <v>0</v>
      </c>
      <c r="P810" s="38">
        <f t="shared" ref="P810:R810" si="378">P809</f>
        <v>0</v>
      </c>
      <c r="Q810" s="38">
        <f t="shared" si="378"/>
        <v>0</v>
      </c>
      <c r="R810" s="38">
        <f t="shared" si="378"/>
        <v>0</v>
      </c>
      <c r="S810" s="78">
        <v>46129</v>
      </c>
      <c r="T810" s="63"/>
      <c r="U810" s="63">
        <f t="shared" si="357"/>
        <v>32487.036666679662</v>
      </c>
      <c r="V810" s="63"/>
      <c r="W810" s="63"/>
      <c r="X810" s="63">
        <f t="shared" si="358"/>
        <v>32487.036666679662</v>
      </c>
      <c r="Y810" s="63">
        <f t="shared" si="359"/>
        <v>1450000</v>
      </c>
      <c r="Z810" s="63">
        <f>'codeis $'!AB480</f>
        <v>0</v>
      </c>
      <c r="AA810" s="63">
        <f>'OverNight $'!M480+'OverNight $'!T480+'OverNight $'!AA480+'OverNight $'!AH480</f>
        <v>21000000</v>
      </c>
      <c r="AB810" s="63"/>
      <c r="AC810" s="63"/>
      <c r="AD810" s="63">
        <f>'OverNight $'!AV480</f>
        <v>0</v>
      </c>
      <c r="AE810" s="63">
        <f>'OverNight $'!BC480</f>
        <v>0</v>
      </c>
      <c r="AF810" s="63">
        <f>'OverNight $'!BH480</f>
        <v>0</v>
      </c>
      <c r="AG810" s="63">
        <f>'OverNight $'!BM480</f>
        <v>0</v>
      </c>
      <c r="AH810" s="63">
        <f>'OverNight $'!BR480</f>
        <v>0</v>
      </c>
    </row>
  </sheetData>
  <mergeCells count="2">
    <mergeCell ref="C5:H5"/>
    <mergeCell ref="T5:Y5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A03-E508-4C36-8B30-8C127D019810}">
  <sheetPr>
    <tabColor theme="4" tint="0.39997558519241921"/>
  </sheetPr>
  <dimension ref="E5:M40"/>
  <sheetViews>
    <sheetView topLeftCell="A13" zoomScaleNormal="100" workbookViewId="0">
      <selection activeCell="K48" sqref="K48"/>
    </sheetView>
  </sheetViews>
  <sheetFormatPr baseColWidth="10" defaultColWidth="10.85546875" defaultRowHeight="15" x14ac:dyDescent="0.25"/>
  <cols>
    <col min="5" max="5" width="15.85546875" bestFit="1" customWidth="1"/>
    <col min="6" max="6" width="20.5703125" bestFit="1" customWidth="1"/>
    <col min="7" max="8" width="13.42578125" bestFit="1" customWidth="1"/>
  </cols>
  <sheetData>
    <row r="5" spans="5:13" x14ac:dyDescent="0.25">
      <c r="E5" s="289" t="s">
        <v>312</v>
      </c>
      <c r="F5" s="289"/>
      <c r="G5" s="290"/>
      <c r="H5" s="290"/>
      <c r="I5" s="290"/>
      <c r="J5" s="290"/>
      <c r="K5" s="290"/>
      <c r="L5" s="290"/>
      <c r="M5" s="290"/>
    </row>
    <row r="7" spans="5:13" x14ac:dyDescent="0.25">
      <c r="G7" t="s">
        <v>109</v>
      </c>
    </row>
    <row r="8" spans="5:13" x14ac:dyDescent="0.25">
      <c r="E8" t="s">
        <v>113</v>
      </c>
      <c r="F8" t="s">
        <v>115</v>
      </c>
      <c r="G8" t="s">
        <v>110</v>
      </c>
    </row>
    <row r="9" spans="5:13" x14ac:dyDescent="0.25">
      <c r="E9" s="282">
        <v>45805</v>
      </c>
      <c r="F9" s="282">
        <v>45807</v>
      </c>
      <c r="G9">
        <v>1</v>
      </c>
    </row>
    <row r="10" spans="5:13" x14ac:dyDescent="0.25">
      <c r="E10" s="282">
        <v>45860</v>
      </c>
      <c r="F10" s="282">
        <v>45860</v>
      </c>
      <c r="G10" s="117">
        <v>1000000</v>
      </c>
      <c r="H10" t="s">
        <v>158</v>
      </c>
    </row>
    <row r="11" spans="5:13" x14ac:dyDescent="0.25">
      <c r="E11" s="282">
        <v>45861</v>
      </c>
      <c r="F11" s="282">
        <v>45861</v>
      </c>
      <c r="G11" s="117">
        <v>1500000</v>
      </c>
      <c r="H11" t="s">
        <v>158</v>
      </c>
    </row>
    <row r="12" spans="5:13" x14ac:dyDescent="0.25">
      <c r="E12" s="282">
        <v>45923</v>
      </c>
      <c r="F12" s="282">
        <f>E12</f>
        <v>45923</v>
      </c>
      <c r="G12" s="117">
        <v>4500000</v>
      </c>
      <c r="H12" t="s">
        <v>158</v>
      </c>
    </row>
    <row r="13" spans="5:13" x14ac:dyDescent="0.25">
      <c r="E13" s="282">
        <v>45950</v>
      </c>
      <c r="F13" s="282">
        <f>E13</f>
        <v>45950</v>
      </c>
      <c r="G13" s="117">
        <v>193000000</v>
      </c>
      <c r="H13" t="s">
        <v>158</v>
      </c>
    </row>
    <row r="14" spans="5:13" x14ac:dyDescent="0.25">
      <c r="E14" s="282"/>
      <c r="F14" s="282"/>
      <c r="G14" s="117"/>
    </row>
    <row r="15" spans="5:13" x14ac:dyDescent="0.25">
      <c r="E15" s="282"/>
      <c r="F15" s="282"/>
      <c r="G15" s="117"/>
    </row>
    <row r="16" spans="5:13" x14ac:dyDescent="0.25">
      <c r="E16" s="282"/>
      <c r="F16" s="282"/>
      <c r="G16" t="s">
        <v>114</v>
      </c>
    </row>
    <row r="17" spans="5:13" x14ac:dyDescent="0.25">
      <c r="E17" t="s">
        <v>113</v>
      </c>
      <c r="F17" t="s">
        <v>115</v>
      </c>
      <c r="G17" t="s">
        <v>110</v>
      </c>
    </row>
    <row r="18" spans="5:13" x14ac:dyDescent="0.25">
      <c r="E18" s="282">
        <v>45870</v>
      </c>
      <c r="F18" s="282">
        <v>45870</v>
      </c>
      <c r="G18" s="117">
        <v>1</v>
      </c>
    </row>
    <row r="20" spans="5:13" x14ac:dyDescent="0.25">
      <c r="E20" s="289" t="s">
        <v>311</v>
      </c>
      <c r="F20" s="289"/>
      <c r="G20" s="290"/>
      <c r="H20" s="290"/>
      <c r="I20" s="290"/>
      <c r="J20" s="290"/>
      <c r="K20" s="290"/>
      <c r="L20" s="290"/>
      <c r="M20" s="290"/>
    </row>
    <row r="22" spans="5:13" x14ac:dyDescent="0.25">
      <c r="E22" s="445" t="s">
        <v>222</v>
      </c>
      <c r="F22" s="445" t="s">
        <v>223</v>
      </c>
      <c r="G22" s="446" t="s">
        <v>112</v>
      </c>
      <c r="H22" s="445" t="s">
        <v>110</v>
      </c>
      <c r="I22" s="445" t="s">
        <v>224</v>
      </c>
    </row>
    <row r="23" spans="5:13" x14ac:dyDescent="0.25">
      <c r="E23" s="447">
        <v>45868</v>
      </c>
      <c r="F23" s="448">
        <v>1.1567000000000001</v>
      </c>
      <c r="G23" s="449">
        <f>H23/F23</f>
        <v>216132099.93948299</v>
      </c>
      <c r="H23" s="449">
        <v>250000000</v>
      </c>
      <c r="I23" s="447">
        <v>45870</v>
      </c>
    </row>
    <row r="24" spans="5:13" x14ac:dyDescent="0.25">
      <c r="F24" s="117"/>
      <c r="G24" s="288"/>
    </row>
    <row r="25" spans="5:13" x14ac:dyDescent="0.25">
      <c r="E25" s="445" t="s">
        <v>222</v>
      </c>
      <c r="F25" s="445" t="s">
        <v>223</v>
      </c>
      <c r="G25" s="446" t="s">
        <v>112</v>
      </c>
      <c r="H25" s="445" t="s">
        <v>110</v>
      </c>
      <c r="I25" s="445" t="s">
        <v>224</v>
      </c>
    </row>
    <row r="26" spans="5:13" x14ac:dyDescent="0.25">
      <c r="E26" s="447">
        <v>46008</v>
      </c>
      <c r="F26" s="448">
        <v>1.1756</v>
      </c>
      <c r="G26" s="449">
        <f>15*10^6</f>
        <v>15000000</v>
      </c>
      <c r="H26" s="449">
        <f>G26*F26</f>
        <v>17634000</v>
      </c>
      <c r="I26" s="447">
        <v>46010</v>
      </c>
    </row>
    <row r="27" spans="5:13" x14ac:dyDescent="0.25">
      <c r="E27" s="447">
        <v>46008</v>
      </c>
      <c r="F27" s="448">
        <v>1.1756</v>
      </c>
      <c r="G27" s="449">
        <f>15*10^6</f>
        <v>15000000</v>
      </c>
      <c r="H27" s="449">
        <f>G27*F27</f>
        <v>17634000</v>
      </c>
      <c r="I27" s="447">
        <v>46010</v>
      </c>
    </row>
    <row r="28" spans="5:13" x14ac:dyDescent="0.25">
      <c r="E28" s="447">
        <v>46009</v>
      </c>
      <c r="F28" s="448">
        <v>1.1728000000000001</v>
      </c>
      <c r="G28" s="449">
        <f>10*10^6</f>
        <v>10000000</v>
      </c>
      <c r="H28" s="449">
        <f>G28*F28</f>
        <v>11728000</v>
      </c>
      <c r="I28" s="447">
        <v>46013</v>
      </c>
    </row>
    <row r="29" spans="5:13" x14ac:dyDescent="0.25">
      <c r="E29" s="447">
        <v>46010</v>
      </c>
      <c r="F29" s="448">
        <v>1.1715</v>
      </c>
      <c r="G29" s="449">
        <v>20000000</v>
      </c>
      <c r="H29" s="449">
        <f>G29*F29</f>
        <v>23430000</v>
      </c>
      <c r="I29" s="447">
        <v>46014</v>
      </c>
    </row>
    <row r="30" spans="5:13" x14ac:dyDescent="0.25">
      <c r="E30" s="445" t="s">
        <v>37</v>
      </c>
      <c r="F30" s="450">
        <f>H30/G30</f>
        <v>1.1737666666666666</v>
      </c>
      <c r="G30" s="446">
        <f>SUM(G26:G29)</f>
        <v>60000000</v>
      </c>
      <c r="H30" s="446">
        <f>SUM(H26:H29)</f>
        <v>70426000</v>
      </c>
      <c r="I30" s="445"/>
    </row>
    <row r="32" spans="5:13" x14ac:dyDescent="0.25">
      <c r="E32" s="289" t="s">
        <v>313</v>
      </c>
      <c r="F32" s="289"/>
      <c r="G32" s="290"/>
      <c r="H32" s="290"/>
      <c r="I32" s="290"/>
      <c r="J32" s="290"/>
      <c r="K32" s="290"/>
      <c r="L32" s="290"/>
      <c r="M32" s="290"/>
    </row>
    <row r="37" spans="5:9" x14ac:dyDescent="0.25">
      <c r="E37" s="445" t="s">
        <v>222</v>
      </c>
      <c r="F37" s="445" t="s">
        <v>223</v>
      </c>
      <c r="G37" s="446" t="s">
        <v>112</v>
      </c>
      <c r="H37" s="445" t="s">
        <v>110</v>
      </c>
      <c r="I37" s="445" t="s">
        <v>224</v>
      </c>
    </row>
    <row r="38" spans="5:9" x14ac:dyDescent="0.25">
      <c r="E38" s="447">
        <v>46083</v>
      </c>
      <c r="F38" s="448">
        <v>1.17</v>
      </c>
      <c r="G38" s="449">
        <v>15000000</v>
      </c>
      <c r="H38" s="449">
        <f>G38*F38</f>
        <v>17550000</v>
      </c>
      <c r="I38" s="447">
        <v>46085</v>
      </c>
    </row>
    <row r="39" spans="5:9" x14ac:dyDescent="0.25">
      <c r="E39" s="447">
        <v>46083</v>
      </c>
      <c r="F39" s="448">
        <v>1.175</v>
      </c>
      <c r="G39" s="449">
        <v>15000000</v>
      </c>
      <c r="H39" s="449">
        <f>G39*F39</f>
        <v>17625000</v>
      </c>
      <c r="I39" s="447">
        <v>46085</v>
      </c>
    </row>
    <row r="40" spans="5:9" x14ac:dyDescent="0.25">
      <c r="E40" s="445" t="s">
        <v>37</v>
      </c>
      <c r="F40" s="450">
        <f>H40/G40</f>
        <v>1.1725000000000001</v>
      </c>
      <c r="G40" s="446">
        <f>SUM(G36:G39)</f>
        <v>30000000</v>
      </c>
      <c r="H40" s="446">
        <f>SUM(H36:H39)</f>
        <v>35175000</v>
      </c>
      <c r="I40" s="44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19EC-774B-46E7-99D6-E4DCD17747FB}">
  <sheetPr>
    <tabColor theme="9" tint="-0.499984740745262"/>
    <pageSetUpPr fitToPage="1"/>
  </sheetPr>
  <dimension ref="A1:DI114"/>
  <sheetViews>
    <sheetView showGridLines="0" zoomScale="90" zoomScaleNormal="90" workbookViewId="0">
      <pane xSplit="4" ySplit="7" topLeftCell="F71" activePane="bottomRight" state="frozen"/>
      <selection pane="topRight" activeCell="E1" sqref="E1"/>
      <selection pane="bottomLeft" activeCell="A10" sqref="A10"/>
      <selection pane="bottomRight" activeCell="M110" sqref="M110"/>
    </sheetView>
  </sheetViews>
  <sheetFormatPr baseColWidth="10" defaultColWidth="12.5703125" defaultRowHeight="14.25" outlineLevelRow="2" outlineLevelCol="1" x14ac:dyDescent="0.2"/>
  <cols>
    <col min="1" max="1" width="12.5703125" style="5"/>
    <col min="2" max="2" width="14.7109375" style="5" bestFit="1" customWidth="1"/>
    <col min="3" max="3" width="3" style="5" customWidth="1"/>
    <col min="4" max="4" width="15.7109375" style="5" customWidth="1"/>
    <col min="5" max="8" width="15.7109375" style="5" customWidth="1" outlineLevel="1"/>
    <col min="9" max="9" width="8.7109375" style="5" customWidth="1"/>
    <col min="10" max="12" width="15.7109375" style="4" customWidth="1"/>
    <col min="13" max="13" width="13.28515625" style="8" customWidth="1"/>
    <col min="14" max="14" width="3.42578125" style="8" customWidth="1"/>
    <col min="15" max="15" width="49.28515625" style="4" bestFit="1" customWidth="1"/>
    <col min="16" max="113" width="12.5703125" style="9"/>
    <col min="114" max="16384" width="12.5703125" style="4"/>
  </cols>
  <sheetData>
    <row r="1" spans="1:113" ht="15" x14ac:dyDescent="0.25">
      <c r="K1" s="167">
        <f>'Monthly Report 2026 €'!L1</f>
        <v>46053</v>
      </c>
      <c r="Q1" s="20"/>
      <c r="R1" s="20"/>
    </row>
    <row r="2" spans="1:113" x14ac:dyDescent="0.2">
      <c r="L2" s="6"/>
      <c r="M2" s="4"/>
      <c r="N2" s="4"/>
      <c r="Q2" s="20"/>
      <c r="R2" s="20"/>
    </row>
    <row r="3" spans="1:113" x14ac:dyDescent="0.2">
      <c r="Q3" s="20"/>
      <c r="R3" s="20"/>
    </row>
    <row r="4" spans="1:113" x14ac:dyDescent="0.2">
      <c r="Q4" s="20"/>
      <c r="R4" s="20"/>
    </row>
    <row r="5" spans="1:113" x14ac:dyDescent="0.2">
      <c r="Q5" s="20"/>
      <c r="R5" s="20"/>
    </row>
    <row r="6" spans="1:113" ht="15.75" x14ac:dyDescent="0.25">
      <c r="D6" s="545" t="str">
        <f>"USD Cash Investments Report as of "&amp;TEXT(K1,"jj mmm aaaa")</f>
        <v>USD Cash Investments Report as of 31 janv 2026</v>
      </c>
      <c r="E6" s="159"/>
      <c r="F6" s="159"/>
      <c r="G6" s="159"/>
      <c r="H6" s="159"/>
      <c r="I6" s="159"/>
      <c r="J6" s="160"/>
      <c r="K6" s="160"/>
      <c r="L6" s="160"/>
    </row>
    <row r="7" spans="1:113" ht="14.25" customHeight="1" x14ac:dyDescent="0.2">
      <c r="A7" s="5" t="s">
        <v>25</v>
      </c>
      <c r="B7" s="5" t="s">
        <v>25</v>
      </c>
      <c r="D7" s="1" t="s">
        <v>13</v>
      </c>
      <c r="E7" s="2" t="s">
        <v>28</v>
      </c>
      <c r="F7" s="2" t="s">
        <v>29</v>
      </c>
      <c r="G7" s="2" t="s">
        <v>43</v>
      </c>
      <c r="H7" s="2" t="s">
        <v>44</v>
      </c>
      <c r="I7" s="2" t="s">
        <v>34</v>
      </c>
      <c r="J7" s="698" t="s">
        <v>310</v>
      </c>
      <c r="K7" s="2" t="s">
        <v>36</v>
      </c>
      <c r="L7" s="2" t="s">
        <v>35</v>
      </c>
      <c r="M7" s="3" t="s">
        <v>77</v>
      </c>
    </row>
    <row r="8" spans="1:113" ht="4.5" customHeight="1" x14ac:dyDescent="0.25">
      <c r="D8" s="159"/>
      <c r="E8" s="159"/>
      <c r="F8" s="159"/>
      <c r="G8" s="159"/>
      <c r="H8" s="159"/>
      <c r="I8" s="159"/>
      <c r="J8" s="159"/>
      <c r="K8" s="159"/>
      <c r="L8" s="159"/>
      <c r="M8" s="159"/>
      <c r="O8" s="5"/>
      <c r="P8" s="5"/>
      <c r="Q8" s="5"/>
      <c r="R8" s="5"/>
    </row>
    <row r="9" spans="1:113" s="6" customFormat="1" ht="14.25" customHeight="1" outlineLevel="1" x14ac:dyDescent="0.2">
      <c r="A9" s="5"/>
      <c r="B9" s="104"/>
      <c r="C9" s="5"/>
      <c r="D9" s="640" t="s">
        <v>31</v>
      </c>
      <c r="E9" s="641"/>
      <c r="F9" s="642"/>
      <c r="G9" s="642"/>
      <c r="H9" s="643"/>
      <c r="I9" s="644"/>
      <c r="J9" s="647"/>
      <c r="K9" s="647"/>
      <c r="L9" s="647"/>
      <c r="M9" s="647"/>
      <c r="N9" s="8"/>
      <c r="O9" s="4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</row>
    <row r="10" spans="1:113" s="6" customFormat="1" ht="14.25" customHeight="1" outlineLevel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</row>
    <row r="11" spans="1:113" s="6" customFormat="1" ht="14.25" customHeight="1" outlineLevel="1" x14ac:dyDescent="0.2">
      <c r="A11" s="5" t="str">
        <f t="shared" ref="A11:A12" si="0">CONCATENATE(MONTH(D11)," ",YEAR(D11))</f>
        <v>1 2026</v>
      </c>
      <c r="B11" s="104">
        <f>D11</f>
        <v>46053</v>
      </c>
      <c r="C11" s="5"/>
      <c r="D11" s="557">
        <v>46053</v>
      </c>
      <c r="E11" s="512" t="s">
        <v>7</v>
      </c>
      <c r="F11" s="513" t="s">
        <v>30</v>
      </c>
      <c r="G11" s="514"/>
      <c r="H11" s="515"/>
      <c r="I11" s="516">
        <f>INDEX('OverNight $'!$H$376:$H$750,MATCH(B11,'OverNight $'!$D$376:$D$750,0))</f>
        <v>3.15E-2</v>
      </c>
      <c r="J11" s="539">
        <f>INDEX('OverNight $'!$G$373:$G$750,MATCH(B11,'OverNight $'!$C$373:$C$750,0))</f>
        <v>190000</v>
      </c>
      <c r="K11" s="539">
        <f>SUMIFS('OverNight $'!$I$373:$I$750,'OverNight $'!$B$373:$B$750,A11)</f>
        <v>4324.25</v>
      </c>
      <c r="L11" s="539">
        <v>4307.63</v>
      </c>
      <c r="M11" s="539">
        <v>0</v>
      </c>
      <c r="N11" s="8"/>
      <c r="O11" s="4" t="s">
        <v>83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</row>
    <row r="12" spans="1:113" s="6" customFormat="1" ht="14.25" customHeight="1" outlineLevel="1" x14ac:dyDescent="0.2">
      <c r="A12" s="5" t="str">
        <f t="shared" si="0"/>
        <v>2 2026</v>
      </c>
      <c r="B12" s="104">
        <f>EOMONTH(B11,1)</f>
        <v>46081</v>
      </c>
      <c r="C12" s="5"/>
      <c r="D12" s="557">
        <f>EOMONTH(D11,1)</f>
        <v>46081</v>
      </c>
      <c r="E12" s="512" t="s">
        <v>7</v>
      </c>
      <c r="F12" s="513" t="s">
        <v>30</v>
      </c>
      <c r="G12" s="514"/>
      <c r="H12" s="515"/>
      <c r="I12" s="516">
        <f>INDEX('OverNight $'!$H$376:$H$750,MATCH(B12,'OverNight $'!$D$376:$D$750,0))</f>
        <v>3.15E-2</v>
      </c>
      <c r="J12" s="539">
        <f>INDEX('OverNight $'!$G$373:$G$750,MATCH(B12,'OverNight $'!$C$373:$C$750,0))</f>
        <v>1280000</v>
      </c>
      <c r="K12" s="539">
        <f>SUMIFS('OverNight $'!$I$373:$I$750,'OverNight $'!$B$373:$B$750,A12)</f>
        <v>1827</v>
      </c>
      <c r="L12" s="539"/>
      <c r="M12" s="539">
        <v>0</v>
      </c>
      <c r="N12" s="8"/>
      <c r="O12" s="4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</row>
    <row r="13" spans="1:113" s="6" customFormat="1" ht="14.25" customHeight="1" outlineLevel="1" x14ac:dyDescent="0.2">
      <c r="A13" s="5" t="str">
        <f t="shared" ref="A13:A22" si="1">CONCATENATE(MONTH(D13)," ",YEAR(D13))</f>
        <v>3 2026</v>
      </c>
      <c r="B13" s="104">
        <f t="shared" ref="B13:B22" si="2">EOMONTH(B12,1)</f>
        <v>46112</v>
      </c>
      <c r="C13" s="5"/>
      <c r="D13" s="557">
        <f t="shared" ref="D13:D22" si="3">EOMONTH(D12,1)</f>
        <v>46112</v>
      </c>
      <c r="E13" s="512" t="s">
        <v>7</v>
      </c>
      <c r="F13" s="513" t="s">
        <v>30</v>
      </c>
      <c r="G13" s="514"/>
      <c r="H13" s="515"/>
      <c r="I13" s="516">
        <f>INDEX('OverNight $'!$H$376:$H$750,MATCH(B13,'OverNight $'!$D$376:$D$750,0))</f>
        <v>3.15E-2</v>
      </c>
      <c r="J13" s="539">
        <f>INDEX('OverNight $'!$G$373:$G$750,MATCH(B13,'OverNight $'!$C$373:$C$750,0))</f>
        <v>1450000</v>
      </c>
      <c r="K13" s="539">
        <f>SUMIFS('OverNight $'!$I$373:$I$750,'OverNight $'!$B$373:$B$750,A13)</f>
        <v>3858.75</v>
      </c>
      <c r="L13" s="539"/>
      <c r="M13" s="539">
        <v>0</v>
      </c>
      <c r="N13" s="8"/>
      <c r="O13" s="4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</row>
    <row r="14" spans="1:113" s="6" customFormat="1" ht="14.25" customHeight="1" outlineLevel="1" x14ac:dyDescent="0.2">
      <c r="A14" s="5" t="str">
        <f t="shared" si="1"/>
        <v>4 2026</v>
      </c>
      <c r="B14" s="104">
        <f t="shared" si="2"/>
        <v>46142</v>
      </c>
      <c r="C14" s="5"/>
      <c r="D14" s="557">
        <f t="shared" si="3"/>
        <v>46142</v>
      </c>
      <c r="E14" s="512" t="s">
        <v>7</v>
      </c>
      <c r="F14" s="513" t="s">
        <v>30</v>
      </c>
      <c r="G14" s="514"/>
      <c r="H14" s="515"/>
      <c r="I14" s="516">
        <f>INDEX('OverNight $'!$H$376:$H$750,MATCH(B14,'OverNight $'!$D$376:$D$750,0))</f>
        <v>3.15E-2</v>
      </c>
      <c r="J14" s="539">
        <f>INDEX('OverNight $'!$G$373:$G$750,MATCH(B14,'OverNight $'!$C$373:$C$750,0))</f>
        <v>1450000</v>
      </c>
      <c r="K14" s="539">
        <f>SUMIFS('OverNight $'!$I$373:$I$750,'OverNight $'!$B$373:$B$750,A14)</f>
        <v>3806.25</v>
      </c>
      <c r="L14" s="539"/>
      <c r="M14" s="539">
        <v>0</v>
      </c>
      <c r="N14" s="8"/>
      <c r="O14" s="4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</row>
    <row r="15" spans="1:113" s="6" customFormat="1" ht="14.25" customHeight="1" outlineLevel="1" x14ac:dyDescent="0.2">
      <c r="A15" s="5" t="str">
        <f t="shared" si="1"/>
        <v>5 2026</v>
      </c>
      <c r="B15" s="104">
        <f t="shared" si="2"/>
        <v>46173</v>
      </c>
      <c r="C15" s="5"/>
      <c r="D15" s="557">
        <f t="shared" si="3"/>
        <v>46173</v>
      </c>
      <c r="E15" s="512" t="s">
        <v>7</v>
      </c>
      <c r="F15" s="513" t="s">
        <v>30</v>
      </c>
      <c r="G15" s="514"/>
      <c r="H15" s="515"/>
      <c r="I15" s="516">
        <f>INDEX('OverNight $'!$H$376:$H$750,MATCH(B15,'OverNight $'!$D$376:$D$750,0))</f>
        <v>3.15E-2</v>
      </c>
      <c r="J15" s="539">
        <f>INDEX('OverNight $'!$G$373:$G$750,MATCH(B15,'OverNight $'!$C$373:$C$750,0))</f>
        <v>1450000</v>
      </c>
      <c r="K15" s="539">
        <f>SUMIFS('OverNight $'!$I$373:$I$750,'OverNight $'!$B$373:$B$750,A15)</f>
        <v>3933.125</v>
      </c>
      <c r="L15" s="539"/>
      <c r="M15" s="539">
        <v>0</v>
      </c>
      <c r="N15" s="8"/>
      <c r="O15" s="258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</row>
    <row r="16" spans="1:113" s="6" customFormat="1" ht="14.25" customHeight="1" outlineLevel="1" x14ac:dyDescent="0.2">
      <c r="A16" s="5" t="str">
        <f t="shared" si="1"/>
        <v>6 2026</v>
      </c>
      <c r="B16" s="104">
        <f t="shared" si="2"/>
        <v>46203</v>
      </c>
      <c r="C16" s="5"/>
      <c r="D16" s="557">
        <f t="shared" si="3"/>
        <v>46203</v>
      </c>
      <c r="E16" s="512" t="s">
        <v>7</v>
      </c>
      <c r="F16" s="513" t="s">
        <v>30</v>
      </c>
      <c r="G16" s="514"/>
      <c r="H16" s="515"/>
      <c r="I16" s="516">
        <f>INDEX('OverNight $'!$H$376:$H$750,MATCH(B16,'OverNight $'!$D$376:$D$750,0))</f>
        <v>3.15E-2</v>
      </c>
      <c r="J16" s="539">
        <f>INDEX('OverNight $'!$G$373:$G$750,MATCH(B16,'OverNight $'!$C$373:$C$750,0))</f>
        <v>1450000</v>
      </c>
      <c r="K16" s="539">
        <f>SUMIFS('OverNight $'!$I$373:$I$750,'OverNight $'!$B$373:$B$750,A16)</f>
        <v>3806.25</v>
      </c>
      <c r="L16" s="539"/>
      <c r="M16" s="539">
        <v>0</v>
      </c>
      <c r="N16" s="8"/>
      <c r="O16" s="103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</row>
    <row r="17" spans="1:113" s="6" customFormat="1" ht="14.25" customHeight="1" outlineLevel="1" x14ac:dyDescent="0.2">
      <c r="A17" s="5" t="str">
        <f t="shared" si="1"/>
        <v>7 2026</v>
      </c>
      <c r="B17" s="104">
        <f t="shared" si="2"/>
        <v>46234</v>
      </c>
      <c r="C17" s="5"/>
      <c r="D17" s="557">
        <f t="shared" si="3"/>
        <v>46234</v>
      </c>
      <c r="E17" s="512" t="s">
        <v>7</v>
      </c>
      <c r="F17" s="513" t="s">
        <v>30</v>
      </c>
      <c r="G17" s="514"/>
      <c r="H17" s="515"/>
      <c r="I17" s="516">
        <f>INDEX('OverNight $'!$H$376:$H$750,MATCH(B17,'OverNight $'!$D$376:$D$750,0))</f>
        <v>3.15E-2</v>
      </c>
      <c r="J17" s="539">
        <f>INDEX('OverNight $'!$G$373:$G$750,MATCH(B17,'OverNight $'!$C$373:$C$750,0))</f>
        <v>1450000</v>
      </c>
      <c r="K17" s="539">
        <f>SUMIFS('OverNight $'!$I$373:$I$750,'OverNight $'!$B$373:$B$750,A17)</f>
        <v>3933.125</v>
      </c>
      <c r="L17" s="539"/>
      <c r="M17" s="539">
        <v>0</v>
      </c>
      <c r="N17" s="8"/>
      <c r="O17" s="103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</row>
    <row r="18" spans="1:113" s="6" customFormat="1" ht="14.25" customHeight="1" outlineLevel="1" x14ac:dyDescent="0.2">
      <c r="A18" s="5" t="str">
        <f t="shared" si="1"/>
        <v>8 2026</v>
      </c>
      <c r="B18" s="104">
        <f t="shared" si="2"/>
        <v>46265</v>
      </c>
      <c r="C18" s="5"/>
      <c r="D18" s="557">
        <f t="shared" si="3"/>
        <v>46265</v>
      </c>
      <c r="E18" s="512" t="s">
        <v>7</v>
      </c>
      <c r="F18" s="513" t="s">
        <v>30</v>
      </c>
      <c r="G18" s="514"/>
      <c r="H18" s="515"/>
      <c r="I18" s="516">
        <f>INDEX('OverNight $'!$H$376:$H$750,MATCH(B18,'OverNight $'!$D$376:$D$750,0))</f>
        <v>3.15E-2</v>
      </c>
      <c r="J18" s="539">
        <f>INDEX('OverNight $'!$G$373:$G$750,MATCH(B18,'OverNight $'!$C$373:$C$750,0))</f>
        <v>1450000</v>
      </c>
      <c r="K18" s="539">
        <f>SUMIFS('OverNight $'!$I$373:$I$750,'OverNight $'!$B$373:$B$750,A18)</f>
        <v>3933.125</v>
      </c>
      <c r="L18" s="539"/>
      <c r="M18" s="539">
        <v>0</v>
      </c>
      <c r="N18" s="8"/>
      <c r="O18" s="22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</row>
    <row r="19" spans="1:113" s="6" customFormat="1" ht="14.25" customHeight="1" outlineLevel="1" x14ac:dyDescent="0.2">
      <c r="A19" s="5" t="str">
        <f t="shared" si="1"/>
        <v>9 2026</v>
      </c>
      <c r="B19" s="104">
        <f t="shared" si="2"/>
        <v>46295</v>
      </c>
      <c r="C19" s="5"/>
      <c r="D19" s="557">
        <f t="shared" si="3"/>
        <v>46295</v>
      </c>
      <c r="E19" s="512" t="s">
        <v>7</v>
      </c>
      <c r="F19" s="513" t="s">
        <v>30</v>
      </c>
      <c r="G19" s="514"/>
      <c r="H19" s="515"/>
      <c r="I19" s="516">
        <f>INDEX('OverNight $'!$H$376:$H$750,MATCH(B19,'OverNight $'!$D$376:$D$750,0))</f>
        <v>3.15E-2</v>
      </c>
      <c r="J19" s="539">
        <f>INDEX('OverNight $'!$G$373:$G$750,MATCH(B19,'OverNight $'!$C$373:$C$750,0))</f>
        <v>1450000</v>
      </c>
      <c r="K19" s="539">
        <f>SUMIFS('OverNight $'!$I$373:$I$750,'OverNight $'!$B$373:$B$750,A19)</f>
        <v>3806.25</v>
      </c>
      <c r="L19" s="539"/>
      <c r="M19" s="539">
        <v>0</v>
      </c>
      <c r="N19" s="8"/>
      <c r="O19" s="103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</row>
    <row r="20" spans="1:113" s="6" customFormat="1" ht="14.25" customHeight="1" outlineLevel="1" x14ac:dyDescent="0.2">
      <c r="A20" s="5" t="str">
        <f t="shared" si="1"/>
        <v>10 2026</v>
      </c>
      <c r="B20" s="104">
        <f t="shared" si="2"/>
        <v>46326</v>
      </c>
      <c r="C20" s="5"/>
      <c r="D20" s="557">
        <f t="shared" si="3"/>
        <v>46326</v>
      </c>
      <c r="E20" s="512" t="s">
        <v>7</v>
      </c>
      <c r="F20" s="513" t="s">
        <v>30</v>
      </c>
      <c r="G20" s="514"/>
      <c r="H20" s="515"/>
      <c r="I20" s="516">
        <f>INDEX('OverNight $'!$H$376:$H$750,MATCH(B20,'OverNight $'!$D$376:$D$750,0))</f>
        <v>3.15E-2</v>
      </c>
      <c r="J20" s="539">
        <f>INDEX('OverNight $'!$G$373:$G$750,MATCH(B20,'OverNight $'!$C$373:$C$750,0))</f>
        <v>1450000</v>
      </c>
      <c r="K20" s="539">
        <f>SUMIFS('OverNight $'!$I$373:$I$750,'OverNight $'!$B$373:$B$750,A20)</f>
        <v>3933.125</v>
      </c>
      <c r="L20" s="539"/>
      <c r="M20" s="539">
        <v>0</v>
      </c>
      <c r="N20" s="8"/>
      <c r="O20" s="4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</row>
    <row r="21" spans="1:113" s="6" customFormat="1" ht="14.25" customHeight="1" outlineLevel="1" x14ac:dyDescent="0.2">
      <c r="A21" s="5" t="str">
        <f t="shared" si="1"/>
        <v>11 2026</v>
      </c>
      <c r="B21" s="104">
        <f t="shared" si="2"/>
        <v>46356</v>
      </c>
      <c r="C21" s="5"/>
      <c r="D21" s="557">
        <f t="shared" si="3"/>
        <v>46356</v>
      </c>
      <c r="E21" s="512" t="s">
        <v>7</v>
      </c>
      <c r="F21" s="513" t="s">
        <v>30</v>
      </c>
      <c r="G21" s="514"/>
      <c r="H21" s="515"/>
      <c r="I21" s="516">
        <f>INDEX('OverNight $'!$H$376:$H$750,MATCH(B21,'OverNight $'!$D$376:$D$750,0))</f>
        <v>3.15E-2</v>
      </c>
      <c r="J21" s="539">
        <f>INDEX('OverNight $'!$G$373:$G$750,MATCH(B21,'OverNight $'!$C$373:$C$750,0))</f>
        <v>1450000</v>
      </c>
      <c r="K21" s="539">
        <f>SUMIFS('OverNight $'!$I$373:$I$750,'OverNight $'!$B$373:$B$750,A21)</f>
        <v>3806.25</v>
      </c>
      <c r="L21" s="539"/>
      <c r="M21" s="539">
        <v>0</v>
      </c>
      <c r="N21" s="8"/>
      <c r="O21" s="103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</row>
    <row r="22" spans="1:113" s="6" customFormat="1" ht="14.25" customHeight="1" outlineLevel="1" x14ac:dyDescent="0.2">
      <c r="A22" s="5" t="str">
        <f t="shared" si="1"/>
        <v>12 2026</v>
      </c>
      <c r="B22" s="104">
        <f t="shared" si="2"/>
        <v>46387</v>
      </c>
      <c r="C22" s="5"/>
      <c r="D22" s="558">
        <f t="shared" si="3"/>
        <v>46387</v>
      </c>
      <c r="E22" s="517" t="s">
        <v>7</v>
      </c>
      <c r="F22" s="518" t="s">
        <v>30</v>
      </c>
      <c r="G22" s="519"/>
      <c r="H22" s="520"/>
      <c r="I22" s="608">
        <f>INDEX('OverNight $'!$H$376:$H$750,MATCH(B22,'OverNight $'!$D$376:$D$750,0))</f>
        <v>3.15E-2</v>
      </c>
      <c r="J22" s="539">
        <f>INDEX('OverNight $'!$G$373:$G$750,MATCH(B22,'OverNight $'!$C$373:$C$750,0))</f>
        <v>1450000</v>
      </c>
      <c r="K22" s="539">
        <f>SUMIFS('OverNight $'!$I$373:$I$750,'OverNight $'!$B$373:$B$750,A22)</f>
        <v>3933.125</v>
      </c>
      <c r="L22" s="651"/>
      <c r="M22" s="651">
        <v>0</v>
      </c>
      <c r="N22" s="8"/>
      <c r="O22" s="4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</row>
    <row r="23" spans="1:113" s="6" customFormat="1" ht="18.75" outlineLevel="1" x14ac:dyDescent="0.5">
      <c r="A23" s="5"/>
      <c r="B23" s="104"/>
      <c r="C23" s="5"/>
      <c r="D23" s="652" t="s">
        <v>289</v>
      </c>
      <c r="E23" s="653"/>
      <c r="F23" s="654"/>
      <c r="G23" s="655"/>
      <c r="H23" s="656"/>
      <c r="I23" s="657">
        <f>AVERAGE(I11:I11)</f>
        <v>3.15E-2</v>
      </c>
      <c r="J23" s="658"/>
      <c r="K23" s="658">
        <f>SUM(K11:K11)</f>
        <v>4324.25</v>
      </c>
      <c r="L23" s="658">
        <f>SUM(L11:L22)</f>
        <v>4307.63</v>
      </c>
      <c r="M23" s="658">
        <f>SUM(M11:M22)</f>
        <v>0</v>
      </c>
      <c r="N23" s="8"/>
      <c r="O23" s="648" t="s">
        <v>293</v>
      </c>
      <c r="P23" s="649"/>
      <c r="Q23" s="650"/>
      <c r="R23" s="65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</row>
    <row r="24" spans="1:113" s="6" customFormat="1" ht="18.75" outlineLevel="1" x14ac:dyDescent="0.5">
      <c r="A24" s="5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648"/>
      <c r="P24" s="649"/>
      <c r="Q24" s="650"/>
      <c r="R24" s="65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</row>
    <row r="25" spans="1:113" s="6" customFormat="1" ht="14.25" hidden="1" customHeight="1" outlineLevel="2" x14ac:dyDescent="0.3">
      <c r="A25" s="5" t="str">
        <f t="shared" ref="A25:A38" si="4">CONCATENATE(MONTH(D25)," ",YEAR(D25))</f>
        <v>11 2025</v>
      </c>
      <c r="B25" s="104">
        <v>45991</v>
      </c>
      <c r="C25" s="5"/>
      <c r="D25" s="557">
        <f>B25</f>
        <v>45991</v>
      </c>
      <c r="E25" s="512" t="s">
        <v>192</v>
      </c>
      <c r="F25" s="513" t="s">
        <v>72</v>
      </c>
      <c r="G25" s="514">
        <v>45965</v>
      </c>
      <c r="H25" s="515">
        <v>46057</v>
      </c>
      <c r="I25" s="516">
        <f>INDEX('OverNight $'!$N$5:$N$750,MATCH(B25,'OverNight $'!$D$5:$D$750,0))</f>
        <v>3.9899999999999998E-2</v>
      </c>
      <c r="J25" s="539">
        <f>INDEX('OverNight $'!$M$5:$M$750,MATCH(B25,'OverNight $'!$C$5:$C$750,0))</f>
        <v>5000000</v>
      </c>
      <c r="K25" s="539">
        <f>SUMIFS('OverNight $'!$O$5:$O$750,'OverNight $'!$B$5:$B$750,A25)</f>
        <v>14408.333333333328</v>
      </c>
      <c r="L25" s="539"/>
      <c r="M25" s="539">
        <f>SUMIFS('OverNight $'!$Q$376:$Q$750,'OverNight $'!$B$376:$B$750,A25)</f>
        <v>0</v>
      </c>
      <c r="N25" s="8"/>
      <c r="O25" s="283"/>
      <c r="P25" s="336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</row>
    <row r="26" spans="1:113" s="6" customFormat="1" ht="14.25" hidden="1" customHeight="1" outlineLevel="2" x14ac:dyDescent="0.3">
      <c r="A26" s="5" t="str">
        <f>CONCATENATE(MONTH(D26)," ",YEAR(D26))</f>
        <v>12 2025</v>
      </c>
      <c r="B26" s="104">
        <v>46022</v>
      </c>
      <c r="C26" s="5"/>
      <c r="D26" s="557">
        <f>B26</f>
        <v>46022</v>
      </c>
      <c r="E26" s="512" t="s">
        <v>192</v>
      </c>
      <c r="F26" s="513" t="s">
        <v>72</v>
      </c>
      <c r="G26" s="514">
        <v>45965</v>
      </c>
      <c r="H26" s="515">
        <v>46057</v>
      </c>
      <c r="I26" s="516">
        <f>INDEX('OverNight $'!$N$5:$N$750,MATCH(B26,'OverNight $'!$D$5:$D$750,0))</f>
        <v>3.9899999999999998E-2</v>
      </c>
      <c r="J26" s="539">
        <f>INDEX('OverNight $'!$M$5:$M$750,MATCH(B26,'OverNight $'!$C$5:$C$750,0))</f>
        <v>5000000</v>
      </c>
      <c r="K26" s="539">
        <f>SUMIFS('OverNight $'!$O$5:$O$750,'OverNight $'!$B$5:$B$750,A26)</f>
        <v>17179.166666666661</v>
      </c>
      <c r="L26" s="539"/>
      <c r="M26" s="539">
        <f>SUMIFS('OverNight $'!$Q$376:$Q$750,'OverNight $'!$B$376:$B$750,A26)</f>
        <v>0</v>
      </c>
      <c r="N26" s="8"/>
      <c r="O26" s="283"/>
      <c r="P26" s="336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</row>
    <row r="27" spans="1:113" s="6" customFormat="1" ht="14.25" hidden="1" customHeight="1" outlineLevel="2" x14ac:dyDescent="0.2">
      <c r="A27" s="5"/>
      <c r="B27" s="104"/>
      <c r="C27" s="5"/>
      <c r="D27" s="521" t="s">
        <v>237</v>
      </c>
      <c r="E27" s="522"/>
      <c r="F27" s="523"/>
      <c r="G27" s="509"/>
      <c r="H27" s="510"/>
      <c r="I27" s="511">
        <f>AVERAGE(I25:I26)</f>
        <v>3.9899999999999998E-2</v>
      </c>
      <c r="J27" s="540"/>
      <c r="K27" s="540">
        <f>SUM(K25:K26)</f>
        <v>31587.499999999989</v>
      </c>
      <c r="L27" s="540">
        <f>SUM(L25:L26)</f>
        <v>0</v>
      </c>
      <c r="M27" s="540">
        <f>SUM(M25:M26)</f>
        <v>0</v>
      </c>
      <c r="N27" s="8"/>
      <c r="O27" s="4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</row>
    <row r="28" spans="1:113" s="6" customFormat="1" ht="14.25" hidden="1" customHeight="1" outlineLevel="2" x14ac:dyDescent="0.25">
      <c r="A28" s="5"/>
      <c r="B28" s="104"/>
      <c r="C28" s="104"/>
      <c r="D28" s="541"/>
      <c r="E28" s="541"/>
      <c r="F28" s="541"/>
      <c r="G28" s="541"/>
      <c r="H28" s="541"/>
      <c r="I28" s="541"/>
      <c r="J28" s="541"/>
      <c r="K28" s="541"/>
      <c r="L28" s="541"/>
      <c r="M28" s="541"/>
      <c r="N28" s="104"/>
      <c r="O28" s="4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</row>
    <row r="29" spans="1:113" s="6" customFormat="1" ht="14.25" hidden="1" customHeight="1" outlineLevel="2" x14ac:dyDescent="0.3">
      <c r="A29" s="5" t="str">
        <f t="shared" si="4"/>
        <v>11 2025</v>
      </c>
      <c r="B29" s="104">
        <f>B25</f>
        <v>45991</v>
      </c>
      <c r="C29" s="5"/>
      <c r="D29" s="557">
        <f>D25</f>
        <v>45991</v>
      </c>
      <c r="E29" s="512" t="s">
        <v>192</v>
      </c>
      <c r="F29" s="513" t="s">
        <v>193</v>
      </c>
      <c r="G29" s="514">
        <f>G25</f>
        <v>45965</v>
      </c>
      <c r="H29" s="515">
        <v>46146</v>
      </c>
      <c r="I29" s="516">
        <f>INDEX('OverNight $'!$U$5:$U$750,MATCH(B29,'OverNight $'!$D$5:$D$750,0))</f>
        <v>3.9199999999999999E-2</v>
      </c>
      <c r="J29" s="539">
        <f>INDEX('OverNight $'!$T$5:$T$750,MATCH(B29,'OverNight $'!$C$5:$C$750,0))</f>
        <v>5000000</v>
      </c>
      <c r="K29" s="539">
        <f>SUMIFS('OverNight $'!$V$5:$V$750,'OverNight $'!$B$5:$B$750,A29)</f>
        <v>14155.555555555564</v>
      </c>
      <c r="L29" s="539"/>
      <c r="M29" s="539">
        <f>SUMIFS('OverNight $'!$X$376:$X$750,'OverNight $'!$B$376:$B$750,A29)</f>
        <v>0</v>
      </c>
      <c r="N29" s="8"/>
      <c r="O29" s="283"/>
      <c r="P29" s="336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</row>
    <row r="30" spans="1:113" s="6" customFormat="1" ht="14.25" hidden="1" customHeight="1" outlineLevel="2" x14ac:dyDescent="0.3">
      <c r="A30" s="5" t="str">
        <f>CONCATENATE(MONTH(D30)," ",YEAR(D30))</f>
        <v>12 2025</v>
      </c>
      <c r="B30" s="104">
        <f>B26</f>
        <v>46022</v>
      </c>
      <c r="C30" s="5"/>
      <c r="D30" s="557">
        <f>D26</f>
        <v>46022</v>
      </c>
      <c r="E30" s="512" t="s">
        <v>192</v>
      </c>
      <c r="F30" s="513" t="s">
        <v>193</v>
      </c>
      <c r="G30" s="514">
        <f>G26</f>
        <v>45965</v>
      </c>
      <c r="H30" s="515">
        <v>46146</v>
      </c>
      <c r="I30" s="516">
        <f>INDEX('OverNight $'!$U$5:$U$750,MATCH(B30,'OverNight $'!$D$5:$D$750,0))</f>
        <v>3.9199999999999999E-2</v>
      </c>
      <c r="J30" s="539">
        <f>INDEX('OverNight $'!$T$5:$T$750,MATCH(B30,'OverNight $'!$C$5:$C$750,0))</f>
        <v>5000000</v>
      </c>
      <c r="K30" s="539">
        <f>SUMIFS('OverNight $'!$V$5:$V$750,'OverNight $'!$B$5:$B$750,A30)</f>
        <v>16877.777777777788</v>
      </c>
      <c r="L30" s="539"/>
      <c r="M30" s="539">
        <f>SUMIFS('OverNight $'!$X$376:$X$750,'OverNight $'!$B$376:$B$750,A30)</f>
        <v>0</v>
      </c>
      <c r="N30" s="8"/>
      <c r="O30" s="283"/>
      <c r="P30" s="336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</row>
    <row r="31" spans="1:113" s="6" customFormat="1" ht="14.25" hidden="1" customHeight="1" outlineLevel="2" x14ac:dyDescent="0.2">
      <c r="A31" s="5"/>
      <c r="B31" s="104"/>
      <c r="C31" s="5"/>
      <c r="D31" s="521" t="s">
        <v>238</v>
      </c>
      <c r="E31" s="522"/>
      <c r="F31" s="523"/>
      <c r="G31" s="509"/>
      <c r="H31" s="510"/>
      <c r="I31" s="511">
        <f>AVERAGE(I29:I30)</f>
        <v>3.9199999999999999E-2</v>
      </c>
      <c r="J31" s="540"/>
      <c r="K31" s="540">
        <f>SUM(K29:K30)</f>
        <v>31033.33333333335</v>
      </c>
      <c r="L31" s="540">
        <f>SUM(L29:L30)</f>
        <v>0</v>
      </c>
      <c r="M31" s="540">
        <f>SUM(M29:M30)</f>
        <v>0</v>
      </c>
      <c r="N31" s="8"/>
      <c r="O31" s="4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</row>
    <row r="32" spans="1:113" s="6" customFormat="1" ht="14.25" hidden="1" customHeight="1" outlineLevel="2" x14ac:dyDescent="0.3">
      <c r="A32" s="5"/>
      <c r="B32" s="283"/>
      <c r="C32" s="283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283"/>
      <c r="O32" s="283"/>
      <c r="P32" s="336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</row>
    <row r="33" spans="1:113" s="6" customFormat="1" ht="14.25" hidden="1" customHeight="1" outlineLevel="2" x14ac:dyDescent="0.3">
      <c r="A33" s="5" t="str">
        <f t="shared" si="4"/>
        <v>11 2025</v>
      </c>
      <c r="B33" s="104">
        <f>B29</f>
        <v>45991</v>
      </c>
      <c r="C33" s="5"/>
      <c r="D33" s="557">
        <f>D29</f>
        <v>45991</v>
      </c>
      <c r="E33" s="512" t="s">
        <v>192</v>
      </c>
      <c r="F33" s="513" t="s">
        <v>194</v>
      </c>
      <c r="G33" s="514">
        <f>G29</f>
        <v>45965</v>
      </c>
      <c r="H33" s="515">
        <v>46238</v>
      </c>
      <c r="I33" s="516">
        <f>INDEX('OverNight $'!$AB$5:$AB$750,MATCH(B33,'OverNight $'!$D$5:$D$750,0))</f>
        <v>3.7499999999999999E-2</v>
      </c>
      <c r="J33" s="539">
        <f>INDEX('OverNight $'!$AA$5:$AA$750,MATCH(B33,'OverNight $'!$C$5:$C$750,0))</f>
        <v>10000000</v>
      </c>
      <c r="K33" s="539">
        <f>SUMIFS('OverNight $'!$AC$5:$AC$750,'OverNight $'!$B$5:$B$750,A33)</f>
        <v>27083.333333333343</v>
      </c>
      <c r="L33" s="539"/>
      <c r="M33" s="539">
        <f>SUMIFS('OverNight $'!$AE$376:$AE$750,'OverNight $'!$B$376:$B$750,A33)</f>
        <v>0</v>
      </c>
      <c r="N33" s="8"/>
      <c r="O33" s="283"/>
      <c r="P33" s="336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</row>
    <row r="34" spans="1:113" s="6" customFormat="1" ht="14.25" hidden="1" customHeight="1" outlineLevel="2" x14ac:dyDescent="0.3">
      <c r="A34" s="5" t="str">
        <f>CONCATENATE(MONTH(D34)," ",YEAR(D34))</f>
        <v>12 2025</v>
      </c>
      <c r="B34" s="104">
        <f>B30</f>
        <v>46022</v>
      </c>
      <c r="C34" s="5"/>
      <c r="D34" s="557">
        <f>D30</f>
        <v>46022</v>
      </c>
      <c r="E34" s="512" t="s">
        <v>192</v>
      </c>
      <c r="F34" s="513" t="s">
        <v>194</v>
      </c>
      <c r="G34" s="514">
        <f>G30</f>
        <v>45965</v>
      </c>
      <c r="H34" s="515">
        <v>46238</v>
      </c>
      <c r="I34" s="516">
        <f>INDEX('OverNight $'!$AB$5:$AB$750,MATCH(B34,'OverNight $'!$D$5:$D$750,0))</f>
        <v>3.7499999999999999E-2</v>
      </c>
      <c r="J34" s="539">
        <f>INDEX('OverNight $'!$AA$5:$AA$750,MATCH(B34,'OverNight $'!$C$5:$C$750,0))</f>
        <v>10000000</v>
      </c>
      <c r="K34" s="539">
        <f>SUMIFS('OverNight $'!$AC$5:$AC$750,'OverNight $'!$B$5:$B$750,A34)</f>
        <v>32291.666666666682</v>
      </c>
      <c r="L34" s="539"/>
      <c r="M34" s="539">
        <f>SUMIFS('OverNight $'!$AE$376:$AE$750,'OverNight $'!$B$376:$B$750,A34)</f>
        <v>0</v>
      </c>
      <c r="N34" s="8"/>
      <c r="O34" s="283"/>
      <c r="P34" s="336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</row>
    <row r="35" spans="1:113" s="6" customFormat="1" ht="14.25" hidden="1" customHeight="1" outlineLevel="2" x14ac:dyDescent="0.2">
      <c r="A35" s="5"/>
      <c r="B35" s="104"/>
      <c r="C35" s="5"/>
      <c r="D35" s="521" t="s">
        <v>239</v>
      </c>
      <c r="E35" s="522"/>
      <c r="F35" s="523"/>
      <c r="G35" s="509"/>
      <c r="H35" s="510"/>
      <c r="I35" s="511">
        <f>AVERAGE(I33:I34)</f>
        <v>3.7499999999999999E-2</v>
      </c>
      <c r="J35" s="540"/>
      <c r="K35" s="540">
        <f>SUM(K33:K34)</f>
        <v>59375.000000000029</v>
      </c>
      <c r="L35" s="540">
        <f>SUM(L33:L34)</f>
        <v>0</v>
      </c>
      <c r="M35" s="540">
        <f>SUM(M33:M34)</f>
        <v>0</v>
      </c>
      <c r="N35" s="8"/>
      <c r="O35" s="4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</row>
    <row r="36" spans="1:113" s="6" customFormat="1" ht="14.25" hidden="1" customHeight="1" outlineLevel="2" x14ac:dyDescent="0.3">
      <c r="A36" s="5"/>
      <c r="B36" s="104"/>
      <c r="C36" s="283"/>
      <c r="D36" s="541"/>
      <c r="E36" s="541"/>
      <c r="F36" s="541"/>
      <c r="G36" s="541"/>
      <c r="H36" s="541"/>
      <c r="I36" s="541"/>
      <c r="J36" s="541"/>
      <c r="K36" s="541"/>
      <c r="L36" s="541"/>
      <c r="M36" s="541"/>
      <c r="N36" s="283"/>
      <c r="O36" s="283"/>
      <c r="P36" s="336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</row>
    <row r="37" spans="1:113" s="6" customFormat="1" ht="14.25" hidden="1" customHeight="1" outlineLevel="2" x14ac:dyDescent="0.3">
      <c r="A37" s="5" t="str">
        <f t="shared" si="4"/>
        <v>11 2025</v>
      </c>
      <c r="B37" s="104">
        <f>B33</f>
        <v>45991</v>
      </c>
      <c r="C37" s="5"/>
      <c r="D37" s="557">
        <f>D33</f>
        <v>45991</v>
      </c>
      <c r="E37" s="512" t="s">
        <v>192</v>
      </c>
      <c r="F37" s="513" t="s">
        <v>195</v>
      </c>
      <c r="G37" s="514">
        <f>G33</f>
        <v>45965</v>
      </c>
      <c r="H37" s="515">
        <v>46330</v>
      </c>
      <c r="I37" s="516">
        <f>INDEX('OverNight $'!$AI$5:$AI$750,MATCH(B37,'OverNight $'!$D$5:$D$750,0))</f>
        <v>3.73E-2</v>
      </c>
      <c r="J37" s="539">
        <f>INDEX('OverNight $'!$AH$5:$AH$750,MATCH(B37,'OverNight $'!$C$5:$C$750,0))</f>
        <v>6000000</v>
      </c>
      <c r="K37" s="539">
        <f>SUMIFS('OverNight $'!$AJ$5:$AJ$750,'OverNight $'!$B$5:$B$750,A37)</f>
        <v>16163.333333333327</v>
      </c>
      <c r="L37" s="539"/>
      <c r="M37" s="539">
        <f>SUMIFS('OverNight $'!$AL$376:$AL$750,'OverNight $'!$B$376:$B$750,A37)</f>
        <v>0</v>
      </c>
      <c r="N37" s="8"/>
      <c r="O37" s="283"/>
      <c r="P37" s="336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</row>
    <row r="38" spans="1:113" s="6" customFormat="1" ht="14.25" hidden="1" customHeight="1" outlineLevel="2" x14ac:dyDescent="0.3">
      <c r="A38" s="5" t="str">
        <f t="shared" si="4"/>
        <v>12 2025</v>
      </c>
      <c r="B38" s="104">
        <f>B34</f>
        <v>46022</v>
      </c>
      <c r="C38" s="5"/>
      <c r="D38" s="557">
        <f>D34</f>
        <v>46022</v>
      </c>
      <c r="E38" s="512" t="s">
        <v>192</v>
      </c>
      <c r="F38" s="513" t="s">
        <v>195</v>
      </c>
      <c r="G38" s="514">
        <f>G34</f>
        <v>45965</v>
      </c>
      <c r="H38" s="515">
        <v>46330</v>
      </c>
      <c r="I38" s="516">
        <f>INDEX('OverNight $'!$AI$5:$AI$750,MATCH(B38,'OverNight $'!$D$5:$D$750,0))</f>
        <v>3.73E-2</v>
      </c>
      <c r="J38" s="539">
        <f>INDEX('OverNight $'!$AH$5:$AH$750,MATCH(B38,'OverNight $'!$C$5:$C$750,0))</f>
        <v>6000000</v>
      </c>
      <c r="K38" s="539">
        <f>SUMIFS('OverNight $'!$AJ$5:$AJ$750,'OverNight $'!$B$5:$B$750,A38)</f>
        <v>19271.666666666664</v>
      </c>
      <c r="L38" s="539"/>
      <c r="M38" s="539">
        <f>SUMIFS('OverNight $'!$AL$376:$AL$750,'OverNight $'!$B$376:$B$750,A38)</f>
        <v>0</v>
      </c>
      <c r="N38" s="8"/>
      <c r="O38" s="283"/>
      <c r="P38" s="336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</row>
    <row r="39" spans="1:113" s="6" customFormat="1" ht="14.25" hidden="1" customHeight="1" outlineLevel="2" x14ac:dyDescent="0.2">
      <c r="A39" s="5"/>
      <c r="B39" s="104"/>
      <c r="C39" s="5"/>
      <c r="D39" s="521" t="s">
        <v>240</v>
      </c>
      <c r="E39" s="522"/>
      <c r="F39" s="523"/>
      <c r="G39" s="509"/>
      <c r="H39" s="510"/>
      <c r="I39" s="511">
        <f>AVERAGE(I37:I38)</f>
        <v>3.73E-2</v>
      </c>
      <c r="J39" s="540"/>
      <c r="K39" s="540">
        <f>SUM(K37:K38)</f>
        <v>35434.999999999993</v>
      </c>
      <c r="L39" s="540">
        <f>SUM(L37:L38)</f>
        <v>0</v>
      </c>
      <c r="M39" s="540">
        <f>SUM(M37:M38)</f>
        <v>0</v>
      </c>
      <c r="N39" s="8"/>
      <c r="O39" s="4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</row>
    <row r="40" spans="1:113" s="6" customFormat="1" ht="14.25" customHeight="1" outlineLevel="1" collapsed="1" x14ac:dyDescent="0.2">
      <c r="A40" s="5"/>
      <c r="B40" s="104"/>
      <c r="C40" s="5"/>
      <c r="D40" s="104"/>
      <c r="E40" s="5"/>
      <c r="F40" s="104"/>
      <c r="G40" s="5"/>
      <c r="H40" s="104"/>
      <c r="I40" s="5"/>
      <c r="J40" s="104"/>
      <c r="K40" s="5"/>
      <c r="L40" s="104"/>
      <c r="M40" s="5"/>
      <c r="N40" s="104"/>
      <c r="O40" s="4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</row>
    <row r="41" spans="1:113" s="6" customFormat="1" ht="14.25" customHeight="1" outlineLevel="1" x14ac:dyDescent="0.3">
      <c r="A41" s="5" t="str">
        <f t="shared" ref="A41" si="5">CONCATENATE(MONTH(D41)," ",YEAR(D41))</f>
        <v>1 2026</v>
      </c>
      <c r="B41" s="104">
        <v>46053</v>
      </c>
      <c r="C41" s="5"/>
      <c r="D41" s="557">
        <v>46053</v>
      </c>
      <c r="E41" s="512" t="s">
        <v>192</v>
      </c>
      <c r="F41" s="513" t="s">
        <v>72</v>
      </c>
      <c r="G41" s="514">
        <v>45965</v>
      </c>
      <c r="H41" s="515">
        <v>46057</v>
      </c>
      <c r="I41" s="516">
        <f>INDEX('OverNight $'!$N$5:$N$750,MATCH(B41,'OverNight $'!$D$5:$D$750,0))</f>
        <v>3.9899999999999998E-2</v>
      </c>
      <c r="J41" s="539">
        <f>INDEX('OverNight $'!$M$5:$M$750,MATCH(B41,'OverNight $'!$C$5:$C$750,0))</f>
        <v>5000000</v>
      </c>
      <c r="K41" s="539">
        <f>SUMIFS('OverNight $'!$O$373:$O$750,'OverNight $'!$B$373:$B$750,A41)</f>
        <v>17179.166666666661</v>
      </c>
      <c r="L41" s="539">
        <v>0</v>
      </c>
      <c r="M41" s="539">
        <f>SUMIFS('OverNight $'!$Q$376:$Q$750,'OverNight $'!$B$376:$B$750,A41)</f>
        <v>3266.6666666666633</v>
      </c>
      <c r="N41" s="8"/>
      <c r="O41" s="283"/>
      <c r="P41" s="336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</row>
    <row r="42" spans="1:113" s="6" customFormat="1" ht="14.25" customHeight="1" outlineLevel="1" x14ac:dyDescent="0.3">
      <c r="A42" s="5" t="str">
        <f>CONCATENATE(MONTH(D42)," ",YEAR(D42))</f>
        <v>2 2026</v>
      </c>
      <c r="B42" s="104">
        <f>EOMONTH(B41,1)</f>
        <v>46081</v>
      </c>
      <c r="C42" s="5"/>
      <c r="D42" s="558">
        <f>EOMONTH(D41,1)</f>
        <v>46081</v>
      </c>
      <c r="E42" s="517" t="s">
        <v>192</v>
      </c>
      <c r="F42" s="518" t="s">
        <v>72</v>
      </c>
      <c r="G42" s="519">
        <v>45965</v>
      </c>
      <c r="H42" s="520">
        <v>46057</v>
      </c>
      <c r="I42" s="608">
        <f>INDEX('OverNight $'!$N$5:$N$750,MATCH(B42,'OverNight $'!$D$5:$D$750,0))</f>
        <v>0</v>
      </c>
      <c r="J42" s="651">
        <f>INDEX('OverNight $'!$M$5:$M$750,MATCH(B42,'OverNight $'!$C$5:$C$750,0))</f>
        <v>0</v>
      </c>
      <c r="K42" s="651">
        <f>SUMIFS('OverNight $'!$O$373:$O$750,'OverNight $'!$B$373:$B$750,A42)</f>
        <v>2216.6666666666665</v>
      </c>
      <c r="L42" s="651">
        <v>50983.33</v>
      </c>
      <c r="M42" s="651">
        <f>SUMIFS('OverNight $'!$Q$376:$Q$750,'OverNight $'!$B$376:$B$750,A42)</f>
        <v>466.66666666666652</v>
      </c>
      <c r="N42" s="8"/>
      <c r="O42" s="283" t="s">
        <v>83</v>
      </c>
      <c r="P42" s="336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</row>
    <row r="43" spans="1:113" s="6" customFormat="1" ht="14.25" customHeight="1" outlineLevel="1" x14ac:dyDescent="0.2">
      <c r="A43" s="5"/>
      <c r="B43" s="104"/>
      <c r="C43" s="5"/>
      <c r="D43" s="652" t="s">
        <v>237</v>
      </c>
      <c r="E43" s="653"/>
      <c r="F43" s="654"/>
      <c r="G43" s="655"/>
      <c r="H43" s="656"/>
      <c r="I43" s="657">
        <f>AVERAGE(I41)</f>
        <v>3.9899999999999998E-2</v>
      </c>
      <c r="J43" s="658"/>
      <c r="K43" s="658">
        <f>SUM(K41)</f>
        <v>17179.166666666661</v>
      </c>
      <c r="L43" s="658">
        <f t="shared" ref="L43:M43" si="6">SUM(L41)</f>
        <v>0</v>
      </c>
      <c r="M43" s="658">
        <f t="shared" si="6"/>
        <v>3266.6666666666633</v>
      </c>
      <c r="N43" s="8"/>
      <c r="O43" s="4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</row>
    <row r="44" spans="1:113" s="6" customFormat="1" ht="14.25" customHeight="1" outlineLevel="1" x14ac:dyDescent="0.25">
      <c r="A44" s="5"/>
      <c r="B44" s="104"/>
      <c r="C44" s="104"/>
      <c r="D44" s="541"/>
      <c r="E44" s="541"/>
      <c r="F44" s="541"/>
      <c r="G44" s="541"/>
      <c r="H44" s="541"/>
      <c r="I44" s="541"/>
      <c r="J44" s="541"/>
      <c r="K44" s="541"/>
      <c r="L44" s="541"/>
      <c r="M44" s="541"/>
      <c r="N44" s="104"/>
      <c r="O44" s="4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</row>
    <row r="45" spans="1:113" s="6" customFormat="1" ht="14.25" customHeight="1" outlineLevel="1" x14ac:dyDescent="0.3">
      <c r="A45" s="5" t="str">
        <f t="shared" ref="A45" si="7">CONCATENATE(MONTH(D45)," ",YEAR(D45))</f>
        <v>1 2026</v>
      </c>
      <c r="B45" s="104">
        <v>46053</v>
      </c>
      <c r="C45" s="5"/>
      <c r="D45" s="557">
        <f>D41</f>
        <v>46053</v>
      </c>
      <c r="E45" s="512" t="s">
        <v>192</v>
      </c>
      <c r="F45" s="513" t="s">
        <v>193</v>
      </c>
      <c r="G45" s="514">
        <f>G41</f>
        <v>45965</v>
      </c>
      <c r="H45" s="515">
        <v>46146</v>
      </c>
      <c r="I45" s="516">
        <f>INDEX('OverNight $'!$U$5:$U$750,MATCH(B45,'OverNight $'!$D$5:$D$750,0))</f>
        <v>3.9199999999999999E-2</v>
      </c>
      <c r="J45" s="539">
        <f>INDEX('OverNight $'!$T$5:$T$750,MATCH(B45,'OverNight $'!$C$5:$C$750,0))</f>
        <v>5000000</v>
      </c>
      <c r="K45" s="539">
        <f>SUMIFS('OverNight $'!$V$373:$V$750,'OverNight $'!$B$373:$B$750,A45)</f>
        <v>16877.777777777788</v>
      </c>
      <c r="L45" s="539">
        <v>0</v>
      </c>
      <c r="M45" s="539">
        <f>SUMIFS('OverNight $'!$X$376:$X$750,'OverNight $'!$B$376:$B$750,A45)</f>
        <v>2994.444444444443</v>
      </c>
      <c r="N45" s="8"/>
      <c r="O45" s="283"/>
      <c r="P45" s="336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</row>
    <row r="46" spans="1:113" s="6" customFormat="1" ht="14.25" customHeight="1" outlineLevel="1" x14ac:dyDescent="0.3">
      <c r="A46" s="5" t="str">
        <f>CONCATENATE(MONTH(D46)," ",YEAR(D46))</f>
        <v>2 2026</v>
      </c>
      <c r="B46" s="104">
        <f>EOMONTH(B45,1)</f>
        <v>46081</v>
      </c>
      <c r="C46" s="5"/>
      <c r="D46" s="558">
        <f>D42</f>
        <v>46081</v>
      </c>
      <c r="E46" s="517" t="s">
        <v>192</v>
      </c>
      <c r="F46" s="518" t="s">
        <v>193</v>
      </c>
      <c r="G46" s="519">
        <f>G42</f>
        <v>45965</v>
      </c>
      <c r="H46" s="520">
        <v>46146</v>
      </c>
      <c r="I46" s="608">
        <f>INDEX('OverNight $'!$U$5:$U$750,MATCH(B46,'OverNight $'!$D$5:$D$750,0))</f>
        <v>3.9199999999999999E-2</v>
      </c>
      <c r="J46" s="651">
        <f>INDEX('OverNight $'!$T$5:$T$750,MATCH(B46,'OverNight $'!$C$5:$C$750,0))</f>
        <v>5000000</v>
      </c>
      <c r="K46" s="651">
        <f>SUMIFS('OverNight $'!$V$373:$V$750,'OverNight $'!$B$373:$B$750,A46)</f>
        <v>15244.444444444454</v>
      </c>
      <c r="L46" s="651">
        <v>0</v>
      </c>
      <c r="M46" s="651">
        <f>SUMIFS('OverNight $'!$X$376:$X$750,'OverNight $'!$B$376:$B$750,A46)</f>
        <v>2994.444444444443</v>
      </c>
      <c r="N46" s="8"/>
      <c r="O46" s="283"/>
      <c r="P46" s="336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</row>
    <row r="47" spans="1:113" s="6" customFormat="1" ht="14.25" customHeight="1" outlineLevel="1" x14ac:dyDescent="0.2">
      <c r="A47" s="5"/>
      <c r="B47" s="104"/>
      <c r="C47" s="5"/>
      <c r="D47" s="652" t="s">
        <v>238</v>
      </c>
      <c r="E47" s="653"/>
      <c r="F47" s="654"/>
      <c r="G47" s="655"/>
      <c r="H47" s="656"/>
      <c r="I47" s="657">
        <f>AVERAGE(I45)</f>
        <v>3.9199999999999999E-2</v>
      </c>
      <c r="J47" s="658"/>
      <c r="K47" s="658">
        <f>SUM(K45)</f>
        <v>16877.777777777788</v>
      </c>
      <c r="L47" s="658">
        <f t="shared" ref="L47:M47" si="8">SUM(L45)</f>
        <v>0</v>
      </c>
      <c r="M47" s="658">
        <f t="shared" si="8"/>
        <v>2994.444444444443</v>
      </c>
      <c r="N47" s="8"/>
      <c r="O47" s="4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</row>
    <row r="48" spans="1:113" s="6" customFormat="1" ht="14.25" customHeight="1" outlineLevel="1" x14ac:dyDescent="0.3">
      <c r="A48" s="5"/>
      <c r="B48" s="283"/>
      <c r="C48" s="283"/>
      <c r="D48" s="541"/>
      <c r="E48" s="541"/>
      <c r="F48" s="541"/>
      <c r="G48" s="541"/>
      <c r="H48" s="541"/>
      <c r="I48" s="541"/>
      <c r="J48" s="541"/>
      <c r="K48" s="541"/>
      <c r="L48" s="541"/>
      <c r="M48" s="541"/>
      <c r="N48" s="283"/>
      <c r="O48" s="283"/>
      <c r="P48" s="336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</row>
    <row r="49" spans="1:113" s="6" customFormat="1" ht="14.25" customHeight="1" outlineLevel="1" x14ac:dyDescent="0.3">
      <c r="A49" s="5" t="str">
        <f t="shared" ref="A49" si="9">CONCATENATE(MONTH(D49)," ",YEAR(D49))</f>
        <v>1 2026</v>
      </c>
      <c r="B49" s="104">
        <v>46053</v>
      </c>
      <c r="C49" s="5"/>
      <c r="D49" s="557">
        <f>D45</f>
        <v>46053</v>
      </c>
      <c r="E49" s="512" t="s">
        <v>192</v>
      </c>
      <c r="F49" s="513" t="s">
        <v>194</v>
      </c>
      <c r="G49" s="514">
        <f>G45</f>
        <v>45965</v>
      </c>
      <c r="H49" s="515">
        <v>46238</v>
      </c>
      <c r="I49" s="516">
        <f>INDEX('OverNight $'!$AB$5:$AB$750,MATCH(B49,'OverNight $'!$D$5:$D$750,0))</f>
        <v>3.7499999999999999E-2</v>
      </c>
      <c r="J49" s="539">
        <f>INDEX('OverNight $'!$AA$5:$AA$750,MATCH(B49,'OverNight $'!$C$5:$C$750,0))</f>
        <v>10000000</v>
      </c>
      <c r="K49" s="539">
        <f>SUMIFS('OverNight $'!$AC$373:$AC$750,'OverNight $'!$B$373:$B$750,A49)</f>
        <v>32291.666666666682</v>
      </c>
      <c r="L49" s="539">
        <v>0</v>
      </c>
      <c r="M49" s="539">
        <f>SUMIFS('OverNight $'!$AE$376:$AE$750,'OverNight $'!$B$376:$B$750,A49)</f>
        <v>4666.6666666666724</v>
      </c>
      <c r="N49" s="8"/>
      <c r="O49" s="283"/>
      <c r="P49" s="336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</row>
    <row r="50" spans="1:113" s="6" customFormat="1" ht="14.25" customHeight="1" outlineLevel="1" x14ac:dyDescent="0.3">
      <c r="A50" s="5" t="str">
        <f>CONCATENATE(MONTH(D50)," ",YEAR(D50))</f>
        <v>2 2026</v>
      </c>
      <c r="B50" s="104">
        <f>EOMONTH(B49,1)</f>
        <v>46081</v>
      </c>
      <c r="C50" s="5"/>
      <c r="D50" s="558">
        <f>D46</f>
        <v>46081</v>
      </c>
      <c r="E50" s="517" t="s">
        <v>192</v>
      </c>
      <c r="F50" s="518" t="s">
        <v>194</v>
      </c>
      <c r="G50" s="519">
        <f>G46</f>
        <v>45965</v>
      </c>
      <c r="H50" s="520">
        <v>46238</v>
      </c>
      <c r="I50" s="608">
        <f>INDEX('OverNight $'!$AB$5:$AB$750,MATCH(B50,'OverNight $'!$D$5:$D$750,0))</f>
        <v>3.7499999999999999E-2</v>
      </c>
      <c r="J50" s="651">
        <f>INDEX('OverNight $'!$AA$5:$AA$750,MATCH(B50,'OverNight $'!$C$5:$C$750,0))</f>
        <v>10000000</v>
      </c>
      <c r="K50" s="651">
        <f>SUMIFS('OverNight $'!$AC$373:$AC$750,'OverNight $'!$B$373:$B$750,A50)</f>
        <v>29166.666666666679</v>
      </c>
      <c r="L50" s="651">
        <v>0</v>
      </c>
      <c r="M50" s="651">
        <f>SUMIFS('OverNight $'!$AE$376:$AE$750,'OverNight $'!$B$376:$B$750,A50)</f>
        <v>4666.6666666666724</v>
      </c>
      <c r="N50" s="8"/>
      <c r="O50" s="283"/>
      <c r="P50" s="336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</row>
    <row r="51" spans="1:113" s="6" customFormat="1" ht="14.25" customHeight="1" outlineLevel="1" x14ac:dyDescent="0.2">
      <c r="A51" s="5"/>
      <c r="B51" s="104"/>
      <c r="C51" s="5"/>
      <c r="D51" s="652" t="s">
        <v>239</v>
      </c>
      <c r="E51" s="653"/>
      <c r="F51" s="654"/>
      <c r="G51" s="655"/>
      <c r="H51" s="656"/>
      <c r="I51" s="657">
        <f>AVERAGE(I49)</f>
        <v>3.7499999999999999E-2</v>
      </c>
      <c r="J51" s="658"/>
      <c r="K51" s="658">
        <f>SUM(K49)</f>
        <v>32291.666666666682</v>
      </c>
      <c r="L51" s="658">
        <f t="shared" ref="L51:M51" si="10">SUM(L49)</f>
        <v>0</v>
      </c>
      <c r="M51" s="658">
        <f t="shared" si="10"/>
        <v>4666.6666666666724</v>
      </c>
      <c r="N51" s="8"/>
      <c r="O51" s="4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</row>
    <row r="52" spans="1:113" s="6" customFormat="1" ht="14.25" customHeight="1" outlineLevel="1" x14ac:dyDescent="0.3">
      <c r="A52" s="5"/>
      <c r="B52" s="104"/>
      <c r="C52" s="283"/>
      <c r="D52" s="541"/>
      <c r="E52" s="541"/>
      <c r="F52" s="541"/>
      <c r="G52" s="541"/>
      <c r="H52" s="541"/>
      <c r="I52" s="541"/>
      <c r="J52" s="541"/>
      <c r="K52" s="541"/>
      <c r="L52" s="541"/>
      <c r="M52" s="541"/>
      <c r="N52" s="283"/>
      <c r="O52" s="283"/>
      <c r="P52" s="336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</row>
    <row r="53" spans="1:113" s="6" customFormat="1" ht="14.25" customHeight="1" outlineLevel="1" x14ac:dyDescent="0.3">
      <c r="A53" s="5" t="str">
        <f t="shared" ref="A53:A54" si="11">CONCATENATE(MONTH(D53)," ",YEAR(D53))</f>
        <v>1 2026</v>
      </c>
      <c r="B53" s="104">
        <v>46053</v>
      </c>
      <c r="C53" s="5"/>
      <c r="D53" s="557">
        <f>D49</f>
        <v>46053</v>
      </c>
      <c r="E53" s="512" t="s">
        <v>192</v>
      </c>
      <c r="F53" s="513" t="s">
        <v>195</v>
      </c>
      <c r="G53" s="514">
        <f>G49</f>
        <v>45965</v>
      </c>
      <c r="H53" s="515">
        <v>46330</v>
      </c>
      <c r="I53" s="516">
        <f>INDEX('OverNight $'!$AI$5:$AI$750,MATCH(B53,'OverNight $'!$D$5:$D$750,0))</f>
        <v>3.73E-2</v>
      </c>
      <c r="J53" s="539">
        <f>INDEX('OverNight $'!$AH$5:$AH$750,MATCH(B53,'OverNight $'!$C$5:$C$750,0))</f>
        <v>6000000</v>
      </c>
      <c r="K53" s="539">
        <f>SUMIFS('OverNight $'!$AJ$373:$AJ$750,'OverNight $'!$B$373:$B$750,A53)</f>
        <v>19271.666666666664</v>
      </c>
      <c r="L53" s="539">
        <v>0</v>
      </c>
      <c r="M53" s="539">
        <f>SUMIFS('OverNight $'!$AL$376:$AL$750,'OverNight $'!$B$376:$B$750,A53)</f>
        <v>2706.6666666666638</v>
      </c>
      <c r="N53" s="8"/>
      <c r="O53" s="283"/>
      <c r="P53" s="336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</row>
    <row r="54" spans="1:113" s="6" customFormat="1" ht="14.25" customHeight="1" outlineLevel="1" x14ac:dyDescent="0.3">
      <c r="A54" s="5" t="str">
        <f t="shared" si="11"/>
        <v>2 2026</v>
      </c>
      <c r="B54" s="104">
        <f>EOMONTH(B53,1)</f>
        <v>46081</v>
      </c>
      <c r="C54" s="5"/>
      <c r="D54" s="557">
        <f>D50</f>
        <v>46081</v>
      </c>
      <c r="E54" s="512" t="s">
        <v>192</v>
      </c>
      <c r="F54" s="513" t="s">
        <v>195</v>
      </c>
      <c r="G54" s="514">
        <f>G50</f>
        <v>45965</v>
      </c>
      <c r="H54" s="515">
        <v>46330</v>
      </c>
      <c r="I54" s="516">
        <f>INDEX('OverNight $'!$AI$5:$AI$750,MATCH(B54,'OverNight $'!$D$5:$D$750,0))</f>
        <v>3.73E-2</v>
      </c>
      <c r="J54" s="539">
        <f>INDEX('OverNight $'!$AH$5:$AH$750,MATCH(B54,'OverNight $'!$C$5:$C$750,0))</f>
        <v>6000000</v>
      </c>
      <c r="K54" s="539">
        <f>SUMIFS('OverNight $'!$AJ$373:$AJ$750,'OverNight $'!$B$373:$B$750,A54)</f>
        <v>17406.666666666661</v>
      </c>
      <c r="L54" s="539">
        <v>0</v>
      </c>
      <c r="M54" s="539">
        <f>SUMIFS('OverNight $'!$AL$376:$AL$750,'OverNight $'!$B$376:$B$750,A54)</f>
        <v>2706.6666666666638</v>
      </c>
      <c r="N54" s="8"/>
      <c r="O54" s="283"/>
      <c r="P54" s="336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</row>
    <row r="55" spans="1:113" s="6" customFormat="1" ht="14.25" customHeight="1" outlineLevel="1" x14ac:dyDescent="0.2">
      <c r="A55" s="5"/>
      <c r="B55" s="104"/>
      <c r="C55" s="5"/>
      <c r="D55" s="521" t="s">
        <v>240</v>
      </c>
      <c r="E55" s="522"/>
      <c r="F55" s="523"/>
      <c r="G55" s="509"/>
      <c r="H55" s="510"/>
      <c r="I55" s="511">
        <f>AVERAGE(I53)</f>
        <v>3.73E-2</v>
      </c>
      <c r="J55" s="540"/>
      <c r="K55" s="540">
        <f>SUM(K53)</f>
        <v>19271.666666666664</v>
      </c>
      <c r="L55" s="540">
        <f t="shared" ref="L55:M55" si="12">SUM(L53)</f>
        <v>0</v>
      </c>
      <c r="M55" s="540">
        <f t="shared" si="12"/>
        <v>2706.6666666666638</v>
      </c>
      <c r="N55" s="8"/>
      <c r="O55" s="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</row>
    <row r="56" spans="1:113" s="6" customFormat="1" ht="14.25" customHeight="1" outlineLevel="1" x14ac:dyDescent="0.3">
      <c r="A56" s="5"/>
      <c r="B56" s="10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336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</row>
    <row r="57" spans="1:113" s="6" customFormat="1" ht="14.25" customHeight="1" outlineLevel="1" x14ac:dyDescent="0.2">
      <c r="A57" s="5"/>
      <c r="B57" s="104"/>
      <c r="C57" s="5"/>
      <c r="D57" s="552" t="s">
        <v>290</v>
      </c>
      <c r="E57" s="553"/>
      <c r="F57" s="554"/>
      <c r="G57" s="548"/>
      <c r="H57" s="549"/>
      <c r="I57" s="550"/>
      <c r="J57" s="551">
        <f>J41+J45+J49+J53</f>
        <v>26000000</v>
      </c>
      <c r="K57" s="551">
        <f>K43+K47+K51+K55</f>
        <v>85620.27777777781</v>
      </c>
      <c r="L57" s="551">
        <f t="shared" ref="L57:M57" si="13">L43+L47+L51+L55</f>
        <v>0</v>
      </c>
      <c r="M57" s="551">
        <f t="shared" si="13"/>
        <v>13634.444444444442</v>
      </c>
      <c r="N57" s="8"/>
      <c r="O57" s="4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</row>
    <row r="58" spans="1:113" s="6" customFormat="1" ht="14.25" customHeight="1" outlineLevel="1" x14ac:dyDescent="0.2">
      <c r="A58" s="5"/>
      <c r="B58" s="10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  <c r="O58" s="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</row>
    <row r="59" spans="1:113" s="6" customFormat="1" ht="15" outlineLevel="1" x14ac:dyDescent="0.2">
      <c r="A59" s="5"/>
      <c r="B59" s="104"/>
      <c r="C59" s="5"/>
      <c r="D59" s="659" t="s">
        <v>294</v>
      </c>
      <c r="E59" s="660"/>
      <c r="F59" s="661"/>
      <c r="G59" s="642"/>
      <c r="H59" s="643"/>
      <c r="I59" s="644"/>
      <c r="J59" s="664">
        <f>J11+J57</f>
        <v>26190000</v>
      </c>
      <c r="K59" s="664">
        <f>K11+K57</f>
        <v>89944.52777777781</v>
      </c>
      <c r="L59" s="664">
        <f>L11+L57</f>
        <v>4307.63</v>
      </c>
      <c r="M59" s="664">
        <f>M11+M57</f>
        <v>13634.444444444442</v>
      </c>
      <c r="N59" s="16"/>
      <c r="O59" s="636" t="s">
        <v>291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</row>
    <row r="60" spans="1:113" s="6" customFormat="1" ht="14.25" customHeight="1" outlineLevel="1" x14ac:dyDescent="0.2">
      <c r="A60" s="5"/>
      <c r="B60" s="10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8"/>
      <c r="O60" s="4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</row>
    <row r="61" spans="1:113" s="6" customFormat="1" ht="14.25" customHeight="1" outlineLevel="1" x14ac:dyDescent="0.25">
      <c r="A61" s="5" t="str">
        <f t="shared" ref="A61" si="14">CONCATENATE(MONTH(D61)," ",YEAR(D61))</f>
        <v>1 2026</v>
      </c>
      <c r="B61" s="104">
        <f>D61</f>
        <v>46053</v>
      </c>
      <c r="C61" s="5"/>
      <c r="D61" s="557">
        <v>46053</v>
      </c>
      <c r="E61" s="512" t="s">
        <v>32</v>
      </c>
      <c r="F61" s="513" t="s">
        <v>78</v>
      </c>
      <c r="G61" s="514"/>
      <c r="H61" s="515"/>
      <c r="I61" s="516">
        <f>INDEX('OverNight $'!$AW$373:$AW$750,MATCH(B61,'OverNight $'!$D$373:$D$750,0))</f>
        <v>3.5000000000000003E-2</v>
      </c>
      <c r="J61" s="539">
        <f>INDEX('OverNight $'!$AV$373:$AV$750,MATCH(B61,'OverNight $'!$C$373:$C$750,0))</f>
        <v>25462493.68</v>
      </c>
      <c r="K61" s="539">
        <f>SUMIFS('OverNight $'!$AY$373:$AY$750,'OverNight $'!$B$373:$B$750,A11)</f>
        <v>105590.42364739726</v>
      </c>
      <c r="L61" s="539">
        <v>103148.80999999998</v>
      </c>
      <c r="M61" s="539">
        <f>SUMIFS('OverNight $'!$BA$376:$BA$750,'OverNight $'!$B$376:$B$750,A61)</f>
        <v>8307.1727026798017</v>
      </c>
      <c r="N61" s="8"/>
      <c r="O61" s="4" t="s">
        <v>83</v>
      </c>
      <c r="P61"/>
      <c r="Q61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</row>
    <row r="62" spans="1:113" s="6" customFormat="1" ht="14.25" customHeight="1" outlineLevel="1" x14ac:dyDescent="0.2">
      <c r="A62" s="5" t="str">
        <f t="shared" ref="A62" si="15">CONCATENATE(MONTH(D62)," ",YEAR(D62))</f>
        <v>2 2026</v>
      </c>
      <c r="B62" s="104">
        <f>EOMONTH(B61,1)</f>
        <v>46081</v>
      </c>
      <c r="C62" s="5"/>
      <c r="D62" s="557">
        <f>EOMONTH(D61,1)</f>
        <v>46081</v>
      </c>
      <c r="E62" s="512" t="s">
        <v>32</v>
      </c>
      <c r="F62" s="513" t="s">
        <v>78</v>
      </c>
      <c r="G62" s="514"/>
      <c r="H62" s="515"/>
      <c r="I62" s="516">
        <f>INDEX('OverNight $'!$AW$373:$AW$750,MATCH(B62,'OverNight $'!$D$373:$D$750,0))</f>
        <v>0</v>
      </c>
      <c r="J62" s="539">
        <f>INDEX('OverNight $'!$AV$373:$AV$750,MATCH(B62,'OverNight $'!$C$373:$C$750,0))</f>
        <v>0</v>
      </c>
      <c r="K62" s="539">
        <f>SUMIFS('OverNight $'!$AY$373:$AY$750,'OverNight $'!$B$373:$B$750,A12)</f>
        <v>0</v>
      </c>
      <c r="L62" s="539"/>
      <c r="M62" s="539">
        <f>SUMIFS('OverNight $'!$BA$376:$BA$750,'OverNight $'!$B$376:$B$750,A62)</f>
        <v>0</v>
      </c>
      <c r="N62" s="8"/>
      <c r="O62" s="4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</row>
    <row r="63" spans="1:113" s="6" customFormat="1" ht="14.25" customHeight="1" outlineLevel="1" x14ac:dyDescent="0.2">
      <c r="A63" s="5" t="str">
        <f t="shared" ref="A63:A70" si="16">CONCATENATE(MONTH(D63)," ",YEAR(D63))</f>
        <v>3 2026</v>
      </c>
      <c r="B63" s="104">
        <f t="shared" ref="B63:B70" si="17">EOMONTH(B62,1)</f>
        <v>46112</v>
      </c>
      <c r="C63" s="5"/>
      <c r="D63" s="557">
        <f t="shared" ref="D63:D70" si="18">EOMONTH(D62,1)</f>
        <v>46112</v>
      </c>
      <c r="E63" s="512" t="s">
        <v>32</v>
      </c>
      <c r="F63" s="513" t="s">
        <v>78</v>
      </c>
      <c r="G63" s="514"/>
      <c r="H63" s="515"/>
      <c r="I63" s="516">
        <f>INDEX('OverNight $'!$AW$373:$AW$750,MATCH(B63,'OverNight $'!$D$373:$D$750,0))</f>
        <v>0</v>
      </c>
      <c r="J63" s="539">
        <f>INDEX('OverNight $'!$AV$373:$AV$750,MATCH(B63,'OverNight $'!$C$373:$C$750,0))</f>
        <v>0</v>
      </c>
      <c r="K63" s="539">
        <f>SUMIFS('OverNight $'!$AY$373:$AY$750,'OverNight $'!$B$373:$B$750,A13)</f>
        <v>0</v>
      </c>
      <c r="L63" s="539"/>
      <c r="M63" s="539">
        <f>SUMIFS('OverNight $'!$BA$376:$BA$750,'OverNight $'!$B$376:$B$750,A63)</f>
        <v>0</v>
      </c>
      <c r="N63" s="8"/>
      <c r="O63" s="4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</row>
    <row r="64" spans="1:113" s="6" customFormat="1" ht="14.25" customHeight="1" outlineLevel="1" x14ac:dyDescent="0.2">
      <c r="A64" s="5" t="str">
        <f t="shared" si="16"/>
        <v>4 2026</v>
      </c>
      <c r="B64" s="104">
        <f t="shared" si="17"/>
        <v>46142</v>
      </c>
      <c r="C64" s="5"/>
      <c r="D64" s="557">
        <f t="shared" si="18"/>
        <v>46142</v>
      </c>
      <c r="E64" s="512" t="s">
        <v>32</v>
      </c>
      <c r="F64" s="513" t="s">
        <v>78</v>
      </c>
      <c r="G64" s="514"/>
      <c r="H64" s="515"/>
      <c r="I64" s="516">
        <f>INDEX('OverNight $'!$AW$373:$AW$750,MATCH(B64,'OverNight $'!$D$373:$D$750,0))</f>
        <v>0</v>
      </c>
      <c r="J64" s="539">
        <f>INDEX('OverNight $'!$AV$373:$AV$750,MATCH(B64,'OverNight $'!$C$373:$C$750,0))</f>
        <v>0</v>
      </c>
      <c r="K64" s="539">
        <f>SUMIFS('OverNight $'!$AY$373:$AY$750,'OverNight $'!$B$373:$B$750,A14)</f>
        <v>0</v>
      </c>
      <c r="L64" s="539"/>
      <c r="M64" s="539">
        <f>SUMIFS('OverNight $'!$BA$376:$BA$750,'OverNight $'!$B$376:$B$750,A64)</f>
        <v>0</v>
      </c>
      <c r="N64" s="8"/>
      <c r="O64" s="4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</row>
    <row r="65" spans="1:113" s="6" customFormat="1" ht="14.25" customHeight="1" outlineLevel="1" x14ac:dyDescent="0.2">
      <c r="A65" s="5" t="str">
        <f t="shared" si="16"/>
        <v>5 2026</v>
      </c>
      <c r="B65" s="104">
        <f>EOMONTH(B64,1)-1</f>
        <v>46172</v>
      </c>
      <c r="C65" s="5"/>
      <c r="D65" s="557">
        <f t="shared" si="18"/>
        <v>46173</v>
      </c>
      <c r="E65" s="512" t="s">
        <v>32</v>
      </c>
      <c r="F65" s="513" t="s">
        <v>78</v>
      </c>
      <c r="G65" s="514"/>
      <c r="H65" s="515"/>
      <c r="I65" s="516">
        <f>INDEX('OverNight $'!$AW$373:$AW$750,MATCH(B65,'OverNight $'!$D$373:$D$750,0))</f>
        <v>0</v>
      </c>
      <c r="J65" s="539">
        <f>INDEX('OverNight $'!$AV$373:$AV$750,MATCH(B65,'OverNight $'!$C$373:$C$750,0))</f>
        <v>0</v>
      </c>
      <c r="K65" s="539">
        <f>SUMIFS('OverNight $'!$AY$373:$AY$750,'OverNight $'!$B$373:$B$750,A15)</f>
        <v>0</v>
      </c>
      <c r="L65" s="539"/>
      <c r="M65" s="539">
        <f>SUMIFS('OverNight $'!$BA$376:$BA$750,'OverNight $'!$B$376:$B$750,A65)</f>
        <v>0</v>
      </c>
      <c r="N65" s="8"/>
      <c r="O65" s="4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</row>
    <row r="66" spans="1:113" s="6" customFormat="1" ht="14.25" customHeight="1" outlineLevel="1" x14ac:dyDescent="0.2">
      <c r="A66" s="480" t="str">
        <f t="shared" si="16"/>
        <v>6 2026</v>
      </c>
      <c r="B66" s="104">
        <f t="shared" si="17"/>
        <v>46203</v>
      </c>
      <c r="C66" s="5"/>
      <c r="D66" s="557">
        <f t="shared" si="18"/>
        <v>46203</v>
      </c>
      <c r="E66" s="512" t="s">
        <v>32</v>
      </c>
      <c r="F66" s="513" t="s">
        <v>78</v>
      </c>
      <c r="G66" s="514"/>
      <c r="H66" s="515"/>
      <c r="I66" s="516">
        <f>INDEX('OverNight $'!$AW$373:$AW$750,MATCH(B66,'OverNight $'!$D$373:$D$750,0))</f>
        <v>0</v>
      </c>
      <c r="J66" s="539">
        <f>INDEX('OverNight $'!$AV$373:$AV$750,MATCH(B66,'OverNight $'!$C$373:$C$750,0))</f>
        <v>0</v>
      </c>
      <c r="K66" s="539">
        <f>SUMIFS('OverNight $'!$AY$373:$AY$750,'OverNight $'!$B$373:$B$750,A16)</f>
        <v>0</v>
      </c>
      <c r="L66" s="539"/>
      <c r="M66" s="539">
        <f>SUMIFS('OverNight $'!$BA$376:$BA$750,'OverNight $'!$B$376:$B$750,A66)</f>
        <v>0</v>
      </c>
      <c r="N66" s="8"/>
      <c r="O66" s="350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</row>
    <row r="67" spans="1:113" s="6" customFormat="1" ht="14.25" customHeight="1" outlineLevel="1" x14ac:dyDescent="0.2">
      <c r="A67" s="480" t="str">
        <f t="shared" si="16"/>
        <v>7 2026</v>
      </c>
      <c r="B67" s="104">
        <f t="shared" si="17"/>
        <v>46234</v>
      </c>
      <c r="C67" s="5"/>
      <c r="D67" s="557">
        <f t="shared" si="18"/>
        <v>46234</v>
      </c>
      <c r="E67" s="512" t="s">
        <v>32</v>
      </c>
      <c r="F67" s="513" t="s">
        <v>78</v>
      </c>
      <c r="G67" s="514"/>
      <c r="H67" s="515"/>
      <c r="I67" s="516">
        <f>INDEX('OverNight $'!$AW$373:$AW$750,MATCH(B67,'OverNight $'!$D$373:$D$750,0))</f>
        <v>0</v>
      </c>
      <c r="J67" s="539">
        <f>INDEX('OverNight $'!$AV$373:$AV$750,MATCH(B67,'OverNight $'!$C$373:$C$750,0))</f>
        <v>0</v>
      </c>
      <c r="K67" s="539">
        <f>SUMIFS('OverNight $'!$AY$373:$AY$750,'OverNight $'!$B$373:$B$750,A17)</f>
        <v>0</v>
      </c>
      <c r="L67" s="539"/>
      <c r="M67" s="539">
        <f>SUMIFS('OverNight $'!$BA$376:$BA$750,'OverNight $'!$B$376:$B$750,A67)</f>
        <v>0</v>
      </c>
      <c r="N67" s="8"/>
      <c r="O67" s="35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</row>
    <row r="68" spans="1:113" s="6" customFormat="1" ht="14.25" customHeight="1" outlineLevel="1" x14ac:dyDescent="0.2">
      <c r="A68" s="480" t="str">
        <f t="shared" si="16"/>
        <v>8 2026</v>
      </c>
      <c r="B68" s="104">
        <f t="shared" si="17"/>
        <v>46265</v>
      </c>
      <c r="C68" s="5"/>
      <c r="D68" s="557">
        <f t="shared" si="18"/>
        <v>46265</v>
      </c>
      <c r="E68" s="512" t="s">
        <v>32</v>
      </c>
      <c r="F68" s="513" t="s">
        <v>78</v>
      </c>
      <c r="G68" s="514"/>
      <c r="H68" s="515"/>
      <c r="I68" s="516">
        <f>INDEX('OverNight $'!$AW$373:$AW$750,MATCH(B68,'OverNight $'!$D$373:$D$750,0))</f>
        <v>0</v>
      </c>
      <c r="J68" s="539">
        <f>INDEX('OverNight $'!$AV$373:$AV$750,MATCH(B68,'OverNight $'!$C$373:$C$750,0))</f>
        <v>0</v>
      </c>
      <c r="K68" s="539">
        <f>SUMIFS('OverNight $'!$AY$373:$AY$750,'OverNight $'!$B$373:$B$750,A18)</f>
        <v>0</v>
      </c>
      <c r="L68" s="539"/>
      <c r="M68" s="539">
        <f>SUMIFS('OverNight $'!$BA$376:$BA$750,'OverNight $'!$B$376:$B$750,A68)</f>
        <v>0</v>
      </c>
      <c r="N68" s="8"/>
      <c r="O68" s="350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</row>
    <row r="69" spans="1:113" s="6" customFormat="1" ht="14.25" customHeight="1" outlineLevel="1" x14ac:dyDescent="0.2">
      <c r="A69" s="5" t="str">
        <f t="shared" si="16"/>
        <v>9 2026</v>
      </c>
      <c r="B69" s="104">
        <f t="shared" si="17"/>
        <v>46295</v>
      </c>
      <c r="C69" s="5"/>
      <c r="D69" s="557">
        <f t="shared" si="18"/>
        <v>46295</v>
      </c>
      <c r="E69" s="512" t="s">
        <v>32</v>
      </c>
      <c r="F69" s="513" t="s">
        <v>78</v>
      </c>
      <c r="G69" s="514"/>
      <c r="H69" s="515"/>
      <c r="I69" s="516">
        <f>INDEX('OverNight $'!$AW$373:$AW$750,MATCH(B69,'OverNight $'!$D$373:$D$750,0))</f>
        <v>0</v>
      </c>
      <c r="J69" s="539">
        <f>INDEX('OverNight $'!$AV$373:$AV$750,MATCH(B69,'OverNight $'!$C$373:$C$750,0))</f>
        <v>0</v>
      </c>
      <c r="K69" s="539">
        <f>SUMIFS('OverNight $'!$AY$373:$AY$750,'OverNight $'!$B$373:$B$750,A19)</f>
        <v>0</v>
      </c>
      <c r="L69" s="539"/>
      <c r="M69" s="539">
        <f>SUMIFS('OverNight $'!$BA$376:$BA$750,'OverNight $'!$B$376:$B$750,A69)</f>
        <v>0</v>
      </c>
      <c r="N69" s="8"/>
      <c r="O69" s="350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</row>
    <row r="70" spans="1:113" s="6" customFormat="1" ht="14.25" customHeight="1" outlineLevel="1" x14ac:dyDescent="0.2">
      <c r="A70" s="5" t="str">
        <f t="shared" si="16"/>
        <v>10 2026</v>
      </c>
      <c r="B70" s="104">
        <f t="shared" si="17"/>
        <v>46326</v>
      </c>
      <c r="C70" s="5"/>
      <c r="D70" s="557">
        <f t="shared" si="18"/>
        <v>46326</v>
      </c>
      <c r="E70" s="512" t="s">
        <v>32</v>
      </c>
      <c r="F70" s="513" t="s">
        <v>78</v>
      </c>
      <c r="G70" s="514"/>
      <c r="H70" s="515"/>
      <c r="I70" s="516">
        <f>INDEX('OverNight $'!$AW$373:$AW$750,MATCH(B70,'OverNight $'!$D$373:$D$750,0))</f>
        <v>0</v>
      </c>
      <c r="J70" s="539">
        <f>INDEX('OverNight $'!$AV$373:$AV$750,MATCH(B70,'OverNight $'!$C$373:$C$750,0))</f>
        <v>0</v>
      </c>
      <c r="K70" s="539">
        <f>SUMIFS('OverNight $'!$AY$373:$AY$750,'OverNight $'!$B$373:$B$750,A20)</f>
        <v>0</v>
      </c>
      <c r="L70" s="539"/>
      <c r="M70" s="539">
        <f>SUMIFS('OverNight $'!$BA$376:$BA$750,'OverNight $'!$B$376:$B$750,A70)</f>
        <v>0</v>
      </c>
      <c r="N70" s="8"/>
      <c r="O70" s="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</row>
    <row r="71" spans="1:113" s="6" customFormat="1" ht="14.25" customHeight="1" outlineLevel="1" x14ac:dyDescent="0.2">
      <c r="A71" s="5" t="str">
        <f>CONCATENATE(MONTH(D71)," ",YEAR(D71))</f>
        <v>11 2026</v>
      </c>
      <c r="B71" s="104">
        <f>EOMONTH(B70,1)</f>
        <v>46356</v>
      </c>
      <c r="C71" s="5"/>
      <c r="D71" s="557">
        <f>EOMONTH(D70,1)</f>
        <v>46356</v>
      </c>
      <c r="E71" s="512" t="s">
        <v>32</v>
      </c>
      <c r="F71" s="513" t="s">
        <v>78</v>
      </c>
      <c r="G71" s="514"/>
      <c r="H71" s="515"/>
      <c r="I71" s="516">
        <f>INDEX('OverNight $'!$AW$373:$AW$750,MATCH(B71,'OverNight $'!$D$373:$D$750,0))</f>
        <v>0</v>
      </c>
      <c r="J71" s="539">
        <f>INDEX('OverNight $'!$AV$373:$AV$750,MATCH(B71,'OverNight $'!$C$373:$C$750,0))</f>
        <v>0</v>
      </c>
      <c r="K71" s="539">
        <f>SUMIFS('OverNight $'!$AY$373:$AY$750,'OverNight $'!$B$373:$B$750,A21)</f>
        <v>0</v>
      </c>
      <c r="L71" s="539"/>
      <c r="M71" s="539">
        <f>SUMIFS('OverNight $'!$BA$376:$BA$750,'OverNight $'!$B$376:$B$750,A71)</f>
        <v>0</v>
      </c>
      <c r="N71" s="8"/>
      <c r="O71" s="4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</row>
    <row r="72" spans="1:113" s="6" customFormat="1" ht="14.25" customHeight="1" outlineLevel="1" x14ac:dyDescent="0.2">
      <c r="A72" s="5" t="str">
        <f>CONCATENATE(MONTH(D72)," ",YEAR(D72))</f>
        <v>12 2026</v>
      </c>
      <c r="B72" s="104">
        <f>EOMONTH(B71,1)</f>
        <v>46387</v>
      </c>
      <c r="C72" s="5"/>
      <c r="D72" s="557">
        <f>EOMONTH(D71,1)</f>
        <v>46387</v>
      </c>
      <c r="E72" s="512" t="s">
        <v>32</v>
      </c>
      <c r="F72" s="542" t="s">
        <v>78</v>
      </c>
      <c r="G72" s="514"/>
      <c r="H72" s="515"/>
      <c r="I72" s="516">
        <f>INDEX('OverNight $'!$AW$373:$AW$750,MATCH(B72,'OverNight $'!$D$373:$D$750,0))</f>
        <v>0</v>
      </c>
      <c r="J72" s="539">
        <f>INDEX('OverNight $'!$AV$373:$AV$750,MATCH(B72,'OverNight $'!$C$373:$C$750,0))</f>
        <v>0</v>
      </c>
      <c r="K72" s="539">
        <f>SUMIFS('OverNight $'!$AY$373:$AY$750,'OverNight $'!$B$373:$B$750,A22)</f>
        <v>0</v>
      </c>
      <c r="L72" s="539"/>
      <c r="M72" s="539">
        <f>SUMIFS('OverNight $'!$BA$376:$BA$750,'OverNight $'!$B$376:$B$750,A72)</f>
        <v>0</v>
      </c>
      <c r="N72" s="8"/>
      <c r="O72" s="4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</row>
    <row r="73" spans="1:113" s="6" customFormat="1" ht="15" outlineLevel="1" x14ac:dyDescent="0.2">
      <c r="A73" s="5"/>
      <c r="B73" s="5"/>
      <c r="C73" s="5"/>
      <c r="D73" s="521" t="s">
        <v>68</v>
      </c>
      <c r="E73" s="522"/>
      <c r="F73" s="523"/>
      <c r="G73" s="509"/>
      <c r="H73" s="510"/>
      <c r="I73" s="511">
        <f>AVERAGE(I61:I61)</f>
        <v>3.5000000000000003E-2</v>
      </c>
      <c r="J73" s="540"/>
      <c r="K73" s="540">
        <f>SUM(K61:K61)</f>
        <v>105590.42364739726</v>
      </c>
      <c r="L73" s="540">
        <f t="shared" ref="L73:M73" si="19">SUM(L61:L61)</f>
        <v>103148.80999999998</v>
      </c>
      <c r="M73" s="540">
        <f t="shared" si="19"/>
        <v>8307.1727026798017</v>
      </c>
      <c r="N73" s="8"/>
      <c r="O73" s="4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</row>
    <row r="74" spans="1:113" s="6" customFormat="1" ht="14.25" customHeight="1" outlineLevel="1" x14ac:dyDescent="0.25">
      <c r="A74" s="5"/>
      <c r="B74" s="5"/>
      <c r="C74" s="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8"/>
      <c r="O74" s="4"/>
      <c r="P74"/>
      <c r="Q74"/>
      <c r="R74"/>
      <c r="S74"/>
      <c r="T74"/>
      <c r="U74"/>
      <c r="V74"/>
      <c r="W74"/>
      <c r="X74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</row>
    <row r="75" spans="1:113" s="6" customFormat="1" ht="15" outlineLevel="1" x14ac:dyDescent="0.2">
      <c r="A75" s="5"/>
      <c r="B75" s="104"/>
      <c r="C75" s="5"/>
      <c r="D75" s="552" t="s">
        <v>236</v>
      </c>
      <c r="E75" s="553"/>
      <c r="F75" s="554"/>
      <c r="G75" s="548"/>
      <c r="H75" s="549"/>
      <c r="I75" s="550"/>
      <c r="J75" s="551"/>
      <c r="K75" s="551"/>
      <c r="L75" s="551"/>
      <c r="M75" s="551"/>
      <c r="N75" s="8"/>
      <c r="O75" s="4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</row>
    <row r="76" spans="1:113" s="6" customFormat="1" ht="14.25" customHeight="1" outlineLevel="1" x14ac:dyDescent="0.2">
      <c r="A76" s="5"/>
      <c r="B76" s="10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8"/>
      <c r="O76" s="4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</row>
    <row r="77" spans="1:113" s="6" customFormat="1" ht="14.25" customHeight="1" outlineLevel="1" x14ac:dyDescent="0.2">
      <c r="A77" s="5" t="str">
        <f t="shared" ref="A77" si="20">CONCATENATE(MONTH(D77)," ",YEAR(D77))</f>
        <v>1 2026</v>
      </c>
      <c r="B77" s="104">
        <f>D77</f>
        <v>46053</v>
      </c>
      <c r="C77" s="5"/>
      <c r="D77" s="557">
        <v>46053</v>
      </c>
      <c r="E77" s="512" t="s">
        <v>7</v>
      </c>
      <c r="F77" s="513" t="s">
        <v>129</v>
      </c>
      <c r="G77" s="514">
        <v>45919</v>
      </c>
      <c r="H77" s="515"/>
      <c r="I77" s="516">
        <f>'codeis $'!AH403</f>
        <v>3.7785439798733833E-2</v>
      </c>
      <c r="J77" s="539">
        <f>'codeis $'!AB403</f>
        <v>156363411.59999999</v>
      </c>
      <c r="K77" s="539">
        <f>'codeis $'!AF403</f>
        <v>490769.40000000596</v>
      </c>
      <c r="L77" s="539">
        <f>K77</f>
        <v>490769.40000000596</v>
      </c>
      <c r="M77" s="543">
        <f>SUMIFS('codeis $'!$AK$373:$AK$750,'codeis $'!$B$373:$B$750,A77)</f>
        <v>102168.57202497023</v>
      </c>
      <c r="N77" s="8"/>
      <c r="O77" s="4" t="s">
        <v>297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</row>
    <row r="78" spans="1:113" s="6" customFormat="1" ht="14.25" customHeight="1" outlineLevel="1" x14ac:dyDescent="0.2">
      <c r="A78" s="5" t="str">
        <f t="shared" ref="A78:A79" si="21">CONCATENATE(MONTH(D78)," ",YEAR(D78))</f>
        <v>2 2026</v>
      </c>
      <c r="B78" s="104">
        <f t="shared" ref="B78:B79" si="22">EOMONTH(B77,1)</f>
        <v>46081</v>
      </c>
      <c r="C78" s="5"/>
      <c r="D78" s="557">
        <f t="shared" ref="D78:D79" si="23">EOMONTH(D77,1)</f>
        <v>46081</v>
      </c>
      <c r="E78" s="512" t="s">
        <v>7</v>
      </c>
      <c r="F78" s="513" t="s">
        <v>129</v>
      </c>
      <c r="G78" s="514"/>
      <c r="H78" s="515"/>
      <c r="I78" s="516"/>
      <c r="J78" s="539"/>
      <c r="K78" s="539"/>
      <c r="L78" s="539"/>
      <c r="M78" s="543">
        <f>SUMIFS('codeis $'!$AK$6:$AK$370,'codeis $'!$B$6:$B$370,A78)</f>
        <v>0</v>
      </c>
      <c r="N78" s="8"/>
      <c r="O78" s="4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</row>
    <row r="79" spans="1:113" s="6" customFormat="1" ht="14.25" customHeight="1" outlineLevel="1" x14ac:dyDescent="0.2">
      <c r="A79" s="5" t="str">
        <f t="shared" si="21"/>
        <v>3 2026</v>
      </c>
      <c r="B79" s="104">
        <f t="shared" si="22"/>
        <v>46112</v>
      </c>
      <c r="C79" s="5"/>
      <c r="D79" s="557">
        <f t="shared" si="23"/>
        <v>46112</v>
      </c>
      <c r="E79" s="512" t="s">
        <v>7</v>
      </c>
      <c r="F79" s="513" t="s">
        <v>129</v>
      </c>
      <c r="G79" s="514"/>
      <c r="H79" s="515"/>
      <c r="I79" s="516"/>
      <c r="J79" s="539"/>
      <c r="K79" s="539"/>
      <c r="L79" s="539"/>
      <c r="M79" s="543">
        <f>SUMIFS('codeis $'!$AK$6:$AK$370,'codeis $'!$B$6:$B$370,A79)</f>
        <v>0</v>
      </c>
      <c r="N79" s="8"/>
      <c r="O79" s="4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</row>
    <row r="80" spans="1:113" s="6" customFormat="1" ht="14.25" customHeight="1" outlineLevel="1" x14ac:dyDescent="0.2">
      <c r="A80" s="5"/>
      <c r="B80" s="104"/>
      <c r="C80" s="5"/>
      <c r="D80" s="521" t="s">
        <v>235</v>
      </c>
      <c r="E80" s="522"/>
      <c r="F80" s="523"/>
      <c r="G80" s="509"/>
      <c r="H80" s="510"/>
      <c r="I80" s="511">
        <f>AVERAGE(I77:I79)</f>
        <v>3.7785439798733833E-2</v>
      </c>
      <c r="J80" s="540"/>
      <c r="K80" s="540">
        <f>SUM(K77:K79)</f>
        <v>490769.40000000596</v>
      </c>
      <c r="L80" s="540">
        <f>SUM(L77:L79)</f>
        <v>490769.40000000596</v>
      </c>
      <c r="M80" s="544">
        <f>SUM(M77:M79)</f>
        <v>102168.57202497023</v>
      </c>
      <c r="N80" s="8"/>
      <c r="O80" s="408" t="s">
        <v>181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</row>
    <row r="81" spans="1:113" s="6" customFormat="1" ht="14.25" customHeight="1" outlineLevel="1" x14ac:dyDescent="0.2">
      <c r="A81" s="5"/>
      <c r="B81" s="10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8"/>
      <c r="O81" s="4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</row>
    <row r="82" spans="1:113" s="6" customFormat="1" ht="14.25" customHeight="1" outlineLevel="1" x14ac:dyDescent="0.25">
      <c r="A82" s="5" t="str">
        <f t="shared" ref="A82" si="24">CONCATENATE(MONTH(D82)," ",YEAR(D82))</f>
        <v>1 2026</v>
      </c>
      <c r="B82" s="104">
        <f>D82</f>
        <v>46053</v>
      </c>
      <c r="C82" s="5"/>
      <c r="D82" s="557">
        <v>46053</v>
      </c>
      <c r="E82" s="512" t="s">
        <v>32</v>
      </c>
      <c r="F82" s="513" t="s">
        <v>213</v>
      </c>
      <c r="G82" s="514">
        <v>45968</v>
      </c>
      <c r="H82" s="515"/>
      <c r="I82" s="516">
        <f>INDEX('MM $'!$H$373:$H$750,MATCH($B82,'MM $'!$C$373:$C$750,0))</f>
        <v>3.5862108320285337E-2</v>
      </c>
      <c r="J82" s="539">
        <f>INDEX('MM $'!$K$373:$K$750,MATCH($B82,'MM $'!$C$373:$C$750,0))</f>
        <v>40354154.510000005</v>
      </c>
      <c r="K82" s="539">
        <f>INDEX('MM $'!$J$373:$J$750,MATCH($B82,'MM $'!$C$373:$C$750,0))</f>
        <v>124235.06</v>
      </c>
      <c r="L82" s="539">
        <v>124235.06</v>
      </c>
      <c r="M82" s="543">
        <f>SUMIFS('MM $'!$L$373:$L$750,'MM $'!$B$373:$B$750,A82)</f>
        <v>15229.091728427138</v>
      </c>
      <c r="N82" s="8"/>
      <c r="O82" s="4"/>
      <c r="P82"/>
      <c r="Q82"/>
      <c r="R82"/>
      <c r="S82"/>
      <c r="T82"/>
      <c r="U82"/>
      <c r="V82"/>
      <c r="W82"/>
      <c r="X82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</row>
    <row r="83" spans="1:113" s="6" customFormat="1" ht="14.25" customHeight="1" outlineLevel="1" x14ac:dyDescent="0.25">
      <c r="A83" s="5" t="str">
        <f t="shared" ref="A83:A85" si="25">CONCATENATE(MONTH(D83)," ",YEAR(D83))</f>
        <v>1 2026</v>
      </c>
      <c r="B83" s="104">
        <f>B82</f>
        <v>46053</v>
      </c>
      <c r="C83" s="5"/>
      <c r="D83" s="557">
        <f>D82</f>
        <v>46053</v>
      </c>
      <c r="E83" s="512" t="s">
        <v>32</v>
      </c>
      <c r="F83" s="513" t="s">
        <v>215</v>
      </c>
      <c r="G83" s="514">
        <v>45968</v>
      </c>
      <c r="H83" s="515"/>
      <c r="I83" s="516">
        <f>INDEX('MM $'!$P$373:$P$750,MATCH($B83,'MM $'!$C$373:$C$750,0))</f>
        <v>3.5670240000000006E-2</v>
      </c>
      <c r="J83" s="539">
        <f>INDEX('MM $'!$T$373:$T$750,MATCH($B83,'MM $'!$C$373:$C$750,0))</f>
        <v>40352257.880000003</v>
      </c>
      <c r="K83" s="539">
        <f>INDEX('MM $'!$S$373:$S$750,MATCH($B83,'MM $'!$C$373:$C$750,0))</f>
        <v>123566.59</v>
      </c>
      <c r="L83" s="539">
        <f>123566.59+24.06</f>
        <v>123590.65</v>
      </c>
      <c r="M83" s="543">
        <f>SUMIFS('MM $'!$U$373:$U$750,'MM $'!$B$373:$B$750,A83)</f>
        <v>14558.782264284631</v>
      </c>
      <c r="N83" s="8"/>
      <c r="O83" s="4"/>
      <c r="P83"/>
      <c r="Q83"/>
      <c r="R83"/>
      <c r="S83"/>
      <c r="T83"/>
      <c r="U83"/>
      <c r="V83"/>
      <c r="W83"/>
      <c r="X83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</row>
    <row r="84" spans="1:113" s="6" customFormat="1" ht="14.25" customHeight="1" outlineLevel="1" x14ac:dyDescent="0.25">
      <c r="A84" s="5" t="str">
        <f t="shared" si="25"/>
        <v>1 2026</v>
      </c>
      <c r="B84" s="104">
        <f>B83</f>
        <v>46053</v>
      </c>
      <c r="C84" s="5"/>
      <c r="D84" s="557">
        <f>D83</f>
        <v>46053</v>
      </c>
      <c r="E84" s="512" t="s">
        <v>32</v>
      </c>
      <c r="F84" s="513" t="s">
        <v>216</v>
      </c>
      <c r="G84" s="514">
        <v>45968</v>
      </c>
      <c r="H84" s="515"/>
      <c r="I84" s="516">
        <f>INDEX('MM $'!$X$373:$X$750,MATCH($B84,'MM $'!$C$373:$C$750,0))</f>
        <v>3.5809455303371117E-2</v>
      </c>
      <c r="J84" s="539">
        <f>INDEX('MM $'!$AA$373:$AA$750,MATCH($B84,'MM $'!$C$373:$C$750,0))</f>
        <v>40353452.558411263</v>
      </c>
      <c r="K84" s="539">
        <f>INDEX('MM $'!$Z$373:$Z$750,MATCH($B84,'MM $'!$C$373:$C$750,0))</f>
        <v>124051.06</v>
      </c>
      <c r="L84" s="539">
        <v>124051.06</v>
      </c>
      <c r="M84" s="543">
        <f>SUMIFS('MM $'!$AB$373:$AB$750,'MM $'!$B$373:$B$750,A84)</f>
        <v>15045.392739390056</v>
      </c>
      <c r="N84" s="8"/>
      <c r="O84" s="4"/>
      <c r="P84"/>
      <c r="Q84"/>
      <c r="R84"/>
      <c r="S84"/>
      <c r="T84"/>
      <c r="U84"/>
      <c r="V84"/>
      <c r="W84"/>
      <c r="X84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</row>
    <row r="85" spans="1:113" s="6" customFormat="1" ht="14.25" customHeight="1" outlineLevel="1" x14ac:dyDescent="0.25">
      <c r="A85" s="5" t="str">
        <f t="shared" si="25"/>
        <v>1 2026</v>
      </c>
      <c r="B85" s="104">
        <f>B84</f>
        <v>46053</v>
      </c>
      <c r="C85" s="5"/>
      <c r="D85" s="557">
        <f>D84</f>
        <v>46053</v>
      </c>
      <c r="E85" s="512" t="s">
        <v>32</v>
      </c>
      <c r="F85" s="513" t="s">
        <v>214</v>
      </c>
      <c r="G85" s="514">
        <v>45968</v>
      </c>
      <c r="H85" s="515"/>
      <c r="I85" s="516">
        <f>INDEX('MM $'!$AE$373:$AE$750,MATCH($B85,'MM $'!$C$373:$C$750,0))</f>
        <v>3.6136742730033262E-2</v>
      </c>
      <c r="J85" s="539">
        <f>INDEX('MM $'!$AH$373:$AH$750,MATCH($B85,'MM $'!$C$373:$C$750,0))</f>
        <v>40356827.200171322</v>
      </c>
      <c r="K85" s="539">
        <f>INDEX('MM $'!$AG$373:$AG$750,MATCH($B85,'MM $'!$C$373:$C$750,0))</f>
        <v>125191.8</v>
      </c>
      <c r="L85" s="539">
        <v>125191.8</v>
      </c>
      <c r="M85" s="543">
        <f>SUMIFS('MM $'!$AI$373:$AI$750,'MM $'!$B$373:$B$750,A85)</f>
        <v>16183.01179928443</v>
      </c>
      <c r="N85" s="8"/>
      <c r="O85" s="4"/>
      <c r="P85"/>
      <c r="Q85"/>
      <c r="R85"/>
      <c r="S85"/>
      <c r="T85"/>
      <c r="U85"/>
      <c r="V85"/>
      <c r="W85"/>
      <c r="X85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</row>
    <row r="86" spans="1:113" s="6" customFormat="1" ht="15" outlineLevel="1" x14ac:dyDescent="0.25">
      <c r="A86" s="5"/>
      <c r="B86" s="5"/>
      <c r="C86" s="5"/>
      <c r="D86" s="521" t="s">
        <v>295</v>
      </c>
      <c r="E86" s="522"/>
      <c r="F86" s="523"/>
      <c r="G86" s="509"/>
      <c r="H86" s="510"/>
      <c r="I86" s="511">
        <f>AVERAGE(I82:I85)</f>
        <v>3.5869636588422432E-2</v>
      </c>
      <c r="J86" s="540">
        <f>SUM(J82:J85)</f>
        <v>161416692.14858261</v>
      </c>
      <c r="K86" s="540">
        <f>SUM(K82:K85)</f>
        <v>497044.50999999995</v>
      </c>
      <c r="L86" s="540">
        <f>SUM(L82:L85)</f>
        <v>497068.57</v>
      </c>
      <c r="M86" s="540">
        <f>SUM(M82:M85)</f>
        <v>61016.278531386255</v>
      </c>
      <c r="N86" s="8"/>
      <c r="O86" s="4" t="s">
        <v>297</v>
      </c>
      <c r="P86"/>
      <c r="Q86"/>
      <c r="R86"/>
      <c r="S86"/>
      <c r="T86"/>
      <c r="U86"/>
      <c r="V86"/>
      <c r="W86"/>
      <c r="X86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</row>
    <row r="87" spans="1:113" s="6" customFormat="1" ht="15" outlineLevel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4"/>
      <c r="P87"/>
      <c r="Q87"/>
      <c r="R87"/>
      <c r="S87"/>
      <c r="T87"/>
      <c r="U87"/>
      <c r="V87"/>
      <c r="W87"/>
      <c r="X87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</row>
    <row r="88" spans="1:113" s="6" customFormat="1" ht="14.25" customHeight="1" outlineLevel="1" x14ac:dyDescent="0.25">
      <c r="A88" s="5"/>
      <c r="B88" s="5"/>
      <c r="C88" s="5"/>
      <c r="D88" s="659" t="s">
        <v>296</v>
      </c>
      <c r="E88" s="660"/>
      <c r="F88" s="661"/>
      <c r="G88" s="642"/>
      <c r="H88" s="643"/>
      <c r="I88" s="644"/>
      <c r="J88" s="664">
        <f>J40+J85</f>
        <v>40356827.200171322</v>
      </c>
      <c r="K88" s="664">
        <f>K40+K85</f>
        <v>125191.8</v>
      </c>
      <c r="L88" s="664">
        <f>L40+L85</f>
        <v>125191.8</v>
      </c>
      <c r="M88" s="664">
        <f>M40+M85</f>
        <v>16183.01179928443</v>
      </c>
      <c r="N88" s="8"/>
      <c r="O88" s="4"/>
      <c r="P88"/>
      <c r="Q88"/>
      <c r="R88"/>
      <c r="S88"/>
      <c r="T88"/>
      <c r="U88"/>
      <c r="V88"/>
      <c r="W88"/>
      <c r="X88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</row>
    <row r="89" spans="1:113" ht="3.6" customHeight="1" x14ac:dyDescent="0.25">
      <c r="D89" s="166"/>
      <c r="E89" s="165"/>
      <c r="F89" s="165"/>
      <c r="G89" s="165"/>
      <c r="H89" s="165"/>
      <c r="I89" s="165"/>
      <c r="J89" s="160"/>
      <c r="K89" s="160"/>
      <c r="L89" s="160"/>
      <c r="M89" s="160"/>
    </row>
    <row r="90" spans="1:113" ht="3.6" customHeight="1" x14ac:dyDescent="0.25">
      <c r="D90" s="166"/>
      <c r="E90" s="165"/>
      <c r="F90" s="165"/>
      <c r="G90" s="165"/>
      <c r="H90" s="165"/>
      <c r="I90" s="165"/>
      <c r="J90" s="160"/>
      <c r="K90" s="160"/>
      <c r="L90" s="160"/>
      <c r="M90" s="160"/>
    </row>
    <row r="91" spans="1:113" s="9" customFormat="1" ht="19.899999999999999" customHeight="1" x14ac:dyDescent="0.2">
      <c r="A91" s="4"/>
      <c r="B91" s="180"/>
      <c r="C91" s="4"/>
      <c r="D91" s="697" t="s">
        <v>13</v>
      </c>
      <c r="E91" s="698" t="s">
        <v>28</v>
      </c>
      <c r="F91" s="698" t="s">
        <v>29</v>
      </c>
      <c r="G91" s="698" t="s">
        <v>43</v>
      </c>
      <c r="H91" s="698" t="s">
        <v>44</v>
      </c>
      <c r="I91" s="698" t="s">
        <v>34</v>
      </c>
      <c r="J91" s="698" t="s">
        <v>310</v>
      </c>
      <c r="K91" s="698" t="s">
        <v>36</v>
      </c>
      <c r="L91" s="698" t="s">
        <v>35</v>
      </c>
      <c r="M91" s="699" t="s">
        <v>77</v>
      </c>
      <c r="N91" s="16"/>
      <c r="O91" s="101"/>
      <c r="P91" s="4"/>
      <c r="Q91" s="4"/>
      <c r="R91" s="4"/>
      <c r="S91" s="4"/>
    </row>
    <row r="92" spans="1:113" s="9" customFormat="1" ht="15" customHeight="1" x14ac:dyDescent="0.2">
      <c r="A92" s="4"/>
      <c r="B92" s="180"/>
      <c r="C92" s="4"/>
      <c r="D92" s="700"/>
      <c r="E92" s="701"/>
      <c r="F92" s="701"/>
      <c r="G92" s="701"/>
      <c r="H92" s="701"/>
      <c r="I92" s="701"/>
      <c r="J92" s="702" t="s">
        <v>308</v>
      </c>
      <c r="K92" s="702" t="s">
        <v>308</v>
      </c>
      <c r="L92" s="702" t="s">
        <v>308</v>
      </c>
      <c r="M92" s="703" t="s">
        <v>308</v>
      </c>
      <c r="N92" s="16"/>
      <c r="O92" s="101"/>
      <c r="P92" s="4"/>
      <c r="Q92" s="4"/>
      <c r="R92" s="4"/>
      <c r="S92" s="4"/>
    </row>
    <row r="93" spans="1:113" s="6" customFormat="1" ht="15" customHeight="1" x14ac:dyDescent="0.2">
      <c r="A93" s="5" t="str">
        <f t="shared" ref="A93:A104" si="26">CONCATENATE(MONTH(D93)," ",YEAR(D93))</f>
        <v>1 2026</v>
      </c>
      <c r="B93" s="5"/>
      <c r="C93" s="5"/>
      <c r="D93" s="559">
        <v>46053</v>
      </c>
      <c r="E93" s="531" t="s">
        <v>37</v>
      </c>
      <c r="F93" s="531"/>
      <c r="G93" s="531"/>
      <c r="H93" s="531"/>
      <c r="I93" s="497">
        <f>AVERAGEIFS('OverNight $'!$BY$373:$BY$750,'OverNight $'!$B$373:$B$750,$A93)</f>
        <v>3.6755514080697931E-2</v>
      </c>
      <c r="J93" s="704">
        <f t="shared" ref="J93:M104" si="27">SUMIFS(J$11:J$85,$D$11:$D$85,$D93)</f>
        <v>369432597.42858255</v>
      </c>
      <c r="K93" s="704">
        <f t="shared" si="27"/>
        <v>1183348.8614251809</v>
      </c>
      <c r="L93" s="704">
        <f t="shared" si="27"/>
        <v>1095294.410000006</v>
      </c>
      <c r="M93" s="704">
        <f t="shared" si="27"/>
        <v>185126.46770348074</v>
      </c>
      <c r="N93" s="8"/>
      <c r="O93" s="258">
        <f>L93-L86-L80-L73</f>
        <v>4307.629999999961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</row>
    <row r="94" spans="1:113" s="6" customFormat="1" ht="14.25" hidden="1" customHeight="1" x14ac:dyDescent="0.2">
      <c r="A94" s="5" t="str">
        <f t="shared" si="26"/>
        <v>2 2026</v>
      </c>
      <c r="B94" s="5"/>
      <c r="C94" s="5"/>
      <c r="D94" s="559">
        <f>EOMONTH(D93,1)</f>
        <v>46081</v>
      </c>
      <c r="E94" s="531" t="s">
        <v>37</v>
      </c>
      <c r="F94" s="531"/>
      <c r="G94" s="531"/>
      <c r="H94" s="531"/>
      <c r="I94" s="497">
        <f>AVERAGEIFS('OverNight $'!$BY$373:$BY$750,'OverNight $'!$B$373:$B$750,$A94)</f>
        <v>3.3400702357460781E-2</v>
      </c>
      <c r="J94" s="665">
        <f t="shared" si="27"/>
        <v>22280000</v>
      </c>
      <c r="K94" s="665">
        <f t="shared" si="27"/>
        <v>65861.444444444453</v>
      </c>
      <c r="L94" s="665">
        <f t="shared" si="27"/>
        <v>50983.33</v>
      </c>
      <c r="M94" s="665">
        <f t="shared" si="27"/>
        <v>10834.444444444445</v>
      </c>
      <c r="N94" s="8"/>
      <c r="O94" s="258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</row>
    <row r="95" spans="1:113" s="6" customFormat="1" ht="14.25" hidden="1" customHeight="1" x14ac:dyDescent="0.2">
      <c r="A95" s="5" t="str">
        <f t="shared" si="26"/>
        <v>3 2026</v>
      </c>
      <c r="B95" s="5"/>
      <c r="C95" s="5"/>
      <c r="D95" s="559">
        <f t="shared" ref="D95:D104" si="28">EOMONTH(D94,1)</f>
        <v>46112</v>
      </c>
      <c r="E95" s="531" t="s">
        <v>37</v>
      </c>
      <c r="F95" s="531"/>
      <c r="G95" s="531"/>
      <c r="H95" s="531"/>
      <c r="I95" s="497">
        <f>AVERAGEIFS('OverNight $'!$BY$373:$BY$750,'OverNight $'!$B$373:$B$750,$A95)</f>
        <v>3.7444946479909494E-2</v>
      </c>
      <c r="J95" s="665">
        <f t="shared" si="27"/>
        <v>1450000</v>
      </c>
      <c r="K95" s="665">
        <f t="shared" si="27"/>
        <v>3858.75</v>
      </c>
      <c r="L95" s="665">
        <f t="shared" si="27"/>
        <v>0</v>
      </c>
      <c r="M95" s="665">
        <f t="shared" si="27"/>
        <v>0</v>
      </c>
      <c r="N95" s="8"/>
      <c r="O95" s="258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</row>
    <row r="96" spans="1:113" s="6" customFormat="1" ht="14.25" hidden="1" customHeight="1" x14ac:dyDescent="0.2">
      <c r="A96" s="5" t="str">
        <f t="shared" si="26"/>
        <v>4 2026</v>
      </c>
      <c r="B96" s="5"/>
      <c r="C96" s="5"/>
      <c r="D96" s="559">
        <f t="shared" si="28"/>
        <v>46142</v>
      </c>
      <c r="E96" s="531" t="s">
        <v>37</v>
      </c>
      <c r="F96" s="531"/>
      <c r="G96" s="531"/>
      <c r="H96" s="531"/>
      <c r="I96" s="497">
        <f>AVERAGEIFS('OverNight $'!$BY$373:$BY$750,'OverNight $'!$B$373:$B$750,$A96)</f>
        <v>3.7437639198218277E-2</v>
      </c>
      <c r="J96" s="665">
        <f t="shared" si="27"/>
        <v>1450000</v>
      </c>
      <c r="K96" s="665">
        <f t="shared" si="27"/>
        <v>3806.25</v>
      </c>
      <c r="L96" s="665">
        <f t="shared" si="27"/>
        <v>0</v>
      </c>
      <c r="M96" s="665">
        <f t="shared" si="27"/>
        <v>0</v>
      </c>
      <c r="N96" s="8"/>
      <c r="O96" s="258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</row>
    <row r="97" spans="1:113" s="6" customFormat="1" ht="14.25" hidden="1" customHeight="1" x14ac:dyDescent="0.2">
      <c r="A97" s="5" t="str">
        <f t="shared" si="26"/>
        <v>5 2026</v>
      </c>
      <c r="B97" s="5"/>
      <c r="C97" s="5"/>
      <c r="D97" s="559">
        <f t="shared" si="28"/>
        <v>46173</v>
      </c>
      <c r="E97" s="531" t="s">
        <v>37</v>
      </c>
      <c r="F97" s="531"/>
      <c r="G97" s="531"/>
      <c r="H97" s="531"/>
      <c r="I97" s="497">
        <f>AVERAGEIFS('OverNight $'!$BY$373:$BY$750,'OverNight $'!$B$373:$B$750,$A97)</f>
        <v>3.6732482819653849E-2</v>
      </c>
      <c r="J97" s="665">
        <f t="shared" si="27"/>
        <v>1450000</v>
      </c>
      <c r="K97" s="665">
        <f t="shared" si="27"/>
        <v>3933.125</v>
      </c>
      <c r="L97" s="665">
        <f t="shared" si="27"/>
        <v>0</v>
      </c>
      <c r="M97" s="665">
        <f t="shared" si="27"/>
        <v>0</v>
      </c>
      <c r="N97" s="8"/>
      <c r="O97" s="258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</row>
    <row r="98" spans="1:113" s="6" customFormat="1" ht="14.25" hidden="1" customHeight="1" x14ac:dyDescent="0.2">
      <c r="A98" s="5" t="str">
        <f t="shared" si="26"/>
        <v>6 2026</v>
      </c>
      <c r="B98" s="5"/>
      <c r="C98" s="5"/>
      <c r="D98" s="559">
        <f t="shared" si="28"/>
        <v>46203</v>
      </c>
      <c r="E98" s="531" t="s">
        <v>37</v>
      </c>
      <c r="F98" s="531"/>
      <c r="G98" s="531"/>
      <c r="H98" s="531"/>
      <c r="I98" s="497">
        <f>AVERAGEIFS('OverNight $'!$BY$373:$BY$750,'OverNight $'!$B$373:$B$750,$A98)</f>
        <v>3.6932664756446971E-2</v>
      </c>
      <c r="J98" s="665">
        <f t="shared" si="27"/>
        <v>1450000</v>
      </c>
      <c r="K98" s="665">
        <f t="shared" si="27"/>
        <v>3806.25</v>
      </c>
      <c r="L98" s="665">
        <f t="shared" si="27"/>
        <v>0</v>
      </c>
      <c r="M98" s="665">
        <f t="shared" si="27"/>
        <v>0</v>
      </c>
      <c r="N98" s="8"/>
      <c r="O98" s="258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</row>
    <row r="99" spans="1:113" s="6" customFormat="1" ht="14.25" hidden="1" customHeight="1" x14ac:dyDescent="0.2">
      <c r="A99" s="5" t="str">
        <f t="shared" si="26"/>
        <v>7 2026</v>
      </c>
      <c r="B99" s="5"/>
      <c r="C99" s="5"/>
      <c r="D99" s="559">
        <f t="shared" si="28"/>
        <v>46234</v>
      </c>
      <c r="E99" s="531" t="s">
        <v>37</v>
      </c>
      <c r="F99" s="531"/>
      <c r="G99" s="531"/>
      <c r="H99" s="531"/>
      <c r="I99" s="497">
        <f>AVERAGEIFS('OverNight $'!$BY$373:$BY$750,'OverNight $'!$B$373:$B$750,$A99)</f>
        <v>3.6932664756446971E-2</v>
      </c>
      <c r="J99" s="665">
        <f t="shared" si="27"/>
        <v>1450000</v>
      </c>
      <c r="K99" s="665">
        <f t="shared" si="27"/>
        <v>3933.125</v>
      </c>
      <c r="L99" s="665">
        <f t="shared" si="27"/>
        <v>0</v>
      </c>
      <c r="M99" s="665">
        <f t="shared" si="27"/>
        <v>0</v>
      </c>
      <c r="N99" s="8"/>
      <c r="O99" s="258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</row>
    <row r="100" spans="1:113" s="6" customFormat="1" ht="14.25" hidden="1" customHeight="1" x14ac:dyDescent="0.2">
      <c r="A100" s="5" t="str">
        <f t="shared" si="26"/>
        <v>8 2026</v>
      </c>
      <c r="B100" s="5"/>
      <c r="C100" s="5"/>
      <c r="D100" s="559">
        <f t="shared" si="28"/>
        <v>46265</v>
      </c>
      <c r="E100" s="531" t="s">
        <v>37</v>
      </c>
      <c r="F100" s="531"/>
      <c r="G100" s="531"/>
      <c r="H100" s="531"/>
      <c r="I100" s="497">
        <f>AVERAGEIFS('OverNight $'!$BY$373:$BY$750,'OverNight $'!$B$373:$B$750,$A100)</f>
        <v>3.5600742479518062E-2</v>
      </c>
      <c r="J100" s="665">
        <f t="shared" si="27"/>
        <v>1450000</v>
      </c>
      <c r="K100" s="665">
        <f t="shared" si="27"/>
        <v>3933.125</v>
      </c>
      <c r="L100" s="665">
        <f t="shared" si="27"/>
        <v>0</v>
      </c>
      <c r="M100" s="665">
        <f t="shared" si="27"/>
        <v>0</v>
      </c>
      <c r="N100" s="8"/>
      <c r="O100" s="258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</row>
    <row r="101" spans="1:113" s="6" customFormat="1" ht="14.25" hidden="1" customHeight="1" x14ac:dyDescent="0.2">
      <c r="A101" s="5" t="str">
        <f t="shared" si="26"/>
        <v>9 2026</v>
      </c>
      <c r="B101" s="5"/>
      <c r="C101" s="5"/>
      <c r="D101" s="559">
        <f t="shared" si="28"/>
        <v>46295</v>
      </c>
      <c r="E101" s="531" t="s">
        <v>37</v>
      </c>
      <c r="F101" s="531"/>
      <c r="G101" s="531"/>
      <c r="H101" s="531"/>
      <c r="I101" s="497">
        <f>AVERAGEIFS('OverNight $'!$BY$373:$BY$750,'OverNight $'!$B$373:$B$750,$A101)</f>
        <v>3.61711409395973E-2</v>
      </c>
      <c r="J101" s="665">
        <f t="shared" si="27"/>
        <v>1450000</v>
      </c>
      <c r="K101" s="665">
        <f t="shared" si="27"/>
        <v>3806.25</v>
      </c>
      <c r="L101" s="665">
        <f t="shared" si="27"/>
        <v>0</v>
      </c>
      <c r="M101" s="665">
        <f t="shared" si="27"/>
        <v>0</v>
      </c>
      <c r="N101" s="8"/>
      <c r="O101" s="258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</row>
    <row r="102" spans="1:113" s="6" customFormat="1" ht="14.25" hidden="1" customHeight="1" x14ac:dyDescent="0.2">
      <c r="A102" s="5" t="str">
        <f t="shared" si="26"/>
        <v>10 2026</v>
      </c>
      <c r="B102" s="5"/>
      <c r="C102" s="5"/>
      <c r="D102" s="559">
        <f t="shared" si="28"/>
        <v>46326</v>
      </c>
      <c r="E102" s="531" t="s">
        <v>37</v>
      </c>
      <c r="F102" s="531"/>
      <c r="G102" s="531"/>
      <c r="H102" s="531"/>
      <c r="I102" s="497">
        <f>AVERAGEIFS('OverNight $'!$BY$373:$BY$750,'OverNight $'!$B$373:$B$750,$A102)</f>
        <v>3.61711409395973E-2</v>
      </c>
      <c r="J102" s="665">
        <f t="shared" si="27"/>
        <v>1450000</v>
      </c>
      <c r="K102" s="665">
        <f t="shared" si="27"/>
        <v>3933.125</v>
      </c>
      <c r="L102" s="665">
        <f t="shared" si="27"/>
        <v>0</v>
      </c>
      <c r="M102" s="665">
        <f t="shared" si="27"/>
        <v>0</v>
      </c>
      <c r="N102" s="8"/>
      <c r="O102" s="258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</row>
    <row r="103" spans="1:113" s="6" customFormat="1" ht="14.25" hidden="1" customHeight="1" x14ac:dyDescent="0.2">
      <c r="A103" s="5" t="str">
        <f t="shared" si="26"/>
        <v>11 2026</v>
      </c>
      <c r="B103" s="5"/>
      <c r="C103" s="5"/>
      <c r="D103" s="559">
        <f t="shared" si="28"/>
        <v>46356</v>
      </c>
      <c r="E103" s="531" t="s">
        <v>37</v>
      </c>
      <c r="F103" s="531"/>
      <c r="G103" s="531"/>
      <c r="H103" s="531"/>
      <c r="I103" s="497">
        <f>AVERAGEIFS('OverNight $'!$BY$373:$BY$750,'OverNight $'!$B$373:$B$750,$A103)</f>
        <v>3.1277181208053673E-2</v>
      </c>
      <c r="J103" s="665">
        <f t="shared" si="27"/>
        <v>1450000</v>
      </c>
      <c r="K103" s="665">
        <f t="shared" si="27"/>
        <v>3806.25</v>
      </c>
      <c r="L103" s="665">
        <f t="shared" si="27"/>
        <v>0</v>
      </c>
      <c r="M103" s="665">
        <f t="shared" si="27"/>
        <v>0</v>
      </c>
      <c r="N103" s="8"/>
      <c r="O103" s="258"/>
      <c r="P103" s="428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</row>
    <row r="104" spans="1:113" s="6" customFormat="1" ht="14.25" hidden="1" customHeight="1" x14ac:dyDescent="0.2">
      <c r="A104" s="5" t="str">
        <f t="shared" si="26"/>
        <v>12 2026</v>
      </c>
      <c r="B104" s="5"/>
      <c r="C104" s="5"/>
      <c r="D104" s="560">
        <f t="shared" si="28"/>
        <v>46387</v>
      </c>
      <c r="E104" s="534" t="s">
        <v>37</v>
      </c>
      <c r="F104" s="534"/>
      <c r="G104" s="534"/>
      <c r="H104" s="534"/>
      <c r="I104" s="497">
        <f>AVERAGEIFS('OverNight $'!$BY$373:$BY$750,'OverNight $'!$B$373:$B$750,$A104)</f>
        <v>3.1499999999999979E-2</v>
      </c>
      <c r="J104" s="665">
        <f t="shared" si="27"/>
        <v>1450000</v>
      </c>
      <c r="K104" s="665">
        <f t="shared" si="27"/>
        <v>3933.125</v>
      </c>
      <c r="L104" s="665">
        <f t="shared" si="27"/>
        <v>0</v>
      </c>
      <c r="M104" s="665">
        <f t="shared" si="27"/>
        <v>0</v>
      </c>
      <c r="N104" s="8"/>
      <c r="O104" s="258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</row>
    <row r="105" spans="1:113" s="6" customFormat="1" ht="15" customHeight="1" x14ac:dyDescent="0.2">
      <c r="A105" s="5"/>
      <c r="B105" s="5"/>
      <c r="C105" s="5"/>
      <c r="D105" s="507" t="s">
        <v>309</v>
      </c>
      <c r="E105" s="508"/>
      <c r="F105" s="509"/>
      <c r="G105" s="509"/>
      <c r="H105" s="510"/>
      <c r="I105" s="511">
        <f>AVERAGE(I93:I93)</f>
        <v>3.6755514080697931E-2</v>
      </c>
      <c r="J105" s="705">
        <f>AVERAGE(J93:J93)</f>
        <v>369432597.42858255</v>
      </c>
      <c r="K105" s="705">
        <f>SUM(K93:K93)</f>
        <v>1183348.8614251809</v>
      </c>
      <c r="L105" s="705">
        <f t="shared" ref="L105:M105" si="29">SUM(L93:L93)</f>
        <v>1095294.410000006</v>
      </c>
      <c r="M105" s="705">
        <f t="shared" si="29"/>
        <v>185126.46770348074</v>
      </c>
      <c r="N105" s="8"/>
      <c r="O105" s="636" t="s">
        <v>301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</row>
    <row r="106" spans="1:113" ht="15.75" x14ac:dyDescent="0.25">
      <c r="D106" s="556" t="s">
        <v>246</v>
      </c>
      <c r="E106" s="165"/>
      <c r="F106" s="165"/>
      <c r="G106" s="165"/>
      <c r="H106" s="165"/>
      <c r="I106" s="165"/>
      <c r="J106" s="160"/>
      <c r="K106" s="160"/>
      <c r="L106" s="160"/>
    </row>
    <row r="107" spans="1:113" ht="15" x14ac:dyDescent="0.25">
      <c r="D107"/>
      <c r="E107"/>
      <c r="F107"/>
      <c r="G107"/>
      <c r="H107"/>
      <c r="I107"/>
    </row>
    <row r="108" spans="1:113" ht="15" x14ac:dyDescent="0.25">
      <c r="D108"/>
      <c r="E108"/>
      <c r="F108"/>
      <c r="G108"/>
      <c r="H108"/>
      <c r="I108"/>
      <c r="K108" s="258"/>
    </row>
    <row r="109" spans="1:113" ht="15" x14ac:dyDescent="0.25">
      <c r="D109"/>
      <c r="E109"/>
      <c r="F109"/>
      <c r="G109"/>
      <c r="H109"/>
      <c r="I109"/>
      <c r="K109" s="258"/>
    </row>
    <row r="110" spans="1:113" ht="15" x14ac:dyDescent="0.25">
      <c r="D110"/>
      <c r="E110"/>
      <c r="F110"/>
      <c r="G110"/>
      <c r="H110"/>
      <c r="I110"/>
    </row>
    <row r="111" spans="1:113" ht="15" x14ac:dyDescent="0.25">
      <c r="D111"/>
      <c r="E111"/>
      <c r="F111"/>
      <c r="G111"/>
      <c r="H111"/>
      <c r="I111"/>
    </row>
    <row r="112" spans="1:113" ht="15" x14ac:dyDescent="0.25">
      <c r="D112"/>
      <c r="E112"/>
      <c r="F112"/>
      <c r="G112"/>
      <c r="H112"/>
      <c r="I112"/>
    </row>
    <row r="113" spans="4:9" ht="15" x14ac:dyDescent="0.25">
      <c r="D113"/>
      <c r="E113"/>
      <c r="F113"/>
      <c r="G113"/>
      <c r="H113"/>
      <c r="I113"/>
    </row>
    <row r="114" spans="4:9" ht="15" x14ac:dyDescent="0.25">
      <c r="D114"/>
      <c r="E114"/>
      <c r="F114"/>
      <c r="G114"/>
      <c r="H114"/>
      <c r="I114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9E6F-4A09-414E-81B5-BAC1764825F5}">
  <sheetPr>
    <tabColor theme="9" tint="0.39997558519241921"/>
  </sheetPr>
  <dimension ref="A1:CG753"/>
  <sheetViews>
    <sheetView showGridLines="0" zoomScale="80" zoomScaleNormal="80" workbookViewId="0">
      <pane xSplit="6" ySplit="3" topLeftCell="G420" activePane="bottomRight" state="frozen"/>
      <selection pane="topRight" activeCell="G1" sqref="G1"/>
      <selection pane="bottomLeft" activeCell="A4" sqref="A4"/>
      <selection pane="bottomRight" activeCell="G437" sqref="G437"/>
    </sheetView>
  </sheetViews>
  <sheetFormatPr baseColWidth="10" defaultColWidth="10.85546875" defaultRowHeight="15" x14ac:dyDescent="0.25"/>
  <cols>
    <col min="1" max="1" width="1.140625" style="24" customWidth="1"/>
    <col min="2" max="2" width="11" style="24" customWidth="1"/>
    <col min="3" max="3" width="35.85546875" style="25" bestFit="1" customWidth="1"/>
    <col min="4" max="4" width="38.5703125" style="25" bestFit="1" customWidth="1"/>
    <col min="5" max="5" width="4" style="24" customWidth="1"/>
    <col min="6" max="6" width="8.85546875" style="24" customWidth="1"/>
    <col min="7" max="7" width="29.42578125" style="31" customWidth="1"/>
    <col min="8" max="8" width="8.140625" style="26" customWidth="1"/>
    <col min="9" max="9" width="15.140625" style="27" customWidth="1"/>
    <col min="10" max="10" width="18.5703125" style="24" customWidth="1"/>
    <col min="11" max="11" width="1.42578125" style="24" customWidth="1"/>
    <col min="12" max="12" width="8.85546875" style="9" customWidth="1"/>
    <col min="13" max="13" width="22.5703125" style="99" customWidth="1"/>
    <col min="14" max="14" width="17.42578125" style="100" customWidth="1"/>
    <col min="15" max="15" width="17.42578125" style="19" customWidth="1"/>
    <col min="16" max="17" width="19.5703125" style="9" customWidth="1"/>
    <col min="18" max="18" width="2.5703125" style="9" customWidth="1"/>
    <col min="19" max="19" width="8.85546875" style="9" customWidth="1"/>
    <col min="20" max="20" width="22.5703125" style="99" customWidth="1"/>
    <col min="21" max="21" width="17.42578125" style="100" customWidth="1"/>
    <col min="22" max="22" width="17.42578125" style="19" customWidth="1"/>
    <col min="23" max="24" width="19.5703125" style="9" customWidth="1"/>
    <col min="25" max="25" width="2.5703125" style="9" customWidth="1"/>
    <col min="26" max="26" width="8.85546875" style="9" customWidth="1"/>
    <col min="27" max="27" width="22.5703125" style="99" customWidth="1"/>
    <col min="28" max="28" width="17.42578125" style="100" customWidth="1"/>
    <col min="29" max="29" width="17.42578125" style="19" customWidth="1"/>
    <col min="30" max="31" width="19.5703125" style="9" customWidth="1"/>
    <col min="32" max="32" width="2.5703125" style="9" customWidth="1"/>
    <col min="33" max="33" width="8.85546875" style="9" customWidth="1"/>
    <col min="34" max="34" width="22.5703125" style="99" customWidth="1"/>
    <col min="35" max="35" width="17.42578125" style="100" customWidth="1"/>
    <col min="36" max="36" width="17.42578125" style="19" customWidth="1"/>
    <col min="37" max="38" width="19.5703125" style="9" customWidth="1"/>
    <col min="39" max="39" width="2.5703125" style="9" customWidth="1"/>
    <col min="40" max="40" width="20.42578125" style="24" bestFit="1" customWidth="1"/>
    <col min="41" max="43" width="18" style="24" customWidth="1"/>
    <col min="44" max="45" width="2.5703125" style="24" customWidth="1"/>
    <col min="46" max="46" width="9.5703125" style="24" customWidth="1"/>
    <col min="47" max="47" width="14.5703125" style="24" customWidth="1"/>
    <col min="48" max="48" width="23.42578125" style="24" customWidth="1"/>
    <col min="49" max="49" width="11.85546875" style="26" bestFit="1" customWidth="1"/>
    <col min="50" max="50" width="5.42578125" style="26" customWidth="1"/>
    <col min="51" max="51" width="15" style="24" bestFit="1" customWidth="1"/>
    <col min="52" max="52" width="15.5703125" style="24" bestFit="1" customWidth="1"/>
    <col min="53" max="53" width="14.5703125" style="24" customWidth="1"/>
    <col min="54" max="54" width="10.85546875" style="24"/>
    <col min="55" max="55" width="21.5703125" bestFit="1" customWidth="1"/>
    <col min="56" max="56" width="24.85546875" bestFit="1" customWidth="1"/>
    <col min="57" max="57" width="19.5703125" bestFit="1" customWidth="1"/>
    <col min="58" max="58" width="16.42578125" bestFit="1" customWidth="1"/>
    <col min="59" max="59" width="6" customWidth="1"/>
    <col min="60" max="60" width="21.5703125" bestFit="1" customWidth="1"/>
    <col min="61" max="61" width="24.85546875" bestFit="1" customWidth="1"/>
    <col min="62" max="62" width="19.5703125" bestFit="1" customWidth="1"/>
    <col min="63" max="63" width="13.42578125" bestFit="1" customWidth="1"/>
    <col min="64" max="64" width="11.42578125"/>
    <col min="65" max="65" width="21.5703125" bestFit="1" customWidth="1"/>
    <col min="66" max="66" width="24.85546875" bestFit="1" customWidth="1"/>
    <col min="67" max="67" width="19.5703125" bestFit="1" customWidth="1"/>
    <col min="68" max="68" width="13.42578125" bestFit="1" customWidth="1"/>
    <col min="69" max="69" width="11.42578125"/>
    <col min="70" max="70" width="21.5703125" bestFit="1" customWidth="1"/>
    <col min="71" max="71" width="24.85546875" bestFit="1" customWidth="1"/>
    <col min="72" max="72" width="19.5703125" bestFit="1" customWidth="1"/>
    <col min="73" max="73" width="13.42578125" bestFit="1" customWidth="1"/>
    <col min="74" max="74" width="18" style="24" customWidth="1"/>
    <col min="75" max="75" width="21" style="24" bestFit="1" customWidth="1"/>
    <col min="76" max="76" width="18.5703125" style="24" bestFit="1" customWidth="1"/>
    <col min="77" max="77" width="15.5703125" style="24" bestFit="1" customWidth="1"/>
    <col min="78" max="78" width="20.5703125" style="24" bestFit="1" customWidth="1"/>
    <col min="79" max="79" width="24.5703125" style="24" customWidth="1"/>
    <col min="80" max="16384" width="10.85546875" style="24"/>
  </cols>
  <sheetData>
    <row r="1" spans="2:82" ht="15.75" x14ac:dyDescent="0.25">
      <c r="C1" s="718" t="s">
        <v>0</v>
      </c>
      <c r="D1" s="718"/>
      <c r="E1" s="718"/>
      <c r="F1" s="718"/>
      <c r="G1" s="718"/>
      <c r="H1" s="718"/>
      <c r="I1" s="718"/>
      <c r="J1" s="718"/>
      <c r="K1" s="30" t="s">
        <v>12</v>
      </c>
      <c r="L1" s="28" t="s">
        <v>11</v>
      </c>
      <c r="M1" s="9"/>
      <c r="N1" s="9"/>
      <c r="O1" s="9"/>
      <c r="S1" s="28" t="s">
        <v>11</v>
      </c>
      <c r="T1" s="9"/>
      <c r="U1" s="9"/>
      <c r="V1" s="9"/>
      <c r="Z1" s="28" t="s">
        <v>11</v>
      </c>
      <c r="AA1" s="9"/>
      <c r="AB1" s="9"/>
      <c r="AC1" s="9"/>
      <c r="AG1" s="28" t="s">
        <v>11</v>
      </c>
      <c r="AH1" s="9"/>
      <c r="AI1" s="9"/>
      <c r="AJ1" s="9"/>
      <c r="AN1" s="30"/>
      <c r="AO1" s="30"/>
      <c r="AP1" s="30"/>
      <c r="AQ1" s="30"/>
      <c r="AR1" s="30"/>
      <c r="AS1" s="30"/>
      <c r="AT1" s="30"/>
      <c r="AU1" s="30"/>
      <c r="AV1" s="30"/>
      <c r="AW1" s="24"/>
      <c r="AX1" s="24"/>
      <c r="BM1" s="434"/>
      <c r="BN1" s="435"/>
      <c r="BO1" s="435"/>
      <c r="BP1" s="436" t="s">
        <v>210</v>
      </c>
      <c r="BR1" s="433"/>
      <c r="BS1" s="435"/>
      <c r="BT1" s="435"/>
      <c r="BU1" s="436" t="s">
        <v>210</v>
      </c>
      <c r="BV1" s="30"/>
    </row>
    <row r="2" spans="2:82" ht="26.25" x14ac:dyDescent="0.25">
      <c r="B2" s="127"/>
      <c r="C2" s="176" t="s">
        <v>70</v>
      </c>
      <c r="D2" s="176" t="s">
        <v>71</v>
      </c>
      <c r="E2" s="127"/>
      <c r="F2" s="719" t="s">
        <v>10</v>
      </c>
      <c r="G2" s="720"/>
      <c r="H2" s="720"/>
      <c r="I2" s="720"/>
      <c r="J2" s="721"/>
      <c r="L2" s="714" t="s">
        <v>196</v>
      </c>
      <c r="M2" s="714"/>
      <c r="N2" s="714"/>
      <c r="O2" s="714"/>
      <c r="P2" s="714"/>
      <c r="Q2" s="726"/>
      <c r="S2" s="714" t="s">
        <v>197</v>
      </c>
      <c r="T2" s="714"/>
      <c r="U2" s="714"/>
      <c r="V2" s="714"/>
      <c r="W2" s="714"/>
      <c r="X2" s="726"/>
      <c r="Z2" s="714" t="s">
        <v>199</v>
      </c>
      <c r="AA2" s="714"/>
      <c r="AB2" s="714"/>
      <c r="AC2" s="714"/>
      <c r="AD2" s="714"/>
      <c r="AE2" s="726"/>
      <c r="AG2" s="714" t="s">
        <v>198</v>
      </c>
      <c r="AH2" s="714"/>
      <c r="AI2" s="714"/>
      <c r="AJ2" s="714"/>
      <c r="AK2" s="714"/>
      <c r="AL2" s="726"/>
      <c r="AN2" s="208" t="s">
        <v>129</v>
      </c>
      <c r="AO2" s="208"/>
      <c r="AP2" s="208"/>
      <c r="AQ2" s="209"/>
      <c r="AT2" s="722" t="s">
        <v>64</v>
      </c>
      <c r="AU2" s="723"/>
      <c r="AV2" s="724"/>
      <c r="AW2" s="724"/>
      <c r="AX2" s="724"/>
      <c r="AY2" s="724"/>
      <c r="AZ2" s="724"/>
      <c r="BA2" s="725"/>
      <c r="BC2" s="141" t="str">
        <f>'MM $'!G2</f>
        <v>Allspring</v>
      </c>
      <c r="BH2" s="141" t="str">
        <f>'MM $'!N2</f>
        <v>GOLDMAN SACHS</v>
      </c>
      <c r="BM2" s="434" t="str">
        <f>'MM $'!W2</f>
        <v>Morgan Stanley</v>
      </c>
      <c r="BN2" s="437"/>
      <c r="BO2" s="438"/>
      <c r="BP2" s="438"/>
      <c r="BR2" s="433" t="s">
        <v>211</v>
      </c>
      <c r="BS2" s="437"/>
      <c r="BT2" s="438"/>
      <c r="BU2" s="438"/>
      <c r="BV2" s="439"/>
    </row>
    <row r="3" spans="2:82" ht="38.25" x14ac:dyDescent="0.25">
      <c r="B3" s="128" t="s">
        <v>24</v>
      </c>
      <c r="C3" s="128" t="s">
        <v>1</v>
      </c>
      <c r="D3" s="128" t="s">
        <v>2</v>
      </c>
      <c r="E3" s="129" t="s">
        <v>3</v>
      </c>
      <c r="F3" s="130" t="s">
        <v>4</v>
      </c>
      <c r="G3" s="131" t="s">
        <v>65</v>
      </c>
      <c r="H3" s="132" t="s">
        <v>6</v>
      </c>
      <c r="I3" s="133" t="s">
        <v>8</v>
      </c>
      <c r="J3" s="130" t="s">
        <v>9</v>
      </c>
      <c r="L3" s="11" t="s">
        <v>4</v>
      </c>
      <c r="M3" s="12" t="s">
        <v>5</v>
      </c>
      <c r="N3" s="29" t="s">
        <v>6</v>
      </c>
      <c r="O3" s="13" t="s">
        <v>8</v>
      </c>
      <c r="P3" s="11" t="s">
        <v>9</v>
      </c>
      <c r="Q3" s="11" t="s">
        <v>58</v>
      </c>
      <c r="S3" s="11" t="s">
        <v>4</v>
      </c>
      <c r="T3" s="12" t="s">
        <v>5</v>
      </c>
      <c r="U3" s="29" t="s">
        <v>6</v>
      </c>
      <c r="V3" s="13" t="s">
        <v>8</v>
      </c>
      <c r="W3" s="11" t="s">
        <v>9</v>
      </c>
      <c r="X3" s="11" t="s">
        <v>58</v>
      </c>
      <c r="Z3" s="11" t="s">
        <v>4</v>
      </c>
      <c r="AA3" s="12" t="s">
        <v>5</v>
      </c>
      <c r="AB3" s="29" t="s">
        <v>6</v>
      </c>
      <c r="AC3" s="13" t="s">
        <v>8</v>
      </c>
      <c r="AD3" s="11" t="s">
        <v>9</v>
      </c>
      <c r="AE3" s="11" t="s">
        <v>58</v>
      </c>
      <c r="AG3" s="11" t="s">
        <v>4</v>
      </c>
      <c r="AH3" s="12" t="s">
        <v>5</v>
      </c>
      <c r="AI3" s="29" t="s">
        <v>6</v>
      </c>
      <c r="AJ3" s="13" t="s">
        <v>8</v>
      </c>
      <c r="AK3" s="11" t="s">
        <v>9</v>
      </c>
      <c r="AL3" s="11" t="s">
        <v>58</v>
      </c>
      <c r="AN3" s="232" t="s">
        <v>86</v>
      </c>
      <c r="AO3" s="233" t="s">
        <v>165</v>
      </c>
      <c r="AP3" s="238" t="s">
        <v>93</v>
      </c>
      <c r="AQ3" s="239" t="s">
        <v>60</v>
      </c>
      <c r="AT3" s="130" t="s">
        <v>62</v>
      </c>
      <c r="AU3" s="130"/>
      <c r="AV3" s="131" t="s">
        <v>63</v>
      </c>
      <c r="AW3" s="132" t="s">
        <v>6</v>
      </c>
      <c r="AX3" s="132"/>
      <c r="AY3" s="133" t="s">
        <v>8</v>
      </c>
      <c r="AZ3" s="130" t="s">
        <v>9</v>
      </c>
      <c r="BA3" s="130" t="s">
        <v>58</v>
      </c>
      <c r="BC3" s="232" t="s">
        <v>208</v>
      </c>
      <c r="BD3" s="295" t="s">
        <v>303</v>
      </c>
      <c r="BE3" s="440" t="s">
        <v>217</v>
      </c>
      <c r="BF3" s="239" t="s">
        <v>60</v>
      </c>
      <c r="BH3" s="232" t="s">
        <v>208</v>
      </c>
      <c r="BI3" s="295" t="s">
        <v>303</v>
      </c>
      <c r="BJ3" s="440" t="s">
        <v>217</v>
      </c>
      <c r="BK3" s="239" t="s">
        <v>60</v>
      </c>
      <c r="BM3" s="232" t="s">
        <v>208</v>
      </c>
      <c r="BN3" s="295" t="s">
        <v>303</v>
      </c>
      <c r="BO3" s="440" t="s">
        <v>217</v>
      </c>
      <c r="BP3" s="239" t="s">
        <v>60</v>
      </c>
      <c r="BR3" s="232" t="s">
        <v>208</v>
      </c>
      <c r="BS3" s="295" t="s">
        <v>303</v>
      </c>
      <c r="BT3" s="440" t="s">
        <v>217</v>
      </c>
      <c r="BU3" s="239" t="s">
        <v>60</v>
      </c>
      <c r="BV3" s="439"/>
      <c r="BW3" s="12" t="s">
        <v>54</v>
      </c>
      <c r="BX3" s="12" t="s">
        <v>61</v>
      </c>
      <c r="BY3" s="12" t="s">
        <v>55</v>
      </c>
      <c r="BZ3" s="12" t="s">
        <v>56</v>
      </c>
      <c r="CA3" s="12" t="s">
        <v>59</v>
      </c>
    </row>
    <row r="4" spans="2:82" ht="12.75" x14ac:dyDescent="0.2">
      <c r="B4" s="616"/>
      <c r="C4" s="616"/>
      <c r="D4" s="616"/>
      <c r="E4" s="127"/>
      <c r="F4" s="127"/>
      <c r="G4" s="617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  <c r="T4" s="618"/>
      <c r="U4" s="618"/>
      <c r="V4" s="618"/>
      <c r="W4" s="618"/>
      <c r="X4" s="618"/>
      <c r="Y4" s="618"/>
      <c r="Z4" s="618"/>
      <c r="AA4" s="618"/>
      <c r="AB4" s="618"/>
      <c r="AC4" s="618"/>
      <c r="AD4" s="618"/>
      <c r="AE4" s="618"/>
      <c r="AF4" s="618"/>
      <c r="AG4" s="618"/>
      <c r="AH4" s="618"/>
      <c r="AI4" s="618"/>
      <c r="AJ4" s="618"/>
      <c r="AK4" s="618"/>
      <c r="AL4" s="618"/>
      <c r="AM4" s="618"/>
      <c r="AN4" s="618"/>
      <c r="AO4" s="618"/>
      <c r="AP4" s="618"/>
      <c r="AQ4" s="618"/>
      <c r="AR4" s="618"/>
      <c r="AS4" s="618"/>
      <c r="AT4" s="618"/>
      <c r="AU4" s="618"/>
      <c r="AV4" s="618"/>
      <c r="AW4" s="618"/>
      <c r="AX4" s="618"/>
      <c r="AY4" s="618"/>
      <c r="AZ4" s="618"/>
      <c r="BA4" s="618"/>
      <c r="BB4" s="618"/>
      <c r="BC4" s="618"/>
      <c r="BD4" s="618"/>
      <c r="BE4" s="618"/>
      <c r="BF4" s="618"/>
      <c r="BG4" s="618"/>
      <c r="BH4" s="618"/>
      <c r="BI4" s="618"/>
      <c r="BJ4" s="618"/>
      <c r="BK4" s="618"/>
      <c r="BL4" s="618"/>
      <c r="BM4" s="618"/>
      <c r="BN4" s="618"/>
      <c r="BO4" s="618"/>
      <c r="BP4" s="618"/>
      <c r="BQ4" s="618"/>
      <c r="BR4" s="618"/>
      <c r="BS4" s="618"/>
      <c r="BT4" s="618"/>
      <c r="BU4" s="618"/>
      <c r="BV4" s="618"/>
      <c r="BW4" s="618"/>
      <c r="BX4" s="618"/>
      <c r="BY4" s="618"/>
      <c r="BZ4" s="618"/>
      <c r="CA4" s="618"/>
      <c r="CB4" s="618"/>
      <c r="CC4" s="618"/>
      <c r="CD4" s="618"/>
    </row>
    <row r="5" spans="2:82" x14ac:dyDescent="0.25">
      <c r="B5" s="137" t="str">
        <f t="shared" ref="B5:B13" si="0">CONCATENATE(MONTH(D5)," ",YEAR(D5))</f>
        <v>1 2025</v>
      </c>
      <c r="C5" s="138">
        <v>45657</v>
      </c>
      <c r="D5" s="138">
        <v>45658</v>
      </c>
      <c r="E5" s="137">
        <f t="shared" ref="E5:E13" si="1">D5-C5</f>
        <v>1</v>
      </c>
      <c r="F5" s="137" t="s">
        <v>7</v>
      </c>
      <c r="G5" s="124">
        <v>13650000</v>
      </c>
      <c r="H5" s="125">
        <v>0.04</v>
      </c>
      <c r="I5" s="124">
        <f>ROUND(+G5*H5*E5/360,2)</f>
        <v>1516.67</v>
      </c>
      <c r="J5" s="124">
        <f>I5</f>
        <v>1516.67</v>
      </c>
      <c r="K5" s="9"/>
      <c r="L5" s="11"/>
      <c r="M5" s="12"/>
      <c r="N5" s="97"/>
      <c r="O5" s="13"/>
      <c r="P5" s="13"/>
      <c r="Q5" s="13"/>
      <c r="S5" s="11"/>
      <c r="T5" s="12"/>
      <c r="U5" s="97"/>
      <c r="V5" s="13"/>
      <c r="W5" s="13"/>
      <c r="X5" s="13"/>
      <c r="Z5" s="11"/>
      <c r="AA5" s="12"/>
      <c r="AB5" s="97"/>
      <c r="AC5" s="13"/>
      <c r="AD5" s="13"/>
      <c r="AE5" s="13"/>
      <c r="AG5" s="11"/>
      <c r="AH5" s="12"/>
      <c r="AI5" s="97"/>
      <c r="AJ5" s="13"/>
      <c r="AK5" s="13"/>
      <c r="AL5" s="13"/>
      <c r="AN5" s="9"/>
      <c r="AO5" s="9"/>
      <c r="AP5" s="9"/>
      <c r="AQ5" s="9"/>
      <c r="AR5" s="9"/>
      <c r="AS5" s="9"/>
      <c r="AT5" s="123">
        <v>1</v>
      </c>
      <c r="AU5" s="123" t="s">
        <v>32</v>
      </c>
      <c r="AV5" s="124">
        <v>12656162.73</v>
      </c>
      <c r="AW5" s="139">
        <v>4.2500000000000003E-2</v>
      </c>
      <c r="AX5" s="139"/>
      <c r="AY5" s="124">
        <f>AV5*AW5*AT5/366</f>
        <v>1469.6363825819674</v>
      </c>
      <c r="AZ5" s="140">
        <f>AY5</f>
        <v>1469.6363825819674</v>
      </c>
      <c r="BA5" s="140">
        <f t="shared" ref="BA5:BA68" si="2">AY5-AV5*H5*AT5/360</f>
        <v>63.396079248633896</v>
      </c>
      <c r="BC5" s="122"/>
      <c r="BD5" s="122"/>
      <c r="BE5" s="122"/>
      <c r="BF5" s="122"/>
      <c r="BH5" s="122"/>
      <c r="BI5" s="122"/>
      <c r="BJ5" s="122"/>
      <c r="BK5" s="122"/>
      <c r="BM5" s="122"/>
      <c r="BN5" s="122"/>
      <c r="BO5" s="122"/>
      <c r="BP5" s="122"/>
      <c r="BR5" s="122"/>
      <c r="BS5" s="122"/>
      <c r="BT5" s="122"/>
      <c r="BU5" s="122"/>
      <c r="BV5" s="439"/>
      <c r="BW5" s="120">
        <f>AV5+G5+M5+T5+AA5+AH5+AN5+BC5+BH5+BM5+BR5</f>
        <v>26306162.73</v>
      </c>
      <c r="BX5" s="121">
        <v>4.2500000000000003E-2</v>
      </c>
      <c r="BY5" s="121">
        <f>(SUM((AW5*AV5),(H5*G5),(M5*N5),(T5*U5),(AA5*AB5),(AH5*AI5),(AN5*AO5),(BC5*BD5),(BH5*BI5),(BM5*BN5),(BR5*BS5))/BW5)</f>
        <v>4.1202775454168269E-2</v>
      </c>
      <c r="BZ5" s="120">
        <f>AY5+I5+O5+V5+AC5+AJ5+AP5+BE5+BJ5+BO5+BT5</f>
        <v>2986.3063825819672</v>
      </c>
      <c r="CA5" s="120">
        <f>BA5+Q5+X5+AE5+AL5+AQ5+BF5+BK5+BP5+BU5</f>
        <v>63.396079248633896</v>
      </c>
    </row>
    <row r="6" spans="2:82" x14ac:dyDescent="0.25">
      <c r="B6" s="137" t="str">
        <f t="shared" si="0"/>
        <v>1 2025</v>
      </c>
      <c r="C6" s="138">
        <f t="shared" ref="C6:C13" si="3">D5</f>
        <v>45658</v>
      </c>
      <c r="D6" s="138">
        <f t="shared" ref="D6:D69" si="4">D5+1</f>
        <v>45659</v>
      </c>
      <c r="E6" s="137">
        <f t="shared" si="1"/>
        <v>1</v>
      </c>
      <c r="F6" s="137" t="s">
        <v>7</v>
      </c>
      <c r="G6" s="124">
        <f>G5</f>
        <v>13650000</v>
      </c>
      <c r="H6" s="125">
        <f>H5</f>
        <v>0.04</v>
      </c>
      <c r="I6" s="124">
        <f t="shared" ref="I6:I62" si="5">ROUND(+G6*H6*E6/360,2)</f>
        <v>1516.67</v>
      </c>
      <c r="J6" s="124">
        <f t="shared" ref="J6:J13" si="6">J5+I6</f>
        <v>3033.34</v>
      </c>
      <c r="K6" s="9"/>
      <c r="L6" s="11"/>
      <c r="M6" s="12"/>
      <c r="N6" s="97"/>
      <c r="O6" s="13"/>
      <c r="P6" s="13"/>
      <c r="Q6" s="13"/>
      <c r="S6" s="11"/>
      <c r="T6" s="12"/>
      <c r="U6" s="97"/>
      <c r="V6" s="13"/>
      <c r="W6" s="13"/>
      <c r="X6" s="13"/>
      <c r="Z6" s="11"/>
      <c r="AA6" s="12"/>
      <c r="AB6" s="97"/>
      <c r="AC6" s="13"/>
      <c r="AD6" s="13"/>
      <c r="AE6" s="13"/>
      <c r="AG6" s="11"/>
      <c r="AH6" s="12"/>
      <c r="AI6" s="97"/>
      <c r="AJ6" s="13"/>
      <c r="AK6" s="13"/>
      <c r="AL6" s="13"/>
      <c r="AN6" s="9"/>
      <c r="AO6" s="9"/>
      <c r="AP6" s="9"/>
      <c r="AQ6" s="9"/>
      <c r="AR6" s="9"/>
      <c r="AS6" s="9"/>
      <c r="AT6" s="123">
        <v>1</v>
      </c>
      <c r="AU6" s="123" t="s">
        <v>32</v>
      </c>
      <c r="AV6" s="124">
        <v>12656162.73</v>
      </c>
      <c r="AW6" s="139">
        <v>4.2500000000000003E-2</v>
      </c>
      <c r="AX6" s="139"/>
      <c r="AY6" s="124">
        <f>AV6*AW6*AT6/365</f>
        <v>1473.662783630137</v>
      </c>
      <c r="AZ6" s="140">
        <f t="shared" ref="AZ6:AZ69" si="7">AZ5+AY6</f>
        <v>2943.2991662121044</v>
      </c>
      <c r="BA6" s="140">
        <f t="shared" si="2"/>
        <v>67.422480296803542</v>
      </c>
      <c r="BC6" s="122"/>
      <c r="BD6" s="122"/>
      <c r="BE6" s="122"/>
      <c r="BF6" s="122"/>
      <c r="BH6" s="122"/>
      <c r="BI6" s="122"/>
      <c r="BJ6" s="122"/>
      <c r="BK6" s="122"/>
      <c r="BM6" s="122"/>
      <c r="BN6" s="122"/>
      <c r="BO6" s="122"/>
      <c r="BP6" s="122"/>
      <c r="BR6" s="122"/>
      <c r="BS6" s="122"/>
      <c r="BT6" s="122"/>
      <c r="BU6" s="122"/>
      <c r="BV6" s="439"/>
      <c r="BW6" s="120">
        <f t="shared" ref="BW6:BW69" si="8">AV6+G6+M6+T6+AA6+AH6+AN6+BC6+BH6+BM6+BR6</f>
        <v>26306162.73</v>
      </c>
      <c r="BX6" s="121">
        <v>4.2500000000000003E-2</v>
      </c>
      <c r="BY6" s="121">
        <f t="shared" ref="BY6:BY69" si="9">(SUM((AW6*AV6),(H6*G6),(M6*N6),(T6*U6),(AA6*AB6),(AH6*AI6),(AN6*AO6),(BC6*BD6),(BH6*BI6),(BM6*BN6),(BR6*BS6))/BW6)</f>
        <v>4.1202775454168269E-2</v>
      </c>
      <c r="BZ6" s="120">
        <f t="shared" ref="BZ6:BZ69" si="10">AY6+I6+O6+V6+AC6+AJ6+AP6+BE6+BJ6+BO6+BT6</f>
        <v>2990.3327836301369</v>
      </c>
      <c r="CA6" s="120">
        <f t="shared" ref="CA6:CA69" si="11">BA6+Q6+X6+AE6+AL6+AQ6+BF6+BK6+BP6+BU6</f>
        <v>67.422480296803542</v>
      </c>
    </row>
    <row r="7" spans="2:82" x14ac:dyDescent="0.25">
      <c r="B7" s="137" t="str">
        <f t="shared" si="0"/>
        <v>1 2025</v>
      </c>
      <c r="C7" s="138">
        <f t="shared" si="3"/>
        <v>45659</v>
      </c>
      <c r="D7" s="138">
        <f t="shared" si="4"/>
        <v>45660</v>
      </c>
      <c r="E7" s="137">
        <f t="shared" si="1"/>
        <v>1</v>
      </c>
      <c r="F7" s="137" t="s">
        <v>7</v>
      </c>
      <c r="G7" s="126">
        <f>G6+100000</f>
        <v>13750000</v>
      </c>
      <c r="H7" s="125">
        <f t="shared" ref="H7:H70" si="12">H6</f>
        <v>0.04</v>
      </c>
      <c r="I7" s="124">
        <f t="shared" si="5"/>
        <v>1527.78</v>
      </c>
      <c r="J7" s="124">
        <f t="shared" si="6"/>
        <v>4561.12</v>
      </c>
      <c r="K7" s="9"/>
      <c r="L7" s="11"/>
      <c r="M7" s="12"/>
      <c r="N7" s="97"/>
      <c r="O7" s="13"/>
      <c r="P7" s="13"/>
      <c r="Q7" s="13"/>
      <c r="S7" s="11"/>
      <c r="T7" s="12"/>
      <c r="U7" s="97"/>
      <c r="V7" s="13"/>
      <c r="W7" s="13"/>
      <c r="X7" s="13"/>
      <c r="Z7" s="11"/>
      <c r="AA7" s="12"/>
      <c r="AB7" s="97"/>
      <c r="AC7" s="13"/>
      <c r="AD7" s="13"/>
      <c r="AE7" s="13"/>
      <c r="AG7" s="11"/>
      <c r="AH7" s="12"/>
      <c r="AI7" s="97"/>
      <c r="AJ7" s="13"/>
      <c r="AK7" s="13"/>
      <c r="AL7" s="13"/>
      <c r="AN7" s="9"/>
      <c r="AO7" s="9"/>
      <c r="AP7" s="9"/>
      <c r="AQ7" s="9"/>
      <c r="AR7" s="9"/>
      <c r="AS7" s="9"/>
      <c r="AT7" s="123">
        <v>1</v>
      </c>
      <c r="AU7" s="123" t="s">
        <v>32</v>
      </c>
      <c r="AV7" s="124">
        <v>12659156.220000001</v>
      </c>
      <c r="AW7" s="139">
        <v>4.2500000000000003E-2</v>
      </c>
      <c r="AX7" s="139"/>
      <c r="AY7" s="124">
        <f t="shared" ref="AY7:AY70" si="13">AV7*AW7*AT7/365</f>
        <v>1474.0113406849316</v>
      </c>
      <c r="AZ7" s="140">
        <f t="shared" si="7"/>
        <v>4417.3105068970362</v>
      </c>
      <c r="BA7" s="140">
        <f t="shared" si="2"/>
        <v>67.438427351598193</v>
      </c>
      <c r="BC7" s="122"/>
      <c r="BD7" s="122"/>
      <c r="BE7" s="122"/>
      <c r="BF7" s="122"/>
      <c r="BH7" s="122"/>
      <c r="BI7" s="122"/>
      <c r="BJ7" s="122"/>
      <c r="BK7" s="122"/>
      <c r="BM7" s="122"/>
      <c r="BN7" s="122"/>
      <c r="BO7" s="122"/>
      <c r="BP7" s="122"/>
      <c r="BR7" s="122"/>
      <c r="BS7" s="122"/>
      <c r="BT7" s="122"/>
      <c r="BU7" s="122"/>
      <c r="BV7" s="439"/>
      <c r="BW7" s="120">
        <f t="shared" si="8"/>
        <v>26409156.219999999</v>
      </c>
      <c r="BX7" s="121">
        <v>4.2500000000000003E-2</v>
      </c>
      <c r="BY7" s="121">
        <f t="shared" si="9"/>
        <v>4.119836810712009E-2</v>
      </c>
      <c r="BZ7" s="120">
        <f t="shared" si="10"/>
        <v>3001.7913406849316</v>
      </c>
      <c r="CA7" s="120">
        <f t="shared" si="11"/>
        <v>67.438427351598193</v>
      </c>
    </row>
    <row r="8" spans="2:82" x14ac:dyDescent="0.25">
      <c r="B8" s="137" t="str">
        <f t="shared" si="0"/>
        <v>1 2025</v>
      </c>
      <c r="C8" s="138">
        <f t="shared" si="3"/>
        <v>45660</v>
      </c>
      <c r="D8" s="138">
        <f t="shared" si="4"/>
        <v>45661</v>
      </c>
      <c r="E8" s="137">
        <f t="shared" si="1"/>
        <v>1</v>
      </c>
      <c r="F8" s="137" t="s">
        <v>7</v>
      </c>
      <c r="G8" s="124">
        <f t="shared" ref="G8" si="14">G7</f>
        <v>13750000</v>
      </c>
      <c r="H8" s="125">
        <f t="shared" si="12"/>
        <v>0.04</v>
      </c>
      <c r="I8" s="124">
        <f t="shared" si="5"/>
        <v>1527.78</v>
      </c>
      <c r="J8" s="124">
        <f t="shared" si="6"/>
        <v>6088.9</v>
      </c>
      <c r="K8" s="9"/>
      <c r="L8" s="11"/>
      <c r="M8" s="12"/>
      <c r="N8" s="97"/>
      <c r="O8" s="13"/>
      <c r="P8" s="13"/>
      <c r="Q8" s="13"/>
      <c r="S8" s="11"/>
      <c r="T8" s="12"/>
      <c r="U8" s="97"/>
      <c r="V8" s="13"/>
      <c r="W8" s="13"/>
      <c r="X8" s="13"/>
      <c r="Z8" s="11"/>
      <c r="AA8" s="12"/>
      <c r="AB8" s="97"/>
      <c r="AC8" s="13"/>
      <c r="AD8" s="13"/>
      <c r="AE8" s="13"/>
      <c r="AG8" s="11"/>
      <c r="AH8" s="12"/>
      <c r="AI8" s="97"/>
      <c r="AJ8" s="13"/>
      <c r="AK8" s="13"/>
      <c r="AL8" s="13"/>
      <c r="AN8" s="9"/>
      <c r="AO8" s="9"/>
      <c r="AP8" s="9"/>
      <c r="AQ8" s="9"/>
      <c r="AR8" s="9"/>
      <c r="AS8" s="9"/>
      <c r="AT8" s="123">
        <v>1</v>
      </c>
      <c r="AU8" s="123" t="s">
        <v>32</v>
      </c>
      <c r="AV8" s="124">
        <v>12648924.390000001</v>
      </c>
      <c r="AW8" s="139">
        <v>4.2500000000000003E-2</v>
      </c>
      <c r="AX8" s="139"/>
      <c r="AY8" s="124">
        <f t="shared" si="13"/>
        <v>1472.8199632191781</v>
      </c>
      <c r="AZ8" s="140">
        <f t="shared" si="7"/>
        <v>5890.1304701162144</v>
      </c>
      <c r="BA8" s="140">
        <f t="shared" si="2"/>
        <v>67.383919885844534</v>
      </c>
      <c r="BC8" s="122"/>
      <c r="BD8" s="122"/>
      <c r="BE8" s="122"/>
      <c r="BF8" s="122"/>
      <c r="BH8" s="122"/>
      <c r="BI8" s="122"/>
      <c r="BJ8" s="122"/>
      <c r="BK8" s="122"/>
      <c r="BM8" s="122"/>
      <c r="BN8" s="122"/>
      <c r="BO8" s="122"/>
      <c r="BP8" s="122"/>
      <c r="BR8" s="122"/>
      <c r="BS8" s="122"/>
      <c r="BT8" s="122"/>
      <c r="BU8" s="122"/>
      <c r="BV8" s="439"/>
      <c r="BW8" s="120">
        <f t="shared" si="8"/>
        <v>26398924.390000001</v>
      </c>
      <c r="BX8" s="121">
        <v>4.2500000000000003E-2</v>
      </c>
      <c r="BY8" s="121">
        <f t="shared" si="9"/>
        <v>4.1197863613980375E-2</v>
      </c>
      <c r="BZ8" s="120">
        <f t="shared" si="10"/>
        <v>3000.5999632191779</v>
      </c>
      <c r="CA8" s="120">
        <f t="shared" si="11"/>
        <v>67.383919885844534</v>
      </c>
    </row>
    <row r="9" spans="2:82" x14ac:dyDescent="0.25">
      <c r="B9" s="137" t="str">
        <f t="shared" si="0"/>
        <v>1 2025</v>
      </c>
      <c r="C9" s="138">
        <f t="shared" si="3"/>
        <v>45661</v>
      </c>
      <c r="D9" s="138">
        <f t="shared" si="4"/>
        <v>45662</v>
      </c>
      <c r="E9" s="137">
        <f t="shared" si="1"/>
        <v>1</v>
      </c>
      <c r="F9" s="137" t="s">
        <v>7</v>
      </c>
      <c r="G9" s="124">
        <f t="shared" ref="G9" si="15">G8</f>
        <v>13750000</v>
      </c>
      <c r="H9" s="125">
        <f t="shared" si="12"/>
        <v>0.04</v>
      </c>
      <c r="I9" s="124">
        <f t="shared" si="5"/>
        <v>1527.78</v>
      </c>
      <c r="J9" s="124">
        <f t="shared" si="6"/>
        <v>7616.6799999999994</v>
      </c>
      <c r="K9" s="9"/>
      <c r="L9" s="11"/>
      <c r="M9" s="12"/>
      <c r="N9" s="97"/>
      <c r="O9" s="13"/>
      <c r="P9" s="13"/>
      <c r="Q9" s="13"/>
      <c r="S9" s="11"/>
      <c r="T9" s="12"/>
      <c r="U9" s="97"/>
      <c r="V9" s="13"/>
      <c r="W9" s="13"/>
      <c r="X9" s="13"/>
      <c r="Z9" s="11"/>
      <c r="AA9" s="12"/>
      <c r="AB9" s="97"/>
      <c r="AC9" s="13"/>
      <c r="AD9" s="13"/>
      <c r="AE9" s="13"/>
      <c r="AG9" s="11"/>
      <c r="AH9" s="12"/>
      <c r="AI9" s="97"/>
      <c r="AJ9" s="13"/>
      <c r="AK9" s="13"/>
      <c r="AL9" s="13"/>
      <c r="AN9" s="9"/>
      <c r="AO9" s="9"/>
      <c r="AP9" s="9"/>
      <c r="AQ9" s="9"/>
      <c r="AR9" s="9"/>
      <c r="AS9" s="9"/>
      <c r="AT9" s="123">
        <v>1</v>
      </c>
      <c r="AU9" s="123" t="s">
        <v>32</v>
      </c>
      <c r="AV9" s="124">
        <v>12648924.390000001</v>
      </c>
      <c r="AW9" s="139">
        <v>4.2500000000000003E-2</v>
      </c>
      <c r="AX9" s="139"/>
      <c r="AY9" s="124">
        <f t="shared" si="13"/>
        <v>1472.8199632191781</v>
      </c>
      <c r="AZ9" s="140">
        <f t="shared" si="7"/>
        <v>7362.9504333353925</v>
      </c>
      <c r="BA9" s="140">
        <f t="shared" si="2"/>
        <v>67.383919885844534</v>
      </c>
      <c r="BC9" s="122"/>
      <c r="BD9" s="122"/>
      <c r="BE9" s="122"/>
      <c r="BF9" s="122"/>
      <c r="BH9" s="122"/>
      <c r="BI9" s="122"/>
      <c r="BJ9" s="122"/>
      <c r="BK9" s="122"/>
      <c r="BM9" s="122"/>
      <c r="BN9" s="122"/>
      <c r="BO9" s="122"/>
      <c r="BP9" s="122"/>
      <c r="BR9" s="122"/>
      <c r="BS9" s="122"/>
      <c r="BT9" s="122"/>
      <c r="BU9" s="122"/>
      <c r="BV9" s="439"/>
      <c r="BW9" s="120">
        <f t="shared" si="8"/>
        <v>26398924.390000001</v>
      </c>
      <c r="BX9" s="121">
        <v>4.2500000000000003E-2</v>
      </c>
      <c r="BY9" s="121">
        <f t="shared" si="9"/>
        <v>4.1197863613980375E-2</v>
      </c>
      <c r="BZ9" s="120">
        <f t="shared" si="10"/>
        <v>3000.5999632191779</v>
      </c>
      <c r="CA9" s="120">
        <f t="shared" si="11"/>
        <v>67.383919885844534</v>
      </c>
    </row>
    <row r="10" spans="2:82" x14ac:dyDescent="0.25">
      <c r="B10" s="137" t="str">
        <f t="shared" si="0"/>
        <v>1 2025</v>
      </c>
      <c r="C10" s="138">
        <f t="shared" si="3"/>
        <v>45662</v>
      </c>
      <c r="D10" s="138">
        <f t="shared" si="4"/>
        <v>45663</v>
      </c>
      <c r="E10" s="137">
        <f t="shared" si="1"/>
        <v>1</v>
      </c>
      <c r="F10" s="137" t="s">
        <v>7</v>
      </c>
      <c r="G10" s="124">
        <f t="shared" ref="G10" si="16">G9</f>
        <v>13750000</v>
      </c>
      <c r="H10" s="125">
        <f t="shared" si="12"/>
        <v>0.04</v>
      </c>
      <c r="I10" s="124">
        <f t="shared" si="5"/>
        <v>1527.78</v>
      </c>
      <c r="J10" s="124">
        <f t="shared" si="6"/>
        <v>9144.4599999999991</v>
      </c>
      <c r="K10" s="9"/>
      <c r="L10" s="11"/>
      <c r="M10" s="12"/>
      <c r="N10" s="97"/>
      <c r="O10" s="13"/>
      <c r="P10" s="13"/>
      <c r="Q10" s="13"/>
      <c r="S10" s="11"/>
      <c r="T10" s="12"/>
      <c r="U10" s="97"/>
      <c r="V10" s="13"/>
      <c r="W10" s="13"/>
      <c r="X10" s="13"/>
      <c r="Z10" s="11"/>
      <c r="AA10" s="12"/>
      <c r="AB10" s="97"/>
      <c r="AC10" s="13"/>
      <c r="AD10" s="13"/>
      <c r="AE10" s="13"/>
      <c r="AG10" s="11"/>
      <c r="AH10" s="12"/>
      <c r="AI10" s="97"/>
      <c r="AJ10" s="13"/>
      <c r="AK10" s="13"/>
      <c r="AL10" s="13"/>
      <c r="AN10" s="9"/>
      <c r="AO10" s="9"/>
      <c r="AP10" s="9"/>
      <c r="AQ10" s="9"/>
      <c r="AR10" s="9"/>
      <c r="AS10" s="9"/>
      <c r="AT10" s="123">
        <v>1</v>
      </c>
      <c r="AU10" s="123" t="s">
        <v>32</v>
      </c>
      <c r="AV10" s="124">
        <v>12648924.390000001</v>
      </c>
      <c r="AW10" s="139">
        <v>4.2500000000000003E-2</v>
      </c>
      <c r="AX10" s="139"/>
      <c r="AY10" s="124">
        <f t="shared" si="13"/>
        <v>1472.8199632191781</v>
      </c>
      <c r="AZ10" s="140">
        <f t="shared" si="7"/>
        <v>8835.7703965545697</v>
      </c>
      <c r="BA10" s="140">
        <f t="shared" si="2"/>
        <v>67.383919885844534</v>
      </c>
      <c r="BC10" s="122"/>
      <c r="BD10" s="122"/>
      <c r="BE10" s="122"/>
      <c r="BF10" s="122"/>
      <c r="BH10" s="122"/>
      <c r="BI10" s="122"/>
      <c r="BJ10" s="122"/>
      <c r="BK10" s="122"/>
      <c r="BM10" s="122"/>
      <c r="BN10" s="122"/>
      <c r="BO10" s="122"/>
      <c r="BP10" s="122"/>
      <c r="BR10" s="122"/>
      <c r="BS10" s="122"/>
      <c r="BT10" s="122"/>
      <c r="BU10" s="122"/>
      <c r="BV10" s="439"/>
      <c r="BW10" s="120">
        <f t="shared" si="8"/>
        <v>26398924.390000001</v>
      </c>
      <c r="BX10" s="121">
        <v>4.2500000000000003E-2</v>
      </c>
      <c r="BY10" s="121">
        <f t="shared" si="9"/>
        <v>4.1197863613980375E-2</v>
      </c>
      <c r="BZ10" s="120">
        <f t="shared" si="10"/>
        <v>3000.5999632191779</v>
      </c>
      <c r="CA10" s="120">
        <f t="shared" si="11"/>
        <v>67.383919885844534</v>
      </c>
    </row>
    <row r="11" spans="2:82" x14ac:dyDescent="0.25">
      <c r="B11" s="137" t="str">
        <f t="shared" si="0"/>
        <v>1 2025</v>
      </c>
      <c r="C11" s="138">
        <f t="shared" si="3"/>
        <v>45663</v>
      </c>
      <c r="D11" s="138">
        <f t="shared" si="4"/>
        <v>45664</v>
      </c>
      <c r="E11" s="137">
        <f t="shared" si="1"/>
        <v>1</v>
      </c>
      <c r="F11" s="137" t="s">
        <v>7</v>
      </c>
      <c r="G11" s="124">
        <f t="shared" ref="G11" si="17">G10</f>
        <v>13750000</v>
      </c>
      <c r="H11" s="125">
        <f t="shared" si="12"/>
        <v>0.04</v>
      </c>
      <c r="I11" s="124">
        <f t="shared" si="5"/>
        <v>1527.78</v>
      </c>
      <c r="J11" s="124">
        <f t="shared" si="6"/>
        <v>10672.24</v>
      </c>
      <c r="K11" s="9"/>
      <c r="L11" s="11"/>
      <c r="M11" s="12"/>
      <c r="N11" s="97"/>
      <c r="O11" s="13"/>
      <c r="P11" s="13"/>
      <c r="Q11" s="13"/>
      <c r="S11" s="11"/>
      <c r="T11" s="12"/>
      <c r="U11" s="97"/>
      <c r="V11" s="13"/>
      <c r="W11" s="13"/>
      <c r="X11" s="13"/>
      <c r="Z11" s="11"/>
      <c r="AA11" s="12"/>
      <c r="AB11" s="97"/>
      <c r="AC11" s="13"/>
      <c r="AD11" s="13"/>
      <c r="AE11" s="13"/>
      <c r="AG11" s="11"/>
      <c r="AH11" s="12"/>
      <c r="AI11" s="97"/>
      <c r="AJ11" s="13"/>
      <c r="AK11" s="13"/>
      <c r="AL11" s="13"/>
      <c r="AN11" s="9"/>
      <c r="AO11" s="9"/>
      <c r="AP11" s="9"/>
      <c r="AQ11" s="9"/>
      <c r="AR11" s="9"/>
      <c r="AS11" s="9"/>
      <c r="AT11" s="123">
        <v>1</v>
      </c>
      <c r="AU11" s="123" t="s">
        <v>32</v>
      </c>
      <c r="AV11" s="124">
        <v>12653342.85</v>
      </c>
      <c r="AW11" s="139">
        <v>4.2500000000000003E-2</v>
      </c>
      <c r="AX11" s="139"/>
      <c r="AY11" s="124">
        <f t="shared" si="13"/>
        <v>1473.3344414383562</v>
      </c>
      <c r="AZ11" s="140">
        <f t="shared" si="7"/>
        <v>10309.104837992925</v>
      </c>
      <c r="BA11" s="140">
        <f t="shared" si="2"/>
        <v>67.407458105022897</v>
      </c>
      <c r="BC11" s="122"/>
      <c r="BD11" s="122"/>
      <c r="BE11" s="122"/>
      <c r="BF11" s="122"/>
      <c r="BH11" s="122"/>
      <c r="BI11" s="122"/>
      <c r="BJ11" s="122"/>
      <c r="BK11" s="122"/>
      <c r="BM11" s="122"/>
      <c r="BN11" s="122"/>
      <c r="BO11" s="122"/>
      <c r="BP11" s="122"/>
      <c r="BR11" s="122"/>
      <c r="BS11" s="122"/>
      <c r="BT11" s="122"/>
      <c r="BU11" s="122"/>
      <c r="BV11" s="439"/>
      <c r="BW11" s="120">
        <f t="shared" si="8"/>
        <v>26403342.850000001</v>
      </c>
      <c r="BX11" s="121">
        <v>4.2500000000000003E-2</v>
      </c>
      <c r="BY11" s="121">
        <f t="shared" si="9"/>
        <v>4.1198081519628491E-2</v>
      </c>
      <c r="BZ11" s="120">
        <f t="shared" si="10"/>
        <v>3001.1144414383562</v>
      </c>
      <c r="CA11" s="120">
        <f t="shared" si="11"/>
        <v>67.407458105022897</v>
      </c>
    </row>
    <row r="12" spans="2:82" x14ac:dyDescent="0.25">
      <c r="B12" s="137" t="str">
        <f t="shared" si="0"/>
        <v>1 2025</v>
      </c>
      <c r="C12" s="138">
        <f t="shared" si="3"/>
        <v>45664</v>
      </c>
      <c r="D12" s="138">
        <f t="shared" si="4"/>
        <v>45665</v>
      </c>
      <c r="E12" s="137">
        <f t="shared" si="1"/>
        <v>1</v>
      </c>
      <c r="F12" s="137" t="s">
        <v>7</v>
      </c>
      <c r="G12" s="124">
        <f t="shared" ref="G12" si="18">G11</f>
        <v>13750000</v>
      </c>
      <c r="H12" s="125">
        <f t="shared" si="12"/>
        <v>0.04</v>
      </c>
      <c r="I12" s="124">
        <f t="shared" si="5"/>
        <v>1527.78</v>
      </c>
      <c r="J12" s="124">
        <f t="shared" si="6"/>
        <v>12200.02</v>
      </c>
      <c r="K12" s="9"/>
      <c r="L12" s="11"/>
      <c r="M12" s="12"/>
      <c r="N12" s="97"/>
      <c r="O12" s="13"/>
      <c r="P12" s="13"/>
      <c r="Q12" s="13"/>
      <c r="S12" s="11"/>
      <c r="T12" s="12"/>
      <c r="U12" s="97"/>
      <c r="V12" s="13"/>
      <c r="W12" s="13"/>
      <c r="X12" s="13"/>
      <c r="Z12" s="11"/>
      <c r="AA12" s="12"/>
      <c r="AB12" s="97"/>
      <c r="AC12" s="13"/>
      <c r="AD12" s="13"/>
      <c r="AE12" s="13"/>
      <c r="AG12" s="11"/>
      <c r="AH12" s="12"/>
      <c r="AI12" s="97"/>
      <c r="AJ12" s="13"/>
      <c r="AK12" s="13"/>
      <c r="AL12" s="13"/>
      <c r="AN12" s="9"/>
      <c r="AO12" s="9"/>
      <c r="AP12" s="9"/>
      <c r="AQ12" s="9"/>
      <c r="AR12" s="9"/>
      <c r="AS12" s="9"/>
      <c r="AT12" s="123">
        <v>1</v>
      </c>
      <c r="AU12" s="123" t="s">
        <v>32</v>
      </c>
      <c r="AV12" s="124">
        <v>12625224.23</v>
      </c>
      <c r="AW12" s="139">
        <v>4.2500000000000003E-2</v>
      </c>
      <c r="AX12" s="139"/>
      <c r="AY12" s="124">
        <f t="shared" si="13"/>
        <v>1470.0603555479454</v>
      </c>
      <c r="AZ12" s="140">
        <f t="shared" si="7"/>
        <v>11779.16519354087</v>
      </c>
      <c r="BA12" s="140">
        <f t="shared" si="2"/>
        <v>67.257663325723115</v>
      </c>
      <c r="BC12" s="122"/>
      <c r="BD12" s="122"/>
      <c r="BE12" s="122"/>
      <c r="BF12" s="122"/>
      <c r="BH12" s="122"/>
      <c r="BI12" s="122"/>
      <c r="BJ12" s="122"/>
      <c r="BK12" s="122"/>
      <c r="BM12" s="122"/>
      <c r="BN12" s="122"/>
      <c r="BO12" s="122"/>
      <c r="BP12" s="122"/>
      <c r="BR12" s="122"/>
      <c r="BS12" s="122"/>
      <c r="BT12" s="122"/>
      <c r="BU12" s="122"/>
      <c r="BV12" s="439"/>
      <c r="BW12" s="120">
        <f t="shared" si="8"/>
        <v>26375224.23</v>
      </c>
      <c r="BX12" s="121">
        <v>4.2500000000000003E-2</v>
      </c>
      <c r="BY12" s="121">
        <f t="shared" si="9"/>
        <v>4.1196693544659969E-2</v>
      </c>
      <c r="BZ12" s="120">
        <f t="shared" si="10"/>
        <v>2997.8403555479454</v>
      </c>
      <c r="CA12" s="120">
        <f t="shared" si="11"/>
        <v>67.257663325723115</v>
      </c>
    </row>
    <row r="13" spans="2:82" x14ac:dyDescent="0.25">
      <c r="B13" s="137" t="str">
        <f t="shared" si="0"/>
        <v>1 2025</v>
      </c>
      <c r="C13" s="138">
        <f t="shared" si="3"/>
        <v>45665</v>
      </c>
      <c r="D13" s="138">
        <f t="shared" si="4"/>
        <v>45666</v>
      </c>
      <c r="E13" s="137">
        <f t="shared" si="1"/>
        <v>1</v>
      </c>
      <c r="F13" s="137" t="s">
        <v>7</v>
      </c>
      <c r="G13" s="124">
        <f t="shared" ref="G13:H71" si="19">G12</f>
        <v>13750000</v>
      </c>
      <c r="H13" s="125">
        <f t="shared" si="12"/>
        <v>0.04</v>
      </c>
      <c r="I13" s="124">
        <f t="shared" si="5"/>
        <v>1527.78</v>
      </c>
      <c r="J13" s="124">
        <f t="shared" si="6"/>
        <v>13727.800000000001</v>
      </c>
      <c r="K13" s="9"/>
      <c r="L13" s="11"/>
      <c r="M13" s="12"/>
      <c r="N13" s="97"/>
      <c r="O13" s="13"/>
      <c r="P13" s="13"/>
      <c r="Q13" s="13"/>
      <c r="S13" s="11"/>
      <c r="T13" s="12"/>
      <c r="U13" s="97"/>
      <c r="V13" s="13"/>
      <c r="W13" s="13"/>
      <c r="X13" s="13"/>
      <c r="Z13" s="11"/>
      <c r="AA13" s="12"/>
      <c r="AB13" s="97"/>
      <c r="AC13" s="13"/>
      <c r="AD13" s="13"/>
      <c r="AE13" s="13"/>
      <c r="AG13" s="11"/>
      <c r="AH13" s="12"/>
      <c r="AI13" s="97"/>
      <c r="AJ13" s="13"/>
      <c r="AK13" s="13"/>
      <c r="AL13" s="13"/>
      <c r="AN13" s="9"/>
      <c r="AO13" s="9"/>
      <c r="AP13" s="9"/>
      <c r="AQ13" s="9"/>
      <c r="AR13" s="9"/>
      <c r="AS13" s="9"/>
      <c r="AT13" s="123">
        <v>1</v>
      </c>
      <c r="AU13" s="123" t="s">
        <v>32</v>
      </c>
      <c r="AV13" s="124">
        <v>12626694.289999999</v>
      </c>
      <c r="AW13" s="139">
        <v>4.2500000000000003E-2</v>
      </c>
      <c r="AX13" s="139"/>
      <c r="AY13" s="124">
        <f t="shared" si="13"/>
        <v>1470.2315269178082</v>
      </c>
      <c r="AZ13" s="140">
        <f t="shared" si="7"/>
        <v>13249.396720458679</v>
      </c>
      <c r="BA13" s="140">
        <f t="shared" si="2"/>
        <v>67.265494695586085</v>
      </c>
      <c r="BC13" s="122"/>
      <c r="BD13" s="122"/>
      <c r="BE13" s="122"/>
      <c r="BF13" s="122"/>
      <c r="BH13" s="122"/>
      <c r="BI13" s="122"/>
      <c r="BJ13" s="122"/>
      <c r="BK13" s="122"/>
      <c r="BM13" s="122"/>
      <c r="BN13" s="122"/>
      <c r="BO13" s="122"/>
      <c r="BP13" s="122"/>
      <c r="BR13" s="122"/>
      <c r="BS13" s="122"/>
      <c r="BT13" s="122"/>
      <c r="BU13" s="122"/>
      <c r="BV13" s="439"/>
      <c r="BW13" s="120">
        <f t="shared" si="8"/>
        <v>26376694.289999999</v>
      </c>
      <c r="BX13" s="121">
        <v>4.2500000000000003E-2</v>
      </c>
      <c r="BY13" s="121">
        <f t="shared" si="9"/>
        <v>4.1196766182218972E-2</v>
      </c>
      <c r="BZ13" s="120">
        <f t="shared" si="10"/>
        <v>2998.0115269178082</v>
      </c>
      <c r="CA13" s="120">
        <f t="shared" si="11"/>
        <v>67.265494695586085</v>
      </c>
    </row>
    <row r="14" spans="2:82" x14ac:dyDescent="0.25">
      <c r="B14" s="137" t="str">
        <f t="shared" ref="B14:B62" si="20">CONCATENATE(MONTH(D14)," ",YEAR(D14))</f>
        <v>1 2025</v>
      </c>
      <c r="C14" s="138">
        <f t="shared" ref="C14:C62" si="21">D13</f>
        <v>45666</v>
      </c>
      <c r="D14" s="138">
        <f t="shared" si="4"/>
        <v>45667</v>
      </c>
      <c r="E14" s="137">
        <f t="shared" ref="E14:E62" si="22">D14-C14</f>
        <v>1</v>
      </c>
      <c r="F14" s="137" t="s">
        <v>7</v>
      </c>
      <c r="G14" s="124">
        <f t="shared" si="19"/>
        <v>13750000</v>
      </c>
      <c r="H14" s="125">
        <f t="shared" si="12"/>
        <v>0.04</v>
      </c>
      <c r="I14" s="124">
        <f t="shared" si="5"/>
        <v>1527.78</v>
      </c>
      <c r="J14" s="124">
        <f t="shared" ref="J14:J62" si="23">J13+I14</f>
        <v>15255.580000000002</v>
      </c>
      <c r="K14" s="9"/>
      <c r="L14" s="11"/>
      <c r="M14" s="12"/>
      <c r="N14" s="97"/>
      <c r="O14" s="13"/>
      <c r="P14" s="13"/>
      <c r="Q14" s="13"/>
      <c r="S14" s="11"/>
      <c r="T14" s="12"/>
      <c r="U14" s="97"/>
      <c r="V14" s="13"/>
      <c r="W14" s="13"/>
      <c r="X14" s="13"/>
      <c r="Z14" s="11"/>
      <c r="AA14" s="12"/>
      <c r="AB14" s="97"/>
      <c r="AC14" s="13"/>
      <c r="AD14" s="13"/>
      <c r="AE14" s="13"/>
      <c r="AG14" s="11"/>
      <c r="AH14" s="12"/>
      <c r="AI14" s="97"/>
      <c r="AJ14" s="13"/>
      <c r="AK14" s="13"/>
      <c r="AL14" s="13"/>
      <c r="AN14" s="9"/>
      <c r="AO14" s="9"/>
      <c r="AP14" s="9"/>
      <c r="AQ14" s="9"/>
      <c r="AR14" s="9"/>
      <c r="AS14" s="9"/>
      <c r="AT14" s="123">
        <v>1</v>
      </c>
      <c r="AU14" s="123" t="s">
        <v>32</v>
      </c>
      <c r="AV14" s="124">
        <v>12514588.58</v>
      </c>
      <c r="AW14" s="139">
        <v>4.2500000000000003E-2</v>
      </c>
      <c r="AX14" s="139"/>
      <c r="AY14" s="124">
        <f t="shared" si="13"/>
        <v>1457.1781223287671</v>
      </c>
      <c r="AZ14" s="140">
        <f t="shared" si="7"/>
        <v>14706.574842787446</v>
      </c>
      <c r="BA14" s="140">
        <f t="shared" si="2"/>
        <v>66.668280106544898</v>
      </c>
      <c r="BC14" s="122"/>
      <c r="BD14" s="122"/>
      <c r="BE14" s="122"/>
      <c r="BF14" s="122"/>
      <c r="BH14" s="122"/>
      <c r="BI14" s="122"/>
      <c r="BJ14" s="122"/>
      <c r="BK14" s="122"/>
      <c r="BM14" s="122"/>
      <c r="BN14" s="122"/>
      <c r="BO14" s="122"/>
      <c r="BP14" s="122"/>
      <c r="BR14" s="122"/>
      <c r="BS14" s="122"/>
      <c r="BT14" s="122"/>
      <c r="BU14" s="122"/>
      <c r="BV14" s="439"/>
      <c r="BW14" s="120">
        <f t="shared" si="8"/>
        <v>26264588.579999998</v>
      </c>
      <c r="BX14" s="121">
        <v>4.2500000000000003E-2</v>
      </c>
      <c r="BY14" s="121">
        <f t="shared" si="9"/>
        <v>4.1191203561201949E-2</v>
      </c>
      <c r="BZ14" s="120">
        <f t="shared" si="10"/>
        <v>2984.9581223287669</v>
      </c>
      <c r="CA14" s="120">
        <f t="shared" si="11"/>
        <v>66.668280106544898</v>
      </c>
    </row>
    <row r="15" spans="2:82" x14ac:dyDescent="0.25">
      <c r="B15" s="137" t="str">
        <f t="shared" si="20"/>
        <v>1 2025</v>
      </c>
      <c r="C15" s="138">
        <f t="shared" si="21"/>
        <v>45667</v>
      </c>
      <c r="D15" s="138">
        <f t="shared" si="4"/>
        <v>45668</v>
      </c>
      <c r="E15" s="137">
        <f t="shared" si="22"/>
        <v>1</v>
      </c>
      <c r="F15" s="137" t="s">
        <v>7</v>
      </c>
      <c r="G15" s="124">
        <f t="shared" si="19"/>
        <v>13750000</v>
      </c>
      <c r="H15" s="125">
        <f t="shared" si="12"/>
        <v>0.04</v>
      </c>
      <c r="I15" s="124">
        <f t="shared" si="5"/>
        <v>1527.78</v>
      </c>
      <c r="J15" s="124">
        <f t="shared" si="23"/>
        <v>16783.36</v>
      </c>
      <c r="K15" s="9"/>
      <c r="L15" s="11"/>
      <c r="M15" s="12"/>
      <c r="N15" s="97"/>
      <c r="O15" s="13"/>
      <c r="P15" s="13"/>
      <c r="Q15" s="13"/>
      <c r="S15" s="11"/>
      <c r="T15" s="12"/>
      <c r="U15" s="97"/>
      <c r="V15" s="13"/>
      <c r="W15" s="13"/>
      <c r="X15" s="13"/>
      <c r="Z15" s="11"/>
      <c r="AA15" s="12"/>
      <c r="AB15" s="97"/>
      <c r="AC15" s="13"/>
      <c r="AD15" s="13"/>
      <c r="AE15" s="13"/>
      <c r="AG15" s="11"/>
      <c r="AH15" s="12"/>
      <c r="AI15" s="97"/>
      <c r="AJ15" s="13"/>
      <c r="AK15" s="13"/>
      <c r="AL15" s="13"/>
      <c r="AN15" s="9"/>
      <c r="AO15" s="9"/>
      <c r="AP15" s="9"/>
      <c r="AQ15" s="9"/>
      <c r="AR15" s="9"/>
      <c r="AS15" s="9"/>
      <c r="AT15" s="123">
        <v>1</v>
      </c>
      <c r="AU15" s="123" t="s">
        <v>32</v>
      </c>
      <c r="AV15" s="124">
        <v>12481907.17</v>
      </c>
      <c r="AW15" s="139">
        <v>4.2500000000000003E-2</v>
      </c>
      <c r="AX15" s="139"/>
      <c r="AY15" s="124">
        <f t="shared" si="13"/>
        <v>1453.372752671233</v>
      </c>
      <c r="AZ15" s="140">
        <f t="shared" si="7"/>
        <v>16159.94759545868</v>
      </c>
      <c r="BA15" s="140">
        <f t="shared" si="2"/>
        <v>66.494178226788563</v>
      </c>
      <c r="BC15" s="122"/>
      <c r="BD15" s="122"/>
      <c r="BE15" s="122"/>
      <c r="BF15" s="122"/>
      <c r="BH15" s="122"/>
      <c r="BI15" s="122"/>
      <c r="BJ15" s="122"/>
      <c r="BK15" s="122"/>
      <c r="BM15" s="122"/>
      <c r="BN15" s="122"/>
      <c r="BO15" s="122"/>
      <c r="BP15" s="122"/>
      <c r="BR15" s="122"/>
      <c r="BS15" s="122"/>
      <c r="BT15" s="122"/>
      <c r="BU15" s="122"/>
      <c r="BV15" s="439"/>
      <c r="BW15" s="120">
        <f t="shared" si="8"/>
        <v>26231907.170000002</v>
      </c>
      <c r="BX15" s="121">
        <v>4.2500000000000003E-2</v>
      </c>
      <c r="BY15" s="121">
        <f t="shared" si="9"/>
        <v>4.1189572977777512E-2</v>
      </c>
      <c r="BZ15" s="120">
        <f t="shared" si="10"/>
        <v>2981.152752671233</v>
      </c>
      <c r="CA15" s="120">
        <f t="shared" si="11"/>
        <v>66.494178226788563</v>
      </c>
    </row>
    <row r="16" spans="2:82" x14ac:dyDescent="0.25">
      <c r="B16" s="137" t="str">
        <f t="shared" si="20"/>
        <v>1 2025</v>
      </c>
      <c r="C16" s="138">
        <f t="shared" si="21"/>
        <v>45668</v>
      </c>
      <c r="D16" s="138">
        <f t="shared" si="4"/>
        <v>45669</v>
      </c>
      <c r="E16" s="137">
        <f t="shared" si="22"/>
        <v>1</v>
      </c>
      <c r="F16" s="137" t="s">
        <v>7</v>
      </c>
      <c r="G16" s="124">
        <f t="shared" si="19"/>
        <v>13750000</v>
      </c>
      <c r="H16" s="125">
        <f t="shared" si="12"/>
        <v>0.04</v>
      </c>
      <c r="I16" s="124">
        <f t="shared" si="5"/>
        <v>1527.78</v>
      </c>
      <c r="J16" s="124">
        <f t="shared" si="23"/>
        <v>18311.14</v>
      </c>
      <c r="K16" s="9"/>
      <c r="L16" s="11"/>
      <c r="M16" s="12"/>
      <c r="N16" s="97"/>
      <c r="O16" s="13"/>
      <c r="P16" s="13"/>
      <c r="Q16" s="13"/>
      <c r="S16" s="11"/>
      <c r="T16" s="12"/>
      <c r="U16" s="97"/>
      <c r="V16" s="13"/>
      <c r="W16" s="13"/>
      <c r="X16" s="13"/>
      <c r="Z16" s="11"/>
      <c r="AA16" s="12"/>
      <c r="AB16" s="97"/>
      <c r="AC16" s="13"/>
      <c r="AD16" s="13"/>
      <c r="AE16" s="13"/>
      <c r="AG16" s="11"/>
      <c r="AH16" s="12"/>
      <c r="AI16" s="97"/>
      <c r="AJ16" s="13"/>
      <c r="AK16" s="13"/>
      <c r="AL16" s="13"/>
      <c r="AN16" s="9"/>
      <c r="AO16" s="9"/>
      <c r="AP16" s="9"/>
      <c r="AQ16" s="9"/>
      <c r="AR16" s="9"/>
      <c r="AS16" s="9"/>
      <c r="AT16" s="123">
        <v>1</v>
      </c>
      <c r="AU16" s="123" t="s">
        <v>32</v>
      </c>
      <c r="AV16" s="124">
        <v>12481907.17</v>
      </c>
      <c r="AW16" s="139">
        <v>4.2500000000000003E-2</v>
      </c>
      <c r="AX16" s="139"/>
      <c r="AY16" s="124">
        <f t="shared" si="13"/>
        <v>1453.372752671233</v>
      </c>
      <c r="AZ16" s="140">
        <f t="shared" si="7"/>
        <v>17613.320348129913</v>
      </c>
      <c r="BA16" s="140">
        <f t="shared" si="2"/>
        <v>66.494178226788563</v>
      </c>
      <c r="BC16" s="122"/>
      <c r="BD16" s="122"/>
      <c r="BE16" s="122"/>
      <c r="BF16" s="122"/>
      <c r="BH16" s="122"/>
      <c r="BI16" s="122"/>
      <c r="BJ16" s="122"/>
      <c r="BK16" s="122"/>
      <c r="BM16" s="122"/>
      <c r="BN16" s="122"/>
      <c r="BO16" s="122"/>
      <c r="BP16" s="122"/>
      <c r="BR16" s="122"/>
      <c r="BS16" s="122"/>
      <c r="BT16" s="122"/>
      <c r="BU16" s="122"/>
      <c r="BV16" s="439"/>
      <c r="BW16" s="120">
        <f t="shared" si="8"/>
        <v>26231907.170000002</v>
      </c>
      <c r="BX16" s="121">
        <v>4.2500000000000003E-2</v>
      </c>
      <c r="BY16" s="121">
        <f t="shared" si="9"/>
        <v>4.1189572977777512E-2</v>
      </c>
      <c r="BZ16" s="120">
        <f t="shared" si="10"/>
        <v>2981.152752671233</v>
      </c>
      <c r="CA16" s="120">
        <f t="shared" si="11"/>
        <v>66.494178226788563</v>
      </c>
    </row>
    <row r="17" spans="2:79" x14ac:dyDescent="0.25">
      <c r="B17" s="137" t="str">
        <f t="shared" si="20"/>
        <v>1 2025</v>
      </c>
      <c r="C17" s="138">
        <f t="shared" si="21"/>
        <v>45669</v>
      </c>
      <c r="D17" s="138">
        <f t="shared" si="4"/>
        <v>45670</v>
      </c>
      <c r="E17" s="137">
        <f t="shared" si="22"/>
        <v>1</v>
      </c>
      <c r="F17" s="137" t="s">
        <v>7</v>
      </c>
      <c r="G17" s="124">
        <f t="shared" si="19"/>
        <v>13750000</v>
      </c>
      <c r="H17" s="125">
        <f t="shared" si="12"/>
        <v>0.04</v>
      </c>
      <c r="I17" s="124">
        <f t="shared" si="5"/>
        <v>1527.78</v>
      </c>
      <c r="J17" s="124">
        <f t="shared" si="23"/>
        <v>19838.919999999998</v>
      </c>
      <c r="K17" s="9"/>
      <c r="L17" s="11"/>
      <c r="M17" s="12"/>
      <c r="N17" s="97"/>
      <c r="O17" s="13"/>
      <c r="P17" s="13"/>
      <c r="Q17" s="13"/>
      <c r="S17" s="11"/>
      <c r="T17" s="12"/>
      <c r="U17" s="97"/>
      <c r="V17" s="13"/>
      <c r="W17" s="13"/>
      <c r="X17" s="13"/>
      <c r="Z17" s="11"/>
      <c r="AA17" s="12"/>
      <c r="AB17" s="97"/>
      <c r="AC17" s="13"/>
      <c r="AD17" s="13"/>
      <c r="AE17" s="13"/>
      <c r="AG17" s="11"/>
      <c r="AH17" s="12"/>
      <c r="AI17" s="97"/>
      <c r="AJ17" s="13"/>
      <c r="AK17" s="13"/>
      <c r="AL17" s="13"/>
      <c r="AN17" s="9"/>
      <c r="AO17" s="9"/>
      <c r="AP17" s="9"/>
      <c r="AQ17" s="9"/>
      <c r="AR17" s="9"/>
      <c r="AS17" s="9"/>
      <c r="AT17" s="123">
        <v>1</v>
      </c>
      <c r="AU17" s="123" t="s">
        <v>32</v>
      </c>
      <c r="AV17" s="124">
        <v>12481907.17</v>
      </c>
      <c r="AW17" s="139">
        <v>4.2500000000000003E-2</v>
      </c>
      <c r="AX17" s="139"/>
      <c r="AY17" s="124">
        <f t="shared" si="13"/>
        <v>1453.372752671233</v>
      </c>
      <c r="AZ17" s="140">
        <f t="shared" si="7"/>
        <v>19066.693100801145</v>
      </c>
      <c r="BA17" s="140">
        <f t="shared" si="2"/>
        <v>66.494178226788563</v>
      </c>
      <c r="BC17" s="122"/>
      <c r="BD17" s="122"/>
      <c r="BE17" s="122"/>
      <c r="BF17" s="122"/>
      <c r="BH17" s="122"/>
      <c r="BI17" s="122"/>
      <c r="BJ17" s="122"/>
      <c r="BK17" s="122"/>
      <c r="BM17" s="122"/>
      <c r="BN17" s="122"/>
      <c r="BO17" s="122"/>
      <c r="BP17" s="122"/>
      <c r="BR17" s="122"/>
      <c r="BS17" s="122"/>
      <c r="BT17" s="122"/>
      <c r="BU17" s="122"/>
      <c r="BV17" s="439"/>
      <c r="BW17" s="120">
        <f t="shared" si="8"/>
        <v>26231907.170000002</v>
      </c>
      <c r="BX17" s="121">
        <v>4.2500000000000003E-2</v>
      </c>
      <c r="BY17" s="121">
        <f t="shared" si="9"/>
        <v>4.1189572977777512E-2</v>
      </c>
      <c r="BZ17" s="120">
        <f t="shared" si="10"/>
        <v>2981.152752671233</v>
      </c>
      <c r="CA17" s="120">
        <f t="shared" si="11"/>
        <v>66.494178226788563</v>
      </c>
    </row>
    <row r="18" spans="2:79" x14ac:dyDescent="0.25">
      <c r="B18" s="137" t="str">
        <f t="shared" si="20"/>
        <v>1 2025</v>
      </c>
      <c r="C18" s="138">
        <f t="shared" si="21"/>
        <v>45670</v>
      </c>
      <c r="D18" s="138">
        <f t="shared" si="4"/>
        <v>45671</v>
      </c>
      <c r="E18" s="137">
        <f t="shared" si="22"/>
        <v>1</v>
      </c>
      <c r="F18" s="137" t="s">
        <v>7</v>
      </c>
      <c r="G18" s="126">
        <f>G17-500000</f>
        <v>13250000</v>
      </c>
      <c r="H18" s="125">
        <f t="shared" si="12"/>
        <v>0.04</v>
      </c>
      <c r="I18" s="124">
        <f t="shared" si="5"/>
        <v>1472.22</v>
      </c>
      <c r="J18" s="124">
        <f t="shared" si="23"/>
        <v>21311.14</v>
      </c>
      <c r="K18" s="9"/>
      <c r="L18" s="11"/>
      <c r="M18" s="12"/>
      <c r="N18" s="97"/>
      <c r="O18" s="13"/>
      <c r="P18" s="13"/>
      <c r="Q18" s="13"/>
      <c r="S18" s="11"/>
      <c r="T18" s="12"/>
      <c r="U18" s="97"/>
      <c r="V18" s="13"/>
      <c r="W18" s="13"/>
      <c r="X18" s="13"/>
      <c r="Z18" s="11"/>
      <c r="AA18" s="12"/>
      <c r="AB18" s="97"/>
      <c r="AC18" s="13"/>
      <c r="AD18" s="13"/>
      <c r="AE18" s="13"/>
      <c r="AG18" s="11"/>
      <c r="AH18" s="12"/>
      <c r="AI18" s="97"/>
      <c r="AJ18" s="13"/>
      <c r="AK18" s="13"/>
      <c r="AL18" s="13"/>
      <c r="AN18" s="9"/>
      <c r="AO18" s="9"/>
      <c r="AP18" s="9"/>
      <c r="AQ18" s="9"/>
      <c r="AR18" s="9"/>
      <c r="AS18" s="9"/>
      <c r="AT18" s="123">
        <v>1</v>
      </c>
      <c r="AU18" s="123" t="s">
        <v>32</v>
      </c>
      <c r="AV18" s="124">
        <v>12485717.699999999</v>
      </c>
      <c r="AW18" s="139">
        <v>4.2500000000000003E-2</v>
      </c>
      <c r="AX18" s="139"/>
      <c r="AY18" s="124">
        <f t="shared" si="13"/>
        <v>1453.816444520548</v>
      </c>
      <c r="AZ18" s="140">
        <f t="shared" si="7"/>
        <v>20520.509545321693</v>
      </c>
      <c r="BA18" s="140">
        <f t="shared" si="2"/>
        <v>66.514477853881317</v>
      </c>
      <c r="BC18" s="122"/>
      <c r="BD18" s="122"/>
      <c r="BE18" s="122"/>
      <c r="BF18" s="122"/>
      <c r="BH18" s="122"/>
      <c r="BI18" s="122"/>
      <c r="BJ18" s="122"/>
      <c r="BK18" s="122"/>
      <c r="BM18" s="122"/>
      <c r="BN18" s="122"/>
      <c r="BO18" s="122"/>
      <c r="BP18" s="122"/>
      <c r="BR18" s="122"/>
      <c r="BS18" s="122"/>
      <c r="BT18" s="122"/>
      <c r="BU18" s="122"/>
      <c r="BV18" s="439"/>
      <c r="BW18" s="120">
        <f t="shared" si="8"/>
        <v>25735717.699999999</v>
      </c>
      <c r="BX18" s="121">
        <v>4.2500000000000003E-2</v>
      </c>
      <c r="BY18" s="121">
        <f t="shared" si="9"/>
        <v>4.1212878327850165E-2</v>
      </c>
      <c r="BZ18" s="120">
        <f t="shared" si="10"/>
        <v>2926.0364445205478</v>
      </c>
      <c r="CA18" s="120">
        <f t="shared" si="11"/>
        <v>66.514477853881317</v>
      </c>
    </row>
    <row r="19" spans="2:79" x14ac:dyDescent="0.25">
      <c r="B19" s="137" t="str">
        <f t="shared" si="20"/>
        <v>1 2025</v>
      </c>
      <c r="C19" s="138">
        <f t="shared" si="21"/>
        <v>45671</v>
      </c>
      <c r="D19" s="138">
        <f t="shared" si="4"/>
        <v>45672</v>
      </c>
      <c r="E19" s="137">
        <f t="shared" si="22"/>
        <v>1</v>
      </c>
      <c r="F19" s="137" t="s">
        <v>7</v>
      </c>
      <c r="G19" s="124">
        <f t="shared" si="19"/>
        <v>13250000</v>
      </c>
      <c r="H19" s="125">
        <f t="shared" si="12"/>
        <v>0.04</v>
      </c>
      <c r="I19" s="124">
        <f t="shared" si="5"/>
        <v>1472.22</v>
      </c>
      <c r="J19" s="124">
        <f t="shared" si="23"/>
        <v>22783.360000000001</v>
      </c>
      <c r="K19" s="9"/>
      <c r="L19" s="11"/>
      <c r="M19" s="12"/>
      <c r="N19" s="97"/>
      <c r="O19" s="13"/>
      <c r="P19" s="13"/>
      <c r="Q19" s="13"/>
      <c r="S19" s="11"/>
      <c r="T19" s="12"/>
      <c r="U19" s="97"/>
      <c r="V19" s="13"/>
      <c r="W19" s="13"/>
      <c r="X19" s="13"/>
      <c r="Z19" s="11"/>
      <c r="AA19" s="12"/>
      <c r="AB19" s="97"/>
      <c r="AC19" s="13"/>
      <c r="AD19" s="13"/>
      <c r="AE19" s="13"/>
      <c r="AG19" s="11"/>
      <c r="AH19" s="12"/>
      <c r="AI19" s="97"/>
      <c r="AJ19" s="13"/>
      <c r="AK19" s="13"/>
      <c r="AL19" s="13"/>
      <c r="AN19" s="9"/>
      <c r="AO19" s="9"/>
      <c r="AP19" s="9"/>
      <c r="AQ19" s="9"/>
      <c r="AR19" s="9"/>
      <c r="AS19" s="9"/>
      <c r="AT19" s="123">
        <v>1</v>
      </c>
      <c r="AU19" s="123" t="s">
        <v>32</v>
      </c>
      <c r="AV19" s="124">
        <v>12487171.52</v>
      </c>
      <c r="AW19" s="139">
        <v>4.2500000000000003E-2</v>
      </c>
      <c r="AX19" s="139"/>
      <c r="AY19" s="124">
        <f t="shared" si="13"/>
        <v>1453.9857249315069</v>
      </c>
      <c r="AZ19" s="140">
        <f t="shared" si="7"/>
        <v>21974.495270253199</v>
      </c>
      <c r="BA19" s="140">
        <f t="shared" si="2"/>
        <v>66.522222709284733</v>
      </c>
      <c r="BC19" s="122"/>
      <c r="BD19" s="122"/>
      <c r="BE19" s="122"/>
      <c r="BF19" s="122"/>
      <c r="BH19" s="122"/>
      <c r="BI19" s="122"/>
      <c r="BJ19" s="122"/>
      <c r="BK19" s="122"/>
      <c r="BM19" s="122"/>
      <c r="BN19" s="122"/>
      <c r="BO19" s="122"/>
      <c r="BP19" s="122"/>
      <c r="BR19" s="122"/>
      <c r="BS19" s="122"/>
      <c r="BT19" s="122"/>
      <c r="BU19" s="122"/>
      <c r="BV19" s="439"/>
      <c r="BW19" s="120">
        <f t="shared" si="8"/>
        <v>25737171.52</v>
      </c>
      <c r="BX19" s="121">
        <v>4.2500000000000003E-2</v>
      </c>
      <c r="BY19" s="121">
        <f t="shared" si="9"/>
        <v>4.1212951033711726E-2</v>
      </c>
      <c r="BZ19" s="120">
        <f t="shared" si="10"/>
        <v>2926.2057249315067</v>
      </c>
      <c r="CA19" s="120">
        <f t="shared" si="11"/>
        <v>66.522222709284733</v>
      </c>
    </row>
    <row r="20" spans="2:79" x14ac:dyDescent="0.25">
      <c r="B20" s="137" t="str">
        <f t="shared" si="20"/>
        <v>1 2025</v>
      </c>
      <c r="C20" s="138">
        <f t="shared" si="21"/>
        <v>45672</v>
      </c>
      <c r="D20" s="138">
        <f t="shared" si="4"/>
        <v>45673</v>
      </c>
      <c r="E20" s="137">
        <f t="shared" si="22"/>
        <v>1</v>
      </c>
      <c r="F20" s="137" t="s">
        <v>7</v>
      </c>
      <c r="G20" s="124">
        <f t="shared" si="19"/>
        <v>13250000</v>
      </c>
      <c r="H20" s="125">
        <f t="shared" si="12"/>
        <v>0.04</v>
      </c>
      <c r="I20" s="124">
        <f t="shared" si="5"/>
        <v>1472.22</v>
      </c>
      <c r="J20" s="124">
        <f t="shared" si="23"/>
        <v>24255.58</v>
      </c>
      <c r="K20" s="9"/>
      <c r="L20" s="11"/>
      <c r="M20" s="12"/>
      <c r="N20" s="97"/>
      <c r="O20" s="13"/>
      <c r="P20" s="13"/>
      <c r="Q20" s="13"/>
      <c r="S20" s="11"/>
      <c r="T20" s="12"/>
      <c r="U20" s="97"/>
      <c r="V20" s="13"/>
      <c r="W20" s="13"/>
      <c r="X20" s="13"/>
      <c r="Z20" s="11"/>
      <c r="AA20" s="12"/>
      <c r="AB20" s="97"/>
      <c r="AC20" s="13"/>
      <c r="AD20" s="13"/>
      <c r="AE20" s="13"/>
      <c r="AG20" s="11"/>
      <c r="AH20" s="12"/>
      <c r="AI20" s="97"/>
      <c r="AJ20" s="13"/>
      <c r="AK20" s="13"/>
      <c r="AL20" s="13"/>
      <c r="AN20" s="9"/>
      <c r="AO20" s="9"/>
      <c r="AP20" s="9"/>
      <c r="AQ20" s="9"/>
      <c r="AR20" s="9"/>
      <c r="AS20" s="9"/>
      <c r="AT20" s="123">
        <v>1</v>
      </c>
      <c r="AU20" s="123" t="s">
        <v>32</v>
      </c>
      <c r="AV20" s="124">
        <v>12148214.130000001</v>
      </c>
      <c r="AW20" s="139">
        <v>4.2500000000000003E-2</v>
      </c>
      <c r="AX20" s="139"/>
      <c r="AY20" s="124">
        <f t="shared" si="13"/>
        <v>1414.5180836301372</v>
      </c>
      <c r="AZ20" s="140">
        <f t="shared" si="7"/>
        <v>23389.013353883336</v>
      </c>
      <c r="BA20" s="140">
        <f t="shared" si="2"/>
        <v>64.716513630137115</v>
      </c>
      <c r="BC20" s="122"/>
      <c r="BD20" s="122"/>
      <c r="BE20" s="122"/>
      <c r="BF20" s="122"/>
      <c r="BH20" s="122"/>
      <c r="BI20" s="122"/>
      <c r="BJ20" s="122"/>
      <c r="BK20" s="122"/>
      <c r="BM20" s="122"/>
      <c r="BN20" s="122"/>
      <c r="BO20" s="122"/>
      <c r="BP20" s="122"/>
      <c r="BR20" s="122"/>
      <c r="BS20" s="122"/>
      <c r="BT20" s="122"/>
      <c r="BU20" s="122"/>
      <c r="BV20" s="439"/>
      <c r="BW20" s="120">
        <f t="shared" si="8"/>
        <v>25398214.130000003</v>
      </c>
      <c r="BX20" s="121">
        <v>4.2500000000000003E-2</v>
      </c>
      <c r="BY20" s="121">
        <f t="shared" si="9"/>
        <v>4.1195774441838681E-2</v>
      </c>
      <c r="BZ20" s="120">
        <f t="shared" si="10"/>
        <v>2886.7380836301372</v>
      </c>
      <c r="CA20" s="120">
        <f t="shared" si="11"/>
        <v>64.716513630137115</v>
      </c>
    </row>
    <row r="21" spans="2:79" x14ac:dyDescent="0.25">
      <c r="B21" s="137" t="str">
        <f t="shared" si="20"/>
        <v>1 2025</v>
      </c>
      <c r="C21" s="138">
        <f t="shared" si="21"/>
        <v>45673</v>
      </c>
      <c r="D21" s="138">
        <f t="shared" si="4"/>
        <v>45674</v>
      </c>
      <c r="E21" s="137">
        <f t="shared" si="22"/>
        <v>1</v>
      </c>
      <c r="F21" s="137" t="s">
        <v>7</v>
      </c>
      <c r="G21" s="124">
        <f t="shared" si="19"/>
        <v>13250000</v>
      </c>
      <c r="H21" s="125">
        <f t="shared" si="12"/>
        <v>0.04</v>
      </c>
      <c r="I21" s="124">
        <f t="shared" si="5"/>
        <v>1472.22</v>
      </c>
      <c r="J21" s="124">
        <f t="shared" si="23"/>
        <v>25727.800000000003</v>
      </c>
      <c r="K21" s="9"/>
      <c r="L21" s="11"/>
      <c r="M21" s="12"/>
      <c r="N21" s="97"/>
      <c r="O21" s="13"/>
      <c r="P21" s="13"/>
      <c r="Q21" s="13"/>
      <c r="S21" s="11"/>
      <c r="T21" s="12"/>
      <c r="U21" s="97"/>
      <c r="V21" s="13"/>
      <c r="W21" s="13"/>
      <c r="X21" s="13"/>
      <c r="Z21" s="11"/>
      <c r="AA21" s="12"/>
      <c r="AB21" s="97"/>
      <c r="AC21" s="13"/>
      <c r="AD21" s="13"/>
      <c r="AE21" s="13"/>
      <c r="AG21" s="11"/>
      <c r="AH21" s="12"/>
      <c r="AI21" s="97"/>
      <c r="AJ21" s="13"/>
      <c r="AK21" s="13"/>
      <c r="AL21" s="13"/>
      <c r="AN21" s="9"/>
      <c r="AO21" s="9"/>
      <c r="AP21" s="9"/>
      <c r="AQ21" s="9"/>
      <c r="AR21" s="9"/>
      <c r="AS21" s="9"/>
      <c r="AT21" s="123">
        <v>1</v>
      </c>
      <c r="AU21" s="123" t="s">
        <v>32</v>
      </c>
      <c r="AV21" s="124">
        <v>12149628.65</v>
      </c>
      <c r="AW21" s="139">
        <v>4.2500000000000003E-2</v>
      </c>
      <c r="AX21" s="139"/>
      <c r="AY21" s="124">
        <f t="shared" si="13"/>
        <v>1414.6827880136987</v>
      </c>
      <c r="AZ21" s="140">
        <f t="shared" si="7"/>
        <v>24803.696141897035</v>
      </c>
      <c r="BA21" s="140">
        <f t="shared" si="2"/>
        <v>64.724049124809653</v>
      </c>
      <c r="BC21" s="122"/>
      <c r="BD21" s="122"/>
      <c r="BE21" s="122"/>
      <c r="BF21" s="122"/>
      <c r="BH21" s="122"/>
      <c r="BI21" s="122"/>
      <c r="BJ21" s="122"/>
      <c r="BK21" s="122"/>
      <c r="BM21" s="122"/>
      <c r="BN21" s="122"/>
      <c r="BO21" s="122"/>
      <c r="BP21" s="122"/>
      <c r="BR21" s="122"/>
      <c r="BS21" s="122"/>
      <c r="BT21" s="122"/>
      <c r="BU21" s="122"/>
      <c r="BV21" s="439"/>
      <c r="BW21" s="120">
        <f t="shared" si="8"/>
        <v>25399628.649999999</v>
      </c>
      <c r="BX21" s="121">
        <v>4.2500000000000003E-2</v>
      </c>
      <c r="BY21" s="121">
        <f t="shared" si="9"/>
        <v>4.1195847074913833E-2</v>
      </c>
      <c r="BZ21" s="120">
        <f t="shared" si="10"/>
        <v>2886.9027880136987</v>
      </c>
      <c r="CA21" s="120">
        <f t="shared" si="11"/>
        <v>64.724049124809653</v>
      </c>
    </row>
    <row r="22" spans="2:79" x14ac:dyDescent="0.25">
      <c r="B22" s="137" t="str">
        <f t="shared" si="20"/>
        <v>1 2025</v>
      </c>
      <c r="C22" s="138">
        <f t="shared" si="21"/>
        <v>45674</v>
      </c>
      <c r="D22" s="138">
        <f t="shared" si="4"/>
        <v>45675</v>
      </c>
      <c r="E22" s="137">
        <f t="shared" si="22"/>
        <v>1</v>
      </c>
      <c r="F22" s="137" t="s">
        <v>7</v>
      </c>
      <c r="G22" s="124">
        <f t="shared" si="19"/>
        <v>13250000</v>
      </c>
      <c r="H22" s="125">
        <f t="shared" si="12"/>
        <v>0.04</v>
      </c>
      <c r="I22" s="124">
        <f t="shared" si="5"/>
        <v>1472.22</v>
      </c>
      <c r="J22" s="124">
        <f t="shared" si="23"/>
        <v>27200.020000000004</v>
      </c>
      <c r="K22" s="9"/>
      <c r="L22" s="11"/>
      <c r="M22" s="12"/>
      <c r="N22" s="97"/>
      <c r="O22" s="13"/>
      <c r="P22" s="13"/>
      <c r="Q22" s="13"/>
      <c r="S22" s="11"/>
      <c r="T22" s="12"/>
      <c r="U22" s="97"/>
      <c r="V22" s="13"/>
      <c r="W22" s="13"/>
      <c r="X22" s="13"/>
      <c r="Z22" s="11"/>
      <c r="AA22" s="12"/>
      <c r="AB22" s="97"/>
      <c r="AC22" s="13"/>
      <c r="AD22" s="13"/>
      <c r="AE22" s="13"/>
      <c r="AG22" s="11"/>
      <c r="AH22" s="12"/>
      <c r="AI22" s="97"/>
      <c r="AJ22" s="13"/>
      <c r="AK22" s="13"/>
      <c r="AL22" s="13"/>
      <c r="AN22" s="9"/>
      <c r="AO22" s="9"/>
      <c r="AP22" s="9"/>
      <c r="AQ22" s="9"/>
      <c r="AR22" s="9"/>
      <c r="AS22" s="9"/>
      <c r="AT22" s="123">
        <v>1</v>
      </c>
      <c r="AU22" s="123" t="s">
        <v>32</v>
      </c>
      <c r="AV22" s="124">
        <v>12119315.119999999</v>
      </c>
      <c r="AW22" s="139">
        <v>4.2500000000000003E-2</v>
      </c>
      <c r="AX22" s="139"/>
      <c r="AY22" s="124">
        <f t="shared" si="13"/>
        <v>1411.153130410959</v>
      </c>
      <c r="AZ22" s="140">
        <f t="shared" si="7"/>
        <v>26214.849272307994</v>
      </c>
      <c r="BA22" s="140">
        <f t="shared" si="2"/>
        <v>64.562561522070155</v>
      </c>
      <c r="BC22" s="122"/>
      <c r="BD22" s="122"/>
      <c r="BE22" s="122"/>
      <c r="BF22" s="122"/>
      <c r="BH22" s="122"/>
      <c r="BI22" s="122"/>
      <c r="BJ22" s="122"/>
      <c r="BK22" s="122"/>
      <c r="BM22" s="122"/>
      <c r="BN22" s="122"/>
      <c r="BO22" s="122"/>
      <c r="BP22" s="122"/>
      <c r="BR22" s="122"/>
      <c r="BS22" s="122"/>
      <c r="BT22" s="122"/>
      <c r="BU22" s="122"/>
      <c r="BV22" s="439"/>
      <c r="BW22" s="120">
        <f t="shared" si="8"/>
        <v>25369315.119999997</v>
      </c>
      <c r="BX22" s="121">
        <v>4.2500000000000003E-2</v>
      </c>
      <c r="BY22" s="121">
        <f t="shared" si="9"/>
        <v>4.1194288756187761E-2</v>
      </c>
      <c r="BZ22" s="120">
        <f t="shared" si="10"/>
        <v>2883.3731304109588</v>
      </c>
      <c r="CA22" s="120">
        <f t="shared" si="11"/>
        <v>64.562561522070155</v>
      </c>
    </row>
    <row r="23" spans="2:79" x14ac:dyDescent="0.25">
      <c r="B23" s="137" t="str">
        <f t="shared" si="20"/>
        <v>1 2025</v>
      </c>
      <c r="C23" s="138">
        <f t="shared" si="21"/>
        <v>45675</v>
      </c>
      <c r="D23" s="138">
        <f t="shared" si="4"/>
        <v>45676</v>
      </c>
      <c r="E23" s="137">
        <f t="shared" si="22"/>
        <v>1</v>
      </c>
      <c r="F23" s="137" t="s">
        <v>7</v>
      </c>
      <c r="G23" s="124">
        <f t="shared" si="19"/>
        <v>13250000</v>
      </c>
      <c r="H23" s="125">
        <f t="shared" si="12"/>
        <v>0.04</v>
      </c>
      <c r="I23" s="124">
        <f t="shared" si="5"/>
        <v>1472.22</v>
      </c>
      <c r="J23" s="124">
        <f t="shared" si="23"/>
        <v>28672.240000000005</v>
      </c>
      <c r="K23" s="9"/>
      <c r="L23" s="11"/>
      <c r="M23" s="12"/>
      <c r="N23" s="97"/>
      <c r="O23" s="13"/>
      <c r="P23" s="13"/>
      <c r="Q23" s="13"/>
      <c r="S23" s="11"/>
      <c r="T23" s="12"/>
      <c r="U23" s="97"/>
      <c r="V23" s="13"/>
      <c r="W23" s="13"/>
      <c r="X23" s="13"/>
      <c r="Z23" s="11"/>
      <c r="AA23" s="12"/>
      <c r="AB23" s="97"/>
      <c r="AC23" s="13"/>
      <c r="AD23" s="13"/>
      <c r="AE23" s="13"/>
      <c r="AG23" s="11"/>
      <c r="AH23" s="12"/>
      <c r="AI23" s="97"/>
      <c r="AJ23" s="13"/>
      <c r="AK23" s="13"/>
      <c r="AL23" s="13"/>
      <c r="AN23" s="9"/>
      <c r="AO23" s="9"/>
      <c r="AP23" s="9"/>
      <c r="AQ23" s="9"/>
      <c r="AR23" s="9"/>
      <c r="AS23" s="9"/>
      <c r="AT23" s="123">
        <v>1</v>
      </c>
      <c r="AU23" s="123" t="s">
        <v>32</v>
      </c>
      <c r="AV23" s="124">
        <v>12119315.119999999</v>
      </c>
      <c r="AW23" s="139">
        <v>4.2500000000000003E-2</v>
      </c>
      <c r="AX23" s="139"/>
      <c r="AY23" s="124">
        <f t="shared" si="13"/>
        <v>1411.153130410959</v>
      </c>
      <c r="AZ23" s="140">
        <f t="shared" si="7"/>
        <v>27626.002402718954</v>
      </c>
      <c r="BA23" s="140">
        <f t="shared" si="2"/>
        <v>64.562561522070155</v>
      </c>
      <c r="BC23" s="122"/>
      <c r="BD23" s="122"/>
      <c r="BE23" s="122"/>
      <c r="BF23" s="122"/>
      <c r="BH23" s="122"/>
      <c r="BI23" s="122"/>
      <c r="BJ23" s="122"/>
      <c r="BK23" s="122"/>
      <c r="BM23" s="122"/>
      <c r="BN23" s="122"/>
      <c r="BO23" s="122"/>
      <c r="BP23" s="122"/>
      <c r="BR23" s="122"/>
      <c r="BS23" s="122"/>
      <c r="BT23" s="122"/>
      <c r="BU23" s="122"/>
      <c r="BV23" s="439"/>
      <c r="BW23" s="120">
        <f t="shared" si="8"/>
        <v>25369315.119999997</v>
      </c>
      <c r="BX23" s="121">
        <v>4.2500000000000003E-2</v>
      </c>
      <c r="BY23" s="121">
        <f t="shared" si="9"/>
        <v>4.1194288756187761E-2</v>
      </c>
      <c r="BZ23" s="120">
        <f t="shared" si="10"/>
        <v>2883.3731304109588</v>
      </c>
      <c r="CA23" s="120">
        <f t="shared" si="11"/>
        <v>64.562561522070155</v>
      </c>
    </row>
    <row r="24" spans="2:79" x14ac:dyDescent="0.25">
      <c r="B24" s="137" t="str">
        <f t="shared" si="20"/>
        <v>1 2025</v>
      </c>
      <c r="C24" s="138">
        <f t="shared" si="21"/>
        <v>45676</v>
      </c>
      <c r="D24" s="138">
        <f t="shared" si="4"/>
        <v>45677</v>
      </c>
      <c r="E24" s="137">
        <f t="shared" si="22"/>
        <v>1</v>
      </c>
      <c r="F24" s="137" t="s">
        <v>7</v>
      </c>
      <c r="G24" s="124">
        <f t="shared" si="19"/>
        <v>13250000</v>
      </c>
      <c r="H24" s="125">
        <f t="shared" si="12"/>
        <v>0.04</v>
      </c>
      <c r="I24" s="124">
        <f t="shared" si="5"/>
        <v>1472.22</v>
      </c>
      <c r="J24" s="124">
        <f t="shared" si="23"/>
        <v>30144.460000000006</v>
      </c>
      <c r="K24" s="9"/>
      <c r="L24" s="11"/>
      <c r="M24" s="12"/>
      <c r="N24" s="97"/>
      <c r="O24" s="13"/>
      <c r="P24" s="13"/>
      <c r="Q24" s="13"/>
      <c r="S24" s="11"/>
      <c r="T24" s="12"/>
      <c r="U24" s="97"/>
      <c r="V24" s="13"/>
      <c r="W24" s="13"/>
      <c r="X24" s="13"/>
      <c r="Z24" s="11"/>
      <c r="AA24" s="12"/>
      <c r="AB24" s="97"/>
      <c r="AC24" s="13"/>
      <c r="AD24" s="13"/>
      <c r="AE24" s="13"/>
      <c r="AG24" s="11"/>
      <c r="AH24" s="12"/>
      <c r="AI24" s="97"/>
      <c r="AJ24" s="13"/>
      <c r="AK24" s="13"/>
      <c r="AL24" s="13"/>
      <c r="AN24" s="9"/>
      <c r="AO24" s="9"/>
      <c r="AP24" s="9"/>
      <c r="AQ24" s="9"/>
      <c r="AR24" s="9"/>
      <c r="AS24" s="9"/>
      <c r="AT24" s="123">
        <v>1</v>
      </c>
      <c r="AU24" s="123" t="s">
        <v>32</v>
      </c>
      <c r="AV24" s="124">
        <v>12119315.119999999</v>
      </c>
      <c r="AW24" s="139">
        <v>4.2500000000000003E-2</v>
      </c>
      <c r="AX24" s="139"/>
      <c r="AY24" s="124">
        <f t="shared" si="13"/>
        <v>1411.153130410959</v>
      </c>
      <c r="AZ24" s="140">
        <f t="shared" si="7"/>
        <v>29037.155533129913</v>
      </c>
      <c r="BA24" s="140">
        <f t="shared" si="2"/>
        <v>64.562561522070155</v>
      </c>
      <c r="BC24" s="122"/>
      <c r="BD24" s="122"/>
      <c r="BE24" s="122"/>
      <c r="BF24" s="122"/>
      <c r="BH24" s="122"/>
      <c r="BI24" s="122"/>
      <c r="BJ24" s="122"/>
      <c r="BK24" s="122"/>
      <c r="BM24" s="122"/>
      <c r="BN24" s="122"/>
      <c r="BO24" s="122"/>
      <c r="BP24" s="122"/>
      <c r="BR24" s="122"/>
      <c r="BS24" s="122"/>
      <c r="BT24" s="122"/>
      <c r="BU24" s="122"/>
      <c r="BV24" s="439"/>
      <c r="BW24" s="120">
        <f t="shared" si="8"/>
        <v>25369315.119999997</v>
      </c>
      <c r="BX24" s="121">
        <v>4.2500000000000003E-2</v>
      </c>
      <c r="BY24" s="121">
        <f t="shared" si="9"/>
        <v>4.1194288756187761E-2</v>
      </c>
      <c r="BZ24" s="120">
        <f t="shared" si="10"/>
        <v>2883.3731304109588</v>
      </c>
      <c r="CA24" s="120">
        <f t="shared" si="11"/>
        <v>64.562561522070155</v>
      </c>
    </row>
    <row r="25" spans="2:79" x14ac:dyDescent="0.25">
      <c r="B25" s="137" t="str">
        <f t="shared" si="20"/>
        <v>1 2025</v>
      </c>
      <c r="C25" s="138">
        <f t="shared" si="21"/>
        <v>45677</v>
      </c>
      <c r="D25" s="138">
        <f t="shared" si="4"/>
        <v>45678</v>
      </c>
      <c r="E25" s="137">
        <f t="shared" si="22"/>
        <v>1</v>
      </c>
      <c r="F25" s="137" t="s">
        <v>7</v>
      </c>
      <c r="G25" s="124">
        <f t="shared" si="19"/>
        <v>13250000</v>
      </c>
      <c r="H25" s="125">
        <f t="shared" si="12"/>
        <v>0.04</v>
      </c>
      <c r="I25" s="124">
        <f t="shared" si="5"/>
        <v>1472.22</v>
      </c>
      <c r="J25" s="124">
        <f t="shared" si="23"/>
        <v>31616.680000000008</v>
      </c>
      <c r="K25" s="9"/>
      <c r="L25" s="11"/>
      <c r="M25" s="12"/>
      <c r="N25" s="97"/>
      <c r="O25" s="13"/>
      <c r="P25" s="13"/>
      <c r="Q25" s="13"/>
      <c r="S25" s="11"/>
      <c r="T25" s="12"/>
      <c r="U25" s="97"/>
      <c r="V25" s="13"/>
      <c r="W25" s="13"/>
      <c r="X25" s="13"/>
      <c r="Z25" s="11"/>
      <c r="AA25" s="12"/>
      <c r="AB25" s="97"/>
      <c r="AC25" s="13"/>
      <c r="AD25" s="13"/>
      <c r="AE25" s="13"/>
      <c r="AG25" s="11"/>
      <c r="AH25" s="12"/>
      <c r="AI25" s="97"/>
      <c r="AJ25" s="13"/>
      <c r="AK25" s="13"/>
      <c r="AL25" s="13"/>
      <c r="AN25" s="9"/>
      <c r="AO25" s="9"/>
      <c r="AP25" s="9"/>
      <c r="AQ25" s="9"/>
      <c r="AR25" s="9"/>
      <c r="AS25" s="9"/>
      <c r="AT25" s="123">
        <v>1</v>
      </c>
      <c r="AU25" s="123" t="s">
        <v>32</v>
      </c>
      <c r="AV25" s="124">
        <v>12119315.119999999</v>
      </c>
      <c r="AW25" s="139">
        <v>4.2500000000000003E-2</v>
      </c>
      <c r="AX25" s="139"/>
      <c r="AY25" s="124">
        <f t="shared" si="13"/>
        <v>1411.153130410959</v>
      </c>
      <c r="AZ25" s="140">
        <f t="shared" si="7"/>
        <v>30448.308663540873</v>
      </c>
      <c r="BA25" s="140">
        <f t="shared" si="2"/>
        <v>64.562561522070155</v>
      </c>
      <c r="BC25" s="122"/>
      <c r="BD25" s="122"/>
      <c r="BE25" s="122"/>
      <c r="BF25" s="122"/>
      <c r="BH25" s="122"/>
      <c r="BI25" s="122"/>
      <c r="BJ25" s="122"/>
      <c r="BK25" s="122"/>
      <c r="BM25" s="122"/>
      <c r="BN25" s="122"/>
      <c r="BO25" s="122"/>
      <c r="BP25" s="122"/>
      <c r="BR25" s="122"/>
      <c r="BS25" s="122"/>
      <c r="BT25" s="122"/>
      <c r="BU25" s="122"/>
      <c r="BV25" s="439"/>
      <c r="BW25" s="120">
        <f t="shared" si="8"/>
        <v>25369315.119999997</v>
      </c>
      <c r="BX25" s="121">
        <v>4.2500000000000003E-2</v>
      </c>
      <c r="BY25" s="121">
        <f t="shared" si="9"/>
        <v>4.1194288756187761E-2</v>
      </c>
      <c r="BZ25" s="120">
        <f t="shared" si="10"/>
        <v>2883.3731304109588</v>
      </c>
      <c r="CA25" s="120">
        <f t="shared" si="11"/>
        <v>64.562561522070155</v>
      </c>
    </row>
    <row r="26" spans="2:79" x14ac:dyDescent="0.25">
      <c r="B26" s="137" t="str">
        <f t="shared" si="20"/>
        <v>1 2025</v>
      </c>
      <c r="C26" s="138">
        <f t="shared" si="21"/>
        <v>45678</v>
      </c>
      <c r="D26" s="138">
        <f t="shared" si="4"/>
        <v>45679</v>
      </c>
      <c r="E26" s="137">
        <f t="shared" si="22"/>
        <v>1</v>
      </c>
      <c r="F26" s="137" t="s">
        <v>7</v>
      </c>
      <c r="G26" s="124">
        <f t="shared" si="19"/>
        <v>13250000</v>
      </c>
      <c r="H26" s="125">
        <f t="shared" si="12"/>
        <v>0.04</v>
      </c>
      <c r="I26" s="124">
        <f t="shared" si="5"/>
        <v>1472.22</v>
      </c>
      <c r="J26" s="124">
        <f t="shared" si="23"/>
        <v>33088.900000000009</v>
      </c>
      <c r="K26" s="9"/>
      <c r="L26" s="11"/>
      <c r="M26" s="12"/>
      <c r="N26" s="97"/>
      <c r="O26" s="13"/>
      <c r="P26" s="13"/>
      <c r="Q26" s="13"/>
      <c r="S26" s="11"/>
      <c r="T26" s="12"/>
      <c r="U26" s="97"/>
      <c r="V26" s="13"/>
      <c r="W26" s="13"/>
      <c r="X26" s="13"/>
      <c r="Z26" s="11"/>
      <c r="AA26" s="12"/>
      <c r="AB26" s="97"/>
      <c r="AC26" s="13"/>
      <c r="AD26" s="13"/>
      <c r="AE26" s="13"/>
      <c r="AG26" s="11"/>
      <c r="AH26" s="12"/>
      <c r="AI26" s="97"/>
      <c r="AJ26" s="13"/>
      <c r="AK26" s="13"/>
      <c r="AL26" s="13"/>
      <c r="AN26" s="9"/>
      <c r="AO26" s="9"/>
      <c r="AP26" s="9"/>
      <c r="AQ26" s="9"/>
      <c r="AR26" s="9"/>
      <c r="AS26" s="9"/>
      <c r="AT26" s="123">
        <v>1</v>
      </c>
      <c r="AU26" s="123" t="s">
        <v>32</v>
      </c>
      <c r="AV26" s="124">
        <v>12112863.77</v>
      </c>
      <c r="AW26" s="139">
        <v>4.2500000000000003E-2</v>
      </c>
      <c r="AX26" s="139"/>
      <c r="AY26" s="124">
        <f t="shared" si="13"/>
        <v>1410.4019458219179</v>
      </c>
      <c r="AZ26" s="140">
        <f t="shared" si="7"/>
        <v>31858.710609362792</v>
      </c>
      <c r="BA26" s="140">
        <f t="shared" si="2"/>
        <v>64.528193599695896</v>
      </c>
      <c r="BC26" s="122"/>
      <c r="BD26" s="122"/>
      <c r="BE26" s="122"/>
      <c r="BF26" s="122"/>
      <c r="BH26" s="122"/>
      <c r="BI26" s="122"/>
      <c r="BJ26" s="122"/>
      <c r="BK26" s="122"/>
      <c r="BM26" s="122"/>
      <c r="BN26" s="122"/>
      <c r="BO26" s="122"/>
      <c r="BP26" s="122"/>
      <c r="BR26" s="122"/>
      <c r="BS26" s="122"/>
      <c r="BT26" s="122"/>
      <c r="BU26" s="122"/>
      <c r="BV26" s="439"/>
      <c r="BW26" s="120">
        <f t="shared" si="8"/>
        <v>25362863.77</v>
      </c>
      <c r="BX26" s="121">
        <v>4.2500000000000003E-2</v>
      </c>
      <c r="BY26" s="121">
        <f t="shared" si="9"/>
        <v>4.1193956632800226E-2</v>
      </c>
      <c r="BZ26" s="120">
        <f t="shared" si="10"/>
        <v>2882.621945821918</v>
      </c>
      <c r="CA26" s="120">
        <f t="shared" si="11"/>
        <v>64.528193599695896</v>
      </c>
    </row>
    <row r="27" spans="2:79" x14ac:dyDescent="0.25">
      <c r="B27" s="137" t="str">
        <f t="shared" si="20"/>
        <v>1 2025</v>
      </c>
      <c r="C27" s="138">
        <f t="shared" si="21"/>
        <v>45679</v>
      </c>
      <c r="D27" s="138">
        <f t="shared" si="4"/>
        <v>45680</v>
      </c>
      <c r="E27" s="137">
        <f t="shared" si="22"/>
        <v>1</v>
      </c>
      <c r="F27" s="137" t="s">
        <v>7</v>
      </c>
      <c r="G27" s="124">
        <f t="shared" si="19"/>
        <v>13250000</v>
      </c>
      <c r="H27" s="125">
        <f t="shared" si="12"/>
        <v>0.04</v>
      </c>
      <c r="I27" s="124">
        <f t="shared" si="5"/>
        <v>1472.22</v>
      </c>
      <c r="J27" s="124">
        <f t="shared" si="23"/>
        <v>34561.12000000001</v>
      </c>
      <c r="K27" s="9"/>
      <c r="L27" s="11"/>
      <c r="M27" s="12"/>
      <c r="N27" s="97"/>
      <c r="O27" s="13"/>
      <c r="P27" s="13"/>
      <c r="Q27" s="13"/>
      <c r="S27" s="11"/>
      <c r="T27" s="12"/>
      <c r="U27" s="97"/>
      <c r="V27" s="13"/>
      <c r="W27" s="13"/>
      <c r="X27" s="13"/>
      <c r="Z27" s="11"/>
      <c r="AA27" s="12"/>
      <c r="AB27" s="97"/>
      <c r="AC27" s="13"/>
      <c r="AD27" s="13"/>
      <c r="AE27" s="13"/>
      <c r="AG27" s="11"/>
      <c r="AH27" s="12"/>
      <c r="AI27" s="97"/>
      <c r="AJ27" s="13"/>
      <c r="AK27" s="13"/>
      <c r="AL27" s="13"/>
      <c r="AN27" s="9"/>
      <c r="AO27" s="9"/>
      <c r="AP27" s="9"/>
      <c r="AQ27" s="9"/>
      <c r="AR27" s="9"/>
      <c r="AS27" s="9"/>
      <c r="AT27" s="123">
        <v>1</v>
      </c>
      <c r="AU27" s="123" t="s">
        <v>32</v>
      </c>
      <c r="AV27" s="124">
        <v>12100428.810000001</v>
      </c>
      <c r="AW27" s="139">
        <v>4.2500000000000003E-2</v>
      </c>
      <c r="AX27" s="139"/>
      <c r="AY27" s="124">
        <f t="shared" si="13"/>
        <v>1408.9540395205481</v>
      </c>
      <c r="AZ27" s="140">
        <f t="shared" si="7"/>
        <v>33267.664648883343</v>
      </c>
      <c r="BA27" s="140">
        <f t="shared" si="2"/>
        <v>64.46194952054816</v>
      </c>
      <c r="BC27" s="122"/>
      <c r="BD27" s="122"/>
      <c r="BE27" s="122"/>
      <c r="BF27" s="122"/>
      <c r="BH27" s="122"/>
      <c r="BI27" s="122"/>
      <c r="BJ27" s="122"/>
      <c r="BK27" s="122"/>
      <c r="BM27" s="122"/>
      <c r="BN27" s="122"/>
      <c r="BO27" s="122"/>
      <c r="BP27" s="122"/>
      <c r="BR27" s="122"/>
      <c r="BS27" s="122"/>
      <c r="BT27" s="122"/>
      <c r="BU27" s="122"/>
      <c r="BV27" s="439"/>
      <c r="BW27" s="120">
        <f t="shared" si="8"/>
        <v>25350428.810000002</v>
      </c>
      <c r="BX27" s="121">
        <v>4.2500000000000003E-2</v>
      </c>
      <c r="BY27" s="121">
        <f t="shared" si="9"/>
        <v>4.1193315988921925E-2</v>
      </c>
      <c r="BZ27" s="120">
        <f t="shared" si="10"/>
        <v>2881.1740395205479</v>
      </c>
      <c r="CA27" s="120">
        <f t="shared" si="11"/>
        <v>64.46194952054816</v>
      </c>
    </row>
    <row r="28" spans="2:79" x14ac:dyDescent="0.25">
      <c r="B28" s="137" t="str">
        <f t="shared" si="20"/>
        <v>1 2025</v>
      </c>
      <c r="C28" s="138">
        <f t="shared" si="21"/>
        <v>45680</v>
      </c>
      <c r="D28" s="138">
        <f t="shared" si="4"/>
        <v>45681</v>
      </c>
      <c r="E28" s="137">
        <f t="shared" si="22"/>
        <v>1</v>
      </c>
      <c r="F28" s="137" t="s">
        <v>7</v>
      </c>
      <c r="G28" s="124">
        <f t="shared" si="19"/>
        <v>13250000</v>
      </c>
      <c r="H28" s="125">
        <f t="shared" si="12"/>
        <v>0.04</v>
      </c>
      <c r="I28" s="124">
        <f t="shared" si="5"/>
        <v>1472.22</v>
      </c>
      <c r="J28" s="124">
        <f t="shared" si="23"/>
        <v>36033.340000000011</v>
      </c>
      <c r="K28" s="9"/>
      <c r="L28" s="11"/>
      <c r="M28" s="12"/>
      <c r="N28" s="97"/>
      <c r="O28" s="13"/>
      <c r="P28" s="13"/>
      <c r="Q28" s="13"/>
      <c r="S28" s="11"/>
      <c r="T28" s="12"/>
      <c r="U28" s="97"/>
      <c r="V28" s="13"/>
      <c r="W28" s="13"/>
      <c r="X28" s="13"/>
      <c r="Z28" s="11"/>
      <c r="AA28" s="12"/>
      <c r="AB28" s="97"/>
      <c r="AC28" s="13"/>
      <c r="AD28" s="13"/>
      <c r="AE28" s="13"/>
      <c r="AG28" s="11"/>
      <c r="AH28" s="12"/>
      <c r="AI28" s="97"/>
      <c r="AJ28" s="13"/>
      <c r="AK28" s="13"/>
      <c r="AL28" s="13"/>
      <c r="AN28" s="9"/>
      <c r="AO28" s="9"/>
      <c r="AP28" s="9"/>
      <c r="AQ28" s="9"/>
      <c r="AR28" s="9"/>
      <c r="AS28" s="9"/>
      <c r="AT28" s="123">
        <v>1</v>
      </c>
      <c r="AU28" s="123" t="s">
        <v>32</v>
      </c>
      <c r="AV28" s="124">
        <v>12101837.76</v>
      </c>
      <c r="AW28" s="139">
        <v>4.2500000000000003E-2</v>
      </c>
      <c r="AX28" s="139"/>
      <c r="AY28" s="124">
        <f t="shared" si="13"/>
        <v>1409.1180953424659</v>
      </c>
      <c r="AZ28" s="140">
        <f t="shared" si="7"/>
        <v>34676.782744225806</v>
      </c>
      <c r="BA28" s="140">
        <f t="shared" si="2"/>
        <v>64.469455342465835</v>
      </c>
      <c r="BC28" s="122"/>
      <c r="BD28" s="122"/>
      <c r="BE28" s="122"/>
      <c r="BF28" s="122"/>
      <c r="BH28" s="122"/>
      <c r="BI28" s="122"/>
      <c r="BJ28" s="122"/>
      <c r="BK28" s="122"/>
      <c r="BM28" s="122"/>
      <c r="BN28" s="122"/>
      <c r="BO28" s="122"/>
      <c r="BP28" s="122"/>
      <c r="BR28" s="122"/>
      <c r="BS28" s="122"/>
      <c r="BT28" s="122"/>
      <c r="BU28" s="122"/>
      <c r="BV28" s="439"/>
      <c r="BW28" s="120">
        <f t="shared" si="8"/>
        <v>25351837.759999998</v>
      </c>
      <c r="BX28" s="121">
        <v>4.2500000000000003E-2</v>
      </c>
      <c r="BY28" s="121">
        <f t="shared" si="9"/>
        <v>4.1193388609000001E-2</v>
      </c>
      <c r="BZ28" s="120">
        <f t="shared" si="10"/>
        <v>2881.3380953424657</v>
      </c>
      <c r="CA28" s="120">
        <f t="shared" si="11"/>
        <v>64.469455342465835</v>
      </c>
    </row>
    <row r="29" spans="2:79" x14ac:dyDescent="0.25">
      <c r="B29" s="137" t="str">
        <f t="shared" si="20"/>
        <v>1 2025</v>
      </c>
      <c r="C29" s="138">
        <f t="shared" si="21"/>
        <v>45681</v>
      </c>
      <c r="D29" s="138">
        <f t="shared" si="4"/>
        <v>45682</v>
      </c>
      <c r="E29" s="137">
        <f t="shared" si="22"/>
        <v>1</v>
      </c>
      <c r="F29" s="137" t="s">
        <v>7</v>
      </c>
      <c r="G29" s="124">
        <f t="shared" si="19"/>
        <v>13250000</v>
      </c>
      <c r="H29" s="125">
        <f t="shared" si="12"/>
        <v>0.04</v>
      </c>
      <c r="I29" s="124">
        <f t="shared" si="5"/>
        <v>1472.22</v>
      </c>
      <c r="J29" s="124">
        <f t="shared" si="23"/>
        <v>37505.560000000012</v>
      </c>
      <c r="K29" s="9"/>
      <c r="L29" s="11"/>
      <c r="M29" s="12"/>
      <c r="N29" s="97"/>
      <c r="O29" s="13"/>
      <c r="P29" s="13"/>
      <c r="Q29" s="13"/>
      <c r="S29" s="11"/>
      <c r="T29" s="12"/>
      <c r="U29" s="97"/>
      <c r="V29" s="13"/>
      <c r="W29" s="13"/>
      <c r="X29" s="13"/>
      <c r="Z29" s="11"/>
      <c r="AA29" s="12"/>
      <c r="AB29" s="97"/>
      <c r="AC29" s="13"/>
      <c r="AD29" s="13"/>
      <c r="AE29" s="13"/>
      <c r="AG29" s="11"/>
      <c r="AH29" s="12"/>
      <c r="AI29" s="97"/>
      <c r="AJ29" s="13"/>
      <c r="AK29" s="13"/>
      <c r="AL29" s="13"/>
      <c r="AN29" s="9"/>
      <c r="AO29" s="9"/>
      <c r="AP29" s="9"/>
      <c r="AQ29" s="9"/>
      <c r="AR29" s="9"/>
      <c r="AS29" s="9"/>
      <c r="AT29" s="123">
        <v>1</v>
      </c>
      <c r="AU29" s="123" t="s">
        <v>32</v>
      </c>
      <c r="AV29" s="124">
        <v>11941814.880000001</v>
      </c>
      <c r="AW29" s="139">
        <v>4.2500000000000003E-2</v>
      </c>
      <c r="AX29" s="139"/>
      <c r="AY29" s="124">
        <f t="shared" si="13"/>
        <v>1390.4852942465754</v>
      </c>
      <c r="AZ29" s="140">
        <f t="shared" si="7"/>
        <v>36067.268038472379</v>
      </c>
      <c r="BA29" s="140">
        <f t="shared" si="2"/>
        <v>63.61697424657541</v>
      </c>
      <c r="BC29" s="122"/>
      <c r="BD29" s="122"/>
      <c r="BE29" s="122"/>
      <c r="BF29" s="122"/>
      <c r="BH29" s="122"/>
      <c r="BI29" s="122"/>
      <c r="BJ29" s="122"/>
      <c r="BK29" s="122"/>
      <c r="BM29" s="122"/>
      <c r="BN29" s="122"/>
      <c r="BO29" s="122"/>
      <c r="BP29" s="122"/>
      <c r="BR29" s="122"/>
      <c r="BS29" s="122"/>
      <c r="BT29" s="122"/>
      <c r="BU29" s="122"/>
      <c r="BV29" s="439"/>
      <c r="BW29" s="120">
        <f t="shared" si="8"/>
        <v>25191814.880000003</v>
      </c>
      <c r="BX29" s="121">
        <v>4.2500000000000003E-2</v>
      </c>
      <c r="BY29" s="121">
        <f t="shared" si="9"/>
        <v>4.1185088781503461E-2</v>
      </c>
      <c r="BZ29" s="120">
        <f t="shared" si="10"/>
        <v>2862.7052942465752</v>
      </c>
      <c r="CA29" s="120">
        <f t="shared" si="11"/>
        <v>63.61697424657541</v>
      </c>
    </row>
    <row r="30" spans="2:79" x14ac:dyDescent="0.25">
      <c r="B30" s="137" t="str">
        <f t="shared" si="20"/>
        <v>1 2025</v>
      </c>
      <c r="C30" s="138">
        <f t="shared" si="21"/>
        <v>45682</v>
      </c>
      <c r="D30" s="138">
        <f t="shared" si="4"/>
        <v>45683</v>
      </c>
      <c r="E30" s="137">
        <f t="shared" si="22"/>
        <v>1</v>
      </c>
      <c r="F30" s="137" t="s">
        <v>7</v>
      </c>
      <c r="G30" s="124">
        <f t="shared" si="19"/>
        <v>13250000</v>
      </c>
      <c r="H30" s="125">
        <f t="shared" si="12"/>
        <v>0.04</v>
      </c>
      <c r="I30" s="124">
        <f t="shared" si="5"/>
        <v>1472.22</v>
      </c>
      <c r="J30" s="124">
        <f t="shared" si="23"/>
        <v>38977.780000000013</v>
      </c>
      <c r="K30" s="9"/>
      <c r="L30" s="11"/>
      <c r="M30" s="12"/>
      <c r="N30" s="97"/>
      <c r="O30" s="13"/>
      <c r="P30" s="13"/>
      <c r="Q30" s="13"/>
      <c r="S30" s="11"/>
      <c r="T30" s="12"/>
      <c r="U30" s="97"/>
      <c r="V30" s="13"/>
      <c r="W30" s="13"/>
      <c r="X30" s="13"/>
      <c r="Z30" s="11"/>
      <c r="AA30" s="12"/>
      <c r="AB30" s="97"/>
      <c r="AC30" s="13"/>
      <c r="AD30" s="13"/>
      <c r="AE30" s="13"/>
      <c r="AG30" s="11"/>
      <c r="AH30" s="12"/>
      <c r="AI30" s="97"/>
      <c r="AJ30" s="13"/>
      <c r="AK30" s="13"/>
      <c r="AL30" s="13"/>
      <c r="AN30" s="9"/>
      <c r="AO30" s="9"/>
      <c r="AP30" s="9"/>
      <c r="AQ30" s="9"/>
      <c r="AR30" s="9"/>
      <c r="AS30" s="9"/>
      <c r="AT30" s="123">
        <v>1</v>
      </c>
      <c r="AU30" s="123" t="s">
        <v>32</v>
      </c>
      <c r="AV30" s="124">
        <v>11941814.880000001</v>
      </c>
      <c r="AW30" s="139">
        <v>4.2500000000000003E-2</v>
      </c>
      <c r="AX30" s="139"/>
      <c r="AY30" s="124">
        <f t="shared" si="13"/>
        <v>1390.4852942465754</v>
      </c>
      <c r="AZ30" s="140">
        <f t="shared" si="7"/>
        <v>37457.753332718952</v>
      </c>
      <c r="BA30" s="140">
        <f t="shared" si="2"/>
        <v>63.61697424657541</v>
      </c>
      <c r="BC30" s="122"/>
      <c r="BD30" s="122"/>
      <c r="BE30" s="122"/>
      <c r="BF30" s="122"/>
      <c r="BH30" s="122"/>
      <c r="BI30" s="122"/>
      <c r="BJ30" s="122"/>
      <c r="BK30" s="122"/>
      <c r="BM30" s="122"/>
      <c r="BN30" s="122"/>
      <c r="BO30" s="122"/>
      <c r="BP30" s="122"/>
      <c r="BR30" s="122"/>
      <c r="BS30" s="122"/>
      <c r="BT30" s="122"/>
      <c r="BU30" s="122"/>
      <c r="BV30" s="439"/>
      <c r="BW30" s="120">
        <f t="shared" si="8"/>
        <v>25191814.880000003</v>
      </c>
      <c r="BX30" s="121">
        <v>4.2500000000000003E-2</v>
      </c>
      <c r="BY30" s="121">
        <f t="shared" si="9"/>
        <v>4.1185088781503461E-2</v>
      </c>
      <c r="BZ30" s="120">
        <f t="shared" si="10"/>
        <v>2862.7052942465752</v>
      </c>
      <c r="CA30" s="120">
        <f t="shared" si="11"/>
        <v>63.61697424657541</v>
      </c>
    </row>
    <row r="31" spans="2:79" x14ac:dyDescent="0.25">
      <c r="B31" s="137" t="str">
        <f t="shared" si="20"/>
        <v>1 2025</v>
      </c>
      <c r="C31" s="138">
        <f t="shared" si="21"/>
        <v>45683</v>
      </c>
      <c r="D31" s="138">
        <f t="shared" si="4"/>
        <v>45684</v>
      </c>
      <c r="E31" s="137">
        <f t="shared" si="22"/>
        <v>1</v>
      </c>
      <c r="F31" s="137" t="s">
        <v>7</v>
      </c>
      <c r="G31" s="124">
        <f t="shared" si="19"/>
        <v>13250000</v>
      </c>
      <c r="H31" s="125">
        <f t="shared" si="12"/>
        <v>0.04</v>
      </c>
      <c r="I31" s="124">
        <f t="shared" si="5"/>
        <v>1472.22</v>
      </c>
      <c r="J31" s="124">
        <f t="shared" si="23"/>
        <v>40450.000000000015</v>
      </c>
      <c r="K31" s="9"/>
      <c r="L31" s="11"/>
      <c r="M31" s="12"/>
      <c r="N31" s="97"/>
      <c r="O31" s="13"/>
      <c r="P31" s="13"/>
      <c r="Q31" s="13"/>
      <c r="S31" s="11"/>
      <c r="T31" s="12"/>
      <c r="U31" s="97"/>
      <c r="V31" s="13"/>
      <c r="W31" s="13"/>
      <c r="X31" s="13"/>
      <c r="Z31" s="11"/>
      <c r="AA31" s="12"/>
      <c r="AB31" s="97"/>
      <c r="AC31" s="13"/>
      <c r="AD31" s="13"/>
      <c r="AE31" s="13"/>
      <c r="AG31" s="11"/>
      <c r="AH31" s="12"/>
      <c r="AI31" s="97"/>
      <c r="AJ31" s="13"/>
      <c r="AK31" s="13"/>
      <c r="AL31" s="13"/>
      <c r="AN31" s="9"/>
      <c r="AO31" s="9"/>
      <c r="AP31" s="9"/>
      <c r="AQ31" s="9"/>
      <c r="AR31" s="9"/>
      <c r="AS31" s="9"/>
      <c r="AT31" s="123">
        <v>1</v>
      </c>
      <c r="AU31" s="123" t="s">
        <v>32</v>
      </c>
      <c r="AV31" s="124">
        <v>11941814.880000001</v>
      </c>
      <c r="AW31" s="139">
        <v>4.2500000000000003E-2</v>
      </c>
      <c r="AX31" s="139"/>
      <c r="AY31" s="124">
        <f t="shared" si="13"/>
        <v>1390.4852942465754</v>
      </c>
      <c r="AZ31" s="140">
        <f t="shared" si="7"/>
        <v>38848.238626965525</v>
      </c>
      <c r="BA31" s="140">
        <f t="shared" si="2"/>
        <v>63.61697424657541</v>
      </c>
      <c r="BC31" s="122"/>
      <c r="BD31" s="122"/>
      <c r="BE31" s="122"/>
      <c r="BF31" s="122"/>
      <c r="BH31" s="122"/>
      <c r="BI31" s="122"/>
      <c r="BJ31" s="122"/>
      <c r="BK31" s="122"/>
      <c r="BM31" s="122"/>
      <c r="BN31" s="122"/>
      <c r="BO31" s="122"/>
      <c r="BP31" s="122"/>
      <c r="BR31" s="122"/>
      <c r="BS31" s="122"/>
      <c r="BT31" s="122"/>
      <c r="BU31" s="122"/>
      <c r="BV31" s="439"/>
      <c r="BW31" s="120">
        <f t="shared" si="8"/>
        <v>25191814.880000003</v>
      </c>
      <c r="BX31" s="121">
        <v>4.2500000000000003E-2</v>
      </c>
      <c r="BY31" s="121">
        <f t="shared" si="9"/>
        <v>4.1185088781503461E-2</v>
      </c>
      <c r="BZ31" s="120">
        <f t="shared" si="10"/>
        <v>2862.7052942465752</v>
      </c>
      <c r="CA31" s="120">
        <f t="shared" si="11"/>
        <v>63.61697424657541</v>
      </c>
    </row>
    <row r="32" spans="2:79" x14ac:dyDescent="0.25">
      <c r="B32" s="137" t="str">
        <f t="shared" si="20"/>
        <v>1 2025</v>
      </c>
      <c r="C32" s="138">
        <f t="shared" si="21"/>
        <v>45684</v>
      </c>
      <c r="D32" s="138">
        <f t="shared" si="4"/>
        <v>45685</v>
      </c>
      <c r="E32" s="137">
        <f t="shared" si="22"/>
        <v>1</v>
      </c>
      <c r="F32" s="137" t="s">
        <v>7</v>
      </c>
      <c r="G32" s="136">
        <f>G31-900000</f>
        <v>12350000</v>
      </c>
      <c r="H32" s="125">
        <f t="shared" si="12"/>
        <v>0.04</v>
      </c>
      <c r="I32" s="124">
        <f t="shared" si="5"/>
        <v>1372.22</v>
      </c>
      <c r="J32" s="124">
        <f t="shared" si="23"/>
        <v>41822.220000000016</v>
      </c>
      <c r="K32" s="9"/>
      <c r="L32" s="11"/>
      <c r="M32" s="12"/>
      <c r="N32" s="97"/>
      <c r="O32" s="13"/>
      <c r="P32" s="13"/>
      <c r="Q32" s="13"/>
      <c r="S32" s="11"/>
      <c r="T32" s="12"/>
      <c r="U32" s="97"/>
      <c r="V32" s="13"/>
      <c r="W32" s="13"/>
      <c r="X32" s="13"/>
      <c r="Z32" s="11"/>
      <c r="AA32" s="12"/>
      <c r="AB32" s="97"/>
      <c r="AC32" s="13"/>
      <c r="AD32" s="13"/>
      <c r="AE32" s="13"/>
      <c r="AG32" s="11"/>
      <c r="AH32" s="12"/>
      <c r="AI32" s="97"/>
      <c r="AJ32" s="13"/>
      <c r="AK32" s="13"/>
      <c r="AL32" s="13"/>
      <c r="AN32" s="9"/>
      <c r="AO32" s="9"/>
      <c r="AP32" s="9"/>
      <c r="AQ32" s="9"/>
      <c r="AR32" s="9"/>
      <c r="AS32" s="9"/>
      <c r="AT32" s="123">
        <v>1</v>
      </c>
      <c r="AU32" s="123" t="s">
        <v>32</v>
      </c>
      <c r="AV32" s="124">
        <v>11824986.34</v>
      </c>
      <c r="AW32" s="139">
        <v>4.2500000000000003E-2</v>
      </c>
      <c r="AX32" s="139"/>
      <c r="AY32" s="124">
        <f t="shared" si="13"/>
        <v>1376.8819710958905</v>
      </c>
      <c r="AZ32" s="140">
        <f t="shared" si="7"/>
        <v>40225.120598061418</v>
      </c>
      <c r="BA32" s="140">
        <f t="shared" si="2"/>
        <v>62.99459998477937</v>
      </c>
      <c r="BC32" s="122"/>
      <c r="BD32" s="122"/>
      <c r="BE32" s="122"/>
      <c r="BF32" s="122"/>
      <c r="BH32" s="122"/>
      <c r="BI32" s="122"/>
      <c r="BJ32" s="122"/>
      <c r="BK32" s="122"/>
      <c r="BM32" s="122"/>
      <c r="BN32" s="122"/>
      <c r="BO32" s="122"/>
      <c r="BP32" s="122"/>
      <c r="BR32" s="122"/>
      <c r="BS32" s="122"/>
      <c r="BT32" s="122"/>
      <c r="BU32" s="122"/>
      <c r="BV32" s="439"/>
      <c r="BW32" s="120">
        <f t="shared" si="8"/>
        <v>24174986.34</v>
      </c>
      <c r="BX32" s="121">
        <v>4.2500000000000003E-2</v>
      </c>
      <c r="BY32" s="121">
        <f t="shared" si="9"/>
        <v>4.1222853466563743E-2</v>
      </c>
      <c r="BZ32" s="120">
        <f t="shared" si="10"/>
        <v>2749.1019710958908</v>
      </c>
      <c r="CA32" s="120">
        <f t="shared" si="11"/>
        <v>62.99459998477937</v>
      </c>
    </row>
    <row r="33" spans="2:79" x14ac:dyDescent="0.25">
      <c r="B33" s="137" t="str">
        <f t="shared" si="20"/>
        <v>1 2025</v>
      </c>
      <c r="C33" s="138">
        <f t="shared" si="21"/>
        <v>45685</v>
      </c>
      <c r="D33" s="138">
        <f t="shared" si="4"/>
        <v>45686</v>
      </c>
      <c r="E33" s="137">
        <f t="shared" si="22"/>
        <v>1</v>
      </c>
      <c r="F33" s="137" t="s">
        <v>7</v>
      </c>
      <c r="G33" s="136">
        <f>G32+140000</f>
        <v>12490000</v>
      </c>
      <c r="H33" s="125">
        <f t="shared" si="12"/>
        <v>0.04</v>
      </c>
      <c r="I33" s="124">
        <f t="shared" si="5"/>
        <v>1387.78</v>
      </c>
      <c r="J33" s="124">
        <f t="shared" si="23"/>
        <v>43210.000000000015</v>
      </c>
      <c r="K33" s="9"/>
      <c r="L33" s="11"/>
      <c r="M33" s="12"/>
      <c r="N33" s="97"/>
      <c r="O33" s="13"/>
      <c r="P33" s="13"/>
      <c r="Q33" s="13"/>
      <c r="S33" s="11"/>
      <c r="T33" s="12"/>
      <c r="U33" s="97"/>
      <c r="V33" s="13"/>
      <c r="W33" s="13"/>
      <c r="X33" s="13"/>
      <c r="Z33" s="11"/>
      <c r="AA33" s="12"/>
      <c r="AB33" s="97"/>
      <c r="AC33" s="13"/>
      <c r="AD33" s="13"/>
      <c r="AE33" s="13"/>
      <c r="AG33" s="11"/>
      <c r="AH33" s="12"/>
      <c r="AI33" s="97"/>
      <c r="AJ33" s="13"/>
      <c r="AK33" s="13"/>
      <c r="AL33" s="13"/>
      <c r="AN33" s="9"/>
      <c r="AO33" s="9"/>
      <c r="AP33" s="9"/>
      <c r="AQ33" s="9"/>
      <c r="AR33" s="9"/>
      <c r="AS33" s="9"/>
      <c r="AT33" s="123">
        <v>1</v>
      </c>
      <c r="AU33" s="123" t="s">
        <v>32</v>
      </c>
      <c r="AV33" s="124">
        <v>11824797.17</v>
      </c>
      <c r="AW33" s="139">
        <v>4.2500000000000003E-2</v>
      </c>
      <c r="AX33" s="139"/>
      <c r="AY33" s="124">
        <f t="shared" si="13"/>
        <v>1376.8599444520548</v>
      </c>
      <c r="AZ33" s="140">
        <f t="shared" si="7"/>
        <v>41601.980542513469</v>
      </c>
      <c r="BA33" s="140">
        <f t="shared" si="2"/>
        <v>62.993592229832757</v>
      </c>
      <c r="BC33" s="122"/>
      <c r="BD33" s="122"/>
      <c r="BE33" s="122"/>
      <c r="BF33" s="122"/>
      <c r="BH33" s="122"/>
      <c r="BI33" s="122"/>
      <c r="BJ33" s="122"/>
      <c r="BK33" s="122"/>
      <c r="BM33" s="122"/>
      <c r="BN33" s="122"/>
      <c r="BO33" s="122"/>
      <c r="BP33" s="122"/>
      <c r="BR33" s="122"/>
      <c r="BS33" s="122"/>
      <c r="BT33" s="122"/>
      <c r="BU33" s="122"/>
      <c r="BV33" s="439"/>
      <c r="BW33" s="120">
        <f t="shared" si="8"/>
        <v>24314797.170000002</v>
      </c>
      <c r="BX33" s="121">
        <v>4.2500000000000003E-2</v>
      </c>
      <c r="BY33" s="121">
        <f t="shared" si="9"/>
        <v>4.121580257150876E-2</v>
      </c>
      <c r="BZ33" s="120">
        <f t="shared" si="10"/>
        <v>2764.6399444520548</v>
      </c>
      <c r="CA33" s="120">
        <f t="shared" si="11"/>
        <v>62.993592229832757</v>
      </c>
    </row>
    <row r="34" spans="2:79" x14ac:dyDescent="0.25">
      <c r="B34" s="137" t="str">
        <f t="shared" si="20"/>
        <v>1 2025</v>
      </c>
      <c r="C34" s="138">
        <f t="shared" si="21"/>
        <v>45686</v>
      </c>
      <c r="D34" s="138">
        <f t="shared" si="4"/>
        <v>45687</v>
      </c>
      <c r="E34" s="137">
        <f t="shared" si="22"/>
        <v>1</v>
      </c>
      <c r="F34" s="137" t="s">
        <v>7</v>
      </c>
      <c r="G34" s="124">
        <f t="shared" si="19"/>
        <v>12490000</v>
      </c>
      <c r="H34" s="125">
        <f t="shared" si="12"/>
        <v>0.04</v>
      </c>
      <c r="I34" s="124">
        <f t="shared" si="5"/>
        <v>1387.78</v>
      </c>
      <c r="J34" s="124">
        <f t="shared" si="23"/>
        <v>44597.780000000013</v>
      </c>
      <c r="K34" s="9"/>
      <c r="L34" s="11"/>
      <c r="M34" s="12"/>
      <c r="N34" s="97"/>
      <c r="O34" s="13"/>
      <c r="P34" s="13"/>
      <c r="Q34" s="13"/>
      <c r="S34" s="11"/>
      <c r="T34" s="12"/>
      <c r="U34" s="97"/>
      <c r="V34" s="13"/>
      <c r="W34" s="13"/>
      <c r="X34" s="13"/>
      <c r="Z34" s="11"/>
      <c r="AA34" s="12"/>
      <c r="AB34" s="97"/>
      <c r="AC34" s="13"/>
      <c r="AD34" s="13"/>
      <c r="AE34" s="13"/>
      <c r="AG34" s="11"/>
      <c r="AH34" s="12"/>
      <c r="AI34" s="97"/>
      <c r="AJ34" s="13"/>
      <c r="AK34" s="13"/>
      <c r="AL34" s="13"/>
      <c r="AN34" s="9"/>
      <c r="AO34" s="9"/>
      <c r="AP34" s="9"/>
      <c r="AQ34" s="9"/>
      <c r="AR34" s="9"/>
      <c r="AS34" s="9"/>
      <c r="AT34" s="123">
        <v>1</v>
      </c>
      <c r="AU34" s="123" t="s">
        <v>32</v>
      </c>
      <c r="AV34" s="124">
        <v>11813279.529999999</v>
      </c>
      <c r="AW34" s="139">
        <v>4.2500000000000003E-2</v>
      </c>
      <c r="AX34" s="139"/>
      <c r="AY34" s="124">
        <f t="shared" si="13"/>
        <v>1375.5188493835617</v>
      </c>
      <c r="AZ34" s="140">
        <f t="shared" si="7"/>
        <v>42977.499391897029</v>
      </c>
      <c r="BA34" s="140">
        <f t="shared" si="2"/>
        <v>62.932234939117279</v>
      </c>
      <c r="BC34" s="122"/>
      <c r="BD34" s="122"/>
      <c r="BE34" s="122"/>
      <c r="BF34" s="122"/>
      <c r="BH34" s="122"/>
      <c r="BI34" s="122"/>
      <c r="BJ34" s="122"/>
      <c r="BK34" s="122"/>
      <c r="BM34" s="122"/>
      <c r="BN34" s="122"/>
      <c r="BO34" s="122"/>
      <c r="BP34" s="122"/>
      <c r="BR34" s="122"/>
      <c r="BS34" s="122"/>
      <c r="BT34" s="122"/>
      <c r="BU34" s="122"/>
      <c r="BV34" s="439"/>
      <c r="BW34" s="120">
        <f t="shared" si="8"/>
        <v>24303279.530000001</v>
      </c>
      <c r="BX34" s="170">
        <v>4.2500000000000003E-2</v>
      </c>
      <c r="BY34" s="121">
        <f t="shared" si="9"/>
        <v>4.1215193973658748E-2</v>
      </c>
      <c r="BZ34" s="120">
        <f t="shared" si="10"/>
        <v>2763.2988493835619</v>
      </c>
      <c r="CA34" s="120">
        <f t="shared" si="11"/>
        <v>62.932234939117279</v>
      </c>
    </row>
    <row r="35" spans="2:79" x14ac:dyDescent="0.25">
      <c r="B35" s="148" t="str">
        <f t="shared" si="20"/>
        <v>1 2025</v>
      </c>
      <c r="C35" s="149">
        <f t="shared" si="21"/>
        <v>45687</v>
      </c>
      <c r="D35" s="149">
        <f t="shared" si="4"/>
        <v>45688</v>
      </c>
      <c r="E35" s="148">
        <f t="shared" si="22"/>
        <v>1</v>
      </c>
      <c r="F35" s="148" t="s">
        <v>7</v>
      </c>
      <c r="G35" s="150">
        <f t="shared" si="19"/>
        <v>12490000</v>
      </c>
      <c r="H35" s="151">
        <f t="shared" si="12"/>
        <v>0.04</v>
      </c>
      <c r="I35" s="150">
        <f t="shared" si="5"/>
        <v>1387.78</v>
      </c>
      <c r="J35" s="150">
        <f t="shared" si="23"/>
        <v>45985.560000000012</v>
      </c>
      <c r="K35" s="17"/>
      <c r="L35" s="143"/>
      <c r="M35" s="144"/>
      <c r="N35" s="145"/>
      <c r="O35" s="146"/>
      <c r="P35" s="146"/>
      <c r="Q35" s="146"/>
      <c r="R35" s="17"/>
      <c r="S35" s="143"/>
      <c r="T35" s="144"/>
      <c r="U35" s="145"/>
      <c r="V35" s="146"/>
      <c r="W35" s="146"/>
      <c r="X35" s="146"/>
      <c r="Y35" s="17"/>
      <c r="Z35" s="143"/>
      <c r="AA35" s="144"/>
      <c r="AB35" s="145"/>
      <c r="AC35" s="146"/>
      <c r="AD35" s="146"/>
      <c r="AE35" s="146"/>
      <c r="AF35" s="17"/>
      <c r="AG35" s="143"/>
      <c r="AH35" s="144"/>
      <c r="AI35" s="145"/>
      <c r="AJ35" s="146"/>
      <c r="AK35" s="146"/>
      <c r="AL35" s="146"/>
      <c r="AM35" s="17"/>
      <c r="AN35" s="17"/>
      <c r="AO35" s="17"/>
      <c r="AP35" s="17"/>
      <c r="AQ35" s="17"/>
      <c r="AR35" s="17"/>
      <c r="AS35" s="17"/>
      <c r="AT35" s="148">
        <v>1</v>
      </c>
      <c r="AU35" s="148" t="s">
        <v>32</v>
      </c>
      <c r="AV35" s="150">
        <v>11814655.050000001</v>
      </c>
      <c r="AW35" s="189">
        <v>4.2500000000000003E-2</v>
      </c>
      <c r="AX35" s="189"/>
      <c r="AY35" s="150">
        <f t="shared" si="13"/>
        <v>1375.6790126712331</v>
      </c>
      <c r="AZ35" s="153">
        <f t="shared" si="7"/>
        <v>44353.178404568258</v>
      </c>
      <c r="BA35" s="153">
        <f t="shared" si="2"/>
        <v>62.939562671233034</v>
      </c>
      <c r="BB35" s="23"/>
      <c r="BC35" s="122"/>
      <c r="BD35" s="122"/>
      <c r="BE35" s="122"/>
      <c r="BF35" s="122"/>
      <c r="BH35" s="122"/>
      <c r="BI35" s="122"/>
      <c r="BJ35" s="122"/>
      <c r="BK35" s="122"/>
      <c r="BM35" s="122"/>
      <c r="BN35" s="122"/>
      <c r="BO35" s="122"/>
      <c r="BP35" s="122"/>
      <c r="BR35" s="122"/>
      <c r="BS35" s="122"/>
      <c r="BT35" s="122"/>
      <c r="BU35" s="122"/>
      <c r="BV35" s="439"/>
      <c r="BW35" s="120">
        <f t="shared" si="8"/>
        <v>24304655.050000001</v>
      </c>
      <c r="BX35" s="172">
        <v>4.2500000000000003E-2</v>
      </c>
      <c r="BY35" s="121">
        <f t="shared" si="9"/>
        <v>4.1215266687152592E-2</v>
      </c>
      <c r="BZ35" s="120">
        <f t="shared" si="10"/>
        <v>2763.4590126712328</v>
      </c>
      <c r="CA35" s="120">
        <f t="shared" si="11"/>
        <v>62.939562671233034</v>
      </c>
    </row>
    <row r="36" spans="2:79" x14ac:dyDescent="0.25">
      <c r="B36" s="123" t="str">
        <f t="shared" si="20"/>
        <v>2 2025</v>
      </c>
      <c r="C36" s="122">
        <f t="shared" si="21"/>
        <v>45688</v>
      </c>
      <c r="D36" s="122">
        <f t="shared" si="4"/>
        <v>45689</v>
      </c>
      <c r="E36" s="123">
        <f t="shared" si="22"/>
        <v>1</v>
      </c>
      <c r="F36" s="123" t="s">
        <v>7</v>
      </c>
      <c r="G36" s="136">
        <f>G35+50000</f>
        <v>12540000</v>
      </c>
      <c r="H36" s="125">
        <f t="shared" si="12"/>
        <v>0.04</v>
      </c>
      <c r="I36" s="124">
        <f t="shared" si="5"/>
        <v>1393.33</v>
      </c>
      <c r="J36" s="124">
        <f t="shared" si="23"/>
        <v>47378.890000000014</v>
      </c>
      <c r="K36" s="9"/>
      <c r="L36" s="11"/>
      <c r="M36" s="12"/>
      <c r="N36" s="97"/>
      <c r="O36" s="13"/>
      <c r="P36" s="13"/>
      <c r="Q36" s="13"/>
      <c r="S36" s="11"/>
      <c r="T36" s="12"/>
      <c r="U36" s="97"/>
      <c r="V36" s="13"/>
      <c r="W36" s="13"/>
      <c r="X36" s="13"/>
      <c r="Z36" s="11"/>
      <c r="AA36" s="12"/>
      <c r="AB36" s="97"/>
      <c r="AC36" s="13"/>
      <c r="AD36" s="13"/>
      <c r="AE36" s="13"/>
      <c r="AG36" s="11"/>
      <c r="AH36" s="12"/>
      <c r="AI36" s="97"/>
      <c r="AJ36" s="13"/>
      <c r="AK36" s="13"/>
      <c r="AL36" s="13"/>
      <c r="AN36" s="9"/>
      <c r="AO36" s="9"/>
      <c r="AP36" s="9"/>
      <c r="AQ36" s="9"/>
      <c r="AR36" s="9"/>
      <c r="AS36" s="9"/>
      <c r="AT36" s="123">
        <v>1</v>
      </c>
      <c r="AU36" s="123" t="s">
        <v>32</v>
      </c>
      <c r="AV36" s="124">
        <v>11392399.880000001</v>
      </c>
      <c r="AW36" s="139">
        <v>4.2500000000000003E-2</v>
      </c>
      <c r="AX36" s="139"/>
      <c r="AY36" s="124">
        <f t="shared" si="13"/>
        <v>1326.5123147945208</v>
      </c>
      <c r="AZ36" s="140">
        <f t="shared" si="7"/>
        <v>45679.690719362778</v>
      </c>
      <c r="BA36" s="140">
        <f t="shared" si="2"/>
        <v>60.690105905631754</v>
      </c>
      <c r="BC36" s="122"/>
      <c r="BD36" s="122"/>
      <c r="BE36" s="122"/>
      <c r="BF36" s="122"/>
      <c r="BH36" s="122"/>
      <c r="BI36" s="122"/>
      <c r="BJ36" s="122"/>
      <c r="BK36" s="122"/>
      <c r="BM36" s="122"/>
      <c r="BN36" s="122"/>
      <c r="BO36" s="122"/>
      <c r="BP36" s="122"/>
      <c r="BR36" s="122"/>
      <c r="BS36" s="122"/>
      <c r="BT36" s="122"/>
      <c r="BU36" s="122"/>
      <c r="BV36" s="439"/>
      <c r="BW36" s="120">
        <f t="shared" si="8"/>
        <v>23932399.880000003</v>
      </c>
      <c r="BX36" s="171">
        <v>4.2500000000000003E-2</v>
      </c>
      <c r="BY36" s="121">
        <f t="shared" si="9"/>
        <v>4.1190060330046595E-2</v>
      </c>
      <c r="BZ36" s="120">
        <f t="shared" si="10"/>
        <v>2719.8423147945205</v>
      </c>
      <c r="CA36" s="120">
        <f t="shared" si="11"/>
        <v>60.690105905631754</v>
      </c>
    </row>
    <row r="37" spans="2:79" x14ac:dyDescent="0.25">
      <c r="B37" s="123" t="str">
        <f t="shared" si="20"/>
        <v>2 2025</v>
      </c>
      <c r="C37" s="122">
        <f t="shared" si="21"/>
        <v>45689</v>
      </c>
      <c r="D37" s="122">
        <f t="shared" si="4"/>
        <v>45690</v>
      </c>
      <c r="E37" s="123">
        <f t="shared" si="22"/>
        <v>1</v>
      </c>
      <c r="F37" s="123" t="s">
        <v>7</v>
      </c>
      <c r="G37" s="124">
        <f t="shared" si="19"/>
        <v>12540000</v>
      </c>
      <c r="H37" s="125">
        <f t="shared" si="12"/>
        <v>0.04</v>
      </c>
      <c r="I37" s="124">
        <f t="shared" si="5"/>
        <v>1393.33</v>
      </c>
      <c r="J37" s="124">
        <f t="shared" si="23"/>
        <v>48772.220000000016</v>
      </c>
      <c r="K37" s="9"/>
      <c r="L37" s="11"/>
      <c r="M37" s="12"/>
      <c r="N37" s="97"/>
      <c r="O37" s="13"/>
      <c r="P37" s="13"/>
      <c r="Q37" s="13"/>
      <c r="S37" s="11"/>
      <c r="T37" s="12"/>
      <c r="U37" s="97"/>
      <c r="V37" s="13"/>
      <c r="W37" s="13"/>
      <c r="X37" s="13"/>
      <c r="Z37" s="11"/>
      <c r="AA37" s="12"/>
      <c r="AB37" s="97"/>
      <c r="AC37" s="13"/>
      <c r="AD37" s="13"/>
      <c r="AE37" s="13"/>
      <c r="AG37" s="11"/>
      <c r="AH37" s="12"/>
      <c r="AI37" s="97"/>
      <c r="AJ37" s="13"/>
      <c r="AK37" s="13"/>
      <c r="AL37" s="13"/>
      <c r="AN37" s="9"/>
      <c r="AO37" s="9"/>
      <c r="AP37" s="9"/>
      <c r="AQ37" s="9"/>
      <c r="AR37" s="9"/>
      <c r="AS37" s="9"/>
      <c r="AT37" s="123">
        <v>1</v>
      </c>
      <c r="AU37" s="123" t="s">
        <v>32</v>
      </c>
      <c r="AV37" s="124">
        <v>11392399.880000001</v>
      </c>
      <c r="AW37" s="139">
        <v>4.2500000000000003E-2</v>
      </c>
      <c r="AX37" s="139"/>
      <c r="AY37" s="124">
        <f t="shared" si="13"/>
        <v>1326.5123147945208</v>
      </c>
      <c r="AZ37" s="140">
        <f t="shared" si="7"/>
        <v>47006.203034157297</v>
      </c>
      <c r="BA37" s="140">
        <f t="shared" si="2"/>
        <v>60.690105905631754</v>
      </c>
      <c r="BC37" s="122"/>
      <c r="BD37" s="122"/>
      <c r="BE37" s="122"/>
      <c r="BF37" s="122"/>
      <c r="BH37" s="122"/>
      <c r="BI37" s="122"/>
      <c r="BJ37" s="122"/>
      <c r="BK37" s="122"/>
      <c r="BM37" s="122"/>
      <c r="BN37" s="122"/>
      <c r="BO37" s="122"/>
      <c r="BP37" s="122"/>
      <c r="BR37" s="122"/>
      <c r="BS37" s="122"/>
      <c r="BT37" s="122"/>
      <c r="BU37" s="122"/>
      <c r="BV37" s="439"/>
      <c r="BW37" s="120">
        <f t="shared" si="8"/>
        <v>23932399.880000003</v>
      </c>
      <c r="BX37" s="121">
        <v>4.2500000000000003E-2</v>
      </c>
      <c r="BY37" s="121">
        <f t="shared" si="9"/>
        <v>4.1190060330046595E-2</v>
      </c>
      <c r="BZ37" s="120">
        <f t="shared" si="10"/>
        <v>2719.8423147945205</v>
      </c>
      <c r="CA37" s="120">
        <f t="shared" si="11"/>
        <v>60.690105905631754</v>
      </c>
    </row>
    <row r="38" spans="2:79" x14ac:dyDescent="0.25">
      <c r="B38" s="123" t="str">
        <f t="shared" si="20"/>
        <v>2 2025</v>
      </c>
      <c r="C38" s="122">
        <f t="shared" si="21"/>
        <v>45690</v>
      </c>
      <c r="D38" s="122">
        <f t="shared" si="4"/>
        <v>45691</v>
      </c>
      <c r="E38" s="123">
        <f t="shared" si="22"/>
        <v>1</v>
      </c>
      <c r="F38" s="123" t="s">
        <v>7</v>
      </c>
      <c r="G38" s="124">
        <f t="shared" si="19"/>
        <v>12540000</v>
      </c>
      <c r="H38" s="125">
        <f t="shared" si="12"/>
        <v>0.04</v>
      </c>
      <c r="I38" s="124">
        <f t="shared" si="5"/>
        <v>1393.33</v>
      </c>
      <c r="J38" s="124">
        <f t="shared" si="23"/>
        <v>50165.550000000017</v>
      </c>
      <c r="K38" s="9"/>
      <c r="L38" s="11"/>
      <c r="M38" s="12"/>
      <c r="N38" s="97"/>
      <c r="O38" s="13"/>
      <c r="P38" s="13"/>
      <c r="Q38" s="13"/>
      <c r="S38" s="11"/>
      <c r="T38" s="12"/>
      <c r="U38" s="97"/>
      <c r="V38" s="13"/>
      <c r="W38" s="13"/>
      <c r="X38" s="13"/>
      <c r="Z38" s="11"/>
      <c r="AA38" s="12"/>
      <c r="AB38" s="97"/>
      <c r="AC38" s="13"/>
      <c r="AD38" s="13"/>
      <c r="AE38" s="13"/>
      <c r="AG38" s="11"/>
      <c r="AH38" s="12"/>
      <c r="AI38" s="97"/>
      <c r="AJ38" s="13"/>
      <c r="AK38" s="13"/>
      <c r="AL38" s="13"/>
      <c r="AN38" s="9"/>
      <c r="AO38" s="9"/>
      <c r="AP38" s="9"/>
      <c r="AQ38" s="9"/>
      <c r="AR38" s="9"/>
      <c r="AS38" s="9"/>
      <c r="AT38" s="123">
        <v>1</v>
      </c>
      <c r="AU38" s="123" t="s">
        <v>32</v>
      </c>
      <c r="AV38" s="124">
        <v>11392399.880000001</v>
      </c>
      <c r="AW38" s="139">
        <v>4.2500000000000003E-2</v>
      </c>
      <c r="AX38" s="139"/>
      <c r="AY38" s="124">
        <f t="shared" si="13"/>
        <v>1326.5123147945208</v>
      </c>
      <c r="AZ38" s="140">
        <f t="shared" si="7"/>
        <v>48332.715348951817</v>
      </c>
      <c r="BA38" s="140">
        <f t="shared" si="2"/>
        <v>60.690105905631754</v>
      </c>
      <c r="BC38" s="122"/>
      <c r="BD38" s="122"/>
      <c r="BE38" s="122"/>
      <c r="BF38" s="122"/>
      <c r="BH38" s="122"/>
      <c r="BI38" s="122"/>
      <c r="BJ38" s="122"/>
      <c r="BK38" s="122"/>
      <c r="BM38" s="122"/>
      <c r="BN38" s="122"/>
      <c r="BO38" s="122"/>
      <c r="BP38" s="122"/>
      <c r="BR38" s="122"/>
      <c r="BS38" s="122"/>
      <c r="BT38" s="122"/>
      <c r="BU38" s="122"/>
      <c r="BV38" s="439"/>
      <c r="BW38" s="120">
        <f t="shared" si="8"/>
        <v>23932399.880000003</v>
      </c>
      <c r="BX38" s="121">
        <v>4.2500000000000003E-2</v>
      </c>
      <c r="BY38" s="121">
        <f t="shared" si="9"/>
        <v>4.1190060330046595E-2</v>
      </c>
      <c r="BZ38" s="120">
        <f t="shared" si="10"/>
        <v>2719.8423147945205</v>
      </c>
      <c r="CA38" s="120">
        <f t="shared" si="11"/>
        <v>60.690105905631754</v>
      </c>
    </row>
    <row r="39" spans="2:79" x14ac:dyDescent="0.25">
      <c r="B39" s="123" t="str">
        <f t="shared" si="20"/>
        <v>2 2025</v>
      </c>
      <c r="C39" s="122">
        <f t="shared" si="21"/>
        <v>45691</v>
      </c>
      <c r="D39" s="122">
        <f t="shared" si="4"/>
        <v>45692</v>
      </c>
      <c r="E39" s="123">
        <f t="shared" si="22"/>
        <v>1</v>
      </c>
      <c r="F39" s="123" t="s">
        <v>7</v>
      </c>
      <c r="G39" s="136">
        <f>G38-30000</f>
        <v>12510000</v>
      </c>
      <c r="H39" s="125">
        <f t="shared" si="12"/>
        <v>0.04</v>
      </c>
      <c r="I39" s="124">
        <f t="shared" si="5"/>
        <v>1390</v>
      </c>
      <c r="J39" s="124">
        <f t="shared" si="23"/>
        <v>51555.550000000017</v>
      </c>
      <c r="K39" s="9"/>
      <c r="L39" s="11"/>
      <c r="M39" s="12"/>
      <c r="N39" s="97"/>
      <c r="O39" s="13"/>
      <c r="P39" s="13"/>
      <c r="Q39" s="13"/>
      <c r="S39" s="11"/>
      <c r="T39" s="12"/>
      <c r="U39" s="97"/>
      <c r="V39" s="13"/>
      <c r="W39" s="13"/>
      <c r="X39" s="13"/>
      <c r="Z39" s="11"/>
      <c r="AA39" s="12"/>
      <c r="AB39" s="97"/>
      <c r="AC39" s="13"/>
      <c r="AD39" s="13"/>
      <c r="AE39" s="13"/>
      <c r="AG39" s="11"/>
      <c r="AH39" s="12"/>
      <c r="AI39" s="97"/>
      <c r="AJ39" s="13"/>
      <c r="AK39" s="13"/>
      <c r="AL39" s="13"/>
      <c r="AN39" s="9"/>
      <c r="AO39" s="9"/>
      <c r="AP39" s="9"/>
      <c r="AQ39" s="9"/>
      <c r="AR39" s="9"/>
      <c r="AS39" s="9"/>
      <c r="AT39" s="123">
        <v>1</v>
      </c>
      <c r="AU39" s="123" t="s">
        <v>32</v>
      </c>
      <c r="AV39" s="124">
        <v>11396425.51</v>
      </c>
      <c r="AW39" s="139">
        <v>4.2500000000000003E-2</v>
      </c>
      <c r="AX39" s="139"/>
      <c r="AY39" s="124">
        <f t="shared" si="13"/>
        <v>1326.9810525342466</v>
      </c>
      <c r="AZ39" s="140">
        <f t="shared" si="7"/>
        <v>49659.696401486064</v>
      </c>
      <c r="BA39" s="140">
        <f t="shared" si="2"/>
        <v>60.711551423135461</v>
      </c>
      <c r="BC39" s="122"/>
      <c r="BD39" s="122"/>
      <c r="BE39" s="122"/>
      <c r="BF39" s="122"/>
      <c r="BH39" s="122"/>
      <c r="BI39" s="122"/>
      <c r="BJ39" s="122"/>
      <c r="BK39" s="122"/>
      <c r="BM39" s="122"/>
      <c r="BN39" s="122"/>
      <c r="BO39" s="122"/>
      <c r="BP39" s="122"/>
      <c r="BR39" s="122"/>
      <c r="BS39" s="122"/>
      <c r="BT39" s="122"/>
      <c r="BU39" s="122"/>
      <c r="BV39" s="439"/>
      <c r="BW39" s="120">
        <f t="shared" si="8"/>
        <v>23906425.509999998</v>
      </c>
      <c r="BX39" s="121">
        <v>4.2500000000000003E-2</v>
      </c>
      <c r="BY39" s="121">
        <f t="shared" si="9"/>
        <v>4.1191774310345236E-2</v>
      </c>
      <c r="BZ39" s="120">
        <f t="shared" si="10"/>
        <v>2716.9810525342464</v>
      </c>
      <c r="CA39" s="120">
        <f t="shared" si="11"/>
        <v>60.711551423135461</v>
      </c>
    </row>
    <row r="40" spans="2:79" x14ac:dyDescent="0.25">
      <c r="B40" s="123" t="str">
        <f t="shared" si="20"/>
        <v>2 2025</v>
      </c>
      <c r="C40" s="122">
        <f t="shared" si="21"/>
        <v>45692</v>
      </c>
      <c r="D40" s="122">
        <f t="shared" si="4"/>
        <v>45693</v>
      </c>
      <c r="E40" s="123">
        <f t="shared" si="22"/>
        <v>1</v>
      </c>
      <c r="F40" s="123" t="s">
        <v>7</v>
      </c>
      <c r="G40" s="136">
        <f>G39-60000</f>
        <v>12450000</v>
      </c>
      <c r="H40" s="125">
        <f t="shared" si="12"/>
        <v>0.04</v>
      </c>
      <c r="I40" s="124">
        <f t="shared" si="5"/>
        <v>1383.33</v>
      </c>
      <c r="J40" s="124">
        <f t="shared" si="23"/>
        <v>52938.880000000019</v>
      </c>
      <c r="K40" s="9"/>
      <c r="L40" s="11"/>
      <c r="M40" s="12"/>
      <c r="N40" s="97"/>
      <c r="O40" s="13"/>
      <c r="P40" s="13"/>
      <c r="Q40" s="13"/>
      <c r="S40" s="11"/>
      <c r="T40" s="12"/>
      <c r="U40" s="97"/>
      <c r="V40" s="13"/>
      <c r="W40" s="13"/>
      <c r="X40" s="13"/>
      <c r="Z40" s="11"/>
      <c r="AA40" s="12"/>
      <c r="AB40" s="97"/>
      <c r="AC40" s="13"/>
      <c r="AD40" s="13"/>
      <c r="AE40" s="13"/>
      <c r="AG40" s="11"/>
      <c r="AH40" s="12"/>
      <c r="AI40" s="97"/>
      <c r="AJ40" s="13"/>
      <c r="AK40" s="13"/>
      <c r="AL40" s="13"/>
      <c r="AN40" s="9"/>
      <c r="AO40" s="9"/>
      <c r="AP40" s="9"/>
      <c r="AQ40" s="9"/>
      <c r="AR40" s="9"/>
      <c r="AS40" s="9"/>
      <c r="AT40" s="123">
        <v>1</v>
      </c>
      <c r="AU40" s="123" t="s">
        <v>32</v>
      </c>
      <c r="AV40" s="124">
        <v>11363909.689999999</v>
      </c>
      <c r="AW40" s="139">
        <v>4.2500000000000003E-2</v>
      </c>
      <c r="AX40" s="139"/>
      <c r="AY40" s="124">
        <f t="shared" si="13"/>
        <v>1323.1949639041097</v>
      </c>
      <c r="AZ40" s="140">
        <f t="shared" si="7"/>
        <v>50982.891365390176</v>
      </c>
      <c r="BA40" s="140">
        <f t="shared" si="2"/>
        <v>60.538331681887485</v>
      </c>
      <c r="BC40" s="122"/>
      <c r="BD40" s="122"/>
      <c r="BE40" s="122"/>
      <c r="BF40" s="122"/>
      <c r="BH40" s="122"/>
      <c r="BI40" s="122"/>
      <c r="BJ40" s="122"/>
      <c r="BK40" s="122"/>
      <c r="BM40" s="122"/>
      <c r="BN40" s="122"/>
      <c r="BO40" s="122"/>
      <c r="BP40" s="122"/>
      <c r="BR40" s="122"/>
      <c r="BS40" s="122"/>
      <c r="BT40" s="122"/>
      <c r="BU40" s="122"/>
      <c r="BV40" s="439"/>
      <c r="BW40" s="120">
        <f t="shared" si="8"/>
        <v>23813909.689999998</v>
      </c>
      <c r="BX40" s="121">
        <v>4.2500000000000003E-2</v>
      </c>
      <c r="BY40" s="121">
        <f t="shared" si="9"/>
        <v>4.1192990760224896E-2</v>
      </c>
      <c r="BZ40" s="120">
        <f t="shared" si="10"/>
        <v>2706.5249639041094</v>
      </c>
      <c r="CA40" s="120">
        <f t="shared" si="11"/>
        <v>60.538331681887485</v>
      </c>
    </row>
    <row r="41" spans="2:79" x14ac:dyDescent="0.25">
      <c r="B41" s="123" t="str">
        <f t="shared" si="20"/>
        <v>2 2025</v>
      </c>
      <c r="C41" s="122">
        <f t="shared" si="21"/>
        <v>45693</v>
      </c>
      <c r="D41" s="122">
        <f t="shared" si="4"/>
        <v>45694</v>
      </c>
      <c r="E41" s="123">
        <f t="shared" si="22"/>
        <v>1</v>
      </c>
      <c r="F41" s="123" t="s">
        <v>7</v>
      </c>
      <c r="G41" s="136">
        <f>G40-120000</f>
        <v>12330000</v>
      </c>
      <c r="H41" s="125">
        <f t="shared" si="12"/>
        <v>0.04</v>
      </c>
      <c r="I41" s="124">
        <f t="shared" si="5"/>
        <v>1370</v>
      </c>
      <c r="J41" s="124">
        <f t="shared" si="23"/>
        <v>54308.880000000019</v>
      </c>
      <c r="K41" s="9"/>
      <c r="L41" s="11"/>
      <c r="M41" s="12"/>
      <c r="N41" s="97"/>
      <c r="O41" s="13"/>
      <c r="P41" s="13"/>
      <c r="Q41" s="13"/>
      <c r="S41" s="11"/>
      <c r="T41" s="12"/>
      <c r="U41" s="97"/>
      <c r="V41" s="13"/>
      <c r="W41" s="13"/>
      <c r="X41" s="13"/>
      <c r="Z41" s="11"/>
      <c r="AA41" s="12"/>
      <c r="AB41" s="97"/>
      <c r="AC41" s="13"/>
      <c r="AD41" s="13"/>
      <c r="AE41" s="13"/>
      <c r="AG41" s="11"/>
      <c r="AH41" s="12"/>
      <c r="AI41" s="97"/>
      <c r="AJ41" s="13"/>
      <c r="AK41" s="13"/>
      <c r="AL41" s="13"/>
      <c r="AN41" s="9"/>
      <c r="AO41" s="9"/>
      <c r="AP41" s="9"/>
      <c r="AQ41" s="9"/>
      <c r="AR41" s="9"/>
      <c r="AS41" s="9"/>
      <c r="AT41" s="123">
        <v>1</v>
      </c>
      <c r="AU41" s="123" t="s">
        <v>32</v>
      </c>
      <c r="AV41" s="124">
        <v>11365232.880000001</v>
      </c>
      <c r="AW41" s="139">
        <v>4.2500000000000003E-2</v>
      </c>
      <c r="AX41" s="139"/>
      <c r="AY41" s="124">
        <f t="shared" si="13"/>
        <v>1323.3490339726029</v>
      </c>
      <c r="AZ41" s="140">
        <f t="shared" si="7"/>
        <v>52306.240399362781</v>
      </c>
      <c r="BA41" s="140">
        <f t="shared" si="2"/>
        <v>60.545380639269297</v>
      </c>
      <c r="BC41" s="122"/>
      <c r="BD41" s="122"/>
      <c r="BE41" s="122"/>
      <c r="BF41" s="122"/>
      <c r="BH41" s="122"/>
      <c r="BI41" s="122"/>
      <c r="BJ41" s="122"/>
      <c r="BK41" s="122"/>
      <c r="BM41" s="122"/>
      <c r="BN41" s="122"/>
      <c r="BO41" s="122"/>
      <c r="BP41" s="122"/>
      <c r="BR41" s="122"/>
      <c r="BS41" s="122"/>
      <c r="BT41" s="122"/>
      <c r="BU41" s="122"/>
      <c r="BV41" s="439"/>
      <c r="BW41" s="120">
        <f t="shared" si="8"/>
        <v>23695232.880000003</v>
      </c>
      <c r="BX41" s="121">
        <v>4.2500000000000003E-2</v>
      </c>
      <c r="BY41" s="121">
        <f t="shared" si="9"/>
        <v>4.1199105421073204E-2</v>
      </c>
      <c r="BZ41" s="120">
        <f t="shared" si="10"/>
        <v>2693.3490339726031</v>
      </c>
      <c r="CA41" s="120">
        <f t="shared" si="11"/>
        <v>60.545380639269297</v>
      </c>
    </row>
    <row r="42" spans="2:79" x14ac:dyDescent="0.25">
      <c r="B42" s="123" t="str">
        <f t="shared" si="20"/>
        <v>2 2025</v>
      </c>
      <c r="C42" s="122">
        <f t="shared" si="21"/>
        <v>45694</v>
      </c>
      <c r="D42" s="122">
        <f t="shared" si="4"/>
        <v>45695</v>
      </c>
      <c r="E42" s="123">
        <f t="shared" si="22"/>
        <v>1</v>
      </c>
      <c r="F42" s="123" t="s">
        <v>7</v>
      </c>
      <c r="G42" s="136">
        <f>G41-5000000</f>
        <v>7330000</v>
      </c>
      <c r="H42" s="125">
        <f t="shared" si="12"/>
        <v>0.04</v>
      </c>
      <c r="I42" s="124">
        <f t="shared" si="5"/>
        <v>814.44</v>
      </c>
      <c r="J42" s="124">
        <f t="shared" si="23"/>
        <v>55123.320000000022</v>
      </c>
      <c r="K42" s="9"/>
      <c r="L42" s="11"/>
      <c r="M42" s="293"/>
      <c r="N42" s="97"/>
      <c r="O42" s="293"/>
      <c r="P42" s="304"/>
      <c r="Q42" s="304"/>
      <c r="S42" s="11"/>
      <c r="T42" s="293"/>
      <c r="U42" s="97"/>
      <c r="V42" s="293"/>
      <c r="W42" s="304"/>
      <c r="X42" s="304"/>
      <c r="Z42" s="11"/>
      <c r="AA42" s="293"/>
      <c r="AB42" s="97"/>
      <c r="AC42" s="293"/>
      <c r="AD42" s="304"/>
      <c r="AE42" s="304"/>
      <c r="AG42" s="11"/>
      <c r="AH42" s="293"/>
      <c r="AI42" s="97"/>
      <c r="AJ42" s="293"/>
      <c r="AK42" s="304"/>
      <c r="AL42" s="304"/>
      <c r="AN42" s="9"/>
      <c r="AO42" s="9"/>
      <c r="AP42" s="9"/>
      <c r="AQ42" s="9"/>
      <c r="AR42" s="9"/>
      <c r="AS42" s="9"/>
      <c r="AT42" s="123">
        <v>1</v>
      </c>
      <c r="AU42" s="123" t="s">
        <v>32</v>
      </c>
      <c r="AV42" s="124">
        <v>11366556.23</v>
      </c>
      <c r="AW42" s="139">
        <v>4.2500000000000003E-2</v>
      </c>
      <c r="AX42" s="139"/>
      <c r="AY42" s="124">
        <f t="shared" si="13"/>
        <v>1323.5031226712331</v>
      </c>
      <c r="AZ42" s="140">
        <f t="shared" si="7"/>
        <v>53629.743522034012</v>
      </c>
      <c r="BA42" s="140">
        <f t="shared" si="2"/>
        <v>60.552430449010899</v>
      </c>
      <c r="BC42" s="122"/>
      <c r="BD42" s="122"/>
      <c r="BE42" s="122"/>
      <c r="BF42" s="122"/>
      <c r="BH42" s="122"/>
      <c r="BI42" s="122"/>
      <c r="BJ42" s="122"/>
      <c r="BK42" s="122"/>
      <c r="BM42" s="122"/>
      <c r="BN42" s="122"/>
      <c r="BO42" s="122"/>
      <c r="BP42" s="122"/>
      <c r="BR42" s="122"/>
      <c r="BS42" s="122"/>
      <c r="BT42" s="122"/>
      <c r="BU42" s="122"/>
      <c r="BV42" s="439"/>
      <c r="BW42" s="120">
        <f t="shared" si="8"/>
        <v>18696556.23</v>
      </c>
      <c r="BX42" s="121">
        <v>4.2500000000000003E-2</v>
      </c>
      <c r="BY42" s="121">
        <f t="shared" si="9"/>
        <v>4.1519872976896348E-2</v>
      </c>
      <c r="BZ42" s="120">
        <f t="shared" si="10"/>
        <v>2137.9431226712331</v>
      </c>
      <c r="CA42" s="120">
        <f t="shared" si="11"/>
        <v>60.552430449010899</v>
      </c>
    </row>
    <row r="43" spans="2:79" x14ac:dyDescent="0.25">
      <c r="B43" s="123" t="str">
        <f t="shared" si="20"/>
        <v>2 2025</v>
      </c>
      <c r="C43" s="122">
        <f t="shared" si="21"/>
        <v>45695</v>
      </c>
      <c r="D43" s="122">
        <f t="shared" si="4"/>
        <v>45696</v>
      </c>
      <c r="E43" s="123">
        <f t="shared" si="22"/>
        <v>1</v>
      </c>
      <c r="F43" s="123" t="s">
        <v>7</v>
      </c>
      <c r="G43" s="124">
        <f t="shared" si="19"/>
        <v>7330000</v>
      </c>
      <c r="H43" s="125">
        <f t="shared" si="12"/>
        <v>0.04</v>
      </c>
      <c r="I43" s="124">
        <f t="shared" si="5"/>
        <v>814.44</v>
      </c>
      <c r="J43" s="124">
        <f t="shared" si="23"/>
        <v>55937.760000000024</v>
      </c>
      <c r="K43" s="9"/>
      <c r="L43" s="11"/>
      <c r="M43" s="293"/>
      <c r="N43" s="97"/>
      <c r="O43" s="293"/>
      <c r="P43" s="304"/>
      <c r="Q43" s="304"/>
      <c r="S43" s="11"/>
      <c r="T43" s="293"/>
      <c r="U43" s="97"/>
      <c r="V43" s="293"/>
      <c r="W43" s="304"/>
      <c r="X43" s="304"/>
      <c r="Z43" s="11"/>
      <c r="AA43" s="293"/>
      <c r="AB43" s="97"/>
      <c r="AC43" s="293"/>
      <c r="AD43" s="304"/>
      <c r="AE43" s="304"/>
      <c r="AG43" s="11"/>
      <c r="AH43" s="293"/>
      <c r="AI43" s="97"/>
      <c r="AJ43" s="293"/>
      <c r="AK43" s="304"/>
      <c r="AL43" s="304"/>
      <c r="AN43" s="9"/>
      <c r="AO43" s="9"/>
      <c r="AP43" s="9"/>
      <c r="AQ43" s="9"/>
      <c r="AR43" s="9"/>
      <c r="AS43" s="9"/>
      <c r="AT43" s="123">
        <v>1</v>
      </c>
      <c r="AU43" s="123" t="s">
        <v>32</v>
      </c>
      <c r="AV43" s="124">
        <v>11367879.73</v>
      </c>
      <c r="AW43" s="139">
        <v>4.2500000000000003E-2</v>
      </c>
      <c r="AX43" s="139"/>
      <c r="AY43" s="124">
        <f t="shared" si="13"/>
        <v>1323.6572288356167</v>
      </c>
      <c r="AZ43" s="140">
        <f t="shared" si="7"/>
        <v>54953.40075086963</v>
      </c>
      <c r="BA43" s="140">
        <f t="shared" si="2"/>
        <v>60.559481057838866</v>
      </c>
      <c r="BC43" s="122"/>
      <c r="BD43" s="122"/>
      <c r="BE43" s="122"/>
      <c r="BF43" s="122"/>
      <c r="BH43" s="122"/>
      <c r="BI43" s="122"/>
      <c r="BJ43" s="122"/>
      <c r="BK43" s="122"/>
      <c r="BM43" s="122"/>
      <c r="BN43" s="122"/>
      <c r="BO43" s="122"/>
      <c r="BP43" s="122"/>
      <c r="BR43" s="122"/>
      <c r="BS43" s="122"/>
      <c r="BT43" s="122"/>
      <c r="BU43" s="122"/>
      <c r="BV43" s="439"/>
      <c r="BW43" s="120">
        <f t="shared" si="8"/>
        <v>18697879.73</v>
      </c>
      <c r="BX43" s="121">
        <v>4.2500000000000003E-2</v>
      </c>
      <c r="BY43" s="121">
        <f t="shared" si="9"/>
        <v>4.1519942353645679E-2</v>
      </c>
      <c r="BZ43" s="120">
        <f t="shared" si="10"/>
        <v>2138.097228835617</v>
      </c>
      <c r="CA43" s="120">
        <f t="shared" si="11"/>
        <v>60.559481057838866</v>
      </c>
    </row>
    <row r="44" spans="2:79" x14ac:dyDescent="0.25">
      <c r="B44" s="123" t="str">
        <f t="shared" si="20"/>
        <v>2 2025</v>
      </c>
      <c r="C44" s="122">
        <f t="shared" si="21"/>
        <v>45696</v>
      </c>
      <c r="D44" s="122">
        <f t="shared" si="4"/>
        <v>45697</v>
      </c>
      <c r="E44" s="123">
        <f t="shared" si="22"/>
        <v>1</v>
      </c>
      <c r="F44" s="123" t="s">
        <v>7</v>
      </c>
      <c r="G44" s="124">
        <f t="shared" si="19"/>
        <v>7330000</v>
      </c>
      <c r="H44" s="125">
        <f t="shared" si="12"/>
        <v>0.04</v>
      </c>
      <c r="I44" s="124">
        <f t="shared" si="5"/>
        <v>814.44</v>
      </c>
      <c r="J44" s="124">
        <f t="shared" si="23"/>
        <v>56752.200000000026</v>
      </c>
      <c r="K44" s="9"/>
      <c r="L44" s="11"/>
      <c r="M44" s="293"/>
      <c r="N44" s="97"/>
      <c r="O44" s="293"/>
      <c r="P44" s="304"/>
      <c r="Q44" s="304"/>
      <c r="S44" s="11"/>
      <c r="T44" s="293"/>
      <c r="U44" s="97"/>
      <c r="V44" s="293"/>
      <c r="W44" s="304"/>
      <c r="X44" s="304"/>
      <c r="Z44" s="11"/>
      <c r="AA44" s="293"/>
      <c r="AB44" s="97"/>
      <c r="AC44" s="293"/>
      <c r="AD44" s="304"/>
      <c r="AE44" s="304"/>
      <c r="AG44" s="11"/>
      <c r="AH44" s="293"/>
      <c r="AI44" s="97"/>
      <c r="AJ44" s="293"/>
      <c r="AK44" s="304"/>
      <c r="AL44" s="304"/>
      <c r="AN44" s="9"/>
      <c r="AO44" s="9"/>
      <c r="AP44" s="9"/>
      <c r="AQ44" s="9"/>
      <c r="AR44" s="9"/>
      <c r="AS44" s="9"/>
      <c r="AT44" s="123">
        <v>1</v>
      </c>
      <c r="AU44" s="123" t="s">
        <v>32</v>
      </c>
      <c r="AV44" s="124">
        <v>11367879.73</v>
      </c>
      <c r="AW44" s="139">
        <v>4.2500000000000003E-2</v>
      </c>
      <c r="AX44" s="139"/>
      <c r="AY44" s="124">
        <f t="shared" si="13"/>
        <v>1323.6572288356167</v>
      </c>
      <c r="AZ44" s="140">
        <f t="shared" si="7"/>
        <v>56277.057979705249</v>
      </c>
      <c r="BA44" s="140">
        <f t="shared" si="2"/>
        <v>60.559481057838866</v>
      </c>
      <c r="BC44" s="122"/>
      <c r="BD44" s="122"/>
      <c r="BE44" s="122"/>
      <c r="BF44" s="122"/>
      <c r="BH44" s="122"/>
      <c r="BI44" s="122"/>
      <c r="BJ44" s="122"/>
      <c r="BK44" s="122"/>
      <c r="BM44" s="122"/>
      <c r="BN44" s="122"/>
      <c r="BO44" s="122"/>
      <c r="BP44" s="122"/>
      <c r="BR44" s="122"/>
      <c r="BS44" s="122"/>
      <c r="BT44" s="122"/>
      <c r="BU44" s="122"/>
      <c r="BV44" s="439"/>
      <c r="BW44" s="120">
        <f t="shared" si="8"/>
        <v>18697879.73</v>
      </c>
      <c r="BX44" s="121">
        <v>4.2500000000000003E-2</v>
      </c>
      <c r="BY44" s="121">
        <f t="shared" si="9"/>
        <v>4.1519942353645679E-2</v>
      </c>
      <c r="BZ44" s="120">
        <f t="shared" si="10"/>
        <v>2138.097228835617</v>
      </c>
      <c r="CA44" s="120">
        <f t="shared" si="11"/>
        <v>60.559481057838866</v>
      </c>
    </row>
    <row r="45" spans="2:79" x14ac:dyDescent="0.25">
      <c r="B45" s="123" t="str">
        <f t="shared" si="20"/>
        <v>2 2025</v>
      </c>
      <c r="C45" s="122">
        <f t="shared" si="21"/>
        <v>45697</v>
      </c>
      <c r="D45" s="122">
        <f t="shared" si="4"/>
        <v>45698</v>
      </c>
      <c r="E45" s="123">
        <f t="shared" si="22"/>
        <v>1</v>
      </c>
      <c r="F45" s="123" t="s">
        <v>7</v>
      </c>
      <c r="G45" s="124">
        <f t="shared" si="19"/>
        <v>7330000</v>
      </c>
      <c r="H45" s="125">
        <f t="shared" si="12"/>
        <v>0.04</v>
      </c>
      <c r="I45" s="124">
        <f t="shared" si="5"/>
        <v>814.44</v>
      </c>
      <c r="J45" s="124">
        <f t="shared" si="23"/>
        <v>57566.640000000029</v>
      </c>
      <c r="K45" s="9"/>
      <c r="L45" s="11"/>
      <c r="M45" s="293"/>
      <c r="N45" s="97"/>
      <c r="O45" s="293"/>
      <c r="P45" s="304"/>
      <c r="Q45" s="304"/>
      <c r="S45" s="11"/>
      <c r="T45" s="293"/>
      <c r="U45" s="97"/>
      <c r="V45" s="293"/>
      <c r="W45" s="304"/>
      <c r="X45" s="304"/>
      <c r="Z45" s="11"/>
      <c r="AA45" s="293"/>
      <c r="AB45" s="97"/>
      <c r="AC45" s="293"/>
      <c r="AD45" s="304"/>
      <c r="AE45" s="304"/>
      <c r="AG45" s="11"/>
      <c r="AH45" s="293"/>
      <c r="AI45" s="97"/>
      <c r="AJ45" s="293"/>
      <c r="AK45" s="304"/>
      <c r="AL45" s="304"/>
      <c r="AN45" s="9"/>
      <c r="AO45" s="9"/>
      <c r="AP45" s="9"/>
      <c r="AQ45" s="9"/>
      <c r="AR45" s="9"/>
      <c r="AS45" s="9"/>
      <c r="AT45" s="123">
        <v>1</v>
      </c>
      <c r="AU45" s="123" t="s">
        <v>32</v>
      </c>
      <c r="AV45" s="124">
        <v>11367879.73</v>
      </c>
      <c r="AW45" s="139">
        <v>4.2500000000000003E-2</v>
      </c>
      <c r="AX45" s="139"/>
      <c r="AY45" s="124">
        <f t="shared" si="13"/>
        <v>1323.6572288356167</v>
      </c>
      <c r="AZ45" s="140">
        <f t="shared" si="7"/>
        <v>57600.715208540867</v>
      </c>
      <c r="BA45" s="140">
        <f t="shared" si="2"/>
        <v>60.559481057838866</v>
      </c>
      <c r="BC45" s="122"/>
      <c r="BD45" s="122"/>
      <c r="BE45" s="122"/>
      <c r="BF45" s="122"/>
      <c r="BH45" s="122"/>
      <c r="BI45" s="122"/>
      <c r="BJ45" s="122"/>
      <c r="BK45" s="122"/>
      <c r="BM45" s="122"/>
      <c r="BN45" s="122"/>
      <c r="BO45" s="122"/>
      <c r="BP45" s="122"/>
      <c r="BR45" s="122"/>
      <c r="BS45" s="122"/>
      <c r="BT45" s="122"/>
      <c r="BU45" s="122"/>
      <c r="BV45" s="439"/>
      <c r="BW45" s="120">
        <f t="shared" si="8"/>
        <v>18697879.73</v>
      </c>
      <c r="BX45" s="121">
        <v>4.2500000000000003E-2</v>
      </c>
      <c r="BY45" s="121">
        <f t="shared" si="9"/>
        <v>4.1519942353645679E-2</v>
      </c>
      <c r="BZ45" s="120">
        <f t="shared" si="10"/>
        <v>2138.097228835617</v>
      </c>
      <c r="CA45" s="120">
        <f t="shared" si="11"/>
        <v>60.559481057838866</v>
      </c>
    </row>
    <row r="46" spans="2:79" x14ac:dyDescent="0.25">
      <c r="B46" s="123" t="str">
        <f t="shared" si="20"/>
        <v>2 2025</v>
      </c>
      <c r="C46" s="122">
        <f t="shared" si="21"/>
        <v>45698</v>
      </c>
      <c r="D46" s="122">
        <f t="shared" si="4"/>
        <v>45699</v>
      </c>
      <c r="E46" s="123">
        <f t="shared" si="22"/>
        <v>1</v>
      </c>
      <c r="F46" s="123" t="s">
        <v>7</v>
      </c>
      <c r="G46" s="124">
        <f t="shared" si="19"/>
        <v>7330000</v>
      </c>
      <c r="H46" s="125">
        <f t="shared" si="12"/>
        <v>0.04</v>
      </c>
      <c r="I46" s="124">
        <f t="shared" si="5"/>
        <v>814.44</v>
      </c>
      <c r="J46" s="124">
        <f t="shared" si="23"/>
        <v>58381.080000000031</v>
      </c>
      <c r="K46" s="9"/>
      <c r="L46" s="11"/>
      <c r="M46" s="293"/>
      <c r="N46" s="97"/>
      <c r="O46" s="293"/>
      <c r="P46" s="304"/>
      <c r="Q46" s="304"/>
      <c r="S46" s="11"/>
      <c r="T46" s="293"/>
      <c r="U46" s="97"/>
      <c r="V46" s="293"/>
      <c r="W46" s="304"/>
      <c r="X46" s="304"/>
      <c r="Z46" s="11"/>
      <c r="AA46" s="293"/>
      <c r="AB46" s="97"/>
      <c r="AC46" s="293"/>
      <c r="AD46" s="304"/>
      <c r="AE46" s="304"/>
      <c r="AG46" s="11"/>
      <c r="AH46" s="293"/>
      <c r="AI46" s="97"/>
      <c r="AJ46" s="293"/>
      <c r="AK46" s="304"/>
      <c r="AL46" s="304"/>
      <c r="AN46" s="9"/>
      <c r="AO46" s="9"/>
      <c r="AP46" s="9"/>
      <c r="AQ46" s="9"/>
      <c r="AR46" s="9"/>
      <c r="AS46" s="9"/>
      <c r="AT46" s="123">
        <v>1</v>
      </c>
      <c r="AU46" s="123" t="s">
        <v>32</v>
      </c>
      <c r="AV46" s="124">
        <v>11325875.35</v>
      </c>
      <c r="AW46" s="139">
        <v>4.2500000000000003E-2</v>
      </c>
      <c r="AX46" s="139"/>
      <c r="AY46" s="124">
        <f t="shared" si="13"/>
        <v>1318.7663078767123</v>
      </c>
      <c r="AZ46" s="140">
        <f t="shared" si="7"/>
        <v>58919.481516417582</v>
      </c>
      <c r="BA46" s="140">
        <f t="shared" si="2"/>
        <v>60.335713432267994</v>
      </c>
      <c r="BC46" s="122"/>
      <c r="BD46" s="122"/>
      <c r="BE46" s="122"/>
      <c r="BF46" s="122"/>
      <c r="BH46" s="122"/>
      <c r="BI46" s="122"/>
      <c r="BJ46" s="122"/>
      <c r="BK46" s="122"/>
      <c r="BM46" s="122"/>
      <c r="BN46" s="122"/>
      <c r="BO46" s="122"/>
      <c r="BP46" s="122"/>
      <c r="BR46" s="122"/>
      <c r="BS46" s="122"/>
      <c r="BT46" s="122"/>
      <c r="BU46" s="122"/>
      <c r="BV46" s="439"/>
      <c r="BW46" s="120">
        <f t="shared" si="8"/>
        <v>18655875.350000001</v>
      </c>
      <c r="BX46" s="121">
        <v>4.2500000000000003E-2</v>
      </c>
      <c r="BY46" s="121">
        <f t="shared" si="9"/>
        <v>4.151773571830817E-2</v>
      </c>
      <c r="BZ46" s="120">
        <f t="shared" si="10"/>
        <v>2133.2063078767123</v>
      </c>
      <c r="CA46" s="120">
        <f t="shared" si="11"/>
        <v>60.335713432267994</v>
      </c>
    </row>
    <row r="47" spans="2:79" x14ac:dyDescent="0.25">
      <c r="B47" s="123" t="str">
        <f t="shared" si="20"/>
        <v>2 2025</v>
      </c>
      <c r="C47" s="122">
        <f t="shared" si="21"/>
        <v>45699</v>
      </c>
      <c r="D47" s="122">
        <f t="shared" si="4"/>
        <v>45700</v>
      </c>
      <c r="E47" s="123">
        <f t="shared" si="22"/>
        <v>1</v>
      </c>
      <c r="F47" s="123" t="s">
        <v>7</v>
      </c>
      <c r="G47" s="136">
        <f>G46-520000+80000</f>
        <v>6890000</v>
      </c>
      <c r="H47" s="125">
        <f t="shared" si="12"/>
        <v>0.04</v>
      </c>
      <c r="I47" s="124">
        <f t="shared" si="5"/>
        <v>765.56</v>
      </c>
      <c r="J47" s="124">
        <f t="shared" si="23"/>
        <v>59146.640000000029</v>
      </c>
      <c r="K47" s="9"/>
      <c r="L47" s="11"/>
      <c r="M47" s="293"/>
      <c r="N47" s="97"/>
      <c r="O47" s="293"/>
      <c r="P47" s="304"/>
      <c r="Q47" s="304"/>
      <c r="S47" s="11"/>
      <c r="T47" s="293"/>
      <c r="U47" s="97"/>
      <c r="V47" s="293"/>
      <c r="W47" s="304"/>
      <c r="X47" s="304"/>
      <c r="Z47" s="11"/>
      <c r="AA47" s="293"/>
      <c r="AB47" s="97"/>
      <c r="AC47" s="293"/>
      <c r="AD47" s="304"/>
      <c r="AE47" s="304"/>
      <c r="AG47" s="11"/>
      <c r="AH47" s="293"/>
      <c r="AI47" s="97"/>
      <c r="AJ47" s="293"/>
      <c r="AK47" s="304"/>
      <c r="AL47" s="304"/>
      <c r="AN47" s="9"/>
      <c r="AO47" s="9"/>
      <c r="AP47" s="9"/>
      <c r="AQ47" s="9"/>
      <c r="AR47" s="9"/>
      <c r="AS47" s="9"/>
      <c r="AT47" s="123">
        <v>1</v>
      </c>
      <c r="AU47" s="123" t="s">
        <v>32</v>
      </c>
      <c r="AV47" s="124">
        <v>11326420.529999999</v>
      </c>
      <c r="AW47" s="139">
        <v>4.2500000000000003E-2</v>
      </c>
      <c r="AX47" s="139"/>
      <c r="AY47" s="124">
        <f t="shared" si="13"/>
        <v>1318.829787739726</v>
      </c>
      <c r="AZ47" s="140">
        <f t="shared" si="7"/>
        <v>60238.311304157309</v>
      </c>
      <c r="BA47" s="140">
        <f t="shared" si="2"/>
        <v>60.338617739726033</v>
      </c>
      <c r="BC47" s="122"/>
      <c r="BD47" s="122"/>
      <c r="BE47" s="122"/>
      <c r="BF47" s="122"/>
      <c r="BH47" s="122"/>
      <c r="BI47" s="122"/>
      <c r="BJ47" s="122"/>
      <c r="BK47" s="122"/>
      <c r="BM47" s="122"/>
      <c r="BN47" s="122"/>
      <c r="BO47" s="122"/>
      <c r="BP47" s="122"/>
      <c r="BR47" s="122"/>
      <c r="BS47" s="122"/>
      <c r="BT47" s="122"/>
      <c r="BU47" s="122"/>
      <c r="BV47" s="439"/>
      <c r="BW47" s="120">
        <f t="shared" si="8"/>
        <v>18216420.530000001</v>
      </c>
      <c r="BX47" s="121">
        <v>4.2500000000000003E-2</v>
      </c>
      <c r="BY47" s="121">
        <f t="shared" si="9"/>
        <v>4.1554424552198231E-2</v>
      </c>
      <c r="BZ47" s="120">
        <f t="shared" si="10"/>
        <v>2084.3897877397258</v>
      </c>
      <c r="CA47" s="120">
        <f t="shared" si="11"/>
        <v>60.338617739726033</v>
      </c>
    </row>
    <row r="48" spans="2:79" x14ac:dyDescent="0.25">
      <c r="B48" s="123" t="str">
        <f t="shared" si="20"/>
        <v>2 2025</v>
      </c>
      <c r="C48" s="122">
        <f t="shared" si="21"/>
        <v>45700</v>
      </c>
      <c r="D48" s="122">
        <f t="shared" si="4"/>
        <v>45701</v>
      </c>
      <c r="E48" s="123">
        <f t="shared" si="22"/>
        <v>1</v>
      </c>
      <c r="F48" s="123" t="s">
        <v>7</v>
      </c>
      <c r="G48" s="124">
        <f t="shared" si="19"/>
        <v>6890000</v>
      </c>
      <c r="H48" s="125">
        <f t="shared" si="12"/>
        <v>0.04</v>
      </c>
      <c r="I48" s="124">
        <f t="shared" si="5"/>
        <v>765.56</v>
      </c>
      <c r="J48" s="124">
        <f t="shared" si="23"/>
        <v>59912.200000000026</v>
      </c>
      <c r="K48" s="9"/>
      <c r="L48" s="11"/>
      <c r="M48" s="293"/>
      <c r="N48" s="97"/>
      <c r="O48" s="293"/>
      <c r="P48" s="304"/>
      <c r="Q48" s="304"/>
      <c r="S48" s="11"/>
      <c r="T48" s="293"/>
      <c r="U48" s="97"/>
      <c r="V48" s="293"/>
      <c r="W48" s="304"/>
      <c r="X48" s="304"/>
      <c r="Z48" s="11"/>
      <c r="AA48" s="293"/>
      <c r="AB48" s="97"/>
      <c r="AC48" s="293"/>
      <c r="AD48" s="304"/>
      <c r="AE48" s="304"/>
      <c r="AG48" s="11"/>
      <c r="AH48" s="293"/>
      <c r="AI48" s="97"/>
      <c r="AJ48" s="293"/>
      <c r="AK48" s="304"/>
      <c r="AL48" s="304"/>
      <c r="AN48" s="9"/>
      <c r="AO48" s="9"/>
      <c r="AP48" s="9"/>
      <c r="AQ48" s="9"/>
      <c r="AR48" s="9"/>
      <c r="AS48" s="9"/>
      <c r="AT48" s="123">
        <v>1</v>
      </c>
      <c r="AU48" s="123" t="s">
        <v>32</v>
      </c>
      <c r="AV48" s="124">
        <v>11310974.57</v>
      </c>
      <c r="AW48" s="139">
        <v>4.2500000000000003E-2</v>
      </c>
      <c r="AX48" s="139"/>
      <c r="AY48" s="124">
        <f t="shared" si="13"/>
        <v>1317.0312855479453</v>
      </c>
      <c r="AZ48" s="140">
        <f t="shared" si="7"/>
        <v>61555.342589705251</v>
      </c>
      <c r="BA48" s="140">
        <f t="shared" si="2"/>
        <v>60.256333325723062</v>
      </c>
      <c r="BC48" s="122"/>
      <c r="BD48" s="122"/>
      <c r="BE48" s="122"/>
      <c r="BF48" s="122"/>
      <c r="BH48" s="122"/>
      <c r="BI48" s="122"/>
      <c r="BJ48" s="122"/>
      <c r="BK48" s="122"/>
      <c r="BM48" s="122"/>
      <c r="BN48" s="122"/>
      <c r="BO48" s="122"/>
      <c r="BP48" s="122"/>
      <c r="BR48" s="122"/>
      <c r="BS48" s="122"/>
      <c r="BT48" s="122"/>
      <c r="BU48" s="122"/>
      <c r="BV48" s="439"/>
      <c r="BW48" s="120">
        <f t="shared" si="8"/>
        <v>18200974.57</v>
      </c>
      <c r="BX48" s="121">
        <v>4.2500000000000003E-2</v>
      </c>
      <c r="BY48" s="121">
        <f t="shared" si="9"/>
        <v>4.1553622105027756E-2</v>
      </c>
      <c r="BZ48" s="120">
        <f t="shared" si="10"/>
        <v>2082.5912855479455</v>
      </c>
      <c r="CA48" s="120">
        <f t="shared" si="11"/>
        <v>60.256333325723062</v>
      </c>
    </row>
    <row r="49" spans="2:79" x14ac:dyDescent="0.25">
      <c r="B49" s="123" t="str">
        <f t="shared" si="20"/>
        <v>2 2025</v>
      </c>
      <c r="C49" s="122">
        <f t="shared" si="21"/>
        <v>45701</v>
      </c>
      <c r="D49" s="122">
        <f t="shared" si="4"/>
        <v>45702</v>
      </c>
      <c r="E49" s="123">
        <f t="shared" si="22"/>
        <v>1</v>
      </c>
      <c r="F49" s="123" t="s">
        <v>7</v>
      </c>
      <c r="G49" s="124">
        <f t="shared" si="19"/>
        <v>6890000</v>
      </c>
      <c r="H49" s="125">
        <f t="shared" si="12"/>
        <v>0.04</v>
      </c>
      <c r="I49" s="124">
        <f t="shared" si="5"/>
        <v>765.56</v>
      </c>
      <c r="J49" s="124">
        <f t="shared" si="23"/>
        <v>60677.760000000024</v>
      </c>
      <c r="K49" s="9"/>
      <c r="L49" s="11"/>
      <c r="M49" s="293"/>
      <c r="N49" s="97"/>
      <c r="O49" s="293"/>
      <c r="P49" s="304"/>
      <c r="Q49" s="304"/>
      <c r="S49" s="11"/>
      <c r="T49" s="293"/>
      <c r="U49" s="97"/>
      <c r="V49" s="293"/>
      <c r="W49" s="304"/>
      <c r="X49" s="304"/>
      <c r="Z49" s="11"/>
      <c r="AA49" s="293"/>
      <c r="AB49" s="97"/>
      <c r="AC49" s="293"/>
      <c r="AD49" s="304"/>
      <c r="AE49" s="304"/>
      <c r="AG49" s="11"/>
      <c r="AH49" s="293"/>
      <c r="AI49" s="97"/>
      <c r="AJ49" s="293"/>
      <c r="AK49" s="304"/>
      <c r="AL49" s="304"/>
      <c r="AN49" s="9"/>
      <c r="AO49" s="9"/>
      <c r="AP49" s="9"/>
      <c r="AQ49" s="9"/>
      <c r="AR49" s="9"/>
      <c r="AS49" s="9"/>
      <c r="AT49" s="123">
        <v>1</v>
      </c>
      <c r="AU49" s="123" t="s">
        <v>32</v>
      </c>
      <c r="AV49" s="124">
        <v>11312291.6</v>
      </c>
      <c r="AW49" s="139">
        <v>4.2500000000000003E-2</v>
      </c>
      <c r="AX49" s="139"/>
      <c r="AY49" s="124">
        <f t="shared" si="13"/>
        <v>1317.1846383561644</v>
      </c>
      <c r="AZ49" s="140">
        <f t="shared" si="7"/>
        <v>62872.527228061415</v>
      </c>
      <c r="BA49" s="140">
        <f t="shared" si="2"/>
        <v>60.263349467275475</v>
      </c>
      <c r="BC49" s="122"/>
      <c r="BD49" s="122"/>
      <c r="BE49" s="122"/>
      <c r="BF49" s="122"/>
      <c r="BH49" s="122"/>
      <c r="BI49" s="122"/>
      <c r="BJ49" s="122"/>
      <c r="BK49" s="122"/>
      <c r="BM49" s="122"/>
      <c r="BN49" s="122"/>
      <c r="BO49" s="122"/>
      <c r="BP49" s="122"/>
      <c r="BR49" s="122"/>
      <c r="BS49" s="122"/>
      <c r="BT49" s="122"/>
      <c r="BU49" s="122"/>
      <c r="BV49" s="439"/>
      <c r="BW49" s="120">
        <f t="shared" si="8"/>
        <v>18202291.600000001</v>
      </c>
      <c r="BX49" s="121">
        <v>4.2500000000000003E-2</v>
      </c>
      <c r="BY49" s="121">
        <f t="shared" si="9"/>
        <v>4.1553690580366266E-2</v>
      </c>
      <c r="BZ49" s="120">
        <f t="shared" si="10"/>
        <v>2082.7446383561646</v>
      </c>
      <c r="CA49" s="120">
        <f t="shared" si="11"/>
        <v>60.263349467275475</v>
      </c>
    </row>
    <row r="50" spans="2:79" x14ac:dyDescent="0.25">
      <c r="B50" s="123" t="str">
        <f t="shared" si="20"/>
        <v>2 2025</v>
      </c>
      <c r="C50" s="122">
        <f t="shared" si="21"/>
        <v>45702</v>
      </c>
      <c r="D50" s="122">
        <f t="shared" si="4"/>
        <v>45703</v>
      </c>
      <c r="E50" s="123">
        <f t="shared" si="22"/>
        <v>1</v>
      </c>
      <c r="F50" s="123" t="s">
        <v>7</v>
      </c>
      <c r="G50" s="124">
        <f t="shared" si="19"/>
        <v>6890000</v>
      </c>
      <c r="H50" s="125">
        <f t="shared" si="12"/>
        <v>0.04</v>
      </c>
      <c r="I50" s="124">
        <f t="shared" si="5"/>
        <v>765.56</v>
      </c>
      <c r="J50" s="124">
        <f t="shared" si="23"/>
        <v>61443.320000000022</v>
      </c>
      <c r="K50" s="9"/>
      <c r="L50" s="11"/>
      <c r="M50" s="293"/>
      <c r="N50" s="97"/>
      <c r="O50" s="293"/>
      <c r="P50" s="304"/>
      <c r="Q50" s="304"/>
      <c r="S50" s="11"/>
      <c r="T50" s="293"/>
      <c r="U50" s="97"/>
      <c r="V50" s="293"/>
      <c r="W50" s="304"/>
      <c r="X50" s="304"/>
      <c r="Z50" s="11"/>
      <c r="AA50" s="293"/>
      <c r="AB50" s="97"/>
      <c r="AC50" s="293"/>
      <c r="AD50" s="304"/>
      <c r="AE50" s="304"/>
      <c r="AG50" s="11"/>
      <c r="AH50" s="293"/>
      <c r="AI50" s="97"/>
      <c r="AJ50" s="293"/>
      <c r="AK50" s="304"/>
      <c r="AL50" s="304"/>
      <c r="AN50" s="9"/>
      <c r="AO50" s="9"/>
      <c r="AP50" s="9"/>
      <c r="AQ50" s="9"/>
      <c r="AR50" s="9"/>
      <c r="AS50" s="9"/>
      <c r="AT50" s="123">
        <v>1</v>
      </c>
      <c r="AU50" s="123" t="s">
        <v>32</v>
      </c>
      <c r="AV50" s="124">
        <v>10862714.210000001</v>
      </c>
      <c r="AW50" s="139">
        <v>4.2500000000000003E-2</v>
      </c>
      <c r="AX50" s="139"/>
      <c r="AY50" s="124">
        <f t="shared" si="13"/>
        <v>1264.8365860958907</v>
      </c>
      <c r="AZ50" s="140">
        <f t="shared" si="7"/>
        <v>64137.363814157303</v>
      </c>
      <c r="BA50" s="140">
        <f t="shared" si="2"/>
        <v>57.868340540334884</v>
      </c>
      <c r="BC50" s="122"/>
      <c r="BD50" s="122"/>
      <c r="BE50" s="122"/>
      <c r="BF50" s="122"/>
      <c r="BH50" s="122"/>
      <c r="BI50" s="122"/>
      <c r="BJ50" s="122"/>
      <c r="BK50" s="122"/>
      <c r="BM50" s="122"/>
      <c r="BN50" s="122"/>
      <c r="BO50" s="122"/>
      <c r="BP50" s="122"/>
      <c r="BR50" s="122"/>
      <c r="BS50" s="122"/>
      <c r="BT50" s="122"/>
      <c r="BU50" s="122"/>
      <c r="BV50" s="439"/>
      <c r="BW50" s="120">
        <f t="shared" si="8"/>
        <v>17752714.210000001</v>
      </c>
      <c r="BX50" s="121">
        <v>4.2500000000000003E-2</v>
      </c>
      <c r="BY50" s="121">
        <f t="shared" si="9"/>
        <v>4.152972583255482E-2</v>
      </c>
      <c r="BZ50" s="120">
        <f t="shared" si="10"/>
        <v>2030.3965860958906</v>
      </c>
      <c r="CA50" s="120">
        <f t="shared" si="11"/>
        <v>57.868340540334884</v>
      </c>
    </row>
    <row r="51" spans="2:79" x14ac:dyDescent="0.25">
      <c r="B51" s="123" t="str">
        <f t="shared" si="20"/>
        <v>2 2025</v>
      </c>
      <c r="C51" s="122">
        <f t="shared" si="21"/>
        <v>45703</v>
      </c>
      <c r="D51" s="122">
        <f t="shared" si="4"/>
        <v>45704</v>
      </c>
      <c r="E51" s="123">
        <f t="shared" si="22"/>
        <v>1</v>
      </c>
      <c r="F51" s="123" t="s">
        <v>7</v>
      </c>
      <c r="G51" s="124">
        <f t="shared" si="19"/>
        <v>6890000</v>
      </c>
      <c r="H51" s="125">
        <f t="shared" si="12"/>
        <v>0.04</v>
      </c>
      <c r="I51" s="124">
        <f t="shared" si="5"/>
        <v>765.56</v>
      </c>
      <c r="J51" s="124">
        <f t="shared" si="23"/>
        <v>62208.880000000019</v>
      </c>
      <c r="K51" s="9"/>
      <c r="L51" s="11"/>
      <c r="M51" s="293"/>
      <c r="N51" s="97"/>
      <c r="O51" s="293"/>
      <c r="P51" s="304"/>
      <c r="Q51" s="304"/>
      <c r="S51" s="11"/>
      <c r="T51" s="293"/>
      <c r="U51" s="97"/>
      <c r="V51" s="293"/>
      <c r="W51" s="304"/>
      <c r="X51" s="304"/>
      <c r="Z51" s="11"/>
      <c r="AA51" s="293"/>
      <c r="AB51" s="97"/>
      <c r="AC51" s="293"/>
      <c r="AD51" s="304"/>
      <c r="AE51" s="304"/>
      <c r="AG51" s="11"/>
      <c r="AH51" s="293"/>
      <c r="AI51" s="97"/>
      <c r="AJ51" s="293"/>
      <c r="AK51" s="304"/>
      <c r="AL51" s="304"/>
      <c r="AN51" s="9"/>
      <c r="AO51" s="9"/>
      <c r="AP51" s="9"/>
      <c r="AQ51" s="9"/>
      <c r="AR51" s="9"/>
      <c r="AS51" s="9"/>
      <c r="AT51" s="123">
        <v>1</v>
      </c>
      <c r="AU51" s="123" t="s">
        <v>32</v>
      </c>
      <c r="AV51" s="124">
        <v>10862714.210000001</v>
      </c>
      <c r="AW51" s="139">
        <v>4.2500000000000003E-2</v>
      </c>
      <c r="AX51" s="139"/>
      <c r="AY51" s="124">
        <f t="shared" si="13"/>
        <v>1264.8365860958907</v>
      </c>
      <c r="AZ51" s="140">
        <f t="shared" si="7"/>
        <v>65402.20040025319</v>
      </c>
      <c r="BA51" s="140">
        <f t="shared" si="2"/>
        <v>57.868340540334884</v>
      </c>
      <c r="BC51" s="122"/>
      <c r="BD51" s="122"/>
      <c r="BE51" s="122"/>
      <c r="BF51" s="122"/>
      <c r="BH51" s="122"/>
      <c r="BI51" s="122"/>
      <c r="BJ51" s="122"/>
      <c r="BK51" s="122"/>
      <c r="BM51" s="122"/>
      <c r="BN51" s="122"/>
      <c r="BO51" s="122"/>
      <c r="BP51" s="122"/>
      <c r="BR51" s="122"/>
      <c r="BS51" s="122"/>
      <c r="BT51" s="122"/>
      <c r="BU51" s="122"/>
      <c r="BV51" s="439"/>
      <c r="BW51" s="120">
        <f t="shared" si="8"/>
        <v>17752714.210000001</v>
      </c>
      <c r="BX51" s="121">
        <v>4.2500000000000003E-2</v>
      </c>
      <c r="BY51" s="121">
        <f t="shared" si="9"/>
        <v>4.152972583255482E-2</v>
      </c>
      <c r="BZ51" s="120">
        <f t="shared" si="10"/>
        <v>2030.3965860958906</v>
      </c>
      <c r="CA51" s="120">
        <f t="shared" si="11"/>
        <v>57.868340540334884</v>
      </c>
    </row>
    <row r="52" spans="2:79" x14ac:dyDescent="0.25">
      <c r="B52" s="123" t="str">
        <f t="shared" si="20"/>
        <v>2 2025</v>
      </c>
      <c r="C52" s="122">
        <f t="shared" si="21"/>
        <v>45704</v>
      </c>
      <c r="D52" s="122">
        <f t="shared" si="4"/>
        <v>45705</v>
      </c>
      <c r="E52" s="123">
        <f t="shared" si="22"/>
        <v>1</v>
      </c>
      <c r="F52" s="123" t="s">
        <v>7</v>
      </c>
      <c r="G52" s="124">
        <f t="shared" si="19"/>
        <v>6890000</v>
      </c>
      <c r="H52" s="125">
        <f t="shared" si="12"/>
        <v>0.04</v>
      </c>
      <c r="I52" s="124">
        <f t="shared" si="5"/>
        <v>765.56</v>
      </c>
      <c r="J52" s="124">
        <f t="shared" si="23"/>
        <v>62974.440000000017</v>
      </c>
      <c r="K52" s="9"/>
      <c r="L52" s="11"/>
      <c r="M52" s="293"/>
      <c r="N52" s="97"/>
      <c r="O52" s="293"/>
      <c r="P52" s="304"/>
      <c r="Q52" s="304"/>
      <c r="S52" s="11"/>
      <c r="T52" s="293"/>
      <c r="U52" s="97"/>
      <c r="V52" s="293"/>
      <c r="W52" s="304"/>
      <c r="X52" s="304"/>
      <c r="Z52" s="11"/>
      <c r="AA52" s="293"/>
      <c r="AB52" s="97"/>
      <c r="AC52" s="293"/>
      <c r="AD52" s="304"/>
      <c r="AE52" s="304"/>
      <c r="AG52" s="11"/>
      <c r="AH52" s="293"/>
      <c r="AI52" s="97"/>
      <c r="AJ52" s="293"/>
      <c r="AK52" s="304"/>
      <c r="AL52" s="304"/>
      <c r="AN52" s="9"/>
      <c r="AO52" s="9"/>
      <c r="AP52" s="9"/>
      <c r="AQ52" s="9"/>
      <c r="AR52" s="9"/>
      <c r="AS52" s="9"/>
      <c r="AT52" s="123">
        <v>1</v>
      </c>
      <c r="AU52" s="123" t="s">
        <v>32</v>
      </c>
      <c r="AV52" s="124">
        <v>10862714.210000001</v>
      </c>
      <c r="AW52" s="139">
        <v>4.2500000000000003E-2</v>
      </c>
      <c r="AX52" s="139"/>
      <c r="AY52" s="124">
        <f t="shared" si="13"/>
        <v>1264.8365860958907</v>
      </c>
      <c r="AZ52" s="140">
        <f t="shared" si="7"/>
        <v>66667.036986349078</v>
      </c>
      <c r="BA52" s="140">
        <f t="shared" si="2"/>
        <v>57.868340540334884</v>
      </c>
      <c r="BC52" s="122"/>
      <c r="BD52" s="122"/>
      <c r="BE52" s="122"/>
      <c r="BF52" s="122"/>
      <c r="BH52" s="122"/>
      <c r="BI52" s="122"/>
      <c r="BJ52" s="122"/>
      <c r="BK52" s="122"/>
      <c r="BM52" s="122"/>
      <c r="BN52" s="122"/>
      <c r="BO52" s="122"/>
      <c r="BP52" s="122"/>
      <c r="BR52" s="122"/>
      <c r="BS52" s="122"/>
      <c r="BT52" s="122"/>
      <c r="BU52" s="122"/>
      <c r="BV52" s="439"/>
      <c r="BW52" s="120">
        <f t="shared" si="8"/>
        <v>17752714.210000001</v>
      </c>
      <c r="BX52" s="121">
        <v>4.2500000000000003E-2</v>
      </c>
      <c r="BY52" s="121">
        <f t="shared" si="9"/>
        <v>4.152972583255482E-2</v>
      </c>
      <c r="BZ52" s="120">
        <f t="shared" si="10"/>
        <v>2030.3965860958906</v>
      </c>
      <c r="CA52" s="120">
        <f t="shared" si="11"/>
        <v>57.868340540334884</v>
      </c>
    </row>
    <row r="53" spans="2:79" x14ac:dyDescent="0.25">
      <c r="B53" s="123" t="str">
        <f t="shared" si="20"/>
        <v>2 2025</v>
      </c>
      <c r="C53" s="122">
        <f t="shared" si="21"/>
        <v>45705</v>
      </c>
      <c r="D53" s="122">
        <f t="shared" si="4"/>
        <v>45706</v>
      </c>
      <c r="E53" s="123">
        <f t="shared" si="22"/>
        <v>1</v>
      </c>
      <c r="F53" s="123" t="s">
        <v>7</v>
      </c>
      <c r="G53" s="124">
        <f t="shared" si="19"/>
        <v>6890000</v>
      </c>
      <c r="H53" s="125">
        <f t="shared" si="12"/>
        <v>0.04</v>
      </c>
      <c r="I53" s="124">
        <f t="shared" si="5"/>
        <v>765.56</v>
      </c>
      <c r="J53" s="124">
        <f t="shared" si="23"/>
        <v>63740.000000000015</v>
      </c>
      <c r="K53" s="9"/>
      <c r="L53" s="11"/>
      <c r="M53" s="293"/>
      <c r="N53" s="97"/>
      <c r="O53" s="293"/>
      <c r="P53" s="304"/>
      <c r="Q53" s="304"/>
      <c r="S53" s="11"/>
      <c r="T53" s="293"/>
      <c r="U53" s="97"/>
      <c r="V53" s="293"/>
      <c r="W53" s="304"/>
      <c r="X53" s="304"/>
      <c r="Z53" s="11"/>
      <c r="AA53" s="293"/>
      <c r="AB53" s="97"/>
      <c r="AC53" s="293"/>
      <c r="AD53" s="304"/>
      <c r="AE53" s="304"/>
      <c r="AG53" s="11"/>
      <c r="AH53" s="293"/>
      <c r="AI53" s="97"/>
      <c r="AJ53" s="293"/>
      <c r="AK53" s="304"/>
      <c r="AL53" s="304"/>
      <c r="AN53" s="9"/>
      <c r="AO53" s="9"/>
      <c r="AP53" s="9"/>
      <c r="AQ53" s="9"/>
      <c r="AR53" s="9"/>
      <c r="AS53" s="9"/>
      <c r="AT53" s="123">
        <v>1</v>
      </c>
      <c r="AU53" s="123" t="s">
        <v>32</v>
      </c>
      <c r="AV53" s="124">
        <v>10862714.210000001</v>
      </c>
      <c r="AW53" s="139">
        <v>4.2500000000000003E-2</v>
      </c>
      <c r="AX53" s="139"/>
      <c r="AY53" s="124">
        <f t="shared" si="13"/>
        <v>1264.8365860958907</v>
      </c>
      <c r="AZ53" s="140">
        <f t="shared" si="7"/>
        <v>67931.873572444965</v>
      </c>
      <c r="BA53" s="140">
        <f t="shared" si="2"/>
        <v>57.868340540334884</v>
      </c>
      <c r="BC53" s="122"/>
      <c r="BD53" s="122"/>
      <c r="BE53" s="122"/>
      <c r="BF53" s="122"/>
      <c r="BH53" s="122"/>
      <c r="BI53" s="122"/>
      <c r="BJ53" s="122"/>
      <c r="BK53" s="122"/>
      <c r="BM53" s="122"/>
      <c r="BN53" s="122"/>
      <c r="BO53" s="122"/>
      <c r="BP53" s="122"/>
      <c r="BR53" s="122"/>
      <c r="BS53" s="122"/>
      <c r="BT53" s="122"/>
      <c r="BU53" s="122"/>
      <c r="BV53" s="439"/>
      <c r="BW53" s="120">
        <f t="shared" si="8"/>
        <v>17752714.210000001</v>
      </c>
      <c r="BX53" s="121">
        <v>4.2500000000000003E-2</v>
      </c>
      <c r="BY53" s="121">
        <f t="shared" si="9"/>
        <v>4.152972583255482E-2</v>
      </c>
      <c r="BZ53" s="120">
        <f t="shared" si="10"/>
        <v>2030.3965860958906</v>
      </c>
      <c r="CA53" s="120">
        <f t="shared" si="11"/>
        <v>57.868340540334884</v>
      </c>
    </row>
    <row r="54" spans="2:79" x14ac:dyDescent="0.25">
      <c r="B54" s="123" t="str">
        <f t="shared" si="20"/>
        <v>2 2025</v>
      </c>
      <c r="C54" s="122">
        <f t="shared" si="21"/>
        <v>45706</v>
      </c>
      <c r="D54" s="122">
        <f t="shared" si="4"/>
        <v>45707</v>
      </c>
      <c r="E54" s="123">
        <f t="shared" si="22"/>
        <v>1</v>
      </c>
      <c r="F54" s="123" t="s">
        <v>7</v>
      </c>
      <c r="G54" s="124">
        <f t="shared" si="19"/>
        <v>6890000</v>
      </c>
      <c r="H54" s="125">
        <f t="shared" si="12"/>
        <v>0.04</v>
      </c>
      <c r="I54" s="124">
        <f t="shared" si="5"/>
        <v>765.56</v>
      </c>
      <c r="J54" s="124">
        <f t="shared" si="23"/>
        <v>64505.560000000012</v>
      </c>
      <c r="K54" s="9"/>
      <c r="L54" s="11"/>
      <c r="M54" s="293"/>
      <c r="N54" s="97"/>
      <c r="O54" s="293"/>
      <c r="P54" s="304"/>
      <c r="Q54" s="304"/>
      <c r="S54" s="11"/>
      <c r="T54" s="293"/>
      <c r="U54" s="97"/>
      <c r="V54" s="293"/>
      <c r="W54" s="304"/>
      <c r="X54" s="304"/>
      <c r="Z54" s="11"/>
      <c r="AA54" s="293"/>
      <c r="AB54" s="97"/>
      <c r="AC54" s="293"/>
      <c r="AD54" s="304"/>
      <c r="AE54" s="304"/>
      <c r="AG54" s="11"/>
      <c r="AH54" s="293"/>
      <c r="AI54" s="97"/>
      <c r="AJ54" s="293"/>
      <c r="AK54" s="304"/>
      <c r="AL54" s="304"/>
      <c r="AN54" s="9"/>
      <c r="AO54" s="9"/>
      <c r="AP54" s="9"/>
      <c r="AQ54" s="9"/>
      <c r="AR54" s="9"/>
      <c r="AS54" s="9"/>
      <c r="AT54" s="123">
        <v>1</v>
      </c>
      <c r="AU54" s="123" t="s">
        <v>32</v>
      </c>
      <c r="AV54" s="124">
        <v>9099550.1999999993</v>
      </c>
      <c r="AW54" s="139">
        <v>4.2500000000000003E-2</v>
      </c>
      <c r="AX54" s="139"/>
      <c r="AY54" s="124">
        <f t="shared" si="13"/>
        <v>1059.5366671232878</v>
      </c>
      <c r="AZ54" s="140">
        <f t="shared" si="7"/>
        <v>68991.410239568257</v>
      </c>
      <c r="BA54" s="140">
        <f t="shared" si="2"/>
        <v>48.475533789954511</v>
      </c>
      <c r="BC54" s="122"/>
      <c r="BD54" s="122"/>
      <c r="BE54" s="122"/>
      <c r="BF54" s="122"/>
      <c r="BH54" s="122"/>
      <c r="BI54" s="122"/>
      <c r="BJ54" s="122"/>
      <c r="BK54" s="122"/>
      <c r="BM54" s="122"/>
      <c r="BN54" s="122"/>
      <c r="BO54" s="122"/>
      <c r="BP54" s="122"/>
      <c r="BR54" s="122"/>
      <c r="BS54" s="122"/>
      <c r="BT54" s="122"/>
      <c r="BU54" s="122"/>
      <c r="BV54" s="439"/>
      <c r="BW54" s="120">
        <f t="shared" si="8"/>
        <v>15989550.199999999</v>
      </c>
      <c r="BX54" s="121">
        <v>4.2500000000000003E-2</v>
      </c>
      <c r="BY54" s="121">
        <f t="shared" si="9"/>
        <v>4.1422733924059978E-2</v>
      </c>
      <c r="BZ54" s="120">
        <f t="shared" si="10"/>
        <v>1825.0966671232877</v>
      </c>
      <c r="CA54" s="120">
        <f t="shared" si="11"/>
        <v>48.475533789954511</v>
      </c>
    </row>
    <row r="55" spans="2:79" x14ac:dyDescent="0.25">
      <c r="B55" s="123" t="str">
        <f t="shared" si="20"/>
        <v>2 2025</v>
      </c>
      <c r="C55" s="122">
        <f t="shared" si="21"/>
        <v>45707</v>
      </c>
      <c r="D55" s="122">
        <f t="shared" si="4"/>
        <v>45708</v>
      </c>
      <c r="E55" s="123">
        <f t="shared" si="22"/>
        <v>1</v>
      </c>
      <c r="F55" s="123" t="s">
        <v>7</v>
      </c>
      <c r="G55" s="124">
        <f t="shared" si="19"/>
        <v>6890000</v>
      </c>
      <c r="H55" s="125">
        <f t="shared" si="12"/>
        <v>0.04</v>
      </c>
      <c r="I55" s="124">
        <f t="shared" si="5"/>
        <v>765.56</v>
      </c>
      <c r="J55" s="124">
        <f t="shared" si="23"/>
        <v>65271.12000000001</v>
      </c>
      <c r="K55" s="9"/>
      <c r="L55" s="11"/>
      <c r="M55" s="293"/>
      <c r="N55" s="97"/>
      <c r="O55" s="293"/>
      <c r="P55" s="304"/>
      <c r="Q55" s="304"/>
      <c r="S55" s="11"/>
      <c r="T55" s="293"/>
      <c r="U55" s="97"/>
      <c r="V55" s="293"/>
      <c r="W55" s="304"/>
      <c r="X55" s="304"/>
      <c r="Z55" s="11"/>
      <c r="AA55" s="293"/>
      <c r="AB55" s="97"/>
      <c r="AC55" s="293"/>
      <c r="AD55" s="304"/>
      <c r="AE55" s="304"/>
      <c r="AG55" s="11"/>
      <c r="AH55" s="293"/>
      <c r="AI55" s="97"/>
      <c r="AJ55" s="293"/>
      <c r="AK55" s="304"/>
      <c r="AL55" s="304"/>
      <c r="AN55" s="9"/>
      <c r="AO55" s="9"/>
      <c r="AP55" s="9"/>
      <c r="AQ55" s="9"/>
      <c r="AR55" s="9"/>
      <c r="AS55" s="9"/>
      <c r="AT55" s="123">
        <v>1</v>
      </c>
      <c r="AU55" s="123" t="s">
        <v>32</v>
      </c>
      <c r="AV55" s="124">
        <v>9016908.1400000006</v>
      </c>
      <c r="AW55" s="139">
        <v>4.2500000000000003E-2</v>
      </c>
      <c r="AX55" s="139"/>
      <c r="AY55" s="124">
        <f t="shared" si="13"/>
        <v>1049.9139615068495</v>
      </c>
      <c r="AZ55" s="140">
        <f t="shared" si="7"/>
        <v>70041.324201075113</v>
      </c>
      <c r="BA55" s="140">
        <f t="shared" si="2"/>
        <v>48.035279284627222</v>
      </c>
      <c r="BC55" s="122"/>
      <c r="BD55" s="122"/>
      <c r="BE55" s="122"/>
      <c r="BF55" s="122"/>
      <c r="BH55" s="122"/>
      <c r="BI55" s="122"/>
      <c r="BJ55" s="122"/>
      <c r="BK55" s="122"/>
      <c r="BM55" s="122"/>
      <c r="BN55" s="122"/>
      <c r="BO55" s="122"/>
      <c r="BP55" s="122"/>
      <c r="BR55" s="122"/>
      <c r="BS55" s="122"/>
      <c r="BT55" s="122"/>
      <c r="BU55" s="122"/>
      <c r="BV55" s="439"/>
      <c r="BW55" s="120">
        <f t="shared" si="8"/>
        <v>15906908.140000001</v>
      </c>
      <c r="BX55" s="121">
        <v>4.2500000000000003E-2</v>
      </c>
      <c r="BY55" s="121">
        <f t="shared" si="9"/>
        <v>4.1417137142655304E-2</v>
      </c>
      <c r="BZ55" s="120">
        <f t="shared" si="10"/>
        <v>1815.4739615068495</v>
      </c>
      <c r="CA55" s="120">
        <f t="shared" si="11"/>
        <v>48.035279284627222</v>
      </c>
    </row>
    <row r="56" spans="2:79" x14ac:dyDescent="0.25">
      <c r="B56" s="123" t="str">
        <f t="shared" si="20"/>
        <v>2 2025</v>
      </c>
      <c r="C56" s="122">
        <f t="shared" si="21"/>
        <v>45708</v>
      </c>
      <c r="D56" s="122">
        <f t="shared" si="4"/>
        <v>45709</v>
      </c>
      <c r="E56" s="123">
        <f t="shared" si="22"/>
        <v>1</v>
      </c>
      <c r="F56" s="123" t="s">
        <v>7</v>
      </c>
      <c r="G56" s="124">
        <f t="shared" si="19"/>
        <v>6890000</v>
      </c>
      <c r="H56" s="125">
        <f t="shared" si="12"/>
        <v>0.04</v>
      </c>
      <c r="I56" s="124">
        <f t="shared" si="5"/>
        <v>765.56</v>
      </c>
      <c r="J56" s="124">
        <f t="shared" si="23"/>
        <v>66036.680000000008</v>
      </c>
      <c r="K56" s="9"/>
      <c r="L56" s="11"/>
      <c r="M56" s="293"/>
      <c r="N56" s="97"/>
      <c r="O56" s="293"/>
      <c r="P56" s="304"/>
      <c r="Q56" s="304"/>
      <c r="S56" s="11"/>
      <c r="T56" s="293"/>
      <c r="U56" s="97"/>
      <c r="V56" s="293"/>
      <c r="W56" s="304"/>
      <c r="X56" s="304"/>
      <c r="Z56" s="11"/>
      <c r="AA56" s="293"/>
      <c r="AB56" s="97"/>
      <c r="AC56" s="293"/>
      <c r="AD56" s="304"/>
      <c r="AE56" s="304"/>
      <c r="AG56" s="11"/>
      <c r="AH56" s="293"/>
      <c r="AI56" s="97"/>
      <c r="AJ56" s="293"/>
      <c r="AK56" s="304"/>
      <c r="AL56" s="304"/>
      <c r="AN56" s="9"/>
      <c r="AO56" s="9"/>
      <c r="AP56" s="9"/>
      <c r="AQ56" s="9"/>
      <c r="AR56" s="9"/>
      <c r="AS56" s="9"/>
      <c r="AT56" s="123">
        <v>1</v>
      </c>
      <c r="AU56" s="123" t="s">
        <v>32</v>
      </c>
      <c r="AV56" s="124">
        <v>9017958.0500000007</v>
      </c>
      <c r="AW56" s="139">
        <v>4.2500000000000003E-2</v>
      </c>
      <c r="AX56" s="139"/>
      <c r="AY56" s="124">
        <f t="shared" si="13"/>
        <v>1050.03621130137</v>
      </c>
      <c r="AZ56" s="140">
        <f t="shared" si="7"/>
        <v>71091.360412376482</v>
      </c>
      <c r="BA56" s="140">
        <f t="shared" si="2"/>
        <v>48.040872412481008</v>
      </c>
      <c r="BC56" s="122"/>
      <c r="BD56" s="122"/>
      <c r="BE56" s="122"/>
      <c r="BF56" s="122"/>
      <c r="BH56" s="122"/>
      <c r="BI56" s="122"/>
      <c r="BJ56" s="122"/>
      <c r="BK56" s="122"/>
      <c r="BM56" s="122"/>
      <c r="BN56" s="122"/>
      <c r="BO56" s="122"/>
      <c r="BP56" s="122"/>
      <c r="BR56" s="122"/>
      <c r="BS56" s="122"/>
      <c r="BT56" s="122"/>
      <c r="BU56" s="122"/>
      <c r="BV56" s="439"/>
      <c r="BW56" s="120">
        <f t="shared" si="8"/>
        <v>15907958.050000001</v>
      </c>
      <c r="BX56" s="121">
        <v>4.2500000000000003E-2</v>
      </c>
      <c r="BY56" s="121">
        <f t="shared" si="9"/>
        <v>4.1417208610567087E-2</v>
      </c>
      <c r="BZ56" s="120">
        <f t="shared" si="10"/>
        <v>1815.59621130137</v>
      </c>
      <c r="CA56" s="120">
        <f t="shared" si="11"/>
        <v>48.040872412481008</v>
      </c>
    </row>
    <row r="57" spans="2:79" x14ac:dyDescent="0.25">
      <c r="B57" s="123" t="str">
        <f t="shared" si="20"/>
        <v>2 2025</v>
      </c>
      <c r="C57" s="122">
        <f t="shared" si="21"/>
        <v>45709</v>
      </c>
      <c r="D57" s="122">
        <f t="shared" si="4"/>
        <v>45710</v>
      </c>
      <c r="E57" s="123">
        <f t="shared" si="22"/>
        <v>1</v>
      </c>
      <c r="F57" s="123" t="s">
        <v>7</v>
      </c>
      <c r="G57" s="124">
        <f t="shared" si="19"/>
        <v>6890000</v>
      </c>
      <c r="H57" s="125">
        <f t="shared" si="12"/>
        <v>0.04</v>
      </c>
      <c r="I57" s="124">
        <f t="shared" si="5"/>
        <v>765.56</v>
      </c>
      <c r="J57" s="124">
        <f t="shared" si="23"/>
        <v>66802.240000000005</v>
      </c>
      <c r="K57" s="9"/>
      <c r="L57" s="11"/>
      <c r="M57" s="293"/>
      <c r="N57" s="97"/>
      <c r="O57" s="293"/>
      <c r="P57" s="304"/>
      <c r="Q57" s="304"/>
      <c r="S57" s="11"/>
      <c r="T57" s="293"/>
      <c r="U57" s="97"/>
      <c r="V57" s="293"/>
      <c r="W57" s="304"/>
      <c r="X57" s="304"/>
      <c r="Z57" s="11"/>
      <c r="AA57" s="293"/>
      <c r="AB57" s="97"/>
      <c r="AC57" s="293"/>
      <c r="AD57" s="304"/>
      <c r="AE57" s="304"/>
      <c r="AG57" s="11"/>
      <c r="AH57" s="293"/>
      <c r="AI57" s="97"/>
      <c r="AJ57" s="293"/>
      <c r="AK57" s="304"/>
      <c r="AL57" s="304"/>
      <c r="AN57" s="9"/>
      <c r="AO57" s="9"/>
      <c r="AP57" s="9"/>
      <c r="AQ57" s="9"/>
      <c r="AR57" s="9"/>
      <c r="AS57" s="9"/>
      <c r="AT57" s="123">
        <v>1</v>
      </c>
      <c r="AU57" s="123" t="s">
        <v>32</v>
      </c>
      <c r="AV57" s="124">
        <v>9019008.0899999999</v>
      </c>
      <c r="AW57" s="139">
        <v>4.2500000000000003E-2</v>
      </c>
      <c r="AX57" s="139"/>
      <c r="AY57" s="124">
        <f t="shared" si="13"/>
        <v>1050.1584762328769</v>
      </c>
      <c r="AZ57" s="140">
        <f t="shared" si="7"/>
        <v>72141.518888609353</v>
      </c>
      <c r="BA57" s="140">
        <f t="shared" si="2"/>
        <v>48.04646623287681</v>
      </c>
      <c r="BC57" s="122"/>
      <c r="BD57" s="122"/>
      <c r="BE57" s="122"/>
      <c r="BF57" s="122"/>
      <c r="BH57" s="122"/>
      <c r="BI57" s="122"/>
      <c r="BJ57" s="122"/>
      <c r="BK57" s="122"/>
      <c r="BM57" s="122"/>
      <c r="BN57" s="122"/>
      <c r="BO57" s="122"/>
      <c r="BP57" s="122"/>
      <c r="BR57" s="122"/>
      <c r="BS57" s="122"/>
      <c r="BT57" s="122"/>
      <c r="BU57" s="122"/>
      <c r="BV57" s="439"/>
      <c r="BW57" s="120">
        <f t="shared" si="8"/>
        <v>15909008.09</v>
      </c>
      <c r="BX57" s="121">
        <v>4.2500000000000003E-2</v>
      </c>
      <c r="BY57" s="121">
        <f t="shared" si="9"/>
        <v>4.1417280077893283E-2</v>
      </c>
      <c r="BZ57" s="120">
        <f t="shared" si="10"/>
        <v>1815.7184762328768</v>
      </c>
      <c r="CA57" s="120">
        <f t="shared" si="11"/>
        <v>48.04646623287681</v>
      </c>
    </row>
    <row r="58" spans="2:79" x14ac:dyDescent="0.25">
      <c r="B58" s="123" t="str">
        <f t="shared" si="20"/>
        <v>2 2025</v>
      </c>
      <c r="C58" s="122">
        <f t="shared" si="21"/>
        <v>45710</v>
      </c>
      <c r="D58" s="122">
        <f t="shared" si="4"/>
        <v>45711</v>
      </c>
      <c r="E58" s="123">
        <f t="shared" si="22"/>
        <v>1</v>
      </c>
      <c r="F58" s="123" t="s">
        <v>7</v>
      </c>
      <c r="G58" s="124">
        <f t="shared" si="19"/>
        <v>6890000</v>
      </c>
      <c r="H58" s="125">
        <f t="shared" si="12"/>
        <v>0.04</v>
      </c>
      <c r="I58" s="124">
        <f t="shared" si="5"/>
        <v>765.56</v>
      </c>
      <c r="J58" s="124">
        <f t="shared" si="23"/>
        <v>67567.8</v>
      </c>
      <c r="K58" s="9"/>
      <c r="L58" s="11"/>
      <c r="M58" s="293"/>
      <c r="N58" s="97"/>
      <c r="O58" s="293"/>
      <c r="P58" s="304"/>
      <c r="Q58" s="304"/>
      <c r="S58" s="11"/>
      <c r="T58" s="293"/>
      <c r="U58" s="97"/>
      <c r="V58" s="293"/>
      <c r="W58" s="304"/>
      <c r="X58" s="304"/>
      <c r="Z58" s="11"/>
      <c r="AA58" s="293"/>
      <c r="AB58" s="97"/>
      <c r="AC58" s="293"/>
      <c r="AD58" s="304"/>
      <c r="AE58" s="304"/>
      <c r="AG58" s="11"/>
      <c r="AH58" s="293"/>
      <c r="AI58" s="97"/>
      <c r="AJ58" s="293"/>
      <c r="AK58" s="304"/>
      <c r="AL58" s="304"/>
      <c r="AN58" s="9"/>
      <c r="AO58" s="9"/>
      <c r="AP58" s="9"/>
      <c r="AQ58" s="9"/>
      <c r="AR58" s="9"/>
      <c r="AS58" s="9"/>
      <c r="AT58" s="123">
        <v>1</v>
      </c>
      <c r="AU58" s="123" t="s">
        <v>32</v>
      </c>
      <c r="AV58" s="124">
        <v>9019008.0899999999</v>
      </c>
      <c r="AW58" s="139">
        <v>4.2500000000000003E-2</v>
      </c>
      <c r="AX58" s="139"/>
      <c r="AY58" s="124">
        <f t="shared" si="13"/>
        <v>1050.1584762328769</v>
      </c>
      <c r="AZ58" s="140">
        <f t="shared" si="7"/>
        <v>73191.677364842224</v>
      </c>
      <c r="BA58" s="140">
        <f t="shared" si="2"/>
        <v>48.04646623287681</v>
      </c>
      <c r="BC58" s="122"/>
      <c r="BD58" s="122"/>
      <c r="BE58" s="122"/>
      <c r="BF58" s="122"/>
      <c r="BH58" s="122"/>
      <c r="BI58" s="122"/>
      <c r="BJ58" s="122"/>
      <c r="BK58" s="122"/>
      <c r="BM58" s="122"/>
      <c r="BN58" s="122"/>
      <c r="BO58" s="122"/>
      <c r="BP58" s="122"/>
      <c r="BR58" s="122"/>
      <c r="BS58" s="122"/>
      <c r="BT58" s="122"/>
      <c r="BU58" s="122"/>
      <c r="BV58" s="439"/>
      <c r="BW58" s="120">
        <f t="shared" si="8"/>
        <v>15909008.09</v>
      </c>
      <c r="BX58" s="121">
        <v>4.2500000000000003E-2</v>
      </c>
      <c r="BY58" s="121">
        <f t="shared" si="9"/>
        <v>4.1417280077893283E-2</v>
      </c>
      <c r="BZ58" s="120">
        <f t="shared" si="10"/>
        <v>1815.7184762328768</v>
      </c>
      <c r="CA58" s="120">
        <f t="shared" si="11"/>
        <v>48.04646623287681</v>
      </c>
    </row>
    <row r="59" spans="2:79" x14ac:dyDescent="0.25">
      <c r="B59" s="123" t="str">
        <f t="shared" si="20"/>
        <v>2 2025</v>
      </c>
      <c r="C59" s="122">
        <f t="shared" si="21"/>
        <v>45711</v>
      </c>
      <c r="D59" s="122">
        <f t="shared" si="4"/>
        <v>45712</v>
      </c>
      <c r="E59" s="123">
        <f t="shared" si="22"/>
        <v>1</v>
      </c>
      <c r="F59" s="123" t="s">
        <v>7</v>
      </c>
      <c r="G59" s="124">
        <f t="shared" si="19"/>
        <v>6890000</v>
      </c>
      <c r="H59" s="125">
        <f t="shared" si="12"/>
        <v>0.04</v>
      </c>
      <c r="I59" s="124">
        <f t="shared" si="5"/>
        <v>765.56</v>
      </c>
      <c r="J59" s="124">
        <f t="shared" si="23"/>
        <v>68333.36</v>
      </c>
      <c r="K59" s="9"/>
      <c r="L59" s="11"/>
      <c r="M59" s="293"/>
      <c r="N59" s="97"/>
      <c r="O59" s="293"/>
      <c r="P59" s="304"/>
      <c r="Q59" s="304"/>
      <c r="S59" s="11"/>
      <c r="T59" s="293"/>
      <c r="U59" s="97"/>
      <c r="V59" s="293"/>
      <c r="W59" s="304"/>
      <c r="X59" s="304"/>
      <c r="Z59" s="11"/>
      <c r="AA59" s="293"/>
      <c r="AB59" s="97"/>
      <c r="AC59" s="293"/>
      <c r="AD59" s="304"/>
      <c r="AE59" s="304"/>
      <c r="AG59" s="11"/>
      <c r="AH59" s="293"/>
      <c r="AI59" s="97"/>
      <c r="AJ59" s="293"/>
      <c r="AK59" s="304"/>
      <c r="AL59" s="304"/>
      <c r="AN59" s="9"/>
      <c r="AO59" s="9"/>
      <c r="AP59" s="9"/>
      <c r="AQ59" s="9"/>
      <c r="AR59" s="9"/>
      <c r="AS59" s="9"/>
      <c r="AT59" s="123">
        <v>1</v>
      </c>
      <c r="AU59" s="123" t="s">
        <v>32</v>
      </c>
      <c r="AV59" s="124">
        <v>9019008.0899999999</v>
      </c>
      <c r="AW59" s="139">
        <v>4.2500000000000003E-2</v>
      </c>
      <c r="AX59" s="139"/>
      <c r="AY59" s="124">
        <f t="shared" si="13"/>
        <v>1050.1584762328769</v>
      </c>
      <c r="AZ59" s="140">
        <f t="shared" si="7"/>
        <v>74241.835841075095</v>
      </c>
      <c r="BA59" s="140">
        <f t="shared" si="2"/>
        <v>48.04646623287681</v>
      </c>
      <c r="BC59" s="122"/>
      <c r="BD59" s="122"/>
      <c r="BE59" s="122"/>
      <c r="BF59" s="122"/>
      <c r="BH59" s="122"/>
      <c r="BI59" s="122"/>
      <c r="BJ59" s="122"/>
      <c r="BK59" s="122"/>
      <c r="BM59" s="122"/>
      <c r="BN59" s="122"/>
      <c r="BO59" s="122"/>
      <c r="BP59" s="122"/>
      <c r="BR59" s="122"/>
      <c r="BS59" s="122"/>
      <c r="BT59" s="122"/>
      <c r="BU59" s="122"/>
      <c r="BV59" s="439"/>
      <c r="BW59" s="120">
        <f t="shared" si="8"/>
        <v>15909008.09</v>
      </c>
      <c r="BX59" s="121">
        <v>4.2500000000000003E-2</v>
      </c>
      <c r="BY59" s="121">
        <f t="shared" si="9"/>
        <v>4.1417280077893283E-2</v>
      </c>
      <c r="BZ59" s="120">
        <f t="shared" si="10"/>
        <v>1815.7184762328768</v>
      </c>
      <c r="CA59" s="120">
        <f t="shared" si="11"/>
        <v>48.04646623287681</v>
      </c>
    </row>
    <row r="60" spans="2:79" x14ac:dyDescent="0.25">
      <c r="B60" s="123" t="str">
        <f t="shared" si="20"/>
        <v>2 2025</v>
      </c>
      <c r="C60" s="122">
        <f t="shared" si="21"/>
        <v>45712</v>
      </c>
      <c r="D60" s="122">
        <f t="shared" si="4"/>
        <v>45713</v>
      </c>
      <c r="E60" s="123">
        <f t="shared" si="22"/>
        <v>1</v>
      </c>
      <c r="F60" s="123" t="s">
        <v>7</v>
      </c>
      <c r="G60" s="124">
        <f t="shared" si="19"/>
        <v>6890000</v>
      </c>
      <c r="H60" s="125">
        <f t="shared" si="12"/>
        <v>0.04</v>
      </c>
      <c r="I60" s="124">
        <f t="shared" si="5"/>
        <v>765.56</v>
      </c>
      <c r="J60" s="124">
        <f t="shared" si="23"/>
        <v>69098.92</v>
      </c>
      <c r="K60" s="9"/>
      <c r="L60" s="11"/>
      <c r="M60" s="293"/>
      <c r="N60" s="97"/>
      <c r="O60" s="293"/>
      <c r="P60" s="304"/>
      <c r="Q60" s="304"/>
      <c r="S60" s="11"/>
      <c r="T60" s="293"/>
      <c r="U60" s="97"/>
      <c r="V60" s="293"/>
      <c r="W60" s="304"/>
      <c r="X60" s="304"/>
      <c r="Z60" s="11"/>
      <c r="AA60" s="293"/>
      <c r="AB60" s="97"/>
      <c r="AC60" s="293"/>
      <c r="AD60" s="304"/>
      <c r="AE60" s="304"/>
      <c r="AG60" s="11"/>
      <c r="AH60" s="293"/>
      <c r="AI60" s="97"/>
      <c r="AJ60" s="293"/>
      <c r="AK60" s="304"/>
      <c r="AL60" s="304"/>
      <c r="AN60" s="9"/>
      <c r="AO60" s="9"/>
      <c r="AP60" s="9"/>
      <c r="AQ60" s="9"/>
      <c r="AR60" s="9"/>
      <c r="AS60" s="9"/>
      <c r="AT60" s="123">
        <v>1</v>
      </c>
      <c r="AU60" s="123" t="s">
        <v>32</v>
      </c>
      <c r="AV60" s="124">
        <v>9016131.6500000004</v>
      </c>
      <c r="AW60" s="139">
        <v>4.2500000000000003E-2</v>
      </c>
      <c r="AX60" s="139"/>
      <c r="AY60" s="124">
        <f t="shared" si="13"/>
        <v>1049.8235482876714</v>
      </c>
      <c r="AZ60" s="140">
        <f t="shared" si="7"/>
        <v>75291.659389362772</v>
      </c>
      <c r="BA60" s="140">
        <f t="shared" si="2"/>
        <v>48.031142732115882</v>
      </c>
      <c r="BC60" s="122"/>
      <c r="BD60" s="122"/>
      <c r="BE60" s="122"/>
      <c r="BF60" s="122"/>
      <c r="BH60" s="122"/>
      <c r="BI60" s="122"/>
      <c r="BJ60" s="122"/>
      <c r="BK60" s="122"/>
      <c r="BM60" s="122"/>
      <c r="BN60" s="122"/>
      <c r="BO60" s="122"/>
      <c r="BP60" s="122"/>
      <c r="BR60" s="122"/>
      <c r="BS60" s="122"/>
      <c r="BT60" s="122"/>
      <c r="BU60" s="122"/>
      <c r="BV60" s="439"/>
      <c r="BW60" s="120">
        <f t="shared" si="8"/>
        <v>15906131.65</v>
      </c>
      <c r="BX60" s="121">
        <v>4.2500000000000003E-2</v>
      </c>
      <c r="BY60" s="121">
        <f t="shared" si="9"/>
        <v>4.1417084280513924E-2</v>
      </c>
      <c r="BZ60" s="120">
        <f t="shared" si="10"/>
        <v>1815.3835482876714</v>
      </c>
      <c r="CA60" s="120">
        <f t="shared" si="11"/>
        <v>48.031142732115882</v>
      </c>
    </row>
    <row r="61" spans="2:79" x14ac:dyDescent="0.25">
      <c r="B61" s="123" t="str">
        <f t="shared" si="20"/>
        <v>2 2025</v>
      </c>
      <c r="C61" s="122">
        <f t="shared" si="21"/>
        <v>45713</v>
      </c>
      <c r="D61" s="122">
        <f t="shared" si="4"/>
        <v>45714</v>
      </c>
      <c r="E61" s="123">
        <f t="shared" si="22"/>
        <v>1</v>
      </c>
      <c r="F61" s="123" t="s">
        <v>7</v>
      </c>
      <c r="G61" s="124">
        <f t="shared" si="19"/>
        <v>6890000</v>
      </c>
      <c r="H61" s="125">
        <f t="shared" si="12"/>
        <v>0.04</v>
      </c>
      <c r="I61" s="124">
        <f t="shared" si="5"/>
        <v>765.56</v>
      </c>
      <c r="J61" s="124">
        <f t="shared" si="23"/>
        <v>69864.479999999996</v>
      </c>
      <c r="K61" s="9"/>
      <c r="L61" s="11"/>
      <c r="M61" s="293"/>
      <c r="N61" s="97"/>
      <c r="O61" s="293"/>
      <c r="P61" s="304"/>
      <c r="Q61" s="304"/>
      <c r="S61" s="11"/>
      <c r="T61" s="293"/>
      <c r="U61" s="97"/>
      <c r="V61" s="293"/>
      <c r="W61" s="304"/>
      <c r="X61" s="304"/>
      <c r="Z61" s="11"/>
      <c r="AA61" s="293"/>
      <c r="AB61" s="97"/>
      <c r="AC61" s="293"/>
      <c r="AD61" s="304"/>
      <c r="AE61" s="304"/>
      <c r="AG61" s="11"/>
      <c r="AH61" s="293"/>
      <c r="AI61" s="97"/>
      <c r="AJ61" s="293"/>
      <c r="AK61" s="304"/>
      <c r="AL61" s="304"/>
      <c r="AN61" s="9"/>
      <c r="AO61" s="9"/>
      <c r="AP61" s="9"/>
      <c r="AQ61" s="9"/>
      <c r="AR61" s="9"/>
      <c r="AS61" s="9"/>
      <c r="AT61" s="123">
        <v>1</v>
      </c>
      <c r="AU61" s="123" t="s">
        <v>32</v>
      </c>
      <c r="AV61" s="124">
        <v>8827840.9900000002</v>
      </c>
      <c r="AW61" s="139">
        <v>4.2500000000000003E-2</v>
      </c>
      <c r="AX61" s="139"/>
      <c r="AY61" s="124">
        <f t="shared" si="13"/>
        <v>1027.8992933561644</v>
      </c>
      <c r="AZ61" s="140">
        <f t="shared" si="7"/>
        <v>76319.55868271894</v>
      </c>
      <c r="BA61" s="140">
        <f t="shared" si="2"/>
        <v>47.028072245053295</v>
      </c>
      <c r="BC61" s="122"/>
      <c r="BD61" s="122"/>
      <c r="BE61" s="122"/>
      <c r="BF61" s="122"/>
      <c r="BH61" s="122"/>
      <c r="BI61" s="122"/>
      <c r="BJ61" s="122"/>
      <c r="BK61" s="122"/>
      <c r="BM61" s="122"/>
      <c r="BN61" s="122"/>
      <c r="BO61" s="122"/>
      <c r="BP61" s="122"/>
      <c r="BR61" s="122"/>
      <c r="BS61" s="122"/>
      <c r="BT61" s="122"/>
      <c r="BU61" s="122"/>
      <c r="BV61" s="439"/>
      <c r="BW61" s="120">
        <f t="shared" si="8"/>
        <v>15717840.99</v>
      </c>
      <c r="BX61" s="121">
        <v>4.2500000000000003E-2</v>
      </c>
      <c r="BY61" s="121">
        <f t="shared" si="9"/>
        <v>4.1404111575440994E-2</v>
      </c>
      <c r="BZ61" s="120">
        <f t="shared" si="10"/>
        <v>1793.4592933561644</v>
      </c>
      <c r="CA61" s="120">
        <f t="shared" si="11"/>
        <v>47.028072245053295</v>
      </c>
    </row>
    <row r="62" spans="2:79" x14ac:dyDescent="0.25">
      <c r="B62" s="123" t="str">
        <f t="shared" si="20"/>
        <v>2 2025</v>
      </c>
      <c r="C62" s="122">
        <f t="shared" si="21"/>
        <v>45714</v>
      </c>
      <c r="D62" s="122">
        <f t="shared" si="4"/>
        <v>45715</v>
      </c>
      <c r="E62" s="123">
        <f t="shared" si="22"/>
        <v>1</v>
      </c>
      <c r="F62" s="123" t="s">
        <v>7</v>
      </c>
      <c r="G62" s="136">
        <f>G61-615000</f>
        <v>6275000</v>
      </c>
      <c r="H62" s="125">
        <f t="shared" si="12"/>
        <v>0.04</v>
      </c>
      <c r="I62" s="124">
        <f t="shared" si="5"/>
        <v>697.22</v>
      </c>
      <c r="J62" s="124">
        <f t="shared" si="23"/>
        <v>70561.7</v>
      </c>
      <c r="K62" s="9"/>
      <c r="L62" s="11"/>
      <c r="M62" s="293"/>
      <c r="N62" s="97"/>
      <c r="O62" s="293"/>
      <c r="P62" s="304"/>
      <c r="Q62" s="304"/>
      <c r="S62" s="11"/>
      <c r="T62" s="293"/>
      <c r="U62" s="97"/>
      <c r="V62" s="293"/>
      <c r="W62" s="304"/>
      <c r="X62" s="304"/>
      <c r="Z62" s="11"/>
      <c r="AA62" s="293"/>
      <c r="AB62" s="97"/>
      <c r="AC62" s="293"/>
      <c r="AD62" s="304"/>
      <c r="AE62" s="304"/>
      <c r="AG62" s="11"/>
      <c r="AH62" s="293"/>
      <c r="AI62" s="97"/>
      <c r="AJ62" s="293"/>
      <c r="AK62" s="304"/>
      <c r="AL62" s="304"/>
      <c r="AN62" s="9"/>
      <c r="AO62" s="9"/>
      <c r="AP62" s="9"/>
      <c r="AQ62" s="9"/>
      <c r="AR62" s="9"/>
      <c r="AS62" s="9"/>
      <c r="AT62" s="123">
        <v>1</v>
      </c>
      <c r="AU62" s="123" t="s">
        <v>32</v>
      </c>
      <c r="AV62" s="124">
        <v>8815531.9299999997</v>
      </c>
      <c r="AW62" s="139">
        <v>4.2500000000000003E-2</v>
      </c>
      <c r="AX62" s="139"/>
      <c r="AY62" s="124">
        <f t="shared" si="13"/>
        <v>1026.4660466438356</v>
      </c>
      <c r="AZ62" s="140">
        <f t="shared" si="7"/>
        <v>77346.024729362776</v>
      </c>
      <c r="BA62" s="140">
        <f t="shared" si="2"/>
        <v>46.962498866057786</v>
      </c>
      <c r="BC62" s="122"/>
      <c r="BD62" s="122"/>
      <c r="BE62" s="122"/>
      <c r="BF62" s="122"/>
      <c r="BH62" s="122"/>
      <c r="BI62" s="122"/>
      <c r="BJ62" s="122"/>
      <c r="BK62" s="122"/>
      <c r="BM62" s="122"/>
      <c r="BN62" s="122"/>
      <c r="BO62" s="122"/>
      <c r="BP62" s="122"/>
      <c r="BR62" s="122"/>
      <c r="BS62" s="122"/>
      <c r="BT62" s="122"/>
      <c r="BU62" s="122"/>
      <c r="BV62" s="439"/>
      <c r="BW62" s="120">
        <f t="shared" si="8"/>
        <v>15090531.93</v>
      </c>
      <c r="BX62" s="121">
        <v>4.2500000000000003E-2</v>
      </c>
      <c r="BY62" s="121">
        <f t="shared" si="9"/>
        <v>4.1460440886194792E-2</v>
      </c>
      <c r="BZ62" s="120">
        <f t="shared" si="10"/>
        <v>1723.6860466438357</v>
      </c>
      <c r="CA62" s="120">
        <f t="shared" si="11"/>
        <v>46.962498866057786</v>
      </c>
    </row>
    <row r="63" spans="2:79" x14ac:dyDescent="0.25">
      <c r="B63" s="148" t="str">
        <f t="shared" ref="B63:B126" si="24">CONCATENATE(MONTH(D63)," ",YEAR(D63))</f>
        <v>2 2025</v>
      </c>
      <c r="C63" s="149">
        <f t="shared" ref="C63:C126" si="25">D62</f>
        <v>45715</v>
      </c>
      <c r="D63" s="149">
        <f t="shared" si="4"/>
        <v>45716</v>
      </c>
      <c r="E63" s="148">
        <f t="shared" ref="E63:E126" si="26">D63-C63</f>
        <v>1</v>
      </c>
      <c r="F63" s="148" t="s">
        <v>7</v>
      </c>
      <c r="G63" s="150">
        <f t="shared" si="19"/>
        <v>6275000</v>
      </c>
      <c r="H63" s="151">
        <f t="shared" si="12"/>
        <v>0.04</v>
      </c>
      <c r="I63" s="150">
        <f t="shared" ref="I63:I124" si="27">ROUND(+G63*H63*E63/360,2)</f>
        <v>697.22</v>
      </c>
      <c r="J63" s="150">
        <f t="shared" ref="J63:J126" si="28">J62+I63</f>
        <v>71258.92</v>
      </c>
      <c r="K63" s="9"/>
      <c r="L63" s="143"/>
      <c r="M63" s="419"/>
      <c r="N63" s="145"/>
      <c r="O63" s="419"/>
      <c r="P63" s="419"/>
      <c r="Q63" s="339"/>
      <c r="R63" s="17"/>
      <c r="S63" s="143"/>
      <c r="T63" s="419"/>
      <c r="U63" s="145"/>
      <c r="V63" s="419"/>
      <c r="W63" s="419"/>
      <c r="X63" s="339"/>
      <c r="Y63" s="17"/>
      <c r="Z63" s="143"/>
      <c r="AA63" s="419"/>
      <c r="AB63" s="145"/>
      <c r="AC63" s="419"/>
      <c r="AD63" s="419"/>
      <c r="AE63" s="339"/>
      <c r="AF63" s="17"/>
      <c r="AG63" s="143"/>
      <c r="AH63" s="419"/>
      <c r="AI63" s="145"/>
      <c r="AJ63" s="419"/>
      <c r="AK63" s="419"/>
      <c r="AL63" s="339"/>
      <c r="AM63" s="17"/>
      <c r="AN63" s="9"/>
      <c r="AO63" s="9"/>
      <c r="AP63" s="9"/>
      <c r="AQ63" s="9"/>
      <c r="AR63" s="9"/>
      <c r="AS63" s="9"/>
      <c r="AT63" s="148">
        <v>1</v>
      </c>
      <c r="AU63" s="185" t="s">
        <v>32</v>
      </c>
      <c r="AV63" s="186">
        <v>8816073.9499999993</v>
      </c>
      <c r="AW63" s="187">
        <v>4.2500000000000003E-2</v>
      </c>
      <c r="AX63" s="187"/>
      <c r="AY63" s="188">
        <f t="shared" si="13"/>
        <v>1026.529158561644</v>
      </c>
      <c r="AZ63" s="153">
        <f t="shared" si="7"/>
        <v>78372.553887924427</v>
      </c>
      <c r="BA63" s="153">
        <f t="shared" si="2"/>
        <v>46.965386339421798</v>
      </c>
      <c r="BC63" s="122"/>
      <c r="BD63" s="122"/>
      <c r="BE63" s="122"/>
      <c r="BF63" s="122"/>
      <c r="BH63" s="122"/>
      <c r="BI63" s="122"/>
      <c r="BJ63" s="122"/>
      <c r="BK63" s="122"/>
      <c r="BM63" s="122"/>
      <c r="BN63" s="122"/>
      <c r="BO63" s="122"/>
      <c r="BP63" s="122"/>
      <c r="BR63" s="122"/>
      <c r="BS63" s="122"/>
      <c r="BT63" s="122"/>
      <c r="BU63" s="122"/>
      <c r="BV63" s="439"/>
      <c r="BW63" s="120">
        <f t="shared" si="8"/>
        <v>15091073.949999999</v>
      </c>
      <c r="BX63" s="173">
        <v>4.2500000000000003E-2</v>
      </c>
      <c r="BY63" s="121">
        <f t="shared" si="9"/>
        <v>4.146047822361907E-2</v>
      </c>
      <c r="BZ63" s="120">
        <f t="shared" si="10"/>
        <v>1723.749158561644</v>
      </c>
      <c r="CA63" s="120">
        <f t="shared" si="11"/>
        <v>46.965386339421798</v>
      </c>
    </row>
    <row r="64" spans="2:79" x14ac:dyDescent="0.25">
      <c r="B64" s="123" t="str">
        <f t="shared" si="24"/>
        <v>3 2025</v>
      </c>
      <c r="C64" s="122">
        <f t="shared" si="25"/>
        <v>45716</v>
      </c>
      <c r="D64" s="122">
        <f t="shared" si="4"/>
        <v>45717</v>
      </c>
      <c r="E64" s="123">
        <f t="shared" si="26"/>
        <v>1</v>
      </c>
      <c r="F64" s="123" t="s">
        <v>7</v>
      </c>
      <c r="G64" s="136">
        <f>G63+25000</f>
        <v>6300000</v>
      </c>
      <c r="H64" s="125">
        <f t="shared" si="12"/>
        <v>0.04</v>
      </c>
      <c r="I64" s="124">
        <f t="shared" si="27"/>
        <v>700</v>
      </c>
      <c r="J64" s="124">
        <f t="shared" si="28"/>
        <v>71958.92</v>
      </c>
      <c r="K64" s="9"/>
      <c r="L64" s="11"/>
      <c r="M64" s="293"/>
      <c r="N64" s="97"/>
      <c r="O64" s="293"/>
      <c r="P64" s="304"/>
      <c r="Q64" s="304"/>
      <c r="S64" s="11"/>
      <c r="T64" s="293"/>
      <c r="U64" s="97"/>
      <c r="V64" s="293"/>
      <c r="W64" s="304"/>
      <c r="X64" s="304"/>
      <c r="Z64" s="11"/>
      <c r="AA64" s="293"/>
      <c r="AB64" s="97"/>
      <c r="AC64" s="293"/>
      <c r="AD64" s="304"/>
      <c r="AE64" s="304"/>
      <c r="AG64" s="11"/>
      <c r="AH64" s="293"/>
      <c r="AI64" s="97"/>
      <c r="AJ64" s="293"/>
      <c r="AK64" s="304"/>
      <c r="AL64" s="304"/>
      <c r="AN64" s="9"/>
      <c r="AO64" s="9"/>
      <c r="AP64" s="9"/>
      <c r="AQ64" s="9"/>
      <c r="AR64" s="9"/>
      <c r="AS64" s="9"/>
      <c r="AT64" s="123">
        <v>1</v>
      </c>
      <c r="AU64" s="123" t="s">
        <v>32</v>
      </c>
      <c r="AV64" s="124">
        <v>8380291.0899999999</v>
      </c>
      <c r="AW64" s="139">
        <v>4.2500000000000003E-2</v>
      </c>
      <c r="AX64" s="139"/>
      <c r="AY64" s="140">
        <f t="shared" si="13"/>
        <v>975.7873186986302</v>
      </c>
      <c r="AZ64" s="140">
        <f t="shared" si="7"/>
        <v>79348.341206623052</v>
      </c>
      <c r="BA64" s="140">
        <f t="shared" si="2"/>
        <v>44.643864254185701</v>
      </c>
      <c r="BC64" s="122"/>
      <c r="BD64" s="122"/>
      <c r="BE64" s="122"/>
      <c r="BF64" s="122"/>
      <c r="BH64" s="122"/>
      <c r="BI64" s="122"/>
      <c r="BJ64" s="122"/>
      <c r="BK64" s="122"/>
      <c r="BM64" s="122"/>
      <c r="BN64" s="122"/>
      <c r="BO64" s="122"/>
      <c r="BP64" s="122"/>
      <c r="BR64" s="122"/>
      <c r="BS64" s="122"/>
      <c r="BT64" s="122"/>
      <c r="BU64" s="122"/>
      <c r="BV64" s="439"/>
      <c r="BW64" s="120">
        <f t="shared" si="8"/>
        <v>14680291.09</v>
      </c>
      <c r="BX64" s="121">
        <v>4.2500000000000003E-2</v>
      </c>
      <c r="BY64" s="121">
        <f t="shared" si="9"/>
        <v>4.1427132990521642E-2</v>
      </c>
      <c r="BZ64" s="120">
        <f t="shared" si="10"/>
        <v>1675.7873186986303</v>
      </c>
      <c r="CA64" s="120">
        <f t="shared" si="11"/>
        <v>44.643864254185701</v>
      </c>
    </row>
    <row r="65" spans="2:79" x14ac:dyDescent="0.25">
      <c r="B65" s="123" t="str">
        <f t="shared" si="24"/>
        <v>3 2025</v>
      </c>
      <c r="C65" s="122">
        <f t="shared" si="25"/>
        <v>45717</v>
      </c>
      <c r="D65" s="122">
        <f t="shared" si="4"/>
        <v>45718</v>
      </c>
      <c r="E65" s="123">
        <f t="shared" si="26"/>
        <v>1</v>
      </c>
      <c r="F65" s="123" t="s">
        <v>7</v>
      </c>
      <c r="G65" s="124">
        <f t="shared" si="19"/>
        <v>6300000</v>
      </c>
      <c r="H65" s="125">
        <f t="shared" si="12"/>
        <v>0.04</v>
      </c>
      <c r="I65" s="124">
        <f t="shared" si="27"/>
        <v>700</v>
      </c>
      <c r="J65" s="124">
        <f t="shared" si="28"/>
        <v>72658.92</v>
      </c>
      <c r="K65" s="9"/>
      <c r="L65" s="11"/>
      <c r="M65" s="293"/>
      <c r="N65" s="97"/>
      <c r="O65" s="293"/>
      <c r="P65" s="304"/>
      <c r="Q65" s="304"/>
      <c r="S65" s="11"/>
      <c r="T65" s="293"/>
      <c r="U65" s="97"/>
      <c r="V65" s="293"/>
      <c r="W65" s="304"/>
      <c r="X65" s="304"/>
      <c r="Z65" s="11"/>
      <c r="AA65" s="293"/>
      <c r="AB65" s="97"/>
      <c r="AC65" s="293"/>
      <c r="AD65" s="304"/>
      <c r="AE65" s="304"/>
      <c r="AG65" s="11"/>
      <c r="AH65" s="293"/>
      <c r="AI65" s="97"/>
      <c r="AJ65" s="293"/>
      <c r="AK65" s="304"/>
      <c r="AL65" s="304"/>
      <c r="AN65" s="9"/>
      <c r="AO65" s="9"/>
      <c r="AP65" s="9"/>
      <c r="AQ65" s="9"/>
      <c r="AR65" s="9"/>
      <c r="AS65" s="9"/>
      <c r="AT65" s="123">
        <v>1</v>
      </c>
      <c r="AU65" s="123" t="s">
        <v>32</v>
      </c>
      <c r="AV65" s="124">
        <v>8380291.0899999999</v>
      </c>
      <c r="AW65" s="139">
        <v>4.2500000000000003E-2</v>
      </c>
      <c r="AX65" s="123"/>
      <c r="AY65" s="140">
        <f t="shared" si="13"/>
        <v>975.7873186986302</v>
      </c>
      <c r="AZ65" s="140">
        <f t="shared" si="7"/>
        <v>80324.128525321677</v>
      </c>
      <c r="BA65" s="140">
        <f t="shared" si="2"/>
        <v>44.643864254185701</v>
      </c>
      <c r="BC65" s="122"/>
      <c r="BD65" s="122"/>
      <c r="BE65" s="122"/>
      <c r="BF65" s="122"/>
      <c r="BH65" s="122"/>
      <c r="BI65" s="122"/>
      <c r="BJ65" s="122"/>
      <c r="BK65" s="122"/>
      <c r="BM65" s="122"/>
      <c r="BN65" s="122"/>
      <c r="BO65" s="122"/>
      <c r="BP65" s="122"/>
      <c r="BR65" s="122"/>
      <c r="BS65" s="122"/>
      <c r="BT65" s="122"/>
      <c r="BU65" s="122"/>
      <c r="BV65" s="439"/>
      <c r="BW65" s="120">
        <f t="shared" si="8"/>
        <v>14680291.09</v>
      </c>
      <c r="BX65" s="121">
        <v>4.2500000000000003E-2</v>
      </c>
      <c r="BY65" s="121">
        <f t="shared" si="9"/>
        <v>4.1427132990521642E-2</v>
      </c>
      <c r="BZ65" s="120">
        <f t="shared" si="10"/>
        <v>1675.7873186986303</v>
      </c>
      <c r="CA65" s="120">
        <f t="shared" si="11"/>
        <v>44.643864254185701</v>
      </c>
    </row>
    <row r="66" spans="2:79" x14ac:dyDescent="0.25">
      <c r="B66" s="123" t="str">
        <f t="shared" si="24"/>
        <v>3 2025</v>
      </c>
      <c r="C66" s="122">
        <f t="shared" si="25"/>
        <v>45718</v>
      </c>
      <c r="D66" s="122">
        <f t="shared" si="4"/>
        <v>45719</v>
      </c>
      <c r="E66" s="123">
        <f t="shared" si="26"/>
        <v>1</v>
      </c>
      <c r="F66" s="123" t="s">
        <v>7</v>
      </c>
      <c r="G66" s="124">
        <f t="shared" si="19"/>
        <v>6300000</v>
      </c>
      <c r="H66" s="125">
        <f t="shared" si="12"/>
        <v>0.04</v>
      </c>
      <c r="I66" s="124">
        <f t="shared" si="27"/>
        <v>700</v>
      </c>
      <c r="J66" s="124">
        <f t="shared" si="28"/>
        <v>73358.92</v>
      </c>
      <c r="K66" s="9"/>
      <c r="L66" s="11"/>
      <c r="M66" s="293"/>
      <c r="N66" s="97"/>
      <c r="O66" s="293"/>
      <c r="P66" s="304"/>
      <c r="Q66" s="304"/>
      <c r="S66" s="11"/>
      <c r="T66" s="293"/>
      <c r="U66" s="97"/>
      <c r="V66" s="293"/>
      <c r="W66" s="304"/>
      <c r="X66" s="304"/>
      <c r="Z66" s="11"/>
      <c r="AA66" s="293"/>
      <c r="AB66" s="97"/>
      <c r="AC66" s="293"/>
      <c r="AD66" s="304"/>
      <c r="AE66" s="304"/>
      <c r="AG66" s="11"/>
      <c r="AH66" s="293"/>
      <c r="AI66" s="97"/>
      <c r="AJ66" s="293"/>
      <c r="AK66" s="304"/>
      <c r="AL66" s="304"/>
      <c r="AN66" s="9"/>
      <c r="AO66" s="9"/>
      <c r="AP66" s="9"/>
      <c r="AQ66" s="9"/>
      <c r="AR66" s="9"/>
      <c r="AS66" s="9"/>
      <c r="AT66" s="123">
        <v>1</v>
      </c>
      <c r="AU66" s="123" t="s">
        <v>32</v>
      </c>
      <c r="AV66" s="124">
        <v>8380291.0899999999</v>
      </c>
      <c r="AW66" s="139">
        <v>4.2500000000000003E-2</v>
      </c>
      <c r="AX66" s="123"/>
      <c r="AY66" s="140">
        <f t="shared" si="13"/>
        <v>975.7873186986302</v>
      </c>
      <c r="AZ66" s="140">
        <f t="shared" si="7"/>
        <v>81299.915844020303</v>
      </c>
      <c r="BA66" s="140">
        <f t="shared" si="2"/>
        <v>44.643864254185701</v>
      </c>
      <c r="BC66" s="122"/>
      <c r="BD66" s="122"/>
      <c r="BE66" s="122"/>
      <c r="BF66" s="122"/>
      <c r="BH66" s="122"/>
      <c r="BI66" s="122"/>
      <c r="BJ66" s="122"/>
      <c r="BK66" s="122"/>
      <c r="BM66" s="122"/>
      <c r="BN66" s="122"/>
      <c r="BO66" s="122"/>
      <c r="BP66" s="122"/>
      <c r="BR66" s="122"/>
      <c r="BS66" s="122"/>
      <c r="BT66" s="122"/>
      <c r="BU66" s="122"/>
      <c r="BV66" s="439"/>
      <c r="BW66" s="120">
        <f t="shared" si="8"/>
        <v>14680291.09</v>
      </c>
      <c r="BX66" s="121">
        <v>4.2500000000000003E-2</v>
      </c>
      <c r="BY66" s="121">
        <f t="shared" si="9"/>
        <v>4.1427132990521642E-2</v>
      </c>
      <c r="BZ66" s="120">
        <f t="shared" si="10"/>
        <v>1675.7873186986303</v>
      </c>
      <c r="CA66" s="120">
        <f t="shared" si="11"/>
        <v>44.643864254185701</v>
      </c>
    </row>
    <row r="67" spans="2:79" x14ac:dyDescent="0.25">
      <c r="B67" s="123" t="str">
        <f t="shared" si="24"/>
        <v>3 2025</v>
      </c>
      <c r="C67" s="122">
        <f t="shared" si="25"/>
        <v>45719</v>
      </c>
      <c r="D67" s="122">
        <f t="shared" si="4"/>
        <v>45720</v>
      </c>
      <c r="E67" s="123">
        <f t="shared" si="26"/>
        <v>1</v>
      </c>
      <c r="F67" s="123" t="s">
        <v>7</v>
      </c>
      <c r="G67" s="124">
        <f t="shared" si="19"/>
        <v>6300000</v>
      </c>
      <c r="H67" s="125">
        <f t="shared" si="12"/>
        <v>0.04</v>
      </c>
      <c r="I67" s="124">
        <f t="shared" si="27"/>
        <v>700</v>
      </c>
      <c r="J67" s="124">
        <f t="shared" si="28"/>
        <v>74058.92</v>
      </c>
      <c r="K67" s="9"/>
      <c r="L67" s="11"/>
      <c r="M67" s="293"/>
      <c r="N67" s="97"/>
      <c r="O67" s="293"/>
      <c r="P67" s="304"/>
      <c r="Q67" s="304"/>
      <c r="S67" s="11"/>
      <c r="T67" s="293"/>
      <c r="U67" s="97"/>
      <c r="V67" s="293"/>
      <c r="W67" s="304"/>
      <c r="X67" s="304"/>
      <c r="Z67" s="11"/>
      <c r="AA67" s="293"/>
      <c r="AB67" s="97"/>
      <c r="AC67" s="293"/>
      <c r="AD67" s="304"/>
      <c r="AE67" s="304"/>
      <c r="AG67" s="11"/>
      <c r="AH67" s="293"/>
      <c r="AI67" s="97"/>
      <c r="AJ67" s="293"/>
      <c r="AK67" s="304"/>
      <c r="AL67" s="304"/>
      <c r="AN67" s="9"/>
      <c r="AO67" s="9"/>
      <c r="AP67" s="9"/>
      <c r="AQ67" s="9"/>
      <c r="AR67" s="9"/>
      <c r="AS67" s="9"/>
      <c r="AT67" s="123">
        <v>1</v>
      </c>
      <c r="AU67" s="123" t="s">
        <v>32</v>
      </c>
      <c r="AV67" s="124">
        <v>8382342.5800000001</v>
      </c>
      <c r="AW67" s="139">
        <v>4.2500000000000003E-2</v>
      </c>
      <c r="AX67" s="123"/>
      <c r="AY67" s="140">
        <f t="shared" si="13"/>
        <v>976.02619082191779</v>
      </c>
      <c r="AZ67" s="140">
        <f t="shared" si="7"/>
        <v>82275.942034842214</v>
      </c>
      <c r="BA67" s="140">
        <f t="shared" si="2"/>
        <v>44.654793044140092</v>
      </c>
      <c r="BC67" s="122"/>
      <c r="BD67" s="122"/>
      <c r="BE67" s="122"/>
      <c r="BF67" s="122"/>
      <c r="BH67" s="122"/>
      <c r="BI67" s="122"/>
      <c r="BJ67" s="122"/>
      <c r="BK67" s="122"/>
      <c r="BM67" s="122"/>
      <c r="BN67" s="122"/>
      <c r="BO67" s="122"/>
      <c r="BP67" s="122"/>
      <c r="BR67" s="122"/>
      <c r="BS67" s="122"/>
      <c r="BT67" s="122"/>
      <c r="BU67" s="122"/>
      <c r="BV67" s="439"/>
      <c r="BW67" s="120">
        <f t="shared" si="8"/>
        <v>14682342.58</v>
      </c>
      <c r="BX67" s="121">
        <v>4.2500000000000003E-2</v>
      </c>
      <c r="BY67" s="121">
        <f t="shared" si="9"/>
        <v>4.1427282896841382E-2</v>
      </c>
      <c r="BZ67" s="120">
        <f t="shared" si="10"/>
        <v>1676.0261908219177</v>
      </c>
      <c r="CA67" s="120">
        <f t="shared" si="11"/>
        <v>44.654793044140092</v>
      </c>
    </row>
    <row r="68" spans="2:79" x14ac:dyDescent="0.25">
      <c r="B68" s="123" t="str">
        <f t="shared" si="24"/>
        <v>3 2025</v>
      </c>
      <c r="C68" s="122">
        <f t="shared" si="25"/>
        <v>45720</v>
      </c>
      <c r="D68" s="122">
        <f t="shared" si="4"/>
        <v>45721</v>
      </c>
      <c r="E68" s="123">
        <f t="shared" si="26"/>
        <v>1</v>
      </c>
      <c r="F68" s="123" t="s">
        <v>7</v>
      </c>
      <c r="G68" s="124">
        <f t="shared" si="19"/>
        <v>6300000</v>
      </c>
      <c r="H68" s="125">
        <f t="shared" si="12"/>
        <v>0.04</v>
      </c>
      <c r="I68" s="124">
        <f t="shared" si="27"/>
        <v>700</v>
      </c>
      <c r="J68" s="124">
        <f t="shared" si="28"/>
        <v>74758.92</v>
      </c>
      <c r="K68" s="9"/>
      <c r="L68" s="11"/>
      <c r="M68" s="293"/>
      <c r="N68" s="97"/>
      <c r="O68" s="293"/>
      <c r="P68" s="304"/>
      <c r="Q68" s="304"/>
      <c r="S68" s="11"/>
      <c r="T68" s="293"/>
      <c r="U68" s="97"/>
      <c r="V68" s="293"/>
      <c r="W68" s="304"/>
      <c r="X68" s="304"/>
      <c r="Z68" s="11"/>
      <c r="AA68" s="293"/>
      <c r="AB68" s="97"/>
      <c r="AC68" s="293"/>
      <c r="AD68" s="304"/>
      <c r="AE68" s="304"/>
      <c r="AG68" s="11"/>
      <c r="AH68" s="293"/>
      <c r="AI68" s="97"/>
      <c r="AJ68" s="293"/>
      <c r="AK68" s="304"/>
      <c r="AL68" s="304"/>
      <c r="AN68" s="9"/>
      <c r="AO68" s="9"/>
      <c r="AP68" s="9"/>
      <c r="AQ68" s="9"/>
      <c r="AR68" s="9"/>
      <c r="AS68" s="9"/>
      <c r="AT68" s="123">
        <v>1</v>
      </c>
      <c r="AU68" s="123" t="s">
        <v>32</v>
      </c>
      <c r="AV68" s="124">
        <v>8347199.9500000002</v>
      </c>
      <c r="AW68" s="139">
        <v>4.2500000000000003E-2</v>
      </c>
      <c r="AX68" s="123"/>
      <c r="AY68" s="140">
        <f t="shared" si="13"/>
        <v>971.93424075342477</v>
      </c>
      <c r="AZ68" s="140">
        <f t="shared" si="7"/>
        <v>83247.876275595641</v>
      </c>
      <c r="BA68" s="140">
        <f t="shared" si="2"/>
        <v>44.467579642313581</v>
      </c>
      <c r="BC68" s="122"/>
      <c r="BD68" s="122"/>
      <c r="BE68" s="122"/>
      <c r="BF68" s="122"/>
      <c r="BH68" s="122"/>
      <c r="BI68" s="122"/>
      <c r="BJ68" s="122"/>
      <c r="BK68" s="122"/>
      <c r="BM68" s="122"/>
      <c r="BN68" s="122"/>
      <c r="BO68" s="122"/>
      <c r="BP68" s="122"/>
      <c r="BR68" s="122"/>
      <c r="BS68" s="122"/>
      <c r="BT68" s="122"/>
      <c r="BU68" s="122"/>
      <c r="BV68" s="439"/>
      <c r="BW68" s="120">
        <f t="shared" si="8"/>
        <v>14647199.949999999</v>
      </c>
      <c r="BX68" s="121">
        <v>4.2500000000000003E-2</v>
      </c>
      <c r="BY68" s="121">
        <f t="shared" si="9"/>
        <v>4.142470915575916E-2</v>
      </c>
      <c r="BZ68" s="120">
        <f t="shared" si="10"/>
        <v>1671.9342407534248</v>
      </c>
      <c r="CA68" s="120">
        <f t="shared" si="11"/>
        <v>44.467579642313581</v>
      </c>
    </row>
    <row r="69" spans="2:79" x14ac:dyDescent="0.25">
      <c r="B69" s="123" t="str">
        <f t="shared" si="24"/>
        <v>3 2025</v>
      </c>
      <c r="C69" s="122">
        <f t="shared" si="25"/>
        <v>45721</v>
      </c>
      <c r="D69" s="122">
        <f t="shared" si="4"/>
        <v>45722</v>
      </c>
      <c r="E69" s="123">
        <f t="shared" si="26"/>
        <v>1</v>
      </c>
      <c r="F69" s="123" t="s">
        <v>7</v>
      </c>
      <c r="G69" s="124">
        <f t="shared" si="19"/>
        <v>6300000</v>
      </c>
      <c r="H69" s="125">
        <f t="shared" si="12"/>
        <v>0.04</v>
      </c>
      <c r="I69" s="124">
        <f t="shared" si="27"/>
        <v>700</v>
      </c>
      <c r="J69" s="124">
        <f t="shared" si="28"/>
        <v>75458.92</v>
      </c>
      <c r="K69" s="9"/>
      <c r="L69" s="11"/>
      <c r="M69" s="293"/>
      <c r="N69" s="97"/>
      <c r="O69" s="293"/>
      <c r="P69" s="304"/>
      <c r="Q69" s="304"/>
      <c r="S69" s="11"/>
      <c r="T69" s="293"/>
      <c r="U69" s="97"/>
      <c r="V69" s="293"/>
      <c r="W69" s="304"/>
      <c r="X69" s="304"/>
      <c r="Z69" s="11"/>
      <c r="AA69" s="293"/>
      <c r="AB69" s="97"/>
      <c r="AC69" s="293"/>
      <c r="AD69" s="304"/>
      <c r="AE69" s="304"/>
      <c r="AG69" s="11"/>
      <c r="AH69" s="293"/>
      <c r="AI69" s="97"/>
      <c r="AJ69" s="293"/>
      <c r="AK69" s="304"/>
      <c r="AL69" s="304"/>
      <c r="AN69" s="9"/>
      <c r="AO69" s="9"/>
      <c r="AP69" s="9"/>
      <c r="AQ69" s="9"/>
      <c r="AR69" s="9"/>
      <c r="AS69" s="9"/>
      <c r="AT69" s="123">
        <v>1</v>
      </c>
      <c r="AU69" s="123" t="s">
        <v>32</v>
      </c>
      <c r="AV69" s="124">
        <v>8349089.3799999999</v>
      </c>
      <c r="AW69" s="139">
        <v>4.2500000000000003E-2</v>
      </c>
      <c r="AX69" s="123"/>
      <c r="AY69" s="140">
        <f t="shared" si="13"/>
        <v>972.15424287671237</v>
      </c>
      <c r="AZ69" s="140">
        <f t="shared" si="7"/>
        <v>84220.030518472355</v>
      </c>
      <c r="BA69" s="140">
        <f t="shared" ref="BA69:BA132" si="29">AY69-AV69*H69*AT69/360</f>
        <v>44.477645098934545</v>
      </c>
      <c r="BC69" s="122"/>
      <c r="BD69" s="122"/>
      <c r="BE69" s="122"/>
      <c r="BF69" s="122"/>
      <c r="BH69" s="122"/>
      <c r="BI69" s="122"/>
      <c r="BJ69" s="122"/>
      <c r="BK69" s="122"/>
      <c r="BM69" s="122"/>
      <c r="BN69" s="122"/>
      <c r="BO69" s="122"/>
      <c r="BP69" s="122"/>
      <c r="BR69" s="122"/>
      <c r="BS69" s="122"/>
      <c r="BT69" s="122"/>
      <c r="BU69" s="122"/>
      <c r="BV69" s="439"/>
      <c r="BW69" s="120">
        <f t="shared" si="8"/>
        <v>14649089.379999999</v>
      </c>
      <c r="BX69" s="121">
        <v>4.2500000000000003E-2</v>
      </c>
      <c r="BY69" s="121">
        <f t="shared" si="9"/>
        <v>4.1424847846071373E-2</v>
      </c>
      <c r="BZ69" s="120">
        <f t="shared" si="10"/>
        <v>1672.1542428767125</v>
      </c>
      <c r="CA69" s="120">
        <f t="shared" si="11"/>
        <v>44.477645098934545</v>
      </c>
    </row>
    <row r="70" spans="2:79" x14ac:dyDescent="0.25">
      <c r="B70" s="123" t="str">
        <f t="shared" si="24"/>
        <v>3 2025</v>
      </c>
      <c r="C70" s="122">
        <f t="shared" si="25"/>
        <v>45722</v>
      </c>
      <c r="D70" s="122">
        <f t="shared" ref="D70:D133" si="30">D69+1</f>
        <v>45723</v>
      </c>
      <c r="E70" s="123">
        <f t="shared" si="26"/>
        <v>1</v>
      </c>
      <c r="F70" s="123" t="s">
        <v>7</v>
      </c>
      <c r="G70" s="124">
        <f t="shared" si="19"/>
        <v>6300000</v>
      </c>
      <c r="H70" s="125">
        <f t="shared" si="12"/>
        <v>0.04</v>
      </c>
      <c r="I70" s="124">
        <f t="shared" si="27"/>
        <v>700</v>
      </c>
      <c r="J70" s="124">
        <f t="shared" si="28"/>
        <v>76158.92</v>
      </c>
      <c r="K70" s="9"/>
      <c r="L70" s="11"/>
      <c r="M70" s="293"/>
      <c r="N70" s="97"/>
      <c r="O70" s="293"/>
      <c r="P70" s="304"/>
      <c r="Q70" s="304"/>
      <c r="S70" s="11"/>
      <c r="T70" s="293"/>
      <c r="U70" s="97"/>
      <c r="V70" s="293"/>
      <c r="W70" s="304"/>
      <c r="X70" s="304"/>
      <c r="Z70" s="11"/>
      <c r="AA70" s="293"/>
      <c r="AB70" s="97"/>
      <c r="AC70" s="293"/>
      <c r="AD70" s="304"/>
      <c r="AE70" s="304"/>
      <c r="AG70" s="11"/>
      <c r="AH70" s="293"/>
      <c r="AI70" s="97"/>
      <c r="AJ70" s="293"/>
      <c r="AK70" s="304"/>
      <c r="AL70" s="304"/>
      <c r="AN70" s="9"/>
      <c r="AO70" s="9"/>
      <c r="AP70" s="9"/>
      <c r="AQ70" s="9"/>
      <c r="AR70" s="9"/>
      <c r="AS70" s="9"/>
      <c r="AT70" s="123">
        <v>1</v>
      </c>
      <c r="AU70" s="123" t="s">
        <v>32</v>
      </c>
      <c r="AV70" s="124">
        <v>8350061.5300000003</v>
      </c>
      <c r="AW70" s="139">
        <v>4.2500000000000003E-2</v>
      </c>
      <c r="AX70" s="123"/>
      <c r="AY70" s="140">
        <f t="shared" si="13"/>
        <v>972.26743842465771</v>
      </c>
      <c r="AZ70" s="140">
        <f t="shared" ref="AZ70:AZ133" si="31">AZ69+AY70</f>
        <v>85192.297956897019</v>
      </c>
      <c r="BA70" s="140">
        <f t="shared" si="29"/>
        <v>44.482823980213198</v>
      </c>
      <c r="BC70" s="122"/>
      <c r="BD70" s="122"/>
      <c r="BE70" s="122"/>
      <c r="BF70" s="122"/>
      <c r="BH70" s="122"/>
      <c r="BI70" s="122"/>
      <c r="BJ70" s="122"/>
      <c r="BK70" s="122"/>
      <c r="BM70" s="122"/>
      <c r="BN70" s="122"/>
      <c r="BO70" s="122"/>
      <c r="BP70" s="122"/>
      <c r="BR70" s="122"/>
      <c r="BS70" s="122"/>
      <c r="BT70" s="122"/>
      <c r="BU70" s="122"/>
      <c r="BV70" s="439"/>
      <c r="BW70" s="120">
        <f t="shared" ref="BW70:BW133" si="32">AV70+G70+M70+T70+AA70+AH70+AN70+BC70+BH70+BM70+BR70</f>
        <v>14650061.530000001</v>
      </c>
      <c r="BX70" s="121">
        <v>4.2500000000000003E-2</v>
      </c>
      <c r="BY70" s="121">
        <f t="shared" ref="BY70:BY133" si="33">(SUM((AW70*AV70),(H70*G70),(M70*N70),(T70*U70),(AA70*AB70),(AH70*AI70),(AN70*AO70),(BC70*BD70),(BH70*BI70),(BM70*BN70),(BR70*BS70))/BW70)</f>
        <v>4.1424919191107315E-2</v>
      </c>
      <c r="BZ70" s="120">
        <f t="shared" ref="BZ70:BZ133" si="34">AY70+I70+O70+V70+AC70+AJ70+AP70+BE70+BJ70+BO70+BT70</f>
        <v>1672.2674384246577</v>
      </c>
      <c r="CA70" s="120">
        <f t="shared" ref="CA70:CA133" si="35">BA70+Q70+X70+AE70+AL70+AQ70+BF70+BK70+BP70+BU70</f>
        <v>44.482823980213198</v>
      </c>
    </row>
    <row r="71" spans="2:79" x14ac:dyDescent="0.25">
      <c r="B71" s="123" t="str">
        <f t="shared" si="24"/>
        <v>3 2025</v>
      </c>
      <c r="C71" s="122">
        <f t="shared" si="25"/>
        <v>45723</v>
      </c>
      <c r="D71" s="122">
        <f t="shared" si="30"/>
        <v>45724</v>
      </c>
      <c r="E71" s="123">
        <f t="shared" si="26"/>
        <v>1</v>
      </c>
      <c r="F71" s="123" t="s">
        <v>7</v>
      </c>
      <c r="G71" s="124">
        <f t="shared" si="19"/>
        <v>6300000</v>
      </c>
      <c r="H71" s="125">
        <f t="shared" si="19"/>
        <v>0.04</v>
      </c>
      <c r="I71" s="124">
        <f t="shared" si="27"/>
        <v>700</v>
      </c>
      <c r="J71" s="124">
        <f t="shared" si="28"/>
        <v>76858.92</v>
      </c>
      <c r="K71" s="9"/>
      <c r="L71" s="11"/>
      <c r="M71" s="293"/>
      <c r="N71" s="97"/>
      <c r="O71" s="293"/>
      <c r="P71" s="304"/>
      <c r="Q71" s="304"/>
      <c r="S71" s="11"/>
      <c r="T71" s="293"/>
      <c r="U71" s="97"/>
      <c r="V71" s="293"/>
      <c r="W71" s="304"/>
      <c r="X71" s="304"/>
      <c r="Z71" s="11"/>
      <c r="AA71" s="293"/>
      <c r="AB71" s="97"/>
      <c r="AC71" s="293"/>
      <c r="AD71" s="304"/>
      <c r="AE71" s="304"/>
      <c r="AG71" s="11"/>
      <c r="AH71" s="293"/>
      <c r="AI71" s="97"/>
      <c r="AJ71" s="293"/>
      <c r="AK71" s="304"/>
      <c r="AL71" s="304"/>
      <c r="AN71" s="9"/>
      <c r="AO71" s="9"/>
      <c r="AP71" s="9"/>
      <c r="AQ71" s="9"/>
      <c r="AR71" s="9"/>
      <c r="AS71" s="9"/>
      <c r="AT71" s="123">
        <v>1</v>
      </c>
      <c r="AU71" s="123" t="s">
        <v>32</v>
      </c>
      <c r="AV71" s="124">
        <v>8349897.21</v>
      </c>
      <c r="AW71" s="139">
        <v>4.2500000000000003E-2</v>
      </c>
      <c r="AX71" s="123"/>
      <c r="AY71" s="140">
        <f t="shared" ref="AY71:AY134" si="36">AV71*AW71*AT71/365</f>
        <v>972.24830527397273</v>
      </c>
      <c r="AZ71" s="140">
        <f t="shared" si="31"/>
        <v>86164.546262170988</v>
      </c>
      <c r="BA71" s="140">
        <f t="shared" si="29"/>
        <v>44.481948607306094</v>
      </c>
      <c r="BC71" s="122"/>
      <c r="BD71" s="122"/>
      <c r="BE71" s="122"/>
      <c r="BF71" s="122"/>
      <c r="BH71" s="122"/>
      <c r="BI71" s="122"/>
      <c r="BJ71" s="122"/>
      <c r="BK71" s="122"/>
      <c r="BM71" s="122"/>
      <c r="BN71" s="122"/>
      <c r="BO71" s="122"/>
      <c r="BP71" s="122"/>
      <c r="BR71" s="122"/>
      <c r="BS71" s="122"/>
      <c r="BT71" s="122"/>
      <c r="BU71" s="122"/>
      <c r="BV71" s="439"/>
      <c r="BW71" s="120">
        <f t="shared" si="32"/>
        <v>14649897.210000001</v>
      </c>
      <c r="BX71" s="121">
        <v>4.2500000000000003E-2</v>
      </c>
      <c r="BY71" s="121">
        <f t="shared" si="33"/>
        <v>4.1424907132505399E-2</v>
      </c>
      <c r="BZ71" s="120">
        <f t="shared" si="34"/>
        <v>1672.2483052739726</v>
      </c>
      <c r="CA71" s="120">
        <f t="shared" si="35"/>
        <v>44.481948607306094</v>
      </c>
    </row>
    <row r="72" spans="2:79" x14ac:dyDescent="0.25">
      <c r="B72" s="123" t="str">
        <f t="shared" si="24"/>
        <v>3 2025</v>
      </c>
      <c r="C72" s="122">
        <f t="shared" si="25"/>
        <v>45724</v>
      </c>
      <c r="D72" s="122">
        <f t="shared" si="30"/>
        <v>45725</v>
      </c>
      <c r="E72" s="123">
        <f t="shared" si="26"/>
        <v>1</v>
      </c>
      <c r="F72" s="123" t="s">
        <v>7</v>
      </c>
      <c r="G72" s="124">
        <f t="shared" ref="G72:H87" si="37">G71</f>
        <v>6300000</v>
      </c>
      <c r="H72" s="125">
        <f t="shared" si="37"/>
        <v>0.04</v>
      </c>
      <c r="I72" s="124">
        <f t="shared" si="27"/>
        <v>700</v>
      </c>
      <c r="J72" s="124">
        <f t="shared" si="28"/>
        <v>77558.92</v>
      </c>
      <c r="K72" s="9"/>
      <c r="L72" s="11"/>
      <c r="M72" s="293"/>
      <c r="N72" s="97"/>
      <c r="O72" s="293"/>
      <c r="P72" s="304"/>
      <c r="Q72" s="304"/>
      <c r="S72" s="11"/>
      <c r="T72" s="293"/>
      <c r="U72" s="97"/>
      <c r="V72" s="293"/>
      <c r="W72" s="304"/>
      <c r="X72" s="304"/>
      <c r="Z72" s="11"/>
      <c r="AA72" s="293"/>
      <c r="AB72" s="97"/>
      <c r="AC72" s="293"/>
      <c r="AD72" s="304"/>
      <c r="AE72" s="304"/>
      <c r="AG72" s="11"/>
      <c r="AH72" s="293"/>
      <c r="AI72" s="97"/>
      <c r="AJ72" s="293"/>
      <c r="AK72" s="304"/>
      <c r="AL72" s="304"/>
      <c r="AN72" s="9"/>
      <c r="AO72" s="9"/>
      <c r="AP72" s="9"/>
      <c r="AQ72" s="9"/>
      <c r="AR72" s="9"/>
      <c r="AS72" s="9"/>
      <c r="AT72" s="123">
        <v>1</v>
      </c>
      <c r="AU72" s="123" t="s">
        <v>32</v>
      </c>
      <c r="AV72" s="124">
        <v>8349897.21</v>
      </c>
      <c r="AW72" s="139">
        <v>4.2500000000000003E-2</v>
      </c>
      <c r="AX72" s="123"/>
      <c r="AY72" s="140">
        <f t="shared" si="36"/>
        <v>972.24830527397273</v>
      </c>
      <c r="AZ72" s="140">
        <f t="shared" si="31"/>
        <v>87136.794567444958</v>
      </c>
      <c r="BA72" s="140">
        <f t="shared" si="29"/>
        <v>44.481948607306094</v>
      </c>
      <c r="BC72" s="122"/>
      <c r="BD72" s="122"/>
      <c r="BE72" s="122"/>
      <c r="BF72" s="122"/>
      <c r="BH72" s="122"/>
      <c r="BI72" s="122"/>
      <c r="BJ72" s="122"/>
      <c r="BK72" s="122"/>
      <c r="BM72" s="122"/>
      <c r="BN72" s="122"/>
      <c r="BO72" s="122"/>
      <c r="BP72" s="122"/>
      <c r="BR72" s="122"/>
      <c r="BS72" s="122"/>
      <c r="BT72" s="122"/>
      <c r="BU72" s="122"/>
      <c r="BV72" s="439"/>
      <c r="BW72" s="120">
        <f t="shared" si="32"/>
        <v>14649897.210000001</v>
      </c>
      <c r="BX72" s="121">
        <v>4.2500000000000003E-2</v>
      </c>
      <c r="BY72" s="121">
        <f t="shared" si="33"/>
        <v>4.1424907132505399E-2</v>
      </c>
      <c r="BZ72" s="120">
        <f t="shared" si="34"/>
        <v>1672.2483052739726</v>
      </c>
      <c r="CA72" s="120">
        <f t="shared" si="35"/>
        <v>44.481948607306094</v>
      </c>
    </row>
    <row r="73" spans="2:79" x14ac:dyDescent="0.25">
      <c r="B73" s="123" t="str">
        <f t="shared" si="24"/>
        <v>3 2025</v>
      </c>
      <c r="C73" s="122">
        <f t="shared" si="25"/>
        <v>45725</v>
      </c>
      <c r="D73" s="122">
        <f t="shared" si="30"/>
        <v>45726</v>
      </c>
      <c r="E73" s="123">
        <f t="shared" si="26"/>
        <v>1</v>
      </c>
      <c r="F73" s="123" t="s">
        <v>7</v>
      </c>
      <c r="G73" s="124">
        <f t="shared" si="37"/>
        <v>6300000</v>
      </c>
      <c r="H73" s="125">
        <f t="shared" si="37"/>
        <v>0.04</v>
      </c>
      <c r="I73" s="124">
        <f t="shared" si="27"/>
        <v>700</v>
      </c>
      <c r="J73" s="124">
        <f t="shared" si="28"/>
        <v>78258.92</v>
      </c>
      <c r="K73" s="9"/>
      <c r="L73" s="11"/>
      <c r="M73" s="293"/>
      <c r="N73" s="97"/>
      <c r="O73" s="293"/>
      <c r="P73" s="304"/>
      <c r="Q73" s="304"/>
      <c r="S73" s="11"/>
      <c r="T73" s="293"/>
      <c r="U73" s="97"/>
      <c r="V73" s="293"/>
      <c r="W73" s="304"/>
      <c r="X73" s="304"/>
      <c r="Z73" s="11"/>
      <c r="AA73" s="293"/>
      <c r="AB73" s="97"/>
      <c r="AC73" s="293"/>
      <c r="AD73" s="304"/>
      <c r="AE73" s="304"/>
      <c r="AG73" s="11"/>
      <c r="AH73" s="293"/>
      <c r="AI73" s="97"/>
      <c r="AJ73" s="293"/>
      <c r="AK73" s="304"/>
      <c r="AL73" s="304"/>
      <c r="AN73" s="9"/>
      <c r="AO73" s="9"/>
      <c r="AP73" s="9"/>
      <c r="AQ73" s="9"/>
      <c r="AR73" s="9"/>
      <c r="AS73" s="9"/>
      <c r="AT73" s="123">
        <v>1</v>
      </c>
      <c r="AU73" s="123" t="s">
        <v>32</v>
      </c>
      <c r="AV73" s="124">
        <v>8349897.21</v>
      </c>
      <c r="AW73" s="139">
        <v>4.2500000000000003E-2</v>
      </c>
      <c r="AX73" s="123"/>
      <c r="AY73" s="140">
        <f t="shared" si="36"/>
        <v>972.24830527397273</v>
      </c>
      <c r="AZ73" s="140">
        <f t="shared" si="31"/>
        <v>88109.042872718928</v>
      </c>
      <c r="BA73" s="140">
        <f t="shared" si="29"/>
        <v>44.481948607306094</v>
      </c>
      <c r="BC73" s="122"/>
      <c r="BD73" s="122"/>
      <c r="BE73" s="122"/>
      <c r="BF73" s="122"/>
      <c r="BH73" s="122"/>
      <c r="BI73" s="122"/>
      <c r="BJ73" s="122"/>
      <c r="BK73" s="122"/>
      <c r="BM73" s="122"/>
      <c r="BN73" s="122"/>
      <c r="BO73" s="122"/>
      <c r="BP73" s="122"/>
      <c r="BR73" s="122"/>
      <c r="BS73" s="122"/>
      <c r="BT73" s="122"/>
      <c r="BU73" s="122"/>
      <c r="BV73" s="439"/>
      <c r="BW73" s="120">
        <f t="shared" si="32"/>
        <v>14649897.210000001</v>
      </c>
      <c r="BX73" s="121">
        <v>4.2500000000000003E-2</v>
      </c>
      <c r="BY73" s="121">
        <f t="shared" si="33"/>
        <v>4.1424907132505399E-2</v>
      </c>
      <c r="BZ73" s="120">
        <f t="shared" si="34"/>
        <v>1672.2483052739726</v>
      </c>
      <c r="CA73" s="120">
        <f t="shared" si="35"/>
        <v>44.481948607306094</v>
      </c>
    </row>
    <row r="74" spans="2:79" x14ac:dyDescent="0.25">
      <c r="B74" s="123" t="str">
        <f t="shared" si="24"/>
        <v>3 2025</v>
      </c>
      <c r="C74" s="122">
        <f t="shared" si="25"/>
        <v>45726</v>
      </c>
      <c r="D74" s="122">
        <f t="shared" si="30"/>
        <v>45727</v>
      </c>
      <c r="E74" s="123">
        <f t="shared" si="26"/>
        <v>1</v>
      </c>
      <c r="F74" s="123" t="s">
        <v>7</v>
      </c>
      <c r="G74" s="124">
        <f t="shared" si="37"/>
        <v>6300000</v>
      </c>
      <c r="H74" s="125">
        <f t="shared" si="37"/>
        <v>0.04</v>
      </c>
      <c r="I74" s="124">
        <f t="shared" si="27"/>
        <v>700</v>
      </c>
      <c r="J74" s="124">
        <f t="shared" si="28"/>
        <v>78958.92</v>
      </c>
      <c r="K74" s="9"/>
      <c r="L74" s="11"/>
      <c r="M74" s="293"/>
      <c r="N74" s="97"/>
      <c r="O74" s="293"/>
      <c r="P74" s="304"/>
      <c r="Q74" s="304"/>
      <c r="S74" s="11"/>
      <c r="T74" s="293"/>
      <c r="U74" s="97"/>
      <c r="V74" s="293"/>
      <c r="W74" s="304"/>
      <c r="X74" s="304"/>
      <c r="Z74" s="11"/>
      <c r="AA74" s="293"/>
      <c r="AB74" s="97"/>
      <c r="AC74" s="293"/>
      <c r="AD74" s="304"/>
      <c r="AE74" s="304"/>
      <c r="AG74" s="11"/>
      <c r="AH74" s="293"/>
      <c r="AI74" s="97"/>
      <c r="AJ74" s="293"/>
      <c r="AK74" s="304"/>
      <c r="AL74" s="304"/>
      <c r="AN74" s="9"/>
      <c r="AO74" s="9"/>
      <c r="AP74" s="9"/>
      <c r="AQ74" s="9"/>
      <c r="AR74" s="9"/>
      <c r="AS74" s="9"/>
      <c r="AT74" s="123">
        <v>1</v>
      </c>
      <c r="AU74" s="123" t="s">
        <v>32</v>
      </c>
      <c r="AV74" s="124">
        <v>7760600.4299999997</v>
      </c>
      <c r="AW74" s="139">
        <v>4.2500000000000003E-2</v>
      </c>
      <c r="AX74" s="123"/>
      <c r="AY74" s="140">
        <f t="shared" si="36"/>
        <v>903.63155691780833</v>
      </c>
      <c r="AZ74" s="140">
        <f t="shared" si="31"/>
        <v>89012.67442963674</v>
      </c>
      <c r="BA74" s="140">
        <f t="shared" si="29"/>
        <v>41.342620251141625</v>
      </c>
      <c r="BC74" s="122"/>
      <c r="BD74" s="122"/>
      <c r="BE74" s="122"/>
      <c r="BF74" s="122"/>
      <c r="BH74" s="122"/>
      <c r="BI74" s="122"/>
      <c r="BJ74" s="122"/>
      <c r="BK74" s="122"/>
      <c r="BM74" s="122"/>
      <c r="BN74" s="122"/>
      <c r="BO74" s="122"/>
      <c r="BP74" s="122"/>
      <c r="BR74" s="122"/>
      <c r="BS74" s="122"/>
      <c r="BT74" s="122"/>
      <c r="BU74" s="122"/>
      <c r="BV74" s="439"/>
      <c r="BW74" s="120">
        <f t="shared" si="32"/>
        <v>14060600.43</v>
      </c>
      <c r="BX74" s="121">
        <v>4.2500000000000003E-2</v>
      </c>
      <c r="BY74" s="121">
        <f t="shared" si="33"/>
        <v>4.1379848689363549E-2</v>
      </c>
      <c r="BZ74" s="120">
        <f t="shared" si="34"/>
        <v>1603.6315569178082</v>
      </c>
      <c r="CA74" s="120">
        <f t="shared" si="35"/>
        <v>41.342620251141625</v>
      </c>
    </row>
    <row r="75" spans="2:79" x14ac:dyDescent="0.25">
      <c r="B75" s="123" t="str">
        <f t="shared" si="24"/>
        <v>3 2025</v>
      </c>
      <c r="C75" s="122">
        <f t="shared" si="25"/>
        <v>45727</v>
      </c>
      <c r="D75" s="122">
        <f t="shared" si="30"/>
        <v>45728</v>
      </c>
      <c r="E75" s="123">
        <f t="shared" si="26"/>
        <v>1</v>
      </c>
      <c r="F75" s="123" t="s">
        <v>7</v>
      </c>
      <c r="G75" s="136">
        <f>G74-480000</f>
        <v>5820000</v>
      </c>
      <c r="H75" s="125">
        <f t="shared" si="37"/>
        <v>0.04</v>
      </c>
      <c r="I75" s="124">
        <f t="shared" si="27"/>
        <v>646.66999999999996</v>
      </c>
      <c r="J75" s="124">
        <f t="shared" si="28"/>
        <v>79605.59</v>
      </c>
      <c r="K75" s="9"/>
      <c r="L75" s="11"/>
      <c r="M75" s="293"/>
      <c r="N75" s="97"/>
      <c r="O75" s="293"/>
      <c r="P75" s="304"/>
      <c r="Q75" s="304"/>
      <c r="S75" s="11"/>
      <c r="T75" s="293"/>
      <c r="U75" s="97"/>
      <c r="V75" s="293"/>
      <c r="W75" s="304"/>
      <c r="X75" s="304"/>
      <c r="Z75" s="11"/>
      <c r="AA75" s="293"/>
      <c r="AB75" s="97"/>
      <c r="AC75" s="293"/>
      <c r="AD75" s="304"/>
      <c r="AE75" s="304"/>
      <c r="AG75" s="11"/>
      <c r="AH75" s="293"/>
      <c r="AI75" s="97"/>
      <c r="AJ75" s="293"/>
      <c r="AK75" s="304"/>
      <c r="AL75" s="304"/>
      <c r="AN75" s="9"/>
      <c r="AO75" s="9"/>
      <c r="AP75" s="9"/>
      <c r="AQ75" s="9"/>
      <c r="AR75" s="9"/>
      <c r="AS75" s="9"/>
      <c r="AT75" s="123">
        <v>1</v>
      </c>
      <c r="AU75" s="123" t="s">
        <v>32</v>
      </c>
      <c r="AV75" s="124">
        <v>7760710.0700000003</v>
      </c>
      <c r="AW75" s="139">
        <v>4.2500000000000003E-2</v>
      </c>
      <c r="AX75" s="123"/>
      <c r="AY75" s="140">
        <f t="shared" si="36"/>
        <v>903.6443232191782</v>
      </c>
      <c r="AZ75" s="140">
        <f t="shared" si="31"/>
        <v>89916.318752855921</v>
      </c>
      <c r="BA75" s="140">
        <f t="shared" si="29"/>
        <v>41.343204330289154</v>
      </c>
      <c r="BC75" s="122"/>
      <c r="BD75" s="122"/>
      <c r="BE75" s="122"/>
      <c r="BF75" s="122"/>
      <c r="BH75" s="122"/>
      <c r="BI75" s="122"/>
      <c r="BJ75" s="122"/>
      <c r="BK75" s="122"/>
      <c r="BM75" s="122"/>
      <c r="BN75" s="122"/>
      <c r="BO75" s="122"/>
      <c r="BP75" s="122"/>
      <c r="BR75" s="122"/>
      <c r="BS75" s="122"/>
      <c r="BT75" s="122"/>
      <c r="BU75" s="122"/>
      <c r="BV75" s="439"/>
      <c r="BW75" s="120">
        <f t="shared" si="32"/>
        <v>13580710.07</v>
      </c>
      <c r="BX75" s="121">
        <v>4.2500000000000003E-2</v>
      </c>
      <c r="BY75" s="121">
        <f t="shared" si="33"/>
        <v>4.1428627448417361E-2</v>
      </c>
      <c r="BZ75" s="120">
        <f t="shared" si="34"/>
        <v>1550.3143232191783</v>
      </c>
      <c r="CA75" s="120">
        <f t="shared" si="35"/>
        <v>41.343204330289154</v>
      </c>
    </row>
    <row r="76" spans="2:79" x14ac:dyDescent="0.25">
      <c r="B76" s="123" t="str">
        <f t="shared" si="24"/>
        <v>3 2025</v>
      </c>
      <c r="C76" s="122">
        <f t="shared" si="25"/>
        <v>45728</v>
      </c>
      <c r="D76" s="122">
        <f t="shared" si="30"/>
        <v>45729</v>
      </c>
      <c r="E76" s="123">
        <f t="shared" si="26"/>
        <v>1</v>
      </c>
      <c r="F76" s="123" t="s">
        <v>7</v>
      </c>
      <c r="G76" s="124">
        <f t="shared" si="37"/>
        <v>5820000</v>
      </c>
      <c r="H76" s="125">
        <f t="shared" si="37"/>
        <v>0.04</v>
      </c>
      <c r="I76" s="124">
        <f t="shared" si="27"/>
        <v>646.66999999999996</v>
      </c>
      <c r="J76" s="124">
        <f t="shared" si="28"/>
        <v>80252.259999999995</v>
      </c>
      <c r="K76" s="9"/>
      <c r="L76" s="11"/>
      <c r="M76" s="293"/>
      <c r="N76" s="97"/>
      <c r="O76" s="293"/>
      <c r="P76" s="304"/>
      <c r="Q76" s="304"/>
      <c r="S76" s="11"/>
      <c r="T76" s="293"/>
      <c r="U76" s="97"/>
      <c r="V76" s="293"/>
      <c r="W76" s="304"/>
      <c r="X76" s="304"/>
      <c r="Z76" s="11"/>
      <c r="AA76" s="293"/>
      <c r="AB76" s="97"/>
      <c r="AC76" s="293"/>
      <c r="AD76" s="304"/>
      <c r="AE76" s="304"/>
      <c r="AG76" s="11"/>
      <c r="AH76" s="293"/>
      <c r="AI76" s="97"/>
      <c r="AJ76" s="293"/>
      <c r="AK76" s="304"/>
      <c r="AL76" s="304"/>
      <c r="AN76" s="9"/>
      <c r="AO76" s="9"/>
      <c r="AP76" s="9"/>
      <c r="AQ76" s="9"/>
      <c r="AR76" s="9"/>
      <c r="AS76" s="9"/>
      <c r="AT76" s="123">
        <v>1</v>
      </c>
      <c r="AU76" s="123" t="s">
        <v>32</v>
      </c>
      <c r="AV76" s="124">
        <v>7761602.2699999996</v>
      </c>
      <c r="AW76" s="139">
        <v>4.2500000000000003E-2</v>
      </c>
      <c r="AX76" s="123"/>
      <c r="AY76" s="140">
        <f t="shared" si="36"/>
        <v>903.74820952054802</v>
      </c>
      <c r="AZ76" s="140">
        <f t="shared" si="31"/>
        <v>90820.06696237647</v>
      </c>
      <c r="BA76" s="140">
        <f t="shared" si="29"/>
        <v>41.347957298325809</v>
      </c>
      <c r="BC76" s="122"/>
      <c r="BD76" s="122"/>
      <c r="BE76" s="122"/>
      <c r="BF76" s="122"/>
      <c r="BH76" s="122"/>
      <c r="BI76" s="122"/>
      <c r="BJ76" s="122"/>
      <c r="BK76" s="122"/>
      <c r="BM76" s="122"/>
      <c r="BN76" s="122"/>
      <c r="BO76" s="122"/>
      <c r="BP76" s="122"/>
      <c r="BR76" s="122"/>
      <c r="BS76" s="122"/>
      <c r="BT76" s="122"/>
      <c r="BU76" s="122"/>
      <c r="BV76" s="439"/>
      <c r="BW76" s="120">
        <f t="shared" si="32"/>
        <v>13581602.27</v>
      </c>
      <c r="BX76" s="121">
        <v>4.2500000000000003E-2</v>
      </c>
      <c r="BY76" s="121">
        <f t="shared" si="33"/>
        <v>4.1428697828816634E-2</v>
      </c>
      <c r="BZ76" s="120">
        <f t="shared" si="34"/>
        <v>1550.4182095205479</v>
      </c>
      <c r="CA76" s="120">
        <f t="shared" si="35"/>
        <v>41.347957298325809</v>
      </c>
    </row>
    <row r="77" spans="2:79" x14ac:dyDescent="0.25">
      <c r="B77" s="123" t="str">
        <f t="shared" si="24"/>
        <v>3 2025</v>
      </c>
      <c r="C77" s="122">
        <f t="shared" si="25"/>
        <v>45729</v>
      </c>
      <c r="D77" s="122">
        <f t="shared" si="30"/>
        <v>45730</v>
      </c>
      <c r="E77" s="123">
        <f t="shared" si="26"/>
        <v>1</v>
      </c>
      <c r="F77" s="123" t="s">
        <v>7</v>
      </c>
      <c r="G77" s="124">
        <f t="shared" si="37"/>
        <v>5820000</v>
      </c>
      <c r="H77" s="125">
        <f t="shared" si="37"/>
        <v>0.04</v>
      </c>
      <c r="I77" s="124">
        <f t="shared" si="27"/>
        <v>646.66999999999996</v>
      </c>
      <c r="J77" s="124">
        <f t="shared" si="28"/>
        <v>80898.929999999993</v>
      </c>
      <c r="K77" s="9"/>
      <c r="L77" s="11"/>
      <c r="M77" s="293"/>
      <c r="N77" s="97"/>
      <c r="O77" s="293"/>
      <c r="P77" s="304"/>
      <c r="Q77" s="304"/>
      <c r="S77" s="11"/>
      <c r="T77" s="293"/>
      <c r="U77" s="97"/>
      <c r="V77" s="293"/>
      <c r="W77" s="304"/>
      <c r="X77" s="304"/>
      <c r="Z77" s="11"/>
      <c r="AA77" s="293"/>
      <c r="AB77" s="97"/>
      <c r="AC77" s="293"/>
      <c r="AD77" s="304"/>
      <c r="AE77" s="304"/>
      <c r="AG77" s="11"/>
      <c r="AH77" s="293"/>
      <c r="AI77" s="97"/>
      <c r="AJ77" s="293"/>
      <c r="AK77" s="304"/>
      <c r="AL77" s="304"/>
      <c r="AN77" s="9"/>
      <c r="AO77" s="9"/>
      <c r="AP77" s="9"/>
      <c r="AQ77" s="9"/>
      <c r="AR77" s="9"/>
      <c r="AS77" s="9"/>
      <c r="AT77" s="123">
        <v>1</v>
      </c>
      <c r="AU77" s="123" t="s">
        <v>32</v>
      </c>
      <c r="AV77" s="124">
        <v>7762506.0199999996</v>
      </c>
      <c r="AW77" s="139">
        <v>4.2500000000000003E-2</v>
      </c>
      <c r="AX77" s="123"/>
      <c r="AY77" s="140">
        <f t="shared" si="36"/>
        <v>903.85344068493157</v>
      </c>
      <c r="AZ77" s="140">
        <f t="shared" si="31"/>
        <v>91723.920403061406</v>
      </c>
      <c r="BA77" s="140">
        <f t="shared" si="29"/>
        <v>41.352771796042816</v>
      </c>
      <c r="BC77" s="122"/>
      <c r="BD77" s="122"/>
      <c r="BE77" s="122"/>
      <c r="BF77" s="122"/>
      <c r="BH77" s="122"/>
      <c r="BI77" s="122"/>
      <c r="BJ77" s="122"/>
      <c r="BK77" s="122"/>
      <c r="BM77" s="122"/>
      <c r="BN77" s="122"/>
      <c r="BO77" s="122"/>
      <c r="BP77" s="122"/>
      <c r="BR77" s="122"/>
      <c r="BS77" s="122"/>
      <c r="BT77" s="122"/>
      <c r="BU77" s="122"/>
      <c r="BV77" s="439"/>
      <c r="BW77" s="120">
        <f t="shared" si="32"/>
        <v>13582506.02</v>
      </c>
      <c r="BX77" s="121">
        <v>4.2500000000000003E-2</v>
      </c>
      <c r="BY77" s="121">
        <f t="shared" si="33"/>
        <v>4.1428769110900793E-2</v>
      </c>
      <c r="BZ77" s="120">
        <f t="shared" si="34"/>
        <v>1550.5234406849315</v>
      </c>
      <c r="CA77" s="120">
        <f t="shared" si="35"/>
        <v>41.352771796042816</v>
      </c>
    </row>
    <row r="78" spans="2:79" x14ac:dyDescent="0.25">
      <c r="B78" s="123" t="str">
        <f t="shared" si="24"/>
        <v>3 2025</v>
      </c>
      <c r="C78" s="122">
        <f t="shared" si="25"/>
        <v>45730</v>
      </c>
      <c r="D78" s="122">
        <f t="shared" si="30"/>
        <v>45731</v>
      </c>
      <c r="E78" s="123">
        <f t="shared" si="26"/>
        <v>1</v>
      </c>
      <c r="F78" s="123" t="s">
        <v>7</v>
      </c>
      <c r="G78" s="124">
        <f t="shared" si="37"/>
        <v>5820000</v>
      </c>
      <c r="H78" s="125">
        <f t="shared" si="37"/>
        <v>0.04</v>
      </c>
      <c r="I78" s="124">
        <f t="shared" si="27"/>
        <v>646.66999999999996</v>
      </c>
      <c r="J78" s="124">
        <f t="shared" si="28"/>
        <v>81545.599999999991</v>
      </c>
      <c r="K78" s="9"/>
      <c r="L78" s="11"/>
      <c r="M78" s="293"/>
      <c r="N78" s="97"/>
      <c r="O78" s="293"/>
      <c r="P78" s="304"/>
      <c r="Q78" s="304"/>
      <c r="S78" s="11"/>
      <c r="T78" s="293"/>
      <c r="U78" s="97"/>
      <c r="V78" s="293"/>
      <c r="W78" s="304"/>
      <c r="X78" s="304"/>
      <c r="Z78" s="11"/>
      <c r="AA78" s="293"/>
      <c r="AB78" s="97"/>
      <c r="AC78" s="293"/>
      <c r="AD78" s="304"/>
      <c r="AE78" s="304"/>
      <c r="AG78" s="11"/>
      <c r="AH78" s="293"/>
      <c r="AI78" s="97"/>
      <c r="AJ78" s="293"/>
      <c r="AK78" s="304"/>
      <c r="AL78" s="304"/>
      <c r="AN78" s="9"/>
      <c r="AO78" s="9"/>
      <c r="AP78" s="9"/>
      <c r="AQ78" s="9"/>
      <c r="AR78" s="9"/>
      <c r="AS78" s="9"/>
      <c r="AT78" s="123">
        <v>1</v>
      </c>
      <c r="AU78" s="123" t="s">
        <v>32</v>
      </c>
      <c r="AV78" s="124">
        <v>7763409.8700000001</v>
      </c>
      <c r="AW78" s="139">
        <v>4.2500000000000003E-2</v>
      </c>
      <c r="AX78" s="123"/>
      <c r="AY78" s="140">
        <f t="shared" si="36"/>
        <v>903.95868349315072</v>
      </c>
      <c r="AZ78" s="140">
        <f t="shared" si="31"/>
        <v>92627.87908655456</v>
      </c>
      <c r="BA78" s="140">
        <f t="shared" si="29"/>
        <v>41.357586826484066</v>
      </c>
      <c r="BC78" s="122"/>
      <c r="BD78" s="122"/>
      <c r="BE78" s="122"/>
      <c r="BF78" s="122"/>
      <c r="BH78" s="122"/>
      <c r="BI78" s="122"/>
      <c r="BJ78" s="122"/>
      <c r="BK78" s="122"/>
      <c r="BM78" s="122"/>
      <c r="BN78" s="122"/>
      <c r="BO78" s="122"/>
      <c r="BP78" s="122"/>
      <c r="BR78" s="122"/>
      <c r="BS78" s="122"/>
      <c r="BT78" s="122"/>
      <c r="BU78" s="122"/>
      <c r="BV78" s="439"/>
      <c r="BW78" s="120">
        <f t="shared" si="32"/>
        <v>13583409.870000001</v>
      </c>
      <c r="BX78" s="121">
        <v>4.2500000000000003E-2</v>
      </c>
      <c r="BY78" s="121">
        <f t="shared" si="33"/>
        <v>4.142884039138546E-2</v>
      </c>
      <c r="BZ78" s="120">
        <f t="shared" si="34"/>
        <v>1550.6286834931507</v>
      </c>
      <c r="CA78" s="120">
        <f t="shared" si="35"/>
        <v>41.357586826484066</v>
      </c>
    </row>
    <row r="79" spans="2:79" x14ac:dyDescent="0.25">
      <c r="B79" s="123" t="str">
        <f t="shared" si="24"/>
        <v>3 2025</v>
      </c>
      <c r="C79" s="122">
        <f t="shared" si="25"/>
        <v>45731</v>
      </c>
      <c r="D79" s="122">
        <f t="shared" si="30"/>
        <v>45732</v>
      </c>
      <c r="E79" s="123">
        <f t="shared" si="26"/>
        <v>1</v>
      </c>
      <c r="F79" s="123" t="s">
        <v>7</v>
      </c>
      <c r="G79" s="124">
        <f t="shared" si="37"/>
        <v>5820000</v>
      </c>
      <c r="H79" s="125">
        <f t="shared" si="37"/>
        <v>0.04</v>
      </c>
      <c r="I79" s="124">
        <f t="shared" si="27"/>
        <v>646.66999999999996</v>
      </c>
      <c r="J79" s="124">
        <f t="shared" si="28"/>
        <v>82192.26999999999</v>
      </c>
      <c r="K79" s="9"/>
      <c r="L79" s="11"/>
      <c r="M79" s="293"/>
      <c r="N79" s="97"/>
      <c r="O79" s="293"/>
      <c r="P79" s="304"/>
      <c r="Q79" s="304"/>
      <c r="S79" s="11"/>
      <c r="T79" s="293"/>
      <c r="U79" s="97"/>
      <c r="V79" s="293"/>
      <c r="W79" s="304"/>
      <c r="X79" s="304"/>
      <c r="Z79" s="11"/>
      <c r="AA79" s="293"/>
      <c r="AB79" s="97"/>
      <c r="AC79" s="293"/>
      <c r="AD79" s="304"/>
      <c r="AE79" s="304"/>
      <c r="AG79" s="11"/>
      <c r="AH79" s="293"/>
      <c r="AI79" s="97"/>
      <c r="AJ79" s="293"/>
      <c r="AK79" s="304"/>
      <c r="AL79" s="304"/>
      <c r="AN79" s="9"/>
      <c r="AO79" s="9"/>
      <c r="AP79" s="9"/>
      <c r="AQ79" s="9"/>
      <c r="AR79" s="9"/>
      <c r="AS79" s="9"/>
      <c r="AT79" s="123">
        <v>1</v>
      </c>
      <c r="AU79" s="123" t="s">
        <v>32</v>
      </c>
      <c r="AV79" s="124">
        <v>7763409.8700000001</v>
      </c>
      <c r="AW79" s="139">
        <v>4.2500000000000003E-2</v>
      </c>
      <c r="AX79" s="123"/>
      <c r="AY79" s="140">
        <f t="shared" si="36"/>
        <v>903.95868349315072</v>
      </c>
      <c r="AZ79" s="140">
        <f t="shared" si="31"/>
        <v>93531.837770047714</v>
      </c>
      <c r="BA79" s="140">
        <f t="shared" si="29"/>
        <v>41.357586826484066</v>
      </c>
      <c r="BC79" s="122"/>
      <c r="BD79" s="122"/>
      <c r="BE79" s="122"/>
      <c r="BF79" s="122"/>
      <c r="BH79" s="122"/>
      <c r="BI79" s="122"/>
      <c r="BJ79" s="122"/>
      <c r="BK79" s="122"/>
      <c r="BM79" s="122"/>
      <c r="BN79" s="122"/>
      <c r="BO79" s="122"/>
      <c r="BP79" s="122"/>
      <c r="BR79" s="122"/>
      <c r="BS79" s="122"/>
      <c r="BT79" s="122"/>
      <c r="BU79" s="122"/>
      <c r="BV79" s="439"/>
      <c r="BW79" s="120">
        <f t="shared" si="32"/>
        <v>13583409.870000001</v>
      </c>
      <c r="BX79" s="121">
        <v>4.2500000000000003E-2</v>
      </c>
      <c r="BY79" s="121">
        <f t="shared" si="33"/>
        <v>4.142884039138546E-2</v>
      </c>
      <c r="BZ79" s="120">
        <f t="shared" si="34"/>
        <v>1550.6286834931507</v>
      </c>
      <c r="CA79" s="120">
        <f t="shared" si="35"/>
        <v>41.357586826484066</v>
      </c>
    </row>
    <row r="80" spans="2:79" x14ac:dyDescent="0.25">
      <c r="B80" s="123" t="str">
        <f t="shared" si="24"/>
        <v>3 2025</v>
      </c>
      <c r="C80" s="122">
        <f t="shared" si="25"/>
        <v>45732</v>
      </c>
      <c r="D80" s="122">
        <f t="shared" si="30"/>
        <v>45733</v>
      </c>
      <c r="E80" s="123">
        <f t="shared" si="26"/>
        <v>1</v>
      </c>
      <c r="F80" s="123" t="s">
        <v>7</v>
      </c>
      <c r="G80" s="124">
        <f t="shared" si="37"/>
        <v>5820000</v>
      </c>
      <c r="H80" s="125">
        <f t="shared" si="37"/>
        <v>0.04</v>
      </c>
      <c r="I80" s="124">
        <f t="shared" si="27"/>
        <v>646.66999999999996</v>
      </c>
      <c r="J80" s="124">
        <f t="shared" si="28"/>
        <v>82838.939999999988</v>
      </c>
      <c r="K80" s="9"/>
      <c r="L80" s="11"/>
      <c r="M80" s="293"/>
      <c r="N80" s="97"/>
      <c r="O80" s="293"/>
      <c r="P80" s="304"/>
      <c r="Q80" s="304"/>
      <c r="S80" s="11"/>
      <c r="T80" s="293"/>
      <c r="U80" s="97"/>
      <c r="V80" s="293"/>
      <c r="W80" s="304"/>
      <c r="X80" s="304"/>
      <c r="Z80" s="11"/>
      <c r="AA80" s="293"/>
      <c r="AB80" s="97"/>
      <c r="AC80" s="293"/>
      <c r="AD80" s="304"/>
      <c r="AE80" s="304"/>
      <c r="AG80" s="11"/>
      <c r="AH80" s="293"/>
      <c r="AI80" s="97"/>
      <c r="AJ80" s="293"/>
      <c r="AK80" s="304"/>
      <c r="AL80" s="304"/>
      <c r="AN80" s="9"/>
      <c r="AO80" s="9"/>
      <c r="AP80" s="9"/>
      <c r="AQ80" s="9"/>
      <c r="AR80" s="9"/>
      <c r="AS80" s="9"/>
      <c r="AT80" s="123">
        <v>1</v>
      </c>
      <c r="AU80" s="123" t="s">
        <v>32</v>
      </c>
      <c r="AV80" s="124">
        <v>7763409.8700000001</v>
      </c>
      <c r="AW80" s="139">
        <v>4.2500000000000003E-2</v>
      </c>
      <c r="AX80" s="123"/>
      <c r="AY80" s="140">
        <f t="shared" si="36"/>
        <v>903.95868349315072</v>
      </c>
      <c r="AZ80" s="140">
        <f t="shared" si="31"/>
        <v>94435.796453540868</v>
      </c>
      <c r="BA80" s="140">
        <f t="shared" si="29"/>
        <v>41.357586826484066</v>
      </c>
      <c r="BC80" s="122"/>
      <c r="BD80" s="122"/>
      <c r="BE80" s="122"/>
      <c r="BF80" s="122"/>
      <c r="BH80" s="122"/>
      <c r="BI80" s="122"/>
      <c r="BJ80" s="122"/>
      <c r="BK80" s="122"/>
      <c r="BM80" s="122"/>
      <c r="BN80" s="122"/>
      <c r="BO80" s="122"/>
      <c r="BP80" s="122"/>
      <c r="BR80" s="122"/>
      <c r="BS80" s="122"/>
      <c r="BT80" s="122"/>
      <c r="BU80" s="122"/>
      <c r="BV80" s="439"/>
      <c r="BW80" s="120">
        <f t="shared" si="32"/>
        <v>13583409.870000001</v>
      </c>
      <c r="BX80" s="121">
        <v>4.2500000000000003E-2</v>
      </c>
      <c r="BY80" s="121">
        <f t="shared" si="33"/>
        <v>4.142884039138546E-2</v>
      </c>
      <c r="BZ80" s="120">
        <f t="shared" si="34"/>
        <v>1550.6286834931507</v>
      </c>
      <c r="CA80" s="120">
        <f t="shared" si="35"/>
        <v>41.357586826484066</v>
      </c>
    </row>
    <row r="81" spans="2:79" x14ac:dyDescent="0.25">
      <c r="B81" s="123" t="str">
        <f t="shared" si="24"/>
        <v>3 2025</v>
      </c>
      <c r="C81" s="122">
        <f t="shared" si="25"/>
        <v>45733</v>
      </c>
      <c r="D81" s="122">
        <f t="shared" si="30"/>
        <v>45734</v>
      </c>
      <c r="E81" s="123">
        <f t="shared" si="26"/>
        <v>1</v>
      </c>
      <c r="F81" s="123" t="s">
        <v>7</v>
      </c>
      <c r="G81" s="124">
        <f t="shared" si="37"/>
        <v>5820000</v>
      </c>
      <c r="H81" s="125">
        <f t="shared" si="37"/>
        <v>0.04</v>
      </c>
      <c r="I81" s="124">
        <f t="shared" si="27"/>
        <v>646.66999999999996</v>
      </c>
      <c r="J81" s="124">
        <f t="shared" si="28"/>
        <v>83485.609999999986</v>
      </c>
      <c r="K81" s="9"/>
      <c r="L81" s="11"/>
      <c r="M81" s="293"/>
      <c r="N81" s="97"/>
      <c r="O81" s="293"/>
      <c r="P81" s="304"/>
      <c r="Q81" s="304"/>
      <c r="S81" s="11"/>
      <c r="T81" s="293"/>
      <c r="U81" s="97"/>
      <c r="V81" s="293"/>
      <c r="W81" s="304"/>
      <c r="X81" s="304"/>
      <c r="Z81" s="11"/>
      <c r="AA81" s="293"/>
      <c r="AB81" s="97"/>
      <c r="AC81" s="293"/>
      <c r="AD81" s="304"/>
      <c r="AE81" s="304"/>
      <c r="AG81" s="11"/>
      <c r="AH81" s="293"/>
      <c r="AI81" s="97"/>
      <c r="AJ81" s="293"/>
      <c r="AK81" s="304"/>
      <c r="AL81" s="304"/>
      <c r="AN81" s="9"/>
      <c r="AO81" s="9"/>
      <c r="AP81" s="9"/>
      <c r="AQ81" s="9"/>
      <c r="AR81" s="9"/>
      <c r="AS81" s="9"/>
      <c r="AT81" s="123">
        <v>1</v>
      </c>
      <c r="AU81" s="123" t="s">
        <v>32</v>
      </c>
      <c r="AV81" s="124">
        <v>7766121.75</v>
      </c>
      <c r="AW81" s="139">
        <v>4.2500000000000003E-2</v>
      </c>
      <c r="AX81" s="123"/>
      <c r="AY81" s="140">
        <f t="shared" si="36"/>
        <v>904.2744503424658</v>
      </c>
      <c r="AZ81" s="140">
        <f t="shared" si="31"/>
        <v>95340.07090388333</v>
      </c>
      <c r="BA81" s="140">
        <f t="shared" si="29"/>
        <v>41.372033675799116</v>
      </c>
      <c r="BC81" s="122"/>
      <c r="BD81" s="122"/>
      <c r="BE81" s="122"/>
      <c r="BF81" s="122"/>
      <c r="BH81" s="122"/>
      <c r="BI81" s="122"/>
      <c r="BJ81" s="122"/>
      <c r="BK81" s="122"/>
      <c r="BM81" s="122"/>
      <c r="BN81" s="122"/>
      <c r="BO81" s="122"/>
      <c r="BP81" s="122"/>
      <c r="BR81" s="122"/>
      <c r="BS81" s="122"/>
      <c r="BT81" s="122"/>
      <c r="BU81" s="122"/>
      <c r="BV81" s="439"/>
      <c r="BW81" s="120">
        <f t="shared" si="32"/>
        <v>13586121.75</v>
      </c>
      <c r="BX81" s="121">
        <v>4.2500000000000003E-2</v>
      </c>
      <c r="BY81" s="121">
        <f t="shared" si="33"/>
        <v>4.1429054201946917E-2</v>
      </c>
      <c r="BZ81" s="120">
        <f t="shared" si="34"/>
        <v>1550.9444503424656</v>
      </c>
      <c r="CA81" s="120">
        <f t="shared" si="35"/>
        <v>41.372033675799116</v>
      </c>
    </row>
    <row r="82" spans="2:79" x14ac:dyDescent="0.25">
      <c r="B82" s="123" t="str">
        <f t="shared" si="24"/>
        <v>3 2025</v>
      </c>
      <c r="C82" s="122">
        <f t="shared" si="25"/>
        <v>45734</v>
      </c>
      <c r="D82" s="122">
        <f t="shared" si="30"/>
        <v>45735</v>
      </c>
      <c r="E82" s="123">
        <f t="shared" si="26"/>
        <v>1</v>
      </c>
      <c r="F82" s="123" t="s">
        <v>7</v>
      </c>
      <c r="G82" s="124">
        <f t="shared" si="37"/>
        <v>5820000</v>
      </c>
      <c r="H82" s="125">
        <f t="shared" si="37"/>
        <v>0.04</v>
      </c>
      <c r="I82" s="124">
        <f t="shared" si="27"/>
        <v>646.66999999999996</v>
      </c>
      <c r="J82" s="124">
        <f t="shared" si="28"/>
        <v>84132.279999999984</v>
      </c>
      <c r="K82" s="9"/>
      <c r="L82" s="11"/>
      <c r="M82" s="293"/>
      <c r="N82" s="97"/>
      <c r="O82" s="293"/>
      <c r="P82" s="304"/>
      <c r="Q82" s="304"/>
      <c r="S82" s="11"/>
      <c r="T82" s="293"/>
      <c r="U82" s="97"/>
      <c r="V82" s="293"/>
      <c r="W82" s="304"/>
      <c r="X82" s="304"/>
      <c r="Z82" s="11"/>
      <c r="AA82" s="293"/>
      <c r="AB82" s="97"/>
      <c r="AC82" s="293"/>
      <c r="AD82" s="304"/>
      <c r="AE82" s="304"/>
      <c r="AG82" s="11"/>
      <c r="AH82" s="293"/>
      <c r="AI82" s="97"/>
      <c r="AJ82" s="293"/>
      <c r="AK82" s="304"/>
      <c r="AL82" s="304"/>
      <c r="AN82" s="9"/>
      <c r="AO82" s="9"/>
      <c r="AP82" s="9"/>
      <c r="AQ82" s="9"/>
      <c r="AR82" s="9"/>
      <c r="AS82" s="9"/>
      <c r="AT82" s="123">
        <v>1</v>
      </c>
      <c r="AU82" s="123" t="s">
        <v>32</v>
      </c>
      <c r="AV82" s="124">
        <v>7643600.8099999996</v>
      </c>
      <c r="AW82" s="139">
        <v>4.2500000000000003E-2</v>
      </c>
      <c r="AX82" s="123"/>
      <c r="AY82" s="140">
        <f t="shared" si="36"/>
        <v>890.00831349315069</v>
      </c>
      <c r="AZ82" s="140">
        <f t="shared" si="31"/>
        <v>96230.079217376478</v>
      </c>
      <c r="BA82" s="140">
        <f t="shared" si="29"/>
        <v>40.719334604261917</v>
      </c>
      <c r="BC82" s="122"/>
      <c r="BD82" s="122"/>
      <c r="BE82" s="122"/>
      <c r="BF82" s="122"/>
      <c r="BH82" s="122"/>
      <c r="BI82" s="122"/>
      <c r="BJ82" s="122"/>
      <c r="BK82" s="122"/>
      <c r="BM82" s="122"/>
      <c r="BN82" s="122"/>
      <c r="BO82" s="122"/>
      <c r="BP82" s="122"/>
      <c r="BR82" s="122"/>
      <c r="BS82" s="122"/>
      <c r="BT82" s="122"/>
      <c r="BU82" s="122"/>
      <c r="BV82" s="439"/>
      <c r="BW82" s="120">
        <f t="shared" si="32"/>
        <v>13463600.809999999</v>
      </c>
      <c r="BX82" s="121">
        <v>4.2500000000000003E-2</v>
      </c>
      <c r="BY82" s="121">
        <f t="shared" si="33"/>
        <v>4.1419308422365506E-2</v>
      </c>
      <c r="BZ82" s="120">
        <f t="shared" si="34"/>
        <v>1536.6783134931507</v>
      </c>
      <c r="CA82" s="120">
        <f t="shared" si="35"/>
        <v>40.719334604261917</v>
      </c>
    </row>
    <row r="83" spans="2:79" x14ac:dyDescent="0.25">
      <c r="B83" s="123" t="str">
        <f t="shared" si="24"/>
        <v>3 2025</v>
      </c>
      <c r="C83" s="122">
        <f t="shared" si="25"/>
        <v>45735</v>
      </c>
      <c r="D83" s="122">
        <f t="shared" si="30"/>
        <v>45736</v>
      </c>
      <c r="E83" s="123">
        <f t="shared" si="26"/>
        <v>1</v>
      </c>
      <c r="F83" s="123" t="s">
        <v>7</v>
      </c>
      <c r="G83" s="124">
        <f t="shared" si="37"/>
        <v>5820000</v>
      </c>
      <c r="H83" s="125">
        <f t="shared" si="37"/>
        <v>0.04</v>
      </c>
      <c r="I83" s="124">
        <f t="shared" si="27"/>
        <v>646.66999999999996</v>
      </c>
      <c r="J83" s="124">
        <f t="shared" si="28"/>
        <v>84778.949999999983</v>
      </c>
      <c r="K83" s="9"/>
      <c r="L83" s="11"/>
      <c r="M83" s="293"/>
      <c r="N83" s="97"/>
      <c r="O83" s="293"/>
      <c r="P83" s="304"/>
      <c r="Q83" s="304"/>
      <c r="S83" s="11"/>
      <c r="T83" s="293"/>
      <c r="U83" s="97"/>
      <c r="V83" s="293"/>
      <c r="W83" s="304"/>
      <c r="X83" s="304"/>
      <c r="Z83" s="11"/>
      <c r="AA83" s="293"/>
      <c r="AB83" s="97"/>
      <c r="AC83" s="293"/>
      <c r="AD83" s="304"/>
      <c r="AE83" s="304"/>
      <c r="AG83" s="11"/>
      <c r="AH83" s="293"/>
      <c r="AI83" s="97"/>
      <c r="AJ83" s="293"/>
      <c r="AK83" s="304"/>
      <c r="AL83" s="304"/>
      <c r="AN83" s="9"/>
      <c r="AO83" s="9"/>
      <c r="AP83" s="9"/>
      <c r="AQ83" s="9"/>
      <c r="AR83" s="9"/>
      <c r="AS83" s="9"/>
      <c r="AT83" s="123">
        <v>1</v>
      </c>
      <c r="AU83" s="123" t="s">
        <v>32</v>
      </c>
      <c r="AV83" s="124">
        <v>7644490.8200000003</v>
      </c>
      <c r="AW83" s="139">
        <v>4.2500000000000003E-2</v>
      </c>
      <c r="AX83" s="123"/>
      <c r="AY83" s="140">
        <f t="shared" si="36"/>
        <v>890.11194479452058</v>
      </c>
      <c r="AZ83" s="140">
        <f t="shared" si="31"/>
        <v>97120.191162171002</v>
      </c>
      <c r="BA83" s="140">
        <f t="shared" si="29"/>
        <v>40.724075905631594</v>
      </c>
      <c r="BC83" s="122"/>
      <c r="BD83" s="122"/>
      <c r="BE83" s="122"/>
      <c r="BF83" s="122"/>
      <c r="BH83" s="122"/>
      <c r="BI83" s="122"/>
      <c r="BJ83" s="122"/>
      <c r="BK83" s="122"/>
      <c r="BM83" s="122"/>
      <c r="BN83" s="122"/>
      <c r="BO83" s="122"/>
      <c r="BP83" s="122"/>
      <c r="BR83" s="122"/>
      <c r="BS83" s="122"/>
      <c r="BT83" s="122"/>
      <c r="BU83" s="122"/>
      <c r="BV83" s="439"/>
      <c r="BW83" s="120">
        <f t="shared" si="32"/>
        <v>13464490.82</v>
      </c>
      <c r="BX83" s="121">
        <v>4.2500000000000003E-2</v>
      </c>
      <c r="BY83" s="121">
        <f t="shared" si="33"/>
        <v>4.1419379856653206E-2</v>
      </c>
      <c r="BZ83" s="120">
        <f t="shared" si="34"/>
        <v>1536.7819447945205</v>
      </c>
      <c r="CA83" s="120">
        <f t="shared" si="35"/>
        <v>40.724075905631594</v>
      </c>
    </row>
    <row r="84" spans="2:79" x14ac:dyDescent="0.25">
      <c r="B84" s="123" t="str">
        <f t="shared" si="24"/>
        <v>3 2025</v>
      </c>
      <c r="C84" s="122">
        <f t="shared" si="25"/>
        <v>45736</v>
      </c>
      <c r="D84" s="122">
        <f t="shared" si="30"/>
        <v>45737</v>
      </c>
      <c r="E84" s="123">
        <f t="shared" si="26"/>
        <v>1</v>
      </c>
      <c r="F84" s="123" t="s">
        <v>7</v>
      </c>
      <c r="G84" s="124">
        <f t="shared" si="37"/>
        <v>5820000</v>
      </c>
      <c r="H84" s="125">
        <f t="shared" si="37"/>
        <v>0.04</v>
      </c>
      <c r="I84" s="124">
        <f t="shared" si="27"/>
        <v>646.66999999999996</v>
      </c>
      <c r="J84" s="124">
        <f t="shared" si="28"/>
        <v>85425.619999999981</v>
      </c>
      <c r="K84" s="9"/>
      <c r="L84" s="11"/>
      <c r="M84" s="293"/>
      <c r="N84" s="97"/>
      <c r="O84" s="293"/>
      <c r="P84" s="304"/>
      <c r="Q84" s="304"/>
      <c r="S84" s="11"/>
      <c r="T84" s="293"/>
      <c r="U84" s="97"/>
      <c r="V84" s="293"/>
      <c r="W84" s="304"/>
      <c r="X84" s="304"/>
      <c r="Z84" s="11"/>
      <c r="AA84" s="293"/>
      <c r="AB84" s="97"/>
      <c r="AC84" s="293"/>
      <c r="AD84" s="304"/>
      <c r="AE84" s="304"/>
      <c r="AG84" s="11"/>
      <c r="AH84" s="293"/>
      <c r="AI84" s="97"/>
      <c r="AJ84" s="293"/>
      <c r="AK84" s="304"/>
      <c r="AL84" s="304"/>
      <c r="AN84" s="9"/>
      <c r="AO84" s="9"/>
      <c r="AP84" s="9"/>
      <c r="AQ84" s="9"/>
      <c r="AR84" s="9"/>
      <c r="AS84" s="9"/>
      <c r="AT84" s="123">
        <v>1</v>
      </c>
      <c r="AU84" s="123" t="s">
        <v>32</v>
      </c>
      <c r="AV84" s="124">
        <v>7645380.9299999997</v>
      </c>
      <c r="AW84" s="139">
        <v>4.2500000000000003E-2</v>
      </c>
      <c r="AX84" s="123"/>
      <c r="AY84" s="140">
        <f t="shared" si="36"/>
        <v>890.21558773972606</v>
      </c>
      <c r="AZ84" s="140">
        <f t="shared" si="31"/>
        <v>98010.406749910733</v>
      </c>
      <c r="BA84" s="140">
        <f t="shared" si="29"/>
        <v>40.728817739726082</v>
      </c>
      <c r="BC84" s="122"/>
      <c r="BD84" s="122"/>
      <c r="BE84" s="122"/>
      <c r="BF84" s="122"/>
      <c r="BH84" s="122"/>
      <c r="BI84" s="122"/>
      <c r="BJ84" s="122"/>
      <c r="BK84" s="122"/>
      <c r="BM84" s="122"/>
      <c r="BN84" s="122"/>
      <c r="BO84" s="122"/>
      <c r="BP84" s="122"/>
      <c r="BR84" s="122"/>
      <c r="BS84" s="122"/>
      <c r="BT84" s="122"/>
      <c r="BU84" s="122"/>
      <c r="BV84" s="439"/>
      <c r="BW84" s="120">
        <f t="shared" si="32"/>
        <v>13465380.93</v>
      </c>
      <c r="BX84" s="121">
        <v>4.2500000000000003E-2</v>
      </c>
      <c r="BY84" s="121">
        <f t="shared" si="33"/>
        <v>4.1419451289522492E-2</v>
      </c>
      <c r="BZ84" s="120">
        <f t="shared" si="34"/>
        <v>1536.8855877397259</v>
      </c>
      <c r="CA84" s="120">
        <f t="shared" si="35"/>
        <v>40.728817739726082</v>
      </c>
    </row>
    <row r="85" spans="2:79" x14ac:dyDescent="0.25">
      <c r="B85" s="123" t="str">
        <f t="shared" si="24"/>
        <v>3 2025</v>
      </c>
      <c r="C85" s="122">
        <f t="shared" si="25"/>
        <v>45737</v>
      </c>
      <c r="D85" s="122">
        <f t="shared" si="30"/>
        <v>45738</v>
      </c>
      <c r="E85" s="123">
        <f t="shared" si="26"/>
        <v>1</v>
      </c>
      <c r="F85" s="123" t="s">
        <v>7</v>
      </c>
      <c r="G85" s="124">
        <f t="shared" si="37"/>
        <v>5820000</v>
      </c>
      <c r="H85" s="125">
        <f t="shared" si="37"/>
        <v>0.04</v>
      </c>
      <c r="I85" s="124">
        <f t="shared" si="27"/>
        <v>646.66999999999996</v>
      </c>
      <c r="J85" s="124">
        <f t="shared" si="28"/>
        <v>86072.289999999979</v>
      </c>
      <c r="K85" s="9"/>
      <c r="L85" s="11"/>
      <c r="M85" s="293"/>
      <c r="N85" s="97"/>
      <c r="O85" s="293"/>
      <c r="P85" s="304"/>
      <c r="Q85" s="304"/>
      <c r="S85" s="11"/>
      <c r="T85" s="293"/>
      <c r="U85" s="97"/>
      <c r="V85" s="293"/>
      <c r="W85" s="304"/>
      <c r="X85" s="304"/>
      <c r="Z85" s="11"/>
      <c r="AA85" s="293"/>
      <c r="AB85" s="97"/>
      <c r="AC85" s="293"/>
      <c r="AD85" s="304"/>
      <c r="AE85" s="304"/>
      <c r="AG85" s="11"/>
      <c r="AH85" s="293"/>
      <c r="AI85" s="97"/>
      <c r="AJ85" s="293"/>
      <c r="AK85" s="304"/>
      <c r="AL85" s="304"/>
      <c r="AN85" s="9"/>
      <c r="AO85" s="9"/>
      <c r="AP85" s="9"/>
      <c r="AQ85" s="9"/>
      <c r="AR85" s="9"/>
      <c r="AS85" s="9"/>
      <c r="AT85" s="123">
        <v>1</v>
      </c>
      <c r="AU85" s="123" t="s">
        <v>32</v>
      </c>
      <c r="AV85" s="124">
        <v>7643271.1500000004</v>
      </c>
      <c r="AW85" s="139">
        <v>4.2500000000000003E-2</v>
      </c>
      <c r="AX85" s="123"/>
      <c r="AY85" s="140">
        <f t="shared" si="36"/>
        <v>889.96992842465761</v>
      </c>
      <c r="AZ85" s="140">
        <f t="shared" si="31"/>
        <v>98900.376678335393</v>
      </c>
      <c r="BA85" s="140">
        <f t="shared" si="29"/>
        <v>40.717578424657518</v>
      </c>
      <c r="BC85" s="122"/>
      <c r="BD85" s="122"/>
      <c r="BE85" s="122"/>
      <c r="BF85" s="122"/>
      <c r="BH85" s="122"/>
      <c r="BI85" s="122"/>
      <c r="BJ85" s="122"/>
      <c r="BK85" s="122"/>
      <c r="BM85" s="122"/>
      <c r="BN85" s="122"/>
      <c r="BO85" s="122"/>
      <c r="BP85" s="122"/>
      <c r="BR85" s="122"/>
      <c r="BS85" s="122"/>
      <c r="BT85" s="122"/>
      <c r="BU85" s="122"/>
      <c r="BV85" s="439"/>
      <c r="BW85" s="120">
        <f t="shared" si="32"/>
        <v>13463271.15</v>
      </c>
      <c r="BX85" s="121">
        <v>4.2500000000000003E-2</v>
      </c>
      <c r="BY85" s="121">
        <f t="shared" si="33"/>
        <v>4.1419281960684562E-2</v>
      </c>
      <c r="BZ85" s="120">
        <f t="shared" si="34"/>
        <v>1536.6399284246577</v>
      </c>
      <c r="CA85" s="120">
        <f t="shared" si="35"/>
        <v>40.717578424657518</v>
      </c>
    </row>
    <row r="86" spans="2:79" x14ac:dyDescent="0.25">
      <c r="B86" s="123" t="str">
        <f t="shared" si="24"/>
        <v>3 2025</v>
      </c>
      <c r="C86" s="122">
        <f t="shared" si="25"/>
        <v>45738</v>
      </c>
      <c r="D86" s="122">
        <f t="shared" si="30"/>
        <v>45739</v>
      </c>
      <c r="E86" s="123">
        <f t="shared" si="26"/>
        <v>1</v>
      </c>
      <c r="F86" s="123" t="s">
        <v>7</v>
      </c>
      <c r="G86" s="124">
        <f t="shared" si="37"/>
        <v>5820000</v>
      </c>
      <c r="H86" s="125">
        <f t="shared" si="37"/>
        <v>0.04</v>
      </c>
      <c r="I86" s="124">
        <f t="shared" si="27"/>
        <v>646.66999999999996</v>
      </c>
      <c r="J86" s="124">
        <f t="shared" si="28"/>
        <v>86718.959999999977</v>
      </c>
      <c r="K86" s="9"/>
      <c r="L86" s="11"/>
      <c r="M86" s="293"/>
      <c r="N86" s="97"/>
      <c r="O86" s="293"/>
      <c r="P86" s="304"/>
      <c r="Q86" s="304"/>
      <c r="S86" s="11"/>
      <c r="T86" s="293"/>
      <c r="U86" s="97"/>
      <c r="V86" s="293"/>
      <c r="W86" s="304"/>
      <c r="X86" s="304"/>
      <c r="Z86" s="11"/>
      <c r="AA86" s="293"/>
      <c r="AB86" s="97"/>
      <c r="AC86" s="293"/>
      <c r="AD86" s="304"/>
      <c r="AE86" s="304"/>
      <c r="AG86" s="11"/>
      <c r="AH86" s="293"/>
      <c r="AI86" s="97"/>
      <c r="AJ86" s="293"/>
      <c r="AK86" s="304"/>
      <c r="AL86" s="304"/>
      <c r="AN86" s="9"/>
      <c r="AO86" s="9"/>
      <c r="AP86" s="9"/>
      <c r="AQ86" s="9"/>
      <c r="AR86" s="9"/>
      <c r="AS86" s="9"/>
      <c r="AT86" s="123">
        <v>1</v>
      </c>
      <c r="AU86" s="123" t="s">
        <v>32</v>
      </c>
      <c r="AV86" s="124">
        <v>7643271.1500000004</v>
      </c>
      <c r="AW86" s="139">
        <v>4.2500000000000003E-2</v>
      </c>
      <c r="AX86" s="123"/>
      <c r="AY86" s="140">
        <f t="shared" si="36"/>
        <v>889.96992842465761</v>
      </c>
      <c r="AZ86" s="140">
        <f t="shared" si="31"/>
        <v>99790.346606760053</v>
      </c>
      <c r="BA86" s="140">
        <f t="shared" si="29"/>
        <v>40.717578424657518</v>
      </c>
      <c r="BC86" s="122"/>
      <c r="BD86" s="122"/>
      <c r="BE86" s="122"/>
      <c r="BF86" s="122"/>
      <c r="BH86" s="122"/>
      <c r="BI86" s="122"/>
      <c r="BJ86" s="122"/>
      <c r="BK86" s="122"/>
      <c r="BM86" s="122"/>
      <c r="BN86" s="122"/>
      <c r="BO86" s="122"/>
      <c r="BP86" s="122"/>
      <c r="BR86" s="122"/>
      <c r="BS86" s="122"/>
      <c r="BT86" s="122"/>
      <c r="BU86" s="122"/>
      <c r="BV86" s="439"/>
      <c r="BW86" s="120">
        <f t="shared" si="32"/>
        <v>13463271.15</v>
      </c>
      <c r="BX86" s="121">
        <v>4.2500000000000003E-2</v>
      </c>
      <c r="BY86" s="121">
        <f t="shared" si="33"/>
        <v>4.1419281960684562E-2</v>
      </c>
      <c r="BZ86" s="120">
        <f t="shared" si="34"/>
        <v>1536.6399284246577</v>
      </c>
      <c r="CA86" s="120">
        <f t="shared" si="35"/>
        <v>40.717578424657518</v>
      </c>
    </row>
    <row r="87" spans="2:79" x14ac:dyDescent="0.25">
      <c r="B87" s="123" t="str">
        <f t="shared" si="24"/>
        <v>3 2025</v>
      </c>
      <c r="C87" s="122">
        <f t="shared" si="25"/>
        <v>45739</v>
      </c>
      <c r="D87" s="122">
        <f t="shared" si="30"/>
        <v>45740</v>
      </c>
      <c r="E87" s="123">
        <f t="shared" si="26"/>
        <v>1</v>
      </c>
      <c r="F87" s="123" t="s">
        <v>7</v>
      </c>
      <c r="G87" s="124">
        <f t="shared" si="37"/>
        <v>5820000</v>
      </c>
      <c r="H87" s="125">
        <f t="shared" si="37"/>
        <v>0.04</v>
      </c>
      <c r="I87" s="124">
        <f t="shared" si="27"/>
        <v>646.66999999999996</v>
      </c>
      <c r="J87" s="124">
        <f t="shared" si="28"/>
        <v>87365.629999999976</v>
      </c>
      <c r="K87" s="9"/>
      <c r="L87" s="11"/>
      <c r="M87" s="293"/>
      <c r="N87" s="97"/>
      <c r="O87" s="293"/>
      <c r="P87" s="304"/>
      <c r="Q87" s="304"/>
      <c r="S87" s="11"/>
      <c r="T87" s="293"/>
      <c r="U87" s="97"/>
      <c r="V87" s="293"/>
      <c r="W87" s="304"/>
      <c r="X87" s="304"/>
      <c r="Z87" s="11"/>
      <c r="AA87" s="293"/>
      <c r="AB87" s="97"/>
      <c r="AC87" s="293"/>
      <c r="AD87" s="304"/>
      <c r="AE87" s="304"/>
      <c r="AG87" s="11"/>
      <c r="AH87" s="293"/>
      <c r="AI87" s="97"/>
      <c r="AJ87" s="293"/>
      <c r="AK87" s="304"/>
      <c r="AL87" s="304"/>
      <c r="AN87" s="9"/>
      <c r="AO87" s="9"/>
      <c r="AP87" s="9"/>
      <c r="AQ87" s="9"/>
      <c r="AR87" s="9"/>
      <c r="AS87" s="9"/>
      <c r="AT87" s="123">
        <v>1</v>
      </c>
      <c r="AU87" s="123" t="s">
        <v>32</v>
      </c>
      <c r="AV87" s="124">
        <v>7643271.1500000004</v>
      </c>
      <c r="AW87" s="139">
        <v>4.2500000000000003E-2</v>
      </c>
      <c r="AX87" s="123"/>
      <c r="AY87" s="140">
        <f t="shared" si="36"/>
        <v>889.96992842465761</v>
      </c>
      <c r="AZ87" s="140">
        <f t="shared" si="31"/>
        <v>100680.31653518471</v>
      </c>
      <c r="BA87" s="140">
        <f t="shared" si="29"/>
        <v>40.717578424657518</v>
      </c>
      <c r="BC87" s="122"/>
      <c r="BD87" s="122"/>
      <c r="BE87" s="122"/>
      <c r="BF87" s="122"/>
      <c r="BH87" s="122"/>
      <c r="BI87" s="122"/>
      <c r="BJ87" s="122"/>
      <c r="BK87" s="122"/>
      <c r="BM87" s="122"/>
      <c r="BN87" s="122"/>
      <c r="BO87" s="122"/>
      <c r="BP87" s="122"/>
      <c r="BR87" s="122"/>
      <c r="BS87" s="122"/>
      <c r="BT87" s="122"/>
      <c r="BU87" s="122"/>
      <c r="BV87" s="439"/>
      <c r="BW87" s="120">
        <f t="shared" si="32"/>
        <v>13463271.15</v>
      </c>
      <c r="BX87" s="121">
        <v>4.2500000000000003E-2</v>
      </c>
      <c r="BY87" s="121">
        <f t="shared" si="33"/>
        <v>4.1419281960684562E-2</v>
      </c>
      <c r="BZ87" s="120">
        <f t="shared" si="34"/>
        <v>1536.6399284246577</v>
      </c>
      <c r="CA87" s="120">
        <f t="shared" si="35"/>
        <v>40.717578424657518</v>
      </c>
    </row>
    <row r="88" spans="2:79" x14ac:dyDescent="0.25">
      <c r="B88" s="123" t="str">
        <f t="shared" si="24"/>
        <v>3 2025</v>
      </c>
      <c r="C88" s="122">
        <f t="shared" si="25"/>
        <v>45740</v>
      </c>
      <c r="D88" s="122">
        <f t="shared" si="30"/>
        <v>45741</v>
      </c>
      <c r="E88" s="123">
        <f t="shared" si="26"/>
        <v>1</v>
      </c>
      <c r="F88" s="123" t="s">
        <v>7</v>
      </c>
      <c r="G88" s="124">
        <f t="shared" ref="G88:H103" si="38">G87</f>
        <v>5820000</v>
      </c>
      <c r="H88" s="125">
        <f t="shared" si="38"/>
        <v>0.04</v>
      </c>
      <c r="I88" s="124">
        <f t="shared" si="27"/>
        <v>646.66999999999996</v>
      </c>
      <c r="J88" s="124">
        <f t="shared" si="28"/>
        <v>88012.299999999974</v>
      </c>
      <c r="K88" s="9"/>
      <c r="L88" s="11"/>
      <c r="M88" s="293"/>
      <c r="N88" s="97"/>
      <c r="O88" s="293"/>
      <c r="P88" s="304"/>
      <c r="Q88" s="304"/>
      <c r="S88" s="11"/>
      <c r="T88" s="293"/>
      <c r="U88" s="97"/>
      <c r="V88" s="293"/>
      <c r="W88" s="304"/>
      <c r="X88" s="304"/>
      <c r="Z88" s="11"/>
      <c r="AA88" s="293"/>
      <c r="AB88" s="97"/>
      <c r="AC88" s="293"/>
      <c r="AD88" s="304"/>
      <c r="AE88" s="304"/>
      <c r="AG88" s="11"/>
      <c r="AH88" s="293"/>
      <c r="AI88" s="97"/>
      <c r="AJ88" s="293"/>
      <c r="AK88" s="304"/>
      <c r="AL88" s="304"/>
      <c r="AN88" s="9"/>
      <c r="AO88" s="9"/>
      <c r="AP88" s="9"/>
      <c r="AQ88" s="9"/>
      <c r="AR88" s="9"/>
      <c r="AS88" s="9"/>
      <c r="AT88" s="123">
        <v>1</v>
      </c>
      <c r="AU88" s="123" t="s">
        <v>32</v>
      </c>
      <c r="AV88" s="124">
        <v>7639015.6600000001</v>
      </c>
      <c r="AW88" s="139">
        <v>4.2500000000000003E-2</v>
      </c>
      <c r="AX88" s="123"/>
      <c r="AY88" s="140">
        <f t="shared" si="36"/>
        <v>889.47442616438366</v>
      </c>
      <c r="AZ88" s="140">
        <f t="shared" si="31"/>
        <v>101569.79096134909</v>
      </c>
      <c r="BA88" s="140">
        <f t="shared" si="29"/>
        <v>40.694908386605903</v>
      </c>
      <c r="BC88" s="122"/>
      <c r="BD88" s="122"/>
      <c r="BE88" s="122"/>
      <c r="BF88" s="122"/>
      <c r="BH88" s="122"/>
      <c r="BI88" s="122"/>
      <c r="BJ88" s="122"/>
      <c r="BK88" s="122"/>
      <c r="BM88" s="122"/>
      <c r="BN88" s="122"/>
      <c r="BO88" s="122"/>
      <c r="BP88" s="122"/>
      <c r="BR88" s="122"/>
      <c r="BS88" s="122"/>
      <c r="BT88" s="122"/>
      <c r="BU88" s="122"/>
      <c r="BV88" s="439"/>
      <c r="BW88" s="120">
        <f t="shared" si="32"/>
        <v>13459015.66</v>
      </c>
      <c r="BX88" s="121">
        <v>4.2500000000000003E-2</v>
      </c>
      <c r="BY88" s="121">
        <f t="shared" si="33"/>
        <v>4.1418940257775136E-2</v>
      </c>
      <c r="BZ88" s="120">
        <f t="shared" si="34"/>
        <v>1536.1444261643837</v>
      </c>
      <c r="CA88" s="120">
        <f t="shared" si="35"/>
        <v>40.694908386605903</v>
      </c>
    </row>
    <row r="89" spans="2:79" x14ac:dyDescent="0.25">
      <c r="B89" s="123" t="str">
        <f t="shared" si="24"/>
        <v>3 2025</v>
      </c>
      <c r="C89" s="122">
        <f t="shared" si="25"/>
        <v>45741</v>
      </c>
      <c r="D89" s="122">
        <f t="shared" si="30"/>
        <v>45742</v>
      </c>
      <c r="E89" s="123">
        <f t="shared" si="26"/>
        <v>1</v>
      </c>
      <c r="F89" s="123" t="s">
        <v>7</v>
      </c>
      <c r="G89" s="124">
        <f t="shared" si="38"/>
        <v>5820000</v>
      </c>
      <c r="H89" s="125">
        <f t="shared" si="38"/>
        <v>0.04</v>
      </c>
      <c r="I89" s="124">
        <f t="shared" si="27"/>
        <v>646.66999999999996</v>
      </c>
      <c r="J89" s="124">
        <f t="shared" si="28"/>
        <v>88658.969999999972</v>
      </c>
      <c r="K89" s="9"/>
      <c r="L89" s="11"/>
      <c r="M89" s="293"/>
      <c r="N89" s="97"/>
      <c r="O89" s="293"/>
      <c r="P89" s="304"/>
      <c r="Q89" s="304"/>
      <c r="S89" s="11"/>
      <c r="T89" s="293"/>
      <c r="U89" s="97"/>
      <c r="V89" s="293"/>
      <c r="W89" s="304"/>
      <c r="X89" s="304"/>
      <c r="Z89" s="11"/>
      <c r="AA89" s="293"/>
      <c r="AB89" s="97"/>
      <c r="AC89" s="293"/>
      <c r="AD89" s="304"/>
      <c r="AE89" s="304"/>
      <c r="AG89" s="11"/>
      <c r="AH89" s="293"/>
      <c r="AI89" s="97"/>
      <c r="AJ89" s="293"/>
      <c r="AK89" s="304"/>
      <c r="AL89" s="304"/>
      <c r="AN89" s="9"/>
      <c r="AO89" s="9"/>
      <c r="AP89" s="9"/>
      <c r="AQ89" s="9"/>
      <c r="AR89" s="9"/>
      <c r="AS89" s="9"/>
      <c r="AT89" s="123">
        <v>1</v>
      </c>
      <c r="AU89" s="123" t="s">
        <v>32</v>
      </c>
      <c r="AV89" s="124">
        <v>7639905.1299999999</v>
      </c>
      <c r="AW89" s="139">
        <v>4.2500000000000003E-2</v>
      </c>
      <c r="AX89" s="123"/>
      <c r="AY89" s="140">
        <f t="shared" si="36"/>
        <v>889.57799458904117</v>
      </c>
      <c r="AZ89" s="140">
        <f t="shared" si="31"/>
        <v>102459.36895593813</v>
      </c>
      <c r="BA89" s="140">
        <f t="shared" si="29"/>
        <v>40.699646811263278</v>
      </c>
      <c r="BC89" s="122"/>
      <c r="BD89" s="122"/>
      <c r="BE89" s="122"/>
      <c r="BF89" s="122"/>
      <c r="BH89" s="122"/>
      <c r="BI89" s="122"/>
      <c r="BJ89" s="122"/>
      <c r="BK89" s="122"/>
      <c r="BM89" s="122"/>
      <c r="BN89" s="122"/>
      <c r="BO89" s="122"/>
      <c r="BP89" s="122"/>
      <c r="BR89" s="122"/>
      <c r="BS89" s="122"/>
      <c r="BT89" s="122"/>
      <c r="BU89" s="122"/>
      <c r="BV89" s="439"/>
      <c r="BW89" s="120">
        <f t="shared" si="32"/>
        <v>13459905.129999999</v>
      </c>
      <c r="BX89" s="121">
        <v>4.2500000000000003E-2</v>
      </c>
      <c r="BY89" s="121">
        <f t="shared" si="33"/>
        <v>4.1419011697372943E-2</v>
      </c>
      <c r="BZ89" s="120">
        <f t="shared" si="34"/>
        <v>1536.2479945890411</v>
      </c>
      <c r="CA89" s="120">
        <f t="shared" si="35"/>
        <v>40.699646811263278</v>
      </c>
    </row>
    <row r="90" spans="2:79" x14ac:dyDescent="0.25">
      <c r="B90" s="123" t="str">
        <f t="shared" si="24"/>
        <v>3 2025</v>
      </c>
      <c r="C90" s="122">
        <f t="shared" si="25"/>
        <v>45742</v>
      </c>
      <c r="D90" s="122">
        <f t="shared" si="30"/>
        <v>45743</v>
      </c>
      <c r="E90" s="123">
        <f t="shared" si="26"/>
        <v>1</v>
      </c>
      <c r="F90" s="123" t="s">
        <v>7</v>
      </c>
      <c r="G90" s="124">
        <f t="shared" si="38"/>
        <v>5820000</v>
      </c>
      <c r="H90" s="125">
        <f t="shared" si="38"/>
        <v>0.04</v>
      </c>
      <c r="I90" s="124">
        <f t="shared" si="27"/>
        <v>646.66999999999996</v>
      </c>
      <c r="J90" s="124">
        <f t="shared" si="28"/>
        <v>89305.63999999997</v>
      </c>
      <c r="K90" s="9"/>
      <c r="L90" s="11"/>
      <c r="M90" s="293"/>
      <c r="N90" s="97"/>
      <c r="O90" s="293"/>
      <c r="P90" s="304"/>
      <c r="Q90" s="304"/>
      <c r="S90" s="11"/>
      <c r="T90" s="293"/>
      <c r="U90" s="97"/>
      <c r="V90" s="293"/>
      <c r="W90" s="304"/>
      <c r="X90" s="304"/>
      <c r="Z90" s="11"/>
      <c r="AA90" s="293"/>
      <c r="AB90" s="97"/>
      <c r="AC90" s="293"/>
      <c r="AD90" s="304"/>
      <c r="AE90" s="304"/>
      <c r="AG90" s="11"/>
      <c r="AH90" s="293"/>
      <c r="AI90" s="97"/>
      <c r="AJ90" s="293"/>
      <c r="AK90" s="304"/>
      <c r="AL90" s="304"/>
      <c r="AN90" s="9"/>
      <c r="AO90" s="9"/>
      <c r="AP90" s="9"/>
      <c r="AQ90" s="9"/>
      <c r="AR90" s="9"/>
      <c r="AS90" s="9"/>
      <c r="AT90" s="123">
        <v>1</v>
      </c>
      <c r="AU90" s="123" t="s">
        <v>32</v>
      </c>
      <c r="AV90" s="124">
        <v>7640352.25</v>
      </c>
      <c r="AW90" s="139">
        <v>4.2500000000000003E-2</v>
      </c>
      <c r="AX90" s="123"/>
      <c r="AY90" s="140">
        <f t="shared" si="36"/>
        <v>889.63005650684931</v>
      </c>
      <c r="AZ90" s="140">
        <f t="shared" si="31"/>
        <v>103348.99901244498</v>
      </c>
      <c r="BA90" s="140">
        <f t="shared" si="29"/>
        <v>40.702028729071458</v>
      </c>
      <c r="BC90" s="122"/>
      <c r="BD90" s="122"/>
      <c r="BE90" s="122"/>
      <c r="BF90" s="122"/>
      <c r="BH90" s="122"/>
      <c r="BI90" s="122"/>
      <c r="BJ90" s="122"/>
      <c r="BK90" s="122"/>
      <c r="BM90" s="122"/>
      <c r="BN90" s="122"/>
      <c r="BO90" s="122"/>
      <c r="BP90" s="122"/>
      <c r="BR90" s="122"/>
      <c r="BS90" s="122"/>
      <c r="BT90" s="122"/>
      <c r="BU90" s="122"/>
      <c r="BV90" s="439"/>
      <c r="BW90" s="120">
        <f t="shared" si="32"/>
        <v>13460352.25</v>
      </c>
      <c r="BX90" s="121">
        <v>4.2500000000000003E-2</v>
      </c>
      <c r="BY90" s="121">
        <f t="shared" si="33"/>
        <v>4.1419047605162046E-2</v>
      </c>
      <c r="BZ90" s="120">
        <f t="shared" si="34"/>
        <v>1536.3000565068492</v>
      </c>
      <c r="CA90" s="120">
        <f t="shared" si="35"/>
        <v>40.702028729071458</v>
      </c>
    </row>
    <row r="91" spans="2:79" x14ac:dyDescent="0.25">
      <c r="B91" s="123" t="str">
        <f t="shared" si="24"/>
        <v>3 2025</v>
      </c>
      <c r="C91" s="122">
        <f t="shared" si="25"/>
        <v>45743</v>
      </c>
      <c r="D91" s="122">
        <f t="shared" si="30"/>
        <v>45744</v>
      </c>
      <c r="E91" s="123">
        <f t="shared" si="26"/>
        <v>1</v>
      </c>
      <c r="F91" s="123" t="s">
        <v>7</v>
      </c>
      <c r="G91" s="136">
        <f>G90-310000</f>
        <v>5510000</v>
      </c>
      <c r="H91" s="125">
        <f t="shared" si="38"/>
        <v>0.04</v>
      </c>
      <c r="I91" s="124">
        <f t="shared" si="27"/>
        <v>612.22</v>
      </c>
      <c r="J91" s="124">
        <f t="shared" si="28"/>
        <v>89917.859999999971</v>
      </c>
      <c r="K91" s="9"/>
      <c r="L91" s="11"/>
      <c r="M91" s="293"/>
      <c r="N91" s="97"/>
      <c r="O91" s="293"/>
      <c r="P91" s="304"/>
      <c r="Q91" s="304"/>
      <c r="S91" s="11"/>
      <c r="T91" s="293"/>
      <c r="U91" s="97"/>
      <c r="V91" s="293"/>
      <c r="W91" s="304"/>
      <c r="X91" s="304"/>
      <c r="Z91" s="11"/>
      <c r="AA91" s="293"/>
      <c r="AB91" s="97"/>
      <c r="AC91" s="293"/>
      <c r="AD91" s="304"/>
      <c r="AE91" s="304"/>
      <c r="AG91" s="11"/>
      <c r="AH91" s="293"/>
      <c r="AI91" s="97"/>
      <c r="AJ91" s="293"/>
      <c r="AK91" s="304"/>
      <c r="AL91" s="304"/>
      <c r="AN91" s="9"/>
      <c r="AO91" s="9"/>
      <c r="AP91" s="9"/>
      <c r="AQ91" s="9"/>
      <c r="AR91" s="9"/>
      <c r="AS91" s="9"/>
      <c r="AT91" s="123">
        <v>1</v>
      </c>
      <c r="AU91" s="123" t="s">
        <v>32</v>
      </c>
      <c r="AV91" s="124">
        <v>7622512.0199999996</v>
      </c>
      <c r="AW91" s="139">
        <v>4.2500000000000003E-2</v>
      </c>
      <c r="AX91" s="123"/>
      <c r="AY91" s="140">
        <f t="shared" si="36"/>
        <v>887.5527694520548</v>
      </c>
      <c r="AZ91" s="140">
        <f t="shared" si="31"/>
        <v>104236.55178189704</v>
      </c>
      <c r="BA91" s="140">
        <f t="shared" si="29"/>
        <v>40.606989452054904</v>
      </c>
      <c r="BC91" s="122"/>
      <c r="BD91" s="122"/>
      <c r="BE91" s="122"/>
      <c r="BF91" s="122"/>
      <c r="BH91" s="122"/>
      <c r="BI91" s="122"/>
      <c r="BJ91" s="122"/>
      <c r="BK91" s="122"/>
      <c r="BM91" s="122"/>
      <c r="BN91" s="122"/>
      <c r="BO91" s="122"/>
      <c r="BP91" s="122"/>
      <c r="BR91" s="122"/>
      <c r="BS91" s="122"/>
      <c r="BT91" s="122"/>
      <c r="BU91" s="122"/>
      <c r="BV91" s="439"/>
      <c r="BW91" s="120">
        <f t="shared" si="32"/>
        <v>13132512.02</v>
      </c>
      <c r="BX91" s="121">
        <v>4.2500000000000003E-2</v>
      </c>
      <c r="BY91" s="121">
        <f t="shared" si="33"/>
        <v>4.1451076535926903E-2</v>
      </c>
      <c r="BZ91" s="120">
        <f t="shared" si="34"/>
        <v>1499.7727694520549</v>
      </c>
      <c r="CA91" s="120">
        <f t="shared" si="35"/>
        <v>40.606989452054904</v>
      </c>
    </row>
    <row r="92" spans="2:79" x14ac:dyDescent="0.25">
      <c r="B92" s="123" t="str">
        <f t="shared" si="24"/>
        <v>3 2025</v>
      </c>
      <c r="C92" s="122">
        <f t="shared" si="25"/>
        <v>45744</v>
      </c>
      <c r="D92" s="122">
        <f t="shared" si="30"/>
        <v>45745</v>
      </c>
      <c r="E92" s="123">
        <f t="shared" si="26"/>
        <v>1</v>
      </c>
      <c r="F92" s="123" t="s">
        <v>7</v>
      </c>
      <c r="G92" s="124">
        <f t="shared" si="38"/>
        <v>5510000</v>
      </c>
      <c r="H92" s="125">
        <f t="shared" si="38"/>
        <v>0.04</v>
      </c>
      <c r="I92" s="124">
        <f t="shared" si="27"/>
        <v>612.22</v>
      </c>
      <c r="J92" s="124">
        <f t="shared" si="28"/>
        <v>90530.079999999973</v>
      </c>
      <c r="K92" s="9"/>
      <c r="L92" s="11"/>
      <c r="M92" s="293"/>
      <c r="N92" s="97"/>
      <c r="O92" s="293"/>
      <c r="P92" s="304"/>
      <c r="Q92" s="304"/>
      <c r="S92" s="11"/>
      <c r="T92" s="293"/>
      <c r="U92" s="97"/>
      <c r="V92" s="293"/>
      <c r="W92" s="304"/>
      <c r="X92" s="304"/>
      <c r="Z92" s="11"/>
      <c r="AA92" s="293"/>
      <c r="AB92" s="97"/>
      <c r="AC92" s="293"/>
      <c r="AD92" s="304"/>
      <c r="AE92" s="304"/>
      <c r="AG92" s="11"/>
      <c r="AH92" s="293"/>
      <c r="AI92" s="97"/>
      <c r="AJ92" s="293"/>
      <c r="AK92" s="304"/>
      <c r="AL92" s="304"/>
      <c r="AN92" s="9"/>
      <c r="AO92" s="9"/>
      <c r="AP92" s="9"/>
      <c r="AQ92" s="9"/>
      <c r="AR92" s="9"/>
      <c r="AS92" s="9"/>
      <c r="AT92" s="123">
        <v>1</v>
      </c>
      <c r="AU92" s="123" t="s">
        <v>32</v>
      </c>
      <c r="AV92" s="124">
        <v>7623399.5700000003</v>
      </c>
      <c r="AW92" s="139">
        <v>4.2500000000000003E-2</v>
      </c>
      <c r="AX92" s="123"/>
      <c r="AY92" s="140">
        <f t="shared" si="36"/>
        <v>887.65611431506852</v>
      </c>
      <c r="AZ92" s="140">
        <f t="shared" si="31"/>
        <v>105124.20789621212</v>
      </c>
      <c r="BA92" s="140">
        <f t="shared" si="29"/>
        <v>40.61171764840185</v>
      </c>
      <c r="BC92" s="122"/>
      <c r="BD92" s="122"/>
      <c r="BE92" s="122"/>
      <c r="BF92" s="122"/>
      <c r="BH92" s="122"/>
      <c r="BI92" s="122"/>
      <c r="BJ92" s="122"/>
      <c r="BK92" s="122"/>
      <c r="BM92" s="122"/>
      <c r="BN92" s="122"/>
      <c r="BO92" s="122"/>
      <c r="BP92" s="122"/>
      <c r="BR92" s="122"/>
      <c r="BS92" s="122"/>
      <c r="BT92" s="122"/>
      <c r="BU92" s="122"/>
      <c r="BV92" s="439"/>
      <c r="BW92" s="120">
        <f t="shared" si="32"/>
        <v>13133399.57</v>
      </c>
      <c r="BX92" s="121">
        <v>4.2500000000000003E-2</v>
      </c>
      <c r="BY92" s="121">
        <f t="shared" si="33"/>
        <v>4.1451147421763861E-2</v>
      </c>
      <c r="BZ92" s="120">
        <f t="shared" si="34"/>
        <v>1499.8761143150687</v>
      </c>
      <c r="CA92" s="120">
        <f t="shared" si="35"/>
        <v>40.61171764840185</v>
      </c>
    </row>
    <row r="93" spans="2:79" x14ac:dyDescent="0.25">
      <c r="B93" s="123" t="str">
        <f t="shared" si="24"/>
        <v>3 2025</v>
      </c>
      <c r="C93" s="122">
        <f t="shared" si="25"/>
        <v>45745</v>
      </c>
      <c r="D93" s="122">
        <f t="shared" si="30"/>
        <v>45746</v>
      </c>
      <c r="E93" s="123">
        <f t="shared" si="26"/>
        <v>1</v>
      </c>
      <c r="F93" s="123" t="s">
        <v>7</v>
      </c>
      <c r="G93" s="124">
        <f t="shared" si="38"/>
        <v>5510000</v>
      </c>
      <c r="H93" s="125">
        <f t="shared" si="38"/>
        <v>0.04</v>
      </c>
      <c r="I93" s="124">
        <f t="shared" si="27"/>
        <v>612.22</v>
      </c>
      <c r="J93" s="124">
        <f t="shared" si="28"/>
        <v>91142.299999999974</v>
      </c>
      <c r="K93" s="9"/>
      <c r="L93" s="11"/>
      <c r="M93" s="293"/>
      <c r="N93" s="97"/>
      <c r="O93" s="293"/>
      <c r="P93" s="304"/>
      <c r="Q93" s="304"/>
      <c r="S93" s="11"/>
      <c r="T93" s="293"/>
      <c r="U93" s="97"/>
      <c r="V93" s="293"/>
      <c r="W93" s="304"/>
      <c r="X93" s="304"/>
      <c r="Z93" s="11"/>
      <c r="AA93" s="293"/>
      <c r="AB93" s="97"/>
      <c r="AC93" s="293"/>
      <c r="AD93" s="304"/>
      <c r="AE93" s="304"/>
      <c r="AG93" s="11"/>
      <c r="AH93" s="293"/>
      <c r="AI93" s="97"/>
      <c r="AJ93" s="293"/>
      <c r="AK93" s="304"/>
      <c r="AL93" s="304"/>
      <c r="AN93" s="9"/>
      <c r="AO93" s="9"/>
      <c r="AP93" s="9"/>
      <c r="AQ93" s="9"/>
      <c r="AR93" s="9"/>
      <c r="AS93" s="9"/>
      <c r="AT93" s="123">
        <v>1</v>
      </c>
      <c r="AU93" s="123" t="s">
        <v>32</v>
      </c>
      <c r="AV93" s="124">
        <v>7623399.5700000003</v>
      </c>
      <c r="AW93" s="139">
        <v>4.2500000000000003E-2</v>
      </c>
      <c r="AX93" s="123"/>
      <c r="AY93" s="140">
        <f t="shared" si="36"/>
        <v>887.65611431506852</v>
      </c>
      <c r="AZ93" s="140">
        <f t="shared" si="31"/>
        <v>106011.86401052719</v>
      </c>
      <c r="BA93" s="140">
        <f t="shared" si="29"/>
        <v>40.61171764840185</v>
      </c>
      <c r="BC93" s="122"/>
      <c r="BD93" s="122"/>
      <c r="BE93" s="122"/>
      <c r="BF93" s="122"/>
      <c r="BH93" s="122"/>
      <c r="BI93" s="122"/>
      <c r="BJ93" s="122"/>
      <c r="BK93" s="122"/>
      <c r="BM93" s="122"/>
      <c r="BN93" s="122"/>
      <c r="BO93" s="122"/>
      <c r="BP93" s="122"/>
      <c r="BR93" s="122"/>
      <c r="BS93" s="122"/>
      <c r="BT93" s="122"/>
      <c r="BU93" s="122"/>
      <c r="BV93" s="439"/>
      <c r="BW93" s="120">
        <f t="shared" si="32"/>
        <v>13133399.57</v>
      </c>
      <c r="BX93" s="121">
        <v>4.2500000000000003E-2</v>
      </c>
      <c r="BY93" s="121">
        <f t="shared" si="33"/>
        <v>4.1451147421763861E-2</v>
      </c>
      <c r="BZ93" s="120">
        <f t="shared" si="34"/>
        <v>1499.8761143150687</v>
      </c>
      <c r="CA93" s="120">
        <f t="shared" si="35"/>
        <v>40.61171764840185</v>
      </c>
    </row>
    <row r="94" spans="2:79" x14ac:dyDescent="0.25">
      <c r="B94" s="148" t="str">
        <f t="shared" si="24"/>
        <v>3 2025</v>
      </c>
      <c r="C94" s="149">
        <f t="shared" si="25"/>
        <v>45746</v>
      </c>
      <c r="D94" s="149">
        <f t="shared" si="30"/>
        <v>45747</v>
      </c>
      <c r="E94" s="148">
        <f t="shared" si="26"/>
        <v>1</v>
      </c>
      <c r="F94" s="148" t="s">
        <v>7</v>
      </c>
      <c r="G94" s="150">
        <f t="shared" si="38"/>
        <v>5510000</v>
      </c>
      <c r="H94" s="151">
        <f t="shared" si="38"/>
        <v>0.04</v>
      </c>
      <c r="I94" s="150">
        <f t="shared" si="27"/>
        <v>612.22</v>
      </c>
      <c r="J94" s="150">
        <f t="shared" si="28"/>
        <v>91754.519999999975</v>
      </c>
      <c r="K94" s="202"/>
      <c r="L94" s="143"/>
      <c r="M94" s="419"/>
      <c r="N94" s="145"/>
      <c r="O94" s="419"/>
      <c r="P94" s="419"/>
      <c r="Q94" s="339"/>
      <c r="R94" s="203"/>
      <c r="S94" s="143"/>
      <c r="T94" s="419"/>
      <c r="U94" s="145"/>
      <c r="V94" s="419"/>
      <c r="W94" s="419"/>
      <c r="X94" s="339"/>
      <c r="Y94" s="203"/>
      <c r="Z94" s="143"/>
      <c r="AA94" s="419"/>
      <c r="AB94" s="145"/>
      <c r="AC94" s="419"/>
      <c r="AD94" s="419"/>
      <c r="AE94" s="339"/>
      <c r="AF94" s="203"/>
      <c r="AG94" s="143"/>
      <c r="AH94" s="419"/>
      <c r="AI94" s="145"/>
      <c r="AJ94" s="419"/>
      <c r="AK94" s="419"/>
      <c r="AL94" s="339"/>
      <c r="AM94" s="203"/>
      <c r="AN94" s="202"/>
      <c r="AO94" s="202"/>
      <c r="AP94" s="202"/>
      <c r="AQ94" s="202"/>
      <c r="AR94" s="202"/>
      <c r="AS94" s="202"/>
      <c r="AT94" s="204">
        <v>1</v>
      </c>
      <c r="AU94" s="204" t="s">
        <v>32</v>
      </c>
      <c r="AV94" s="205">
        <v>7623399.5700000003</v>
      </c>
      <c r="AW94" s="189">
        <v>4.2500000000000003E-2</v>
      </c>
      <c r="AX94" s="152"/>
      <c r="AY94" s="201">
        <f t="shared" si="36"/>
        <v>887.65611431506852</v>
      </c>
      <c r="AZ94" s="201">
        <f>AZ93+AY94-0.01</f>
        <v>106899.51012484227</v>
      </c>
      <c r="BA94" s="153">
        <f t="shared" si="29"/>
        <v>40.61171764840185</v>
      </c>
      <c r="BC94" s="122"/>
      <c r="BD94" s="122"/>
      <c r="BE94" s="122"/>
      <c r="BF94" s="122"/>
      <c r="BH94" s="122"/>
      <c r="BI94" s="122"/>
      <c r="BJ94" s="122"/>
      <c r="BK94" s="122"/>
      <c r="BM94" s="122"/>
      <c r="BN94" s="122"/>
      <c r="BO94" s="122"/>
      <c r="BP94" s="122"/>
      <c r="BR94" s="122"/>
      <c r="BS94" s="122"/>
      <c r="BT94" s="122"/>
      <c r="BU94" s="122"/>
      <c r="BV94" s="439"/>
      <c r="BW94" s="120">
        <f t="shared" si="32"/>
        <v>13133399.57</v>
      </c>
      <c r="BX94" s="173">
        <v>4.2500000000000003E-2</v>
      </c>
      <c r="BY94" s="121">
        <f t="shared" si="33"/>
        <v>4.1451147421763861E-2</v>
      </c>
      <c r="BZ94" s="120">
        <f t="shared" si="34"/>
        <v>1499.8761143150687</v>
      </c>
      <c r="CA94" s="120">
        <f t="shared" si="35"/>
        <v>40.61171764840185</v>
      </c>
    </row>
    <row r="95" spans="2:79" x14ac:dyDescent="0.25">
      <c r="B95" s="123" t="str">
        <f t="shared" si="24"/>
        <v>4 2025</v>
      </c>
      <c r="C95" s="122">
        <f t="shared" si="25"/>
        <v>45747</v>
      </c>
      <c r="D95" s="122">
        <f t="shared" si="30"/>
        <v>45748</v>
      </c>
      <c r="E95" s="123">
        <f t="shared" si="26"/>
        <v>1</v>
      </c>
      <c r="F95" s="123" t="s">
        <v>7</v>
      </c>
      <c r="G95" s="124">
        <f>G94</f>
        <v>5510000</v>
      </c>
      <c r="H95" s="125">
        <f t="shared" si="38"/>
        <v>0.04</v>
      </c>
      <c r="I95" s="124">
        <f t="shared" si="27"/>
        <v>612.22</v>
      </c>
      <c r="J95" s="124">
        <f t="shared" si="28"/>
        <v>92366.739999999976</v>
      </c>
      <c r="K95" s="9"/>
      <c r="L95" s="11"/>
      <c r="M95" s="293"/>
      <c r="N95" s="97"/>
      <c r="O95" s="293"/>
      <c r="P95" s="304"/>
      <c r="Q95" s="304"/>
      <c r="S95" s="11"/>
      <c r="T95" s="293"/>
      <c r="U95" s="97"/>
      <c r="V95" s="293"/>
      <c r="W95" s="304"/>
      <c r="X95" s="304"/>
      <c r="Z95" s="11"/>
      <c r="AA95" s="293"/>
      <c r="AB95" s="97"/>
      <c r="AC95" s="293"/>
      <c r="AD95" s="304"/>
      <c r="AE95" s="304"/>
      <c r="AG95" s="11"/>
      <c r="AH95" s="293"/>
      <c r="AI95" s="97"/>
      <c r="AJ95" s="293"/>
      <c r="AK95" s="304"/>
      <c r="AL95" s="304"/>
      <c r="AN95" s="9"/>
      <c r="AO95" s="9"/>
      <c r="AP95" s="9"/>
      <c r="AQ95" s="9"/>
      <c r="AR95" s="9"/>
      <c r="AS95" s="9"/>
      <c r="AT95" s="123">
        <v>1</v>
      </c>
      <c r="AU95" s="123" t="s">
        <v>32</v>
      </c>
      <c r="AV95" s="124">
        <v>7313550.4299999997</v>
      </c>
      <c r="AW95" s="139">
        <v>4.2500000000000003E-2</v>
      </c>
      <c r="AX95" s="123"/>
      <c r="AY95" s="140">
        <f t="shared" si="36"/>
        <v>851.57778979452064</v>
      </c>
      <c r="AZ95" s="140">
        <f t="shared" si="31"/>
        <v>107751.0879146368</v>
      </c>
      <c r="BA95" s="140">
        <f t="shared" si="29"/>
        <v>38.961075350076158</v>
      </c>
      <c r="BC95" s="122"/>
      <c r="BD95" s="122"/>
      <c r="BE95" s="122"/>
      <c r="BF95" s="122"/>
      <c r="BH95" s="122"/>
      <c r="BI95" s="122"/>
      <c r="BJ95" s="122"/>
      <c r="BK95" s="122"/>
      <c r="BM95" s="122"/>
      <c r="BN95" s="122"/>
      <c r="BO95" s="122"/>
      <c r="BP95" s="122"/>
      <c r="BR95" s="122"/>
      <c r="BS95" s="122"/>
      <c r="BT95" s="122"/>
      <c r="BU95" s="122"/>
      <c r="BV95" s="439"/>
      <c r="BW95" s="120">
        <f t="shared" si="32"/>
        <v>12823550.43</v>
      </c>
      <c r="BX95" s="121">
        <v>4.2500000000000003E-2</v>
      </c>
      <c r="BY95" s="121">
        <f t="shared" si="33"/>
        <v>4.1425804512939403E-2</v>
      </c>
      <c r="BZ95" s="120">
        <f t="shared" si="34"/>
        <v>1463.7977897945207</v>
      </c>
      <c r="CA95" s="120">
        <f t="shared" si="35"/>
        <v>38.961075350076158</v>
      </c>
    </row>
    <row r="96" spans="2:79" x14ac:dyDescent="0.25">
      <c r="B96" s="123" t="str">
        <f t="shared" si="24"/>
        <v>4 2025</v>
      </c>
      <c r="C96" s="122">
        <f t="shared" si="25"/>
        <v>45748</v>
      </c>
      <c r="D96" s="122">
        <f t="shared" si="30"/>
        <v>45749</v>
      </c>
      <c r="E96" s="123">
        <f t="shared" si="26"/>
        <v>1</v>
      </c>
      <c r="F96" s="123" t="s">
        <v>7</v>
      </c>
      <c r="G96" s="126">
        <f>G95+20000</f>
        <v>5530000</v>
      </c>
      <c r="H96" s="125">
        <f t="shared" si="38"/>
        <v>0.04</v>
      </c>
      <c r="I96" s="124">
        <f t="shared" si="27"/>
        <v>614.44000000000005</v>
      </c>
      <c r="J96" s="124">
        <f t="shared" si="28"/>
        <v>92981.179999999978</v>
      </c>
      <c r="K96" s="9"/>
      <c r="L96" s="11"/>
      <c r="M96" s="293"/>
      <c r="N96" s="97"/>
      <c r="O96" s="293"/>
      <c r="P96" s="304"/>
      <c r="Q96" s="304"/>
      <c r="S96" s="11"/>
      <c r="T96" s="293"/>
      <c r="U96" s="97"/>
      <c r="V96" s="293"/>
      <c r="W96" s="304"/>
      <c r="X96" s="304"/>
      <c r="Z96" s="11"/>
      <c r="AA96" s="293"/>
      <c r="AB96" s="97"/>
      <c r="AC96" s="293"/>
      <c r="AD96" s="304"/>
      <c r="AE96" s="304"/>
      <c r="AG96" s="11"/>
      <c r="AH96" s="293"/>
      <c r="AI96" s="97"/>
      <c r="AJ96" s="293"/>
      <c r="AK96" s="304"/>
      <c r="AL96" s="304"/>
      <c r="AN96" s="9"/>
      <c r="AO96" s="9"/>
      <c r="AP96" s="9"/>
      <c r="AQ96" s="9"/>
      <c r="AR96" s="9"/>
      <c r="AS96" s="9"/>
      <c r="AT96" s="123">
        <v>1</v>
      </c>
      <c r="AU96" s="123" t="s">
        <v>32</v>
      </c>
      <c r="AV96" s="124">
        <v>7314448.0999999996</v>
      </c>
      <c r="AW96" s="139">
        <v>4.2500000000000003E-2</v>
      </c>
      <c r="AX96" s="123"/>
      <c r="AY96" s="140">
        <f t="shared" si="36"/>
        <v>851.68231301369872</v>
      </c>
      <c r="AZ96" s="140">
        <f t="shared" si="31"/>
        <v>108602.7702276505</v>
      </c>
      <c r="BA96" s="140">
        <f t="shared" si="29"/>
        <v>38.965857458143205</v>
      </c>
      <c r="BC96" s="122"/>
      <c r="BD96" s="122"/>
      <c r="BE96" s="122"/>
      <c r="BF96" s="122"/>
      <c r="BH96" s="122"/>
      <c r="BI96" s="122"/>
      <c r="BJ96" s="122"/>
      <c r="BK96" s="122"/>
      <c r="BM96" s="122"/>
      <c r="BN96" s="122"/>
      <c r="BO96" s="122"/>
      <c r="BP96" s="122"/>
      <c r="BR96" s="122"/>
      <c r="BS96" s="122"/>
      <c r="BT96" s="122"/>
      <c r="BU96" s="122"/>
      <c r="BV96" s="439"/>
      <c r="BW96" s="120">
        <f t="shared" si="32"/>
        <v>12844448.1</v>
      </c>
      <c r="BX96" s="121">
        <v>4.2500000000000003E-2</v>
      </c>
      <c r="BY96" s="121">
        <f t="shared" si="33"/>
        <v>4.1423659475878928E-2</v>
      </c>
      <c r="BZ96" s="120">
        <f t="shared" si="34"/>
        <v>1466.1223130136987</v>
      </c>
      <c r="CA96" s="120">
        <f t="shared" si="35"/>
        <v>38.965857458143205</v>
      </c>
    </row>
    <row r="97" spans="2:79" x14ac:dyDescent="0.25">
      <c r="B97" s="123" t="str">
        <f t="shared" si="24"/>
        <v>4 2025</v>
      </c>
      <c r="C97" s="122">
        <f t="shared" si="25"/>
        <v>45749</v>
      </c>
      <c r="D97" s="122">
        <f t="shared" si="30"/>
        <v>45750</v>
      </c>
      <c r="E97" s="123">
        <f t="shared" si="26"/>
        <v>1</v>
      </c>
      <c r="F97" s="123" t="s">
        <v>7</v>
      </c>
      <c r="G97" s="124">
        <f t="shared" si="38"/>
        <v>5530000</v>
      </c>
      <c r="H97" s="125">
        <f t="shared" si="38"/>
        <v>0.04</v>
      </c>
      <c r="I97" s="124">
        <f t="shared" si="27"/>
        <v>614.44000000000005</v>
      </c>
      <c r="J97" s="124">
        <f t="shared" si="28"/>
        <v>93595.619999999981</v>
      </c>
      <c r="K97" s="9"/>
      <c r="L97" s="11"/>
      <c r="M97" s="293"/>
      <c r="N97" s="97"/>
      <c r="O97" s="293"/>
      <c r="P97" s="304"/>
      <c r="Q97" s="304"/>
      <c r="S97" s="11"/>
      <c r="T97" s="293"/>
      <c r="U97" s="97"/>
      <c r="V97" s="293"/>
      <c r="W97" s="304"/>
      <c r="X97" s="304"/>
      <c r="Z97" s="11"/>
      <c r="AA97" s="293"/>
      <c r="AB97" s="97"/>
      <c r="AC97" s="293"/>
      <c r="AD97" s="304"/>
      <c r="AE97" s="304"/>
      <c r="AG97" s="11"/>
      <c r="AH97" s="293"/>
      <c r="AI97" s="97"/>
      <c r="AJ97" s="293"/>
      <c r="AK97" s="304"/>
      <c r="AL97" s="304"/>
      <c r="AN97" s="9"/>
      <c r="AO97" s="9"/>
      <c r="AP97" s="9"/>
      <c r="AQ97" s="9"/>
      <c r="AR97" s="9"/>
      <c r="AS97" s="9"/>
      <c r="AT97" s="123">
        <v>1</v>
      </c>
      <c r="AU97" s="123" t="s">
        <v>32</v>
      </c>
      <c r="AV97" s="124">
        <v>7238466.0899999999</v>
      </c>
      <c r="AW97" s="139">
        <v>4.2500000000000003E-2</v>
      </c>
      <c r="AX97" s="123"/>
      <c r="AY97" s="140">
        <f t="shared" si="36"/>
        <v>842.83509267123293</v>
      </c>
      <c r="AZ97" s="140">
        <f t="shared" si="31"/>
        <v>109445.60532032173</v>
      </c>
      <c r="BA97" s="140">
        <f t="shared" si="29"/>
        <v>38.561082671232953</v>
      </c>
      <c r="BC97" s="122"/>
      <c r="BD97" s="122"/>
      <c r="BE97" s="122"/>
      <c r="BF97" s="122"/>
      <c r="BH97" s="122"/>
      <c r="BI97" s="122"/>
      <c r="BJ97" s="122"/>
      <c r="BK97" s="122"/>
      <c r="BM97" s="122"/>
      <c r="BN97" s="122"/>
      <c r="BO97" s="122"/>
      <c r="BP97" s="122"/>
      <c r="BR97" s="122"/>
      <c r="BS97" s="122"/>
      <c r="BT97" s="122"/>
      <c r="BU97" s="122"/>
      <c r="BV97" s="439"/>
      <c r="BW97" s="120">
        <f t="shared" si="32"/>
        <v>12768466.09</v>
      </c>
      <c r="BX97" s="121">
        <v>4.2500000000000003E-2</v>
      </c>
      <c r="BY97" s="121">
        <f t="shared" si="33"/>
        <v>4.1417254437412218E-2</v>
      </c>
      <c r="BZ97" s="120">
        <f t="shared" si="34"/>
        <v>1457.2750926712329</v>
      </c>
      <c r="CA97" s="120">
        <f t="shared" si="35"/>
        <v>38.561082671232953</v>
      </c>
    </row>
    <row r="98" spans="2:79" x14ac:dyDescent="0.25">
      <c r="B98" s="123" t="str">
        <f t="shared" si="24"/>
        <v>4 2025</v>
      </c>
      <c r="C98" s="122">
        <f t="shared" si="25"/>
        <v>45750</v>
      </c>
      <c r="D98" s="122">
        <f t="shared" si="30"/>
        <v>45751</v>
      </c>
      <c r="E98" s="123">
        <f t="shared" si="26"/>
        <v>1</v>
      </c>
      <c r="F98" s="123" t="s">
        <v>7</v>
      </c>
      <c r="G98" s="124">
        <f t="shared" si="38"/>
        <v>5530000</v>
      </c>
      <c r="H98" s="125">
        <f t="shared" si="38"/>
        <v>0.04</v>
      </c>
      <c r="I98" s="124">
        <f t="shared" si="27"/>
        <v>614.44000000000005</v>
      </c>
      <c r="J98" s="124">
        <f t="shared" si="28"/>
        <v>94210.059999999983</v>
      </c>
      <c r="K98" s="9"/>
      <c r="L98" s="11"/>
      <c r="M98" s="293"/>
      <c r="N98" s="97"/>
      <c r="O98" s="293"/>
      <c r="P98" s="304"/>
      <c r="Q98" s="304"/>
      <c r="S98" s="11"/>
      <c r="T98" s="293"/>
      <c r="U98" s="97"/>
      <c r="V98" s="293"/>
      <c r="W98" s="304"/>
      <c r="X98" s="304"/>
      <c r="Z98" s="11"/>
      <c r="AA98" s="293"/>
      <c r="AB98" s="97"/>
      <c r="AC98" s="293"/>
      <c r="AD98" s="304"/>
      <c r="AE98" s="304"/>
      <c r="AG98" s="11"/>
      <c r="AH98" s="293"/>
      <c r="AI98" s="97"/>
      <c r="AJ98" s="293"/>
      <c r="AK98" s="304"/>
      <c r="AL98" s="304"/>
      <c r="AN98" s="9"/>
      <c r="AO98" s="9"/>
      <c r="AP98" s="9"/>
      <c r="AQ98" s="9"/>
      <c r="AR98" s="9"/>
      <c r="AS98" s="9"/>
      <c r="AT98" s="123">
        <v>1</v>
      </c>
      <c r="AU98" s="123" t="s">
        <v>32</v>
      </c>
      <c r="AV98" s="124">
        <v>7239308.9299999997</v>
      </c>
      <c r="AW98" s="139">
        <v>4.2500000000000003E-2</v>
      </c>
      <c r="AX98" s="123"/>
      <c r="AY98" s="140">
        <f t="shared" si="36"/>
        <v>842.93323157534246</v>
      </c>
      <c r="AZ98" s="140">
        <f t="shared" si="31"/>
        <v>110288.53855189707</v>
      </c>
      <c r="BA98" s="140">
        <f t="shared" si="29"/>
        <v>38.565572686453606</v>
      </c>
      <c r="BC98" s="122"/>
      <c r="BD98" s="122"/>
      <c r="BE98" s="122"/>
      <c r="BF98" s="122"/>
      <c r="BH98" s="122"/>
      <c r="BI98" s="122"/>
      <c r="BJ98" s="122"/>
      <c r="BK98" s="122"/>
      <c r="BM98" s="122"/>
      <c r="BN98" s="122"/>
      <c r="BO98" s="122"/>
      <c r="BP98" s="122"/>
      <c r="BR98" s="122"/>
      <c r="BS98" s="122"/>
      <c r="BT98" s="122"/>
      <c r="BU98" s="122"/>
      <c r="BV98" s="439"/>
      <c r="BW98" s="120">
        <f t="shared" si="32"/>
        <v>12769308.93</v>
      </c>
      <c r="BX98" s="121">
        <v>4.2500000000000003E-2</v>
      </c>
      <c r="BY98" s="121">
        <f t="shared" si="33"/>
        <v>4.1417325904182664E-2</v>
      </c>
      <c r="BZ98" s="120">
        <f t="shared" si="34"/>
        <v>1457.3732315753425</v>
      </c>
      <c r="CA98" s="120">
        <f t="shared" si="35"/>
        <v>38.565572686453606</v>
      </c>
    </row>
    <row r="99" spans="2:79" x14ac:dyDescent="0.25">
      <c r="B99" s="123" t="str">
        <f t="shared" si="24"/>
        <v>4 2025</v>
      </c>
      <c r="C99" s="122">
        <f t="shared" si="25"/>
        <v>45751</v>
      </c>
      <c r="D99" s="122">
        <f t="shared" si="30"/>
        <v>45752</v>
      </c>
      <c r="E99" s="123">
        <f t="shared" si="26"/>
        <v>1</v>
      </c>
      <c r="F99" s="123" t="s">
        <v>7</v>
      </c>
      <c r="G99" s="124">
        <f t="shared" si="38"/>
        <v>5530000</v>
      </c>
      <c r="H99" s="125">
        <f t="shared" si="38"/>
        <v>0.04</v>
      </c>
      <c r="I99" s="124">
        <f t="shared" si="27"/>
        <v>614.44000000000005</v>
      </c>
      <c r="J99" s="124">
        <f t="shared" si="28"/>
        <v>94824.499999999985</v>
      </c>
      <c r="K99" s="9"/>
      <c r="L99" s="11"/>
      <c r="M99" s="293"/>
      <c r="N99" s="97"/>
      <c r="O99" s="293"/>
      <c r="P99" s="304"/>
      <c r="Q99" s="304"/>
      <c r="S99" s="11"/>
      <c r="T99" s="293"/>
      <c r="U99" s="97"/>
      <c r="V99" s="293"/>
      <c r="W99" s="304"/>
      <c r="X99" s="304"/>
      <c r="Z99" s="11"/>
      <c r="AA99" s="293"/>
      <c r="AB99" s="97"/>
      <c r="AC99" s="293"/>
      <c r="AD99" s="304"/>
      <c r="AE99" s="304"/>
      <c r="AG99" s="11"/>
      <c r="AH99" s="293"/>
      <c r="AI99" s="97"/>
      <c r="AJ99" s="293"/>
      <c r="AK99" s="304"/>
      <c r="AL99" s="304"/>
      <c r="AN99" s="9"/>
      <c r="AO99" s="9"/>
      <c r="AP99" s="9"/>
      <c r="AQ99" s="9"/>
      <c r="AR99" s="9"/>
      <c r="AS99" s="9"/>
      <c r="AT99" s="123">
        <v>1</v>
      </c>
      <c r="AU99" s="123" t="s">
        <v>32</v>
      </c>
      <c r="AV99" s="124">
        <v>7239027.5800000001</v>
      </c>
      <c r="AW99" s="139">
        <v>4.2500000000000003E-2</v>
      </c>
      <c r="AX99" s="123"/>
      <c r="AY99" s="140">
        <f t="shared" si="36"/>
        <v>842.90047164383566</v>
      </c>
      <c r="AZ99" s="140">
        <f t="shared" si="31"/>
        <v>111131.43902354091</v>
      </c>
      <c r="BA99" s="140">
        <f t="shared" si="29"/>
        <v>38.564073866057811</v>
      </c>
      <c r="BC99" s="122"/>
      <c r="BD99" s="122"/>
      <c r="BE99" s="122"/>
      <c r="BF99" s="122"/>
      <c r="BH99" s="122"/>
      <c r="BI99" s="122"/>
      <c r="BJ99" s="122"/>
      <c r="BK99" s="122"/>
      <c r="BM99" s="122"/>
      <c r="BN99" s="122"/>
      <c r="BO99" s="122"/>
      <c r="BP99" s="122"/>
      <c r="BR99" s="122"/>
      <c r="BS99" s="122"/>
      <c r="BT99" s="122"/>
      <c r="BU99" s="122"/>
      <c r="BV99" s="439"/>
      <c r="BW99" s="120">
        <f t="shared" si="32"/>
        <v>12769027.58</v>
      </c>
      <c r="BX99" s="121">
        <v>4.2500000000000003E-2</v>
      </c>
      <c r="BY99" s="121">
        <f t="shared" si="33"/>
        <v>4.1417302048775119E-2</v>
      </c>
      <c r="BZ99" s="120">
        <f t="shared" si="34"/>
        <v>1457.3404716438358</v>
      </c>
      <c r="CA99" s="120">
        <f t="shared" si="35"/>
        <v>38.564073866057811</v>
      </c>
    </row>
    <row r="100" spans="2:79" x14ac:dyDescent="0.25">
      <c r="B100" s="123" t="str">
        <f t="shared" si="24"/>
        <v>4 2025</v>
      </c>
      <c r="C100" s="122">
        <f t="shared" si="25"/>
        <v>45752</v>
      </c>
      <c r="D100" s="122">
        <f t="shared" si="30"/>
        <v>45753</v>
      </c>
      <c r="E100" s="123">
        <f t="shared" si="26"/>
        <v>1</v>
      </c>
      <c r="F100" s="123" t="s">
        <v>7</v>
      </c>
      <c r="G100" s="124">
        <f t="shared" si="38"/>
        <v>5530000</v>
      </c>
      <c r="H100" s="125">
        <f t="shared" si="38"/>
        <v>0.04</v>
      </c>
      <c r="I100" s="124">
        <f t="shared" si="27"/>
        <v>614.44000000000005</v>
      </c>
      <c r="J100" s="124">
        <f t="shared" si="28"/>
        <v>95438.939999999988</v>
      </c>
      <c r="K100" s="9"/>
      <c r="L100" s="11"/>
      <c r="M100" s="293"/>
      <c r="N100" s="97"/>
      <c r="O100" s="293"/>
      <c r="P100" s="304"/>
      <c r="Q100" s="304"/>
      <c r="S100" s="11"/>
      <c r="T100" s="293"/>
      <c r="U100" s="97"/>
      <c r="V100" s="293"/>
      <c r="W100" s="304"/>
      <c r="X100" s="304"/>
      <c r="Z100" s="11"/>
      <c r="AA100" s="293"/>
      <c r="AB100" s="97"/>
      <c r="AC100" s="293"/>
      <c r="AD100" s="304"/>
      <c r="AE100" s="304"/>
      <c r="AG100" s="11"/>
      <c r="AH100" s="293"/>
      <c r="AI100" s="97"/>
      <c r="AJ100" s="293"/>
      <c r="AK100" s="304"/>
      <c r="AL100" s="304"/>
      <c r="AN100" s="9"/>
      <c r="AO100" s="9"/>
      <c r="AP100" s="9"/>
      <c r="AQ100" s="9"/>
      <c r="AR100" s="9"/>
      <c r="AS100" s="9"/>
      <c r="AT100" s="123">
        <v>1</v>
      </c>
      <c r="AU100" s="123" t="s">
        <v>32</v>
      </c>
      <c r="AV100" s="124">
        <v>7239027.5800000001</v>
      </c>
      <c r="AW100" s="139">
        <v>4.2500000000000003E-2</v>
      </c>
      <c r="AX100" s="123"/>
      <c r="AY100" s="140">
        <f t="shared" si="36"/>
        <v>842.90047164383566</v>
      </c>
      <c r="AZ100" s="140">
        <f t="shared" si="31"/>
        <v>111974.33949518474</v>
      </c>
      <c r="BA100" s="140">
        <f t="shared" si="29"/>
        <v>38.564073866057811</v>
      </c>
      <c r="BC100" s="122"/>
      <c r="BD100" s="122"/>
      <c r="BE100" s="122"/>
      <c r="BF100" s="122"/>
      <c r="BH100" s="122"/>
      <c r="BI100" s="122"/>
      <c r="BJ100" s="122"/>
      <c r="BK100" s="122"/>
      <c r="BM100" s="122"/>
      <c r="BN100" s="122"/>
      <c r="BO100" s="122"/>
      <c r="BP100" s="122"/>
      <c r="BR100" s="122"/>
      <c r="BS100" s="122"/>
      <c r="BT100" s="122"/>
      <c r="BU100" s="122"/>
      <c r="BV100" s="439"/>
      <c r="BW100" s="120">
        <f t="shared" si="32"/>
        <v>12769027.58</v>
      </c>
      <c r="BX100" s="121">
        <v>4.2500000000000003E-2</v>
      </c>
      <c r="BY100" s="121">
        <f t="shared" si="33"/>
        <v>4.1417302048775119E-2</v>
      </c>
      <c r="BZ100" s="120">
        <f t="shared" si="34"/>
        <v>1457.3404716438358</v>
      </c>
      <c r="CA100" s="120">
        <f t="shared" si="35"/>
        <v>38.564073866057811</v>
      </c>
    </row>
    <row r="101" spans="2:79" x14ac:dyDescent="0.25">
      <c r="B101" s="123" t="str">
        <f t="shared" si="24"/>
        <v>4 2025</v>
      </c>
      <c r="C101" s="122">
        <f t="shared" si="25"/>
        <v>45753</v>
      </c>
      <c r="D101" s="122">
        <f t="shared" si="30"/>
        <v>45754</v>
      </c>
      <c r="E101" s="123">
        <f t="shared" si="26"/>
        <v>1</v>
      </c>
      <c r="F101" s="123" t="s">
        <v>7</v>
      </c>
      <c r="G101" s="124">
        <f t="shared" si="38"/>
        <v>5530000</v>
      </c>
      <c r="H101" s="125">
        <f t="shared" si="38"/>
        <v>0.04</v>
      </c>
      <c r="I101" s="124">
        <f t="shared" si="27"/>
        <v>614.44000000000005</v>
      </c>
      <c r="J101" s="124">
        <f t="shared" si="28"/>
        <v>96053.37999999999</v>
      </c>
      <c r="K101" s="9"/>
      <c r="L101" s="11"/>
      <c r="M101" s="293"/>
      <c r="N101" s="97"/>
      <c r="O101" s="293"/>
      <c r="P101" s="304"/>
      <c r="Q101" s="304"/>
      <c r="S101" s="11"/>
      <c r="T101" s="293"/>
      <c r="U101" s="97"/>
      <c r="V101" s="293"/>
      <c r="W101" s="304"/>
      <c r="X101" s="304"/>
      <c r="Z101" s="11"/>
      <c r="AA101" s="293"/>
      <c r="AB101" s="97"/>
      <c r="AC101" s="293"/>
      <c r="AD101" s="304"/>
      <c r="AE101" s="304"/>
      <c r="AG101" s="11"/>
      <c r="AH101" s="293"/>
      <c r="AI101" s="97"/>
      <c r="AJ101" s="293"/>
      <c r="AK101" s="304"/>
      <c r="AL101" s="304"/>
      <c r="AN101" s="9"/>
      <c r="AO101" s="9"/>
      <c r="AP101" s="9"/>
      <c r="AQ101" s="9"/>
      <c r="AR101" s="9"/>
      <c r="AS101" s="9"/>
      <c r="AT101" s="123">
        <v>1</v>
      </c>
      <c r="AU101" s="123" t="s">
        <v>32</v>
      </c>
      <c r="AV101" s="124">
        <v>7239027.5800000001</v>
      </c>
      <c r="AW101" s="139">
        <v>4.2500000000000003E-2</v>
      </c>
      <c r="AX101" s="123"/>
      <c r="AY101" s="140">
        <f t="shared" si="36"/>
        <v>842.90047164383566</v>
      </c>
      <c r="AZ101" s="140">
        <f t="shared" si="31"/>
        <v>112817.23996682858</v>
      </c>
      <c r="BA101" s="140">
        <f t="shared" si="29"/>
        <v>38.564073866057811</v>
      </c>
      <c r="BC101" s="122"/>
      <c r="BD101" s="122"/>
      <c r="BE101" s="122"/>
      <c r="BF101" s="122"/>
      <c r="BH101" s="122"/>
      <c r="BI101" s="122"/>
      <c r="BJ101" s="122"/>
      <c r="BK101" s="122"/>
      <c r="BM101" s="122"/>
      <c r="BN101" s="122"/>
      <c r="BO101" s="122"/>
      <c r="BP101" s="122"/>
      <c r="BR101" s="122"/>
      <c r="BS101" s="122"/>
      <c r="BT101" s="122"/>
      <c r="BU101" s="122"/>
      <c r="BV101" s="439"/>
      <c r="BW101" s="120">
        <f t="shared" si="32"/>
        <v>12769027.58</v>
      </c>
      <c r="BX101" s="121">
        <v>4.2500000000000003E-2</v>
      </c>
      <c r="BY101" s="121">
        <f t="shared" si="33"/>
        <v>4.1417302048775119E-2</v>
      </c>
      <c r="BZ101" s="120">
        <f t="shared" si="34"/>
        <v>1457.3404716438358</v>
      </c>
      <c r="CA101" s="120">
        <f t="shared" si="35"/>
        <v>38.564073866057811</v>
      </c>
    </row>
    <row r="102" spans="2:79" x14ac:dyDescent="0.25">
      <c r="B102" s="123" t="str">
        <f t="shared" si="24"/>
        <v>4 2025</v>
      </c>
      <c r="C102" s="122">
        <f t="shared" si="25"/>
        <v>45754</v>
      </c>
      <c r="D102" s="122">
        <f t="shared" si="30"/>
        <v>45755</v>
      </c>
      <c r="E102" s="123">
        <f t="shared" si="26"/>
        <v>1</v>
      </c>
      <c r="F102" s="123" t="s">
        <v>7</v>
      </c>
      <c r="G102" s="124">
        <f t="shared" si="38"/>
        <v>5530000</v>
      </c>
      <c r="H102" s="125">
        <f t="shared" si="38"/>
        <v>0.04</v>
      </c>
      <c r="I102" s="124">
        <f t="shared" si="27"/>
        <v>614.44000000000005</v>
      </c>
      <c r="J102" s="124">
        <f t="shared" si="28"/>
        <v>96667.819999999992</v>
      </c>
      <c r="K102" s="9"/>
      <c r="L102" s="11"/>
      <c r="M102" s="293"/>
      <c r="N102" s="97"/>
      <c r="O102" s="293"/>
      <c r="P102" s="304"/>
      <c r="Q102" s="304"/>
      <c r="S102" s="11"/>
      <c r="T102" s="293"/>
      <c r="U102" s="97"/>
      <c r="V102" s="293"/>
      <c r="W102" s="304"/>
      <c r="X102" s="304"/>
      <c r="Z102" s="11"/>
      <c r="AA102" s="293"/>
      <c r="AB102" s="97"/>
      <c r="AC102" s="293"/>
      <c r="AD102" s="304"/>
      <c r="AE102" s="304"/>
      <c r="AG102" s="11"/>
      <c r="AH102" s="293"/>
      <c r="AI102" s="97"/>
      <c r="AJ102" s="293"/>
      <c r="AK102" s="304"/>
      <c r="AL102" s="304"/>
      <c r="AN102" s="9"/>
      <c r="AO102" s="9"/>
      <c r="AP102" s="9"/>
      <c r="AQ102" s="9"/>
      <c r="AR102" s="9"/>
      <c r="AS102" s="9"/>
      <c r="AT102" s="123">
        <v>1</v>
      </c>
      <c r="AU102" s="123" t="s">
        <v>32</v>
      </c>
      <c r="AV102" s="124">
        <v>7232057.9900000002</v>
      </c>
      <c r="AW102" s="139">
        <v>4.2500000000000003E-2</v>
      </c>
      <c r="AX102" s="123"/>
      <c r="AY102" s="140">
        <f t="shared" si="36"/>
        <v>842.08894404109606</v>
      </c>
      <c r="AZ102" s="140">
        <f t="shared" si="31"/>
        <v>113659.32891086968</v>
      </c>
      <c r="BA102" s="140">
        <f t="shared" si="29"/>
        <v>38.52694515220719</v>
      </c>
      <c r="BC102" s="122"/>
      <c r="BD102" s="122"/>
      <c r="BE102" s="122"/>
      <c r="BF102" s="122"/>
      <c r="BH102" s="122"/>
      <c r="BI102" s="122"/>
      <c r="BJ102" s="122"/>
      <c r="BK102" s="122"/>
      <c r="BM102" s="122"/>
      <c r="BN102" s="122"/>
      <c r="BO102" s="122"/>
      <c r="BP102" s="122"/>
      <c r="BR102" s="122"/>
      <c r="BS102" s="122"/>
      <c r="BT102" s="122"/>
      <c r="BU102" s="122"/>
      <c r="BV102" s="439"/>
      <c r="BW102" s="120">
        <f t="shared" si="32"/>
        <v>12762057.99</v>
      </c>
      <c r="BX102" s="121">
        <v>4.2500000000000003E-2</v>
      </c>
      <c r="BY102" s="121">
        <f t="shared" si="33"/>
        <v>4.1416710767900225E-2</v>
      </c>
      <c r="BZ102" s="120">
        <f t="shared" si="34"/>
        <v>1456.5289440410961</v>
      </c>
      <c r="CA102" s="120">
        <f t="shared" si="35"/>
        <v>38.52694515220719</v>
      </c>
    </row>
    <row r="103" spans="2:79" x14ac:dyDescent="0.25">
      <c r="B103" s="123" t="str">
        <f t="shared" si="24"/>
        <v>4 2025</v>
      </c>
      <c r="C103" s="122">
        <f t="shared" si="25"/>
        <v>45755</v>
      </c>
      <c r="D103" s="122">
        <f t="shared" si="30"/>
        <v>45756</v>
      </c>
      <c r="E103" s="123">
        <f t="shared" si="26"/>
        <v>1</v>
      </c>
      <c r="F103" s="123" t="s">
        <v>7</v>
      </c>
      <c r="G103" s="124">
        <f t="shared" si="38"/>
        <v>5530000</v>
      </c>
      <c r="H103" s="125">
        <f t="shared" si="38"/>
        <v>0.04</v>
      </c>
      <c r="I103" s="124">
        <f t="shared" si="27"/>
        <v>614.44000000000005</v>
      </c>
      <c r="J103" s="124">
        <f t="shared" si="28"/>
        <v>97282.26</v>
      </c>
      <c r="K103" s="9"/>
      <c r="L103" s="11"/>
      <c r="M103" s="293"/>
      <c r="N103" s="97"/>
      <c r="O103" s="293"/>
      <c r="P103" s="304"/>
      <c r="Q103" s="304"/>
      <c r="S103" s="11"/>
      <c r="T103" s="293"/>
      <c r="U103" s="97"/>
      <c r="V103" s="293"/>
      <c r="W103" s="304"/>
      <c r="X103" s="304"/>
      <c r="Z103" s="11"/>
      <c r="AA103" s="293"/>
      <c r="AB103" s="97"/>
      <c r="AC103" s="293"/>
      <c r="AD103" s="304"/>
      <c r="AE103" s="304"/>
      <c r="AG103" s="11"/>
      <c r="AH103" s="293"/>
      <c r="AI103" s="97"/>
      <c r="AJ103" s="293"/>
      <c r="AK103" s="304"/>
      <c r="AL103" s="304"/>
      <c r="AN103" s="9"/>
      <c r="AO103" s="9"/>
      <c r="AP103" s="9"/>
      <c r="AQ103" s="9"/>
      <c r="AR103" s="9"/>
      <c r="AS103" s="9"/>
      <c r="AT103" s="123">
        <v>1</v>
      </c>
      <c r="AU103" s="123" t="s">
        <v>32</v>
      </c>
      <c r="AV103" s="124">
        <v>7232900.0800000001</v>
      </c>
      <c r="AW103" s="139">
        <v>4.2500000000000003E-2</v>
      </c>
      <c r="AX103" s="123"/>
      <c r="AY103" s="140">
        <f t="shared" si="36"/>
        <v>842.18699561643848</v>
      </c>
      <c r="AZ103" s="140">
        <f t="shared" si="31"/>
        <v>114501.51590648612</v>
      </c>
      <c r="BA103" s="140">
        <f t="shared" si="29"/>
        <v>38.531431171993972</v>
      </c>
      <c r="BC103" s="122"/>
      <c r="BD103" s="122"/>
      <c r="BE103" s="122"/>
      <c r="BF103" s="122"/>
      <c r="BH103" s="122"/>
      <c r="BI103" s="122"/>
      <c r="BJ103" s="122"/>
      <c r="BK103" s="122"/>
      <c r="BM103" s="122"/>
      <c r="BN103" s="122"/>
      <c r="BO103" s="122"/>
      <c r="BP103" s="122"/>
      <c r="BR103" s="122"/>
      <c r="BS103" s="122"/>
      <c r="BT103" s="122"/>
      <c r="BU103" s="122"/>
      <c r="BV103" s="439"/>
      <c r="BW103" s="120">
        <f t="shared" si="32"/>
        <v>12762900.08</v>
      </c>
      <c r="BX103" s="121">
        <v>4.2500000000000003E-2</v>
      </c>
      <c r="BY103" s="121">
        <f t="shared" si="33"/>
        <v>4.1416782242801986E-2</v>
      </c>
      <c r="BZ103" s="120">
        <f t="shared" si="34"/>
        <v>1456.6269956164385</v>
      </c>
      <c r="CA103" s="120">
        <f t="shared" si="35"/>
        <v>38.531431171993972</v>
      </c>
    </row>
    <row r="104" spans="2:79" x14ac:dyDescent="0.25">
      <c r="B104" s="123" t="str">
        <f t="shared" si="24"/>
        <v>4 2025</v>
      </c>
      <c r="C104" s="122">
        <f t="shared" si="25"/>
        <v>45756</v>
      </c>
      <c r="D104" s="122">
        <f t="shared" si="30"/>
        <v>45757</v>
      </c>
      <c r="E104" s="123">
        <f t="shared" si="26"/>
        <v>1</v>
      </c>
      <c r="F104" s="123" t="s">
        <v>7</v>
      </c>
      <c r="G104" s="126">
        <f>G103-260000</f>
        <v>5270000</v>
      </c>
      <c r="H104" s="125">
        <f t="shared" ref="G104:H119" si="39">H103</f>
        <v>0.04</v>
      </c>
      <c r="I104" s="124">
        <f t="shared" si="27"/>
        <v>585.55999999999995</v>
      </c>
      <c r="J104" s="124">
        <f t="shared" si="28"/>
        <v>97867.819999999992</v>
      </c>
      <c r="K104" s="9"/>
      <c r="L104" s="11"/>
      <c r="M104" s="293"/>
      <c r="N104" s="97"/>
      <c r="O104" s="293"/>
      <c r="P104" s="304"/>
      <c r="Q104" s="304"/>
      <c r="S104" s="11"/>
      <c r="T104" s="293"/>
      <c r="U104" s="97"/>
      <c r="V104" s="293"/>
      <c r="W104" s="304"/>
      <c r="X104" s="304"/>
      <c r="Z104" s="11"/>
      <c r="AA104" s="293"/>
      <c r="AB104" s="97"/>
      <c r="AC104" s="293"/>
      <c r="AD104" s="304"/>
      <c r="AE104" s="304"/>
      <c r="AG104" s="11"/>
      <c r="AH104" s="293"/>
      <c r="AI104" s="97"/>
      <c r="AJ104" s="293"/>
      <c r="AK104" s="304"/>
      <c r="AL104" s="304"/>
      <c r="AN104" s="9"/>
      <c r="AO104" s="9"/>
      <c r="AP104" s="9"/>
      <c r="AQ104" s="9"/>
      <c r="AR104" s="9"/>
      <c r="AS104" s="9"/>
      <c r="AT104" s="123">
        <v>1</v>
      </c>
      <c r="AU104" s="123" t="s">
        <v>32</v>
      </c>
      <c r="AV104" s="124">
        <v>7233742.2699999996</v>
      </c>
      <c r="AW104" s="139">
        <v>4.2500000000000003E-2</v>
      </c>
      <c r="AX104" s="123"/>
      <c r="AY104" s="140">
        <f t="shared" si="36"/>
        <v>842.28505883561638</v>
      </c>
      <c r="AZ104" s="140">
        <f t="shared" si="31"/>
        <v>115343.80096532175</v>
      </c>
      <c r="BA104" s="140">
        <f t="shared" si="29"/>
        <v>38.535917724505339</v>
      </c>
      <c r="BC104" s="122"/>
      <c r="BD104" s="122"/>
      <c r="BE104" s="122"/>
      <c r="BF104" s="122"/>
      <c r="BH104" s="122"/>
      <c r="BI104" s="122"/>
      <c r="BJ104" s="122"/>
      <c r="BK104" s="122"/>
      <c r="BM104" s="122"/>
      <c r="BN104" s="122"/>
      <c r="BO104" s="122"/>
      <c r="BP104" s="122"/>
      <c r="BR104" s="122"/>
      <c r="BS104" s="122"/>
      <c r="BT104" s="122"/>
      <c r="BU104" s="122"/>
      <c r="BV104" s="439"/>
      <c r="BW104" s="120">
        <f t="shared" si="32"/>
        <v>12503742.27</v>
      </c>
      <c r="BX104" s="121">
        <v>4.2500000000000003E-2</v>
      </c>
      <c r="BY104" s="121">
        <f t="shared" si="33"/>
        <v>4.1446315453765349E-2</v>
      </c>
      <c r="BZ104" s="120">
        <f t="shared" si="34"/>
        <v>1427.8450588356163</v>
      </c>
      <c r="CA104" s="120">
        <f t="shared" si="35"/>
        <v>38.535917724505339</v>
      </c>
    </row>
    <row r="105" spans="2:79" x14ac:dyDescent="0.25">
      <c r="B105" s="123" t="str">
        <f t="shared" si="24"/>
        <v>4 2025</v>
      </c>
      <c r="C105" s="122">
        <f t="shared" si="25"/>
        <v>45757</v>
      </c>
      <c r="D105" s="122">
        <f t="shared" si="30"/>
        <v>45758</v>
      </c>
      <c r="E105" s="123">
        <f t="shared" si="26"/>
        <v>1</v>
      </c>
      <c r="F105" s="123" t="s">
        <v>7</v>
      </c>
      <c r="G105" s="124">
        <f t="shared" si="39"/>
        <v>5270000</v>
      </c>
      <c r="H105" s="125">
        <f t="shared" si="39"/>
        <v>0.04</v>
      </c>
      <c r="I105" s="124">
        <f t="shared" si="27"/>
        <v>585.55999999999995</v>
      </c>
      <c r="J105" s="124">
        <f t="shared" si="28"/>
        <v>98453.37999999999</v>
      </c>
      <c r="K105" s="9"/>
      <c r="L105" s="11"/>
      <c r="M105" s="293"/>
      <c r="N105" s="97"/>
      <c r="O105" s="293"/>
      <c r="P105" s="304"/>
      <c r="Q105" s="304"/>
      <c r="S105" s="11"/>
      <c r="T105" s="293"/>
      <c r="U105" s="97"/>
      <c r="V105" s="293"/>
      <c r="W105" s="304"/>
      <c r="X105" s="304"/>
      <c r="Z105" s="11"/>
      <c r="AA105" s="293"/>
      <c r="AB105" s="97"/>
      <c r="AC105" s="293"/>
      <c r="AD105" s="304"/>
      <c r="AE105" s="304"/>
      <c r="AG105" s="11"/>
      <c r="AH105" s="293"/>
      <c r="AI105" s="97"/>
      <c r="AJ105" s="293"/>
      <c r="AK105" s="304"/>
      <c r="AL105" s="304"/>
      <c r="AN105" s="9"/>
      <c r="AO105" s="9"/>
      <c r="AP105" s="9"/>
      <c r="AQ105" s="9"/>
      <c r="AR105" s="9"/>
      <c r="AS105" s="9"/>
      <c r="AT105" s="123">
        <v>1</v>
      </c>
      <c r="AU105" s="123" t="s">
        <v>32</v>
      </c>
      <c r="AV105" s="124">
        <v>7049644.3899999997</v>
      </c>
      <c r="AW105" s="139">
        <v>4.2500000000000003E-2</v>
      </c>
      <c r="AX105" s="123"/>
      <c r="AY105" s="140">
        <f t="shared" si="36"/>
        <v>820.84900431506856</v>
      </c>
      <c r="AZ105" s="140">
        <f t="shared" si="31"/>
        <v>116164.64996963681</v>
      </c>
      <c r="BA105" s="140">
        <f t="shared" si="29"/>
        <v>37.555183203957426</v>
      </c>
      <c r="BC105" s="122"/>
      <c r="BD105" s="122"/>
      <c r="BE105" s="122"/>
      <c r="BF105" s="122"/>
      <c r="BH105" s="122"/>
      <c r="BI105" s="122"/>
      <c r="BJ105" s="122"/>
      <c r="BK105" s="122"/>
      <c r="BM105" s="122"/>
      <c r="BN105" s="122"/>
      <c r="BO105" s="122"/>
      <c r="BP105" s="122"/>
      <c r="BR105" s="122"/>
      <c r="BS105" s="122"/>
      <c r="BT105" s="122"/>
      <c r="BU105" s="122"/>
      <c r="BV105" s="439"/>
      <c r="BW105" s="120">
        <f t="shared" si="32"/>
        <v>12319644.390000001</v>
      </c>
      <c r="BX105" s="121">
        <v>4.2500000000000003E-2</v>
      </c>
      <c r="BY105" s="121">
        <f t="shared" si="33"/>
        <v>4.1430569780837645E-2</v>
      </c>
      <c r="BZ105" s="120">
        <f t="shared" si="34"/>
        <v>1406.4090043150686</v>
      </c>
      <c r="CA105" s="120">
        <f t="shared" si="35"/>
        <v>37.555183203957426</v>
      </c>
    </row>
    <row r="106" spans="2:79" x14ac:dyDescent="0.25">
      <c r="B106" s="123" t="str">
        <f t="shared" si="24"/>
        <v>4 2025</v>
      </c>
      <c r="C106" s="122">
        <f t="shared" si="25"/>
        <v>45758</v>
      </c>
      <c r="D106" s="122">
        <f t="shared" si="30"/>
        <v>45759</v>
      </c>
      <c r="E106" s="123">
        <f t="shared" si="26"/>
        <v>1</v>
      </c>
      <c r="F106" s="123" t="s">
        <v>7</v>
      </c>
      <c r="G106" s="126">
        <f>G105-290000</f>
        <v>4980000</v>
      </c>
      <c r="H106" s="125">
        <f t="shared" si="39"/>
        <v>0.04</v>
      </c>
      <c r="I106" s="124">
        <f t="shared" si="27"/>
        <v>553.33000000000004</v>
      </c>
      <c r="J106" s="124">
        <f t="shared" si="28"/>
        <v>99006.709999999992</v>
      </c>
      <c r="K106" s="9"/>
      <c r="L106" s="11"/>
      <c r="M106" s="293"/>
      <c r="N106" s="97"/>
      <c r="O106" s="293"/>
      <c r="P106" s="304"/>
      <c r="Q106" s="304"/>
      <c r="S106" s="11"/>
      <c r="T106" s="293"/>
      <c r="U106" s="97"/>
      <c r="V106" s="293"/>
      <c r="W106" s="304"/>
      <c r="X106" s="304"/>
      <c r="Z106" s="11"/>
      <c r="AA106" s="293"/>
      <c r="AB106" s="97"/>
      <c r="AC106" s="293"/>
      <c r="AD106" s="304"/>
      <c r="AE106" s="304"/>
      <c r="AG106" s="11"/>
      <c r="AH106" s="293"/>
      <c r="AI106" s="97"/>
      <c r="AJ106" s="293"/>
      <c r="AK106" s="304"/>
      <c r="AL106" s="304"/>
      <c r="AN106" s="9"/>
      <c r="AO106" s="9"/>
      <c r="AP106" s="9"/>
      <c r="AQ106" s="9"/>
      <c r="AR106" s="9"/>
      <c r="AS106" s="9"/>
      <c r="AT106" s="123">
        <v>1</v>
      </c>
      <c r="AU106" s="123" t="s">
        <v>32</v>
      </c>
      <c r="AV106" s="124">
        <v>7049702.2599999998</v>
      </c>
      <c r="AW106" s="139">
        <v>4.2500000000000003E-2</v>
      </c>
      <c r="AX106" s="123"/>
      <c r="AY106" s="140">
        <f t="shared" si="36"/>
        <v>820.85574260273972</v>
      </c>
      <c r="AZ106" s="140">
        <f t="shared" si="31"/>
        <v>116985.50571223955</v>
      </c>
      <c r="BA106" s="140">
        <f t="shared" si="29"/>
        <v>37.555491491628686</v>
      </c>
      <c r="BC106" s="122"/>
      <c r="BD106" s="122"/>
      <c r="BE106" s="122"/>
      <c r="BF106" s="122"/>
      <c r="BH106" s="122"/>
      <c r="BI106" s="122"/>
      <c r="BJ106" s="122"/>
      <c r="BK106" s="122"/>
      <c r="BM106" s="122"/>
      <c r="BN106" s="122"/>
      <c r="BO106" s="122"/>
      <c r="BP106" s="122"/>
      <c r="BR106" s="122"/>
      <c r="BS106" s="122"/>
      <c r="BT106" s="122"/>
      <c r="BU106" s="122"/>
      <c r="BV106" s="439"/>
      <c r="BW106" s="120">
        <f t="shared" si="32"/>
        <v>12029702.26</v>
      </c>
      <c r="BX106" s="121">
        <v>4.2500000000000003E-2</v>
      </c>
      <c r="BY106" s="121">
        <f t="shared" si="33"/>
        <v>4.1465061667286848E-2</v>
      </c>
      <c r="BZ106" s="120">
        <f t="shared" si="34"/>
        <v>1374.1857426027398</v>
      </c>
      <c r="CA106" s="120">
        <f t="shared" si="35"/>
        <v>37.555491491628686</v>
      </c>
    </row>
    <row r="107" spans="2:79" x14ac:dyDescent="0.25">
      <c r="B107" s="123" t="str">
        <f t="shared" si="24"/>
        <v>4 2025</v>
      </c>
      <c r="C107" s="122">
        <f t="shared" si="25"/>
        <v>45759</v>
      </c>
      <c r="D107" s="122">
        <f t="shared" si="30"/>
        <v>45760</v>
      </c>
      <c r="E107" s="123">
        <f t="shared" si="26"/>
        <v>1</v>
      </c>
      <c r="F107" s="123" t="s">
        <v>7</v>
      </c>
      <c r="G107" s="124">
        <f t="shared" si="39"/>
        <v>4980000</v>
      </c>
      <c r="H107" s="125">
        <f t="shared" si="39"/>
        <v>0.04</v>
      </c>
      <c r="I107" s="124">
        <f t="shared" si="27"/>
        <v>553.33000000000004</v>
      </c>
      <c r="J107" s="124">
        <f t="shared" si="28"/>
        <v>99560.04</v>
      </c>
      <c r="K107" s="9"/>
      <c r="L107" s="11"/>
      <c r="M107" s="293"/>
      <c r="N107" s="97"/>
      <c r="O107" s="293"/>
      <c r="P107" s="304"/>
      <c r="Q107" s="304"/>
      <c r="S107" s="11"/>
      <c r="T107" s="293"/>
      <c r="U107" s="97"/>
      <c r="V107" s="293"/>
      <c r="W107" s="304"/>
      <c r="X107" s="304"/>
      <c r="Z107" s="11"/>
      <c r="AA107" s="293"/>
      <c r="AB107" s="97"/>
      <c r="AC107" s="293"/>
      <c r="AD107" s="304"/>
      <c r="AE107" s="304"/>
      <c r="AG107" s="11"/>
      <c r="AH107" s="293"/>
      <c r="AI107" s="97"/>
      <c r="AJ107" s="293"/>
      <c r="AK107" s="304"/>
      <c r="AL107" s="304"/>
      <c r="AN107" s="9"/>
      <c r="AO107" s="9"/>
      <c r="AP107" s="9"/>
      <c r="AQ107" s="9"/>
      <c r="AR107" s="9"/>
      <c r="AS107" s="9"/>
      <c r="AT107" s="123">
        <v>1</v>
      </c>
      <c r="AU107" s="123" t="s">
        <v>32</v>
      </c>
      <c r="AV107" s="124">
        <v>7049702.2599999998</v>
      </c>
      <c r="AW107" s="139">
        <v>4.2500000000000003E-2</v>
      </c>
      <c r="AX107" s="123"/>
      <c r="AY107" s="140">
        <f t="shared" si="36"/>
        <v>820.85574260273972</v>
      </c>
      <c r="AZ107" s="140">
        <f t="shared" si="31"/>
        <v>117806.36145484229</v>
      </c>
      <c r="BA107" s="140">
        <f t="shared" si="29"/>
        <v>37.555491491628686</v>
      </c>
      <c r="BC107" s="122"/>
      <c r="BD107" s="122"/>
      <c r="BE107" s="122"/>
      <c r="BF107" s="122"/>
      <c r="BH107" s="122"/>
      <c r="BI107" s="122"/>
      <c r="BJ107" s="122"/>
      <c r="BK107" s="122"/>
      <c r="BM107" s="122"/>
      <c r="BN107" s="122"/>
      <c r="BO107" s="122"/>
      <c r="BP107" s="122"/>
      <c r="BR107" s="122"/>
      <c r="BS107" s="122"/>
      <c r="BT107" s="122"/>
      <c r="BU107" s="122"/>
      <c r="BV107" s="439"/>
      <c r="BW107" s="120">
        <f t="shared" si="32"/>
        <v>12029702.26</v>
      </c>
      <c r="BX107" s="121">
        <v>4.2500000000000003E-2</v>
      </c>
      <c r="BY107" s="121">
        <f t="shared" si="33"/>
        <v>4.1465061667286848E-2</v>
      </c>
      <c r="BZ107" s="120">
        <f t="shared" si="34"/>
        <v>1374.1857426027398</v>
      </c>
      <c r="CA107" s="120">
        <f t="shared" si="35"/>
        <v>37.555491491628686</v>
      </c>
    </row>
    <row r="108" spans="2:79" x14ac:dyDescent="0.25">
      <c r="B108" s="123" t="str">
        <f t="shared" si="24"/>
        <v>4 2025</v>
      </c>
      <c r="C108" s="122">
        <f t="shared" si="25"/>
        <v>45760</v>
      </c>
      <c r="D108" s="122">
        <f t="shared" si="30"/>
        <v>45761</v>
      </c>
      <c r="E108" s="123">
        <f t="shared" si="26"/>
        <v>1</v>
      </c>
      <c r="F108" s="123" t="s">
        <v>7</v>
      </c>
      <c r="G108" s="124">
        <f t="shared" si="39"/>
        <v>4980000</v>
      </c>
      <c r="H108" s="125">
        <f t="shared" si="39"/>
        <v>0.04</v>
      </c>
      <c r="I108" s="124">
        <f t="shared" si="27"/>
        <v>553.33000000000004</v>
      </c>
      <c r="J108" s="124">
        <f t="shared" si="28"/>
        <v>100113.37</v>
      </c>
      <c r="K108" s="9"/>
      <c r="L108" s="11"/>
      <c r="M108" s="293"/>
      <c r="N108" s="97"/>
      <c r="O108" s="293"/>
      <c r="P108" s="304"/>
      <c r="Q108" s="304"/>
      <c r="S108" s="11"/>
      <c r="T108" s="293"/>
      <c r="U108" s="97"/>
      <c r="V108" s="293"/>
      <c r="W108" s="304"/>
      <c r="X108" s="304"/>
      <c r="Z108" s="11"/>
      <c r="AA108" s="293"/>
      <c r="AB108" s="97"/>
      <c r="AC108" s="293"/>
      <c r="AD108" s="304"/>
      <c r="AE108" s="304"/>
      <c r="AG108" s="11"/>
      <c r="AH108" s="293"/>
      <c r="AI108" s="97"/>
      <c r="AJ108" s="293"/>
      <c r="AK108" s="304"/>
      <c r="AL108" s="304"/>
      <c r="AN108" s="9"/>
      <c r="AO108" s="9"/>
      <c r="AP108" s="9"/>
      <c r="AQ108" s="9"/>
      <c r="AR108" s="9"/>
      <c r="AS108" s="9"/>
      <c r="AT108" s="123">
        <v>1</v>
      </c>
      <c r="AU108" s="123" t="s">
        <v>32</v>
      </c>
      <c r="AV108" s="124">
        <v>7049702.2599999998</v>
      </c>
      <c r="AW108" s="139">
        <v>4.2500000000000003E-2</v>
      </c>
      <c r="AX108" s="123"/>
      <c r="AY108" s="140">
        <f t="shared" si="36"/>
        <v>820.85574260273972</v>
      </c>
      <c r="AZ108" s="140">
        <f t="shared" si="31"/>
        <v>118627.21719744503</v>
      </c>
      <c r="BA108" s="140">
        <f t="shared" si="29"/>
        <v>37.555491491628686</v>
      </c>
      <c r="BC108" s="122"/>
      <c r="BD108" s="122"/>
      <c r="BE108" s="122"/>
      <c r="BF108" s="122"/>
      <c r="BH108" s="122"/>
      <c r="BI108" s="122"/>
      <c r="BJ108" s="122"/>
      <c r="BK108" s="122"/>
      <c r="BM108" s="122"/>
      <c r="BN108" s="122"/>
      <c r="BO108" s="122"/>
      <c r="BP108" s="122"/>
      <c r="BR108" s="122"/>
      <c r="BS108" s="122"/>
      <c r="BT108" s="122"/>
      <c r="BU108" s="122"/>
      <c r="BV108" s="439"/>
      <c r="BW108" s="120">
        <f t="shared" si="32"/>
        <v>12029702.26</v>
      </c>
      <c r="BX108" s="121">
        <v>4.2500000000000003E-2</v>
      </c>
      <c r="BY108" s="121">
        <f t="shared" si="33"/>
        <v>4.1465061667286848E-2</v>
      </c>
      <c r="BZ108" s="120">
        <f t="shared" si="34"/>
        <v>1374.1857426027398</v>
      </c>
      <c r="CA108" s="120">
        <f t="shared" si="35"/>
        <v>37.555491491628686</v>
      </c>
    </row>
    <row r="109" spans="2:79" x14ac:dyDescent="0.25">
      <c r="B109" s="123" t="str">
        <f t="shared" si="24"/>
        <v>4 2025</v>
      </c>
      <c r="C109" s="122">
        <f t="shared" si="25"/>
        <v>45761</v>
      </c>
      <c r="D109" s="122">
        <f t="shared" si="30"/>
        <v>45762</v>
      </c>
      <c r="E109" s="123">
        <f t="shared" si="26"/>
        <v>1</v>
      </c>
      <c r="F109" s="123" t="s">
        <v>7</v>
      </c>
      <c r="G109" s="124">
        <f t="shared" si="39"/>
        <v>4980000</v>
      </c>
      <c r="H109" s="125">
        <f t="shared" si="39"/>
        <v>0.04</v>
      </c>
      <c r="I109" s="124">
        <f t="shared" si="27"/>
        <v>553.33000000000004</v>
      </c>
      <c r="J109" s="124">
        <f t="shared" si="28"/>
        <v>100666.7</v>
      </c>
      <c r="K109" s="9"/>
      <c r="L109" s="11"/>
      <c r="M109" s="293"/>
      <c r="N109" s="97"/>
      <c r="O109" s="293"/>
      <c r="P109" s="304"/>
      <c r="Q109" s="304"/>
      <c r="S109" s="11"/>
      <c r="T109" s="293"/>
      <c r="U109" s="97"/>
      <c r="V109" s="293"/>
      <c r="W109" s="304"/>
      <c r="X109" s="304"/>
      <c r="Z109" s="11"/>
      <c r="AA109" s="293"/>
      <c r="AB109" s="97"/>
      <c r="AC109" s="293"/>
      <c r="AD109" s="304"/>
      <c r="AE109" s="304"/>
      <c r="AG109" s="11"/>
      <c r="AH109" s="293"/>
      <c r="AI109" s="97"/>
      <c r="AJ109" s="293"/>
      <c r="AK109" s="304"/>
      <c r="AL109" s="304"/>
      <c r="AN109" s="9"/>
      <c r="AO109" s="9"/>
      <c r="AP109" s="9"/>
      <c r="AQ109" s="9"/>
      <c r="AR109" s="9"/>
      <c r="AS109" s="9"/>
      <c r="AT109" s="123">
        <v>1</v>
      </c>
      <c r="AU109" s="123" t="s">
        <v>32</v>
      </c>
      <c r="AV109" s="124">
        <v>7052164.8300000001</v>
      </c>
      <c r="AW109" s="139">
        <v>4.2500000000000003E-2</v>
      </c>
      <c r="AX109" s="123"/>
      <c r="AY109" s="140">
        <f t="shared" si="36"/>
        <v>821.1424802054795</v>
      </c>
      <c r="AZ109" s="140">
        <f t="shared" si="31"/>
        <v>119448.35967765051</v>
      </c>
      <c r="BA109" s="140">
        <f t="shared" si="29"/>
        <v>37.568610205479445</v>
      </c>
      <c r="BC109" s="122"/>
      <c r="BD109" s="122"/>
      <c r="BE109" s="122"/>
      <c r="BF109" s="122"/>
      <c r="BH109" s="122"/>
      <c r="BI109" s="122"/>
      <c r="BJ109" s="122"/>
      <c r="BK109" s="122"/>
      <c r="BM109" s="122"/>
      <c r="BN109" s="122"/>
      <c r="BO109" s="122"/>
      <c r="BP109" s="122"/>
      <c r="BR109" s="122"/>
      <c r="BS109" s="122"/>
      <c r="BT109" s="122"/>
      <c r="BU109" s="122"/>
      <c r="BV109" s="439"/>
      <c r="BW109" s="120">
        <f t="shared" si="32"/>
        <v>12032164.83</v>
      </c>
      <c r="BX109" s="121">
        <v>4.2500000000000003E-2</v>
      </c>
      <c r="BY109" s="121">
        <f t="shared" si="33"/>
        <v>4.146527348354153E-2</v>
      </c>
      <c r="BZ109" s="120">
        <f t="shared" si="34"/>
        <v>1374.4724802054795</v>
      </c>
      <c r="CA109" s="120">
        <f t="shared" si="35"/>
        <v>37.568610205479445</v>
      </c>
    </row>
    <row r="110" spans="2:79" x14ac:dyDescent="0.25">
      <c r="B110" s="123" t="str">
        <f t="shared" si="24"/>
        <v>4 2025</v>
      </c>
      <c r="C110" s="122">
        <f t="shared" si="25"/>
        <v>45762</v>
      </c>
      <c r="D110" s="122">
        <f t="shared" si="30"/>
        <v>45763</v>
      </c>
      <c r="E110" s="123">
        <f t="shared" si="26"/>
        <v>1</v>
      </c>
      <c r="F110" s="123" t="s">
        <v>7</v>
      </c>
      <c r="G110" s="126">
        <f>G109-30000</f>
        <v>4950000</v>
      </c>
      <c r="H110" s="125">
        <f t="shared" si="39"/>
        <v>0.04</v>
      </c>
      <c r="I110" s="124">
        <f t="shared" si="27"/>
        <v>550</v>
      </c>
      <c r="J110" s="124">
        <f t="shared" si="28"/>
        <v>101216.7</v>
      </c>
      <c r="K110" s="9"/>
      <c r="L110" s="11"/>
      <c r="M110" s="293"/>
      <c r="N110" s="97"/>
      <c r="O110" s="293"/>
      <c r="P110" s="304"/>
      <c r="Q110" s="304"/>
      <c r="S110" s="11"/>
      <c r="T110" s="293"/>
      <c r="U110" s="97"/>
      <c r="V110" s="293"/>
      <c r="W110" s="304"/>
      <c r="X110" s="304"/>
      <c r="Z110" s="11"/>
      <c r="AA110" s="293"/>
      <c r="AB110" s="97"/>
      <c r="AC110" s="293"/>
      <c r="AD110" s="304"/>
      <c r="AE110" s="304"/>
      <c r="AG110" s="11"/>
      <c r="AH110" s="293"/>
      <c r="AI110" s="97"/>
      <c r="AJ110" s="293"/>
      <c r="AK110" s="304"/>
      <c r="AL110" s="304"/>
      <c r="AN110" s="9"/>
      <c r="AO110" s="9"/>
      <c r="AP110" s="9"/>
      <c r="AQ110" s="9"/>
      <c r="AR110" s="9"/>
      <c r="AS110" s="9"/>
      <c r="AT110" s="123">
        <v>1</v>
      </c>
      <c r="AU110" s="123" t="s">
        <v>32</v>
      </c>
      <c r="AV110" s="124">
        <v>6752634.8300000001</v>
      </c>
      <c r="AW110" s="139">
        <v>4.2500000000000003E-2</v>
      </c>
      <c r="AX110" s="123"/>
      <c r="AY110" s="140">
        <f t="shared" si="36"/>
        <v>786.2656993835617</v>
      </c>
      <c r="AZ110" s="140">
        <f t="shared" si="31"/>
        <v>120234.62537703407</v>
      </c>
      <c r="BA110" s="140">
        <f t="shared" si="29"/>
        <v>35.972940494672798</v>
      </c>
      <c r="BC110" s="122"/>
      <c r="BD110" s="122"/>
      <c r="BE110" s="122"/>
      <c r="BF110" s="122"/>
      <c r="BH110" s="122"/>
      <c r="BI110" s="122"/>
      <c r="BJ110" s="122"/>
      <c r="BK110" s="122"/>
      <c r="BM110" s="122"/>
      <c r="BN110" s="122"/>
      <c r="BO110" s="122"/>
      <c r="BP110" s="122"/>
      <c r="BR110" s="122"/>
      <c r="BS110" s="122"/>
      <c r="BT110" s="122"/>
      <c r="BU110" s="122"/>
      <c r="BV110" s="439"/>
      <c r="BW110" s="120">
        <f t="shared" si="32"/>
        <v>11702634.83</v>
      </c>
      <c r="BX110" s="121">
        <v>4.2500000000000003E-2</v>
      </c>
      <c r="BY110" s="121">
        <f t="shared" si="33"/>
        <v>4.1442545830082951E-2</v>
      </c>
      <c r="BZ110" s="120">
        <f t="shared" si="34"/>
        <v>1336.2656993835617</v>
      </c>
      <c r="CA110" s="120">
        <f t="shared" si="35"/>
        <v>35.972940494672798</v>
      </c>
    </row>
    <row r="111" spans="2:79" x14ac:dyDescent="0.25">
      <c r="B111" s="123" t="str">
        <f t="shared" si="24"/>
        <v>4 2025</v>
      </c>
      <c r="C111" s="122">
        <f t="shared" si="25"/>
        <v>45763</v>
      </c>
      <c r="D111" s="122">
        <f t="shared" si="30"/>
        <v>45764</v>
      </c>
      <c r="E111" s="123">
        <f t="shared" si="26"/>
        <v>1</v>
      </c>
      <c r="F111" s="123" t="s">
        <v>7</v>
      </c>
      <c r="G111" s="124">
        <f t="shared" si="39"/>
        <v>4950000</v>
      </c>
      <c r="H111" s="125">
        <f t="shared" si="39"/>
        <v>0.04</v>
      </c>
      <c r="I111" s="124">
        <f t="shared" si="27"/>
        <v>550</v>
      </c>
      <c r="J111" s="124">
        <f t="shared" si="28"/>
        <v>101766.7</v>
      </c>
      <c r="K111" s="9"/>
      <c r="L111" s="11"/>
      <c r="M111" s="293"/>
      <c r="N111" s="97"/>
      <c r="O111" s="293"/>
      <c r="P111" s="304"/>
      <c r="Q111" s="304"/>
      <c r="S111" s="11"/>
      <c r="T111" s="293"/>
      <c r="U111" s="97"/>
      <c r="V111" s="293"/>
      <c r="W111" s="304"/>
      <c r="X111" s="304"/>
      <c r="Z111" s="11"/>
      <c r="AA111" s="293"/>
      <c r="AB111" s="97"/>
      <c r="AC111" s="293"/>
      <c r="AD111" s="304"/>
      <c r="AE111" s="304"/>
      <c r="AG111" s="11"/>
      <c r="AH111" s="293"/>
      <c r="AI111" s="97"/>
      <c r="AJ111" s="293"/>
      <c r="AK111" s="304"/>
      <c r="AL111" s="304"/>
      <c r="AN111" s="9"/>
      <c r="AO111" s="9"/>
      <c r="AP111" s="9"/>
      <c r="AQ111" s="9"/>
      <c r="AR111" s="9"/>
      <c r="AS111" s="9"/>
      <c r="AT111" s="123">
        <v>1</v>
      </c>
      <c r="AU111" s="123" t="s">
        <v>32</v>
      </c>
      <c r="AV111" s="124">
        <v>6752821.0999999996</v>
      </c>
      <c r="AW111" s="139">
        <v>4.2500000000000003E-2</v>
      </c>
      <c r="AX111" s="123"/>
      <c r="AY111" s="140">
        <f t="shared" si="36"/>
        <v>786.28738835616446</v>
      </c>
      <c r="AZ111" s="140">
        <f t="shared" si="31"/>
        <v>121020.91276539024</v>
      </c>
      <c r="BA111" s="140">
        <f t="shared" si="29"/>
        <v>35.973932800608964</v>
      </c>
      <c r="BC111" s="122"/>
      <c r="BD111" s="122"/>
      <c r="BE111" s="122"/>
      <c r="BF111" s="122"/>
      <c r="BH111" s="122"/>
      <c r="BI111" s="122"/>
      <c r="BJ111" s="122"/>
      <c r="BK111" s="122"/>
      <c r="BM111" s="122"/>
      <c r="BN111" s="122"/>
      <c r="BO111" s="122"/>
      <c r="BP111" s="122"/>
      <c r="BR111" s="122"/>
      <c r="BS111" s="122"/>
      <c r="BT111" s="122"/>
      <c r="BU111" s="122"/>
      <c r="BV111" s="439"/>
      <c r="BW111" s="120">
        <f t="shared" si="32"/>
        <v>11702821.1</v>
      </c>
      <c r="BX111" s="121">
        <v>4.2500000000000003E-2</v>
      </c>
      <c r="BY111" s="121">
        <f t="shared" si="33"/>
        <v>4.1442562661237303E-2</v>
      </c>
      <c r="BZ111" s="120">
        <f t="shared" si="34"/>
        <v>1336.2873883561645</v>
      </c>
      <c r="CA111" s="120">
        <f t="shared" si="35"/>
        <v>35.973932800608964</v>
      </c>
    </row>
    <row r="112" spans="2:79" x14ac:dyDescent="0.25">
      <c r="B112" s="123" t="str">
        <f t="shared" si="24"/>
        <v>4 2025</v>
      </c>
      <c r="C112" s="122">
        <f t="shared" si="25"/>
        <v>45764</v>
      </c>
      <c r="D112" s="122">
        <f t="shared" si="30"/>
        <v>45765</v>
      </c>
      <c r="E112" s="123">
        <f t="shared" si="26"/>
        <v>1</v>
      </c>
      <c r="F112" s="123" t="s">
        <v>7</v>
      </c>
      <c r="G112" s="124">
        <f t="shared" si="39"/>
        <v>4950000</v>
      </c>
      <c r="H112" s="125">
        <f t="shared" si="39"/>
        <v>0.04</v>
      </c>
      <c r="I112" s="124">
        <f t="shared" si="27"/>
        <v>550</v>
      </c>
      <c r="J112" s="124">
        <f t="shared" si="28"/>
        <v>102316.7</v>
      </c>
      <c r="K112" s="9"/>
      <c r="L112" s="11"/>
      <c r="M112" s="293"/>
      <c r="N112" s="97"/>
      <c r="O112" s="293"/>
      <c r="P112" s="304"/>
      <c r="Q112" s="304"/>
      <c r="S112" s="11"/>
      <c r="T112" s="293"/>
      <c r="U112" s="97"/>
      <c r="V112" s="293"/>
      <c r="W112" s="304"/>
      <c r="X112" s="304"/>
      <c r="Z112" s="11"/>
      <c r="AA112" s="293"/>
      <c r="AB112" s="97"/>
      <c r="AC112" s="293"/>
      <c r="AD112" s="304"/>
      <c r="AE112" s="304"/>
      <c r="AG112" s="11"/>
      <c r="AH112" s="293"/>
      <c r="AI112" s="97"/>
      <c r="AJ112" s="293"/>
      <c r="AK112" s="304"/>
      <c r="AL112" s="304"/>
      <c r="AN112" s="9"/>
      <c r="AO112" s="9"/>
      <c r="AP112" s="9"/>
      <c r="AQ112" s="9"/>
      <c r="AR112" s="9"/>
      <c r="AS112" s="9"/>
      <c r="AT112" s="123">
        <v>1</v>
      </c>
      <c r="AU112" s="123" t="s">
        <v>32</v>
      </c>
      <c r="AV112" s="124">
        <v>6764615.04</v>
      </c>
      <c r="AW112" s="139">
        <v>4.2500000000000003E-2</v>
      </c>
      <c r="AX112" s="123"/>
      <c r="AY112" s="140">
        <f t="shared" si="36"/>
        <v>787.66065534246582</v>
      </c>
      <c r="AZ112" s="140">
        <f t="shared" si="31"/>
        <v>121808.5734207327</v>
      </c>
      <c r="BA112" s="140">
        <f t="shared" si="29"/>
        <v>36.036762009132531</v>
      </c>
      <c r="BC112" s="122"/>
      <c r="BD112" s="122"/>
      <c r="BE112" s="122"/>
      <c r="BF112" s="122"/>
      <c r="BH112" s="122"/>
      <c r="BI112" s="122"/>
      <c r="BJ112" s="122"/>
      <c r="BK112" s="122"/>
      <c r="BM112" s="122"/>
      <c r="BN112" s="122"/>
      <c r="BO112" s="122"/>
      <c r="BP112" s="122"/>
      <c r="BR112" s="122"/>
      <c r="BS112" s="122"/>
      <c r="BT112" s="122"/>
      <c r="BU112" s="122"/>
      <c r="BV112" s="439"/>
      <c r="BW112" s="120">
        <f t="shared" si="32"/>
        <v>11714615.039999999</v>
      </c>
      <c r="BX112" s="121">
        <v>4.2500000000000003E-2</v>
      </c>
      <c r="BY112" s="121">
        <f t="shared" si="33"/>
        <v>4.1443627258962841E-2</v>
      </c>
      <c r="BZ112" s="120">
        <f t="shared" si="34"/>
        <v>1337.6606553424658</v>
      </c>
      <c r="CA112" s="120">
        <f t="shared" si="35"/>
        <v>36.036762009132531</v>
      </c>
    </row>
    <row r="113" spans="2:79" x14ac:dyDescent="0.25">
      <c r="B113" s="123" t="str">
        <f t="shared" si="24"/>
        <v>4 2025</v>
      </c>
      <c r="C113" s="122">
        <f t="shared" si="25"/>
        <v>45765</v>
      </c>
      <c r="D113" s="122">
        <f t="shared" si="30"/>
        <v>45766</v>
      </c>
      <c r="E113" s="123">
        <f t="shared" si="26"/>
        <v>1</v>
      </c>
      <c r="F113" s="123" t="s">
        <v>7</v>
      </c>
      <c r="G113" s="124">
        <f t="shared" si="39"/>
        <v>4950000</v>
      </c>
      <c r="H113" s="125">
        <f t="shared" si="39"/>
        <v>0.04</v>
      </c>
      <c r="I113" s="124">
        <f t="shared" si="27"/>
        <v>550</v>
      </c>
      <c r="J113" s="124">
        <f t="shared" si="28"/>
        <v>102866.7</v>
      </c>
      <c r="K113" s="9"/>
      <c r="L113" s="11"/>
      <c r="M113" s="293"/>
      <c r="N113" s="97"/>
      <c r="O113" s="293"/>
      <c r="P113" s="304"/>
      <c r="Q113" s="304"/>
      <c r="S113" s="11"/>
      <c r="T113" s="293"/>
      <c r="U113" s="97"/>
      <c r="V113" s="293"/>
      <c r="W113" s="304"/>
      <c r="X113" s="304"/>
      <c r="Z113" s="11"/>
      <c r="AA113" s="293"/>
      <c r="AB113" s="97"/>
      <c r="AC113" s="293"/>
      <c r="AD113" s="304"/>
      <c r="AE113" s="304"/>
      <c r="AG113" s="11"/>
      <c r="AH113" s="293"/>
      <c r="AI113" s="97"/>
      <c r="AJ113" s="293"/>
      <c r="AK113" s="304"/>
      <c r="AL113" s="304"/>
      <c r="AN113" s="9"/>
      <c r="AO113" s="9"/>
      <c r="AP113" s="9"/>
      <c r="AQ113" s="9"/>
      <c r="AR113" s="9"/>
      <c r="AS113" s="9"/>
      <c r="AT113" s="123">
        <v>1</v>
      </c>
      <c r="AU113" s="123" t="s">
        <v>32</v>
      </c>
      <c r="AV113" s="124">
        <v>6765537.3399999999</v>
      </c>
      <c r="AW113" s="139">
        <v>4.2500000000000003E-2</v>
      </c>
      <c r="AX113" s="123"/>
      <c r="AY113" s="140">
        <f t="shared" si="36"/>
        <v>787.76804643835624</v>
      </c>
      <c r="AZ113" s="140">
        <f t="shared" si="31"/>
        <v>122596.34146717106</v>
      </c>
      <c r="BA113" s="140">
        <f t="shared" si="29"/>
        <v>36.041675327245116</v>
      </c>
      <c r="BC113" s="122"/>
      <c r="BD113" s="122"/>
      <c r="BE113" s="122"/>
      <c r="BF113" s="122"/>
      <c r="BH113" s="122"/>
      <c r="BI113" s="122"/>
      <c r="BJ113" s="122"/>
      <c r="BK113" s="122"/>
      <c r="BM113" s="122"/>
      <c r="BN113" s="122"/>
      <c r="BO113" s="122"/>
      <c r="BP113" s="122"/>
      <c r="BR113" s="122"/>
      <c r="BS113" s="122"/>
      <c r="BT113" s="122"/>
      <c r="BU113" s="122"/>
      <c r="BV113" s="439"/>
      <c r="BW113" s="120">
        <f t="shared" si="32"/>
        <v>11715537.34</v>
      </c>
      <c r="BX113" s="121">
        <v>4.2500000000000003E-2</v>
      </c>
      <c r="BY113" s="121">
        <f t="shared" si="33"/>
        <v>4.1443710421394983E-2</v>
      </c>
      <c r="BZ113" s="120">
        <f t="shared" si="34"/>
        <v>1337.7680464383561</v>
      </c>
      <c r="CA113" s="120">
        <f t="shared" si="35"/>
        <v>36.041675327245116</v>
      </c>
    </row>
    <row r="114" spans="2:79" x14ac:dyDescent="0.25">
      <c r="B114" s="123" t="str">
        <f t="shared" si="24"/>
        <v>4 2025</v>
      </c>
      <c r="C114" s="122">
        <f t="shared" si="25"/>
        <v>45766</v>
      </c>
      <c r="D114" s="122">
        <f t="shared" si="30"/>
        <v>45767</v>
      </c>
      <c r="E114" s="123">
        <f t="shared" si="26"/>
        <v>1</v>
      </c>
      <c r="F114" s="123" t="s">
        <v>7</v>
      </c>
      <c r="G114" s="124">
        <f t="shared" si="39"/>
        <v>4950000</v>
      </c>
      <c r="H114" s="125">
        <f t="shared" si="39"/>
        <v>0.04</v>
      </c>
      <c r="I114" s="124">
        <f t="shared" si="27"/>
        <v>550</v>
      </c>
      <c r="J114" s="124">
        <f t="shared" si="28"/>
        <v>103416.7</v>
      </c>
      <c r="K114" s="9"/>
      <c r="L114" s="11"/>
      <c r="M114" s="293"/>
      <c r="N114" s="97"/>
      <c r="O114" s="293"/>
      <c r="P114" s="304"/>
      <c r="Q114" s="304"/>
      <c r="S114" s="11"/>
      <c r="T114" s="293"/>
      <c r="U114" s="97"/>
      <c r="V114" s="293"/>
      <c r="W114" s="304"/>
      <c r="X114" s="304"/>
      <c r="Z114" s="11"/>
      <c r="AA114" s="293"/>
      <c r="AB114" s="97"/>
      <c r="AC114" s="293"/>
      <c r="AD114" s="304"/>
      <c r="AE114" s="304"/>
      <c r="AG114" s="11"/>
      <c r="AH114" s="293"/>
      <c r="AI114" s="97"/>
      <c r="AJ114" s="293"/>
      <c r="AK114" s="304"/>
      <c r="AL114" s="304"/>
      <c r="AN114" s="9"/>
      <c r="AO114" s="9"/>
      <c r="AP114" s="9"/>
      <c r="AQ114" s="9"/>
      <c r="AR114" s="9"/>
      <c r="AS114" s="9"/>
      <c r="AT114" s="123">
        <v>1</v>
      </c>
      <c r="AU114" s="123" t="s">
        <v>32</v>
      </c>
      <c r="AV114" s="124">
        <v>6765537.3399999999</v>
      </c>
      <c r="AW114" s="139">
        <v>4.2500000000000003E-2</v>
      </c>
      <c r="AX114" s="123"/>
      <c r="AY114" s="140">
        <f t="shared" si="36"/>
        <v>787.76804643835624</v>
      </c>
      <c r="AZ114" s="140">
        <f t="shared" si="31"/>
        <v>123384.10951360942</v>
      </c>
      <c r="BA114" s="140">
        <f t="shared" si="29"/>
        <v>36.041675327245116</v>
      </c>
      <c r="BC114" s="122"/>
      <c r="BD114" s="122"/>
      <c r="BE114" s="122"/>
      <c r="BF114" s="122"/>
      <c r="BH114" s="122"/>
      <c r="BI114" s="122"/>
      <c r="BJ114" s="122"/>
      <c r="BK114" s="122"/>
      <c r="BM114" s="122"/>
      <c r="BN114" s="122"/>
      <c r="BO114" s="122"/>
      <c r="BP114" s="122"/>
      <c r="BR114" s="122"/>
      <c r="BS114" s="122"/>
      <c r="BT114" s="122"/>
      <c r="BU114" s="122"/>
      <c r="BV114" s="439"/>
      <c r="BW114" s="120">
        <f t="shared" si="32"/>
        <v>11715537.34</v>
      </c>
      <c r="BX114" s="121">
        <v>4.2500000000000003E-2</v>
      </c>
      <c r="BY114" s="121">
        <f t="shared" si="33"/>
        <v>4.1443710421394983E-2</v>
      </c>
      <c r="BZ114" s="120">
        <f t="shared" si="34"/>
        <v>1337.7680464383561</v>
      </c>
      <c r="CA114" s="120">
        <f t="shared" si="35"/>
        <v>36.041675327245116</v>
      </c>
    </row>
    <row r="115" spans="2:79" x14ac:dyDescent="0.25">
      <c r="B115" s="123" t="str">
        <f t="shared" si="24"/>
        <v>4 2025</v>
      </c>
      <c r="C115" s="122">
        <f t="shared" si="25"/>
        <v>45767</v>
      </c>
      <c r="D115" s="122">
        <f t="shared" si="30"/>
        <v>45768</v>
      </c>
      <c r="E115" s="123">
        <f t="shared" si="26"/>
        <v>1</v>
      </c>
      <c r="F115" s="123" t="s">
        <v>7</v>
      </c>
      <c r="G115" s="124">
        <f t="shared" si="39"/>
        <v>4950000</v>
      </c>
      <c r="H115" s="125">
        <f t="shared" si="39"/>
        <v>0.04</v>
      </c>
      <c r="I115" s="124">
        <f t="shared" si="27"/>
        <v>550</v>
      </c>
      <c r="J115" s="124">
        <f t="shared" si="28"/>
        <v>103966.7</v>
      </c>
      <c r="K115" s="9"/>
      <c r="L115" s="11"/>
      <c r="M115" s="293"/>
      <c r="N115" s="97"/>
      <c r="O115" s="293"/>
      <c r="P115" s="304"/>
      <c r="Q115" s="304"/>
      <c r="S115" s="11"/>
      <c r="T115" s="293"/>
      <c r="U115" s="97"/>
      <c r="V115" s="293"/>
      <c r="W115" s="304"/>
      <c r="X115" s="304"/>
      <c r="Z115" s="11"/>
      <c r="AA115" s="293"/>
      <c r="AB115" s="97"/>
      <c r="AC115" s="293"/>
      <c r="AD115" s="304"/>
      <c r="AE115" s="304"/>
      <c r="AG115" s="11"/>
      <c r="AH115" s="293"/>
      <c r="AI115" s="97"/>
      <c r="AJ115" s="293"/>
      <c r="AK115" s="304"/>
      <c r="AL115" s="304"/>
      <c r="AN115" s="9"/>
      <c r="AO115" s="9"/>
      <c r="AP115" s="9"/>
      <c r="AQ115" s="9"/>
      <c r="AR115" s="9"/>
      <c r="AS115" s="9"/>
      <c r="AT115" s="123">
        <v>1</v>
      </c>
      <c r="AU115" s="123" t="s">
        <v>32</v>
      </c>
      <c r="AV115" s="124">
        <v>6765537.3399999999</v>
      </c>
      <c r="AW115" s="139">
        <v>4.2500000000000003E-2</v>
      </c>
      <c r="AX115" s="123"/>
      <c r="AY115" s="140">
        <f t="shared" si="36"/>
        <v>787.76804643835624</v>
      </c>
      <c r="AZ115" s="140">
        <f t="shared" si="31"/>
        <v>124171.87756004778</v>
      </c>
      <c r="BA115" s="140">
        <f t="shared" si="29"/>
        <v>36.041675327245116</v>
      </c>
      <c r="BC115" s="122"/>
      <c r="BD115" s="122"/>
      <c r="BE115" s="122"/>
      <c r="BF115" s="122"/>
      <c r="BH115" s="122"/>
      <c r="BI115" s="122"/>
      <c r="BJ115" s="122"/>
      <c r="BK115" s="122"/>
      <c r="BM115" s="122"/>
      <c r="BN115" s="122"/>
      <c r="BO115" s="122"/>
      <c r="BP115" s="122"/>
      <c r="BR115" s="122"/>
      <c r="BS115" s="122"/>
      <c r="BT115" s="122"/>
      <c r="BU115" s="122"/>
      <c r="BV115" s="439"/>
      <c r="BW115" s="120">
        <f t="shared" si="32"/>
        <v>11715537.34</v>
      </c>
      <c r="BX115" s="121">
        <v>4.2500000000000003E-2</v>
      </c>
      <c r="BY115" s="121">
        <f t="shared" si="33"/>
        <v>4.1443710421394983E-2</v>
      </c>
      <c r="BZ115" s="120">
        <f t="shared" si="34"/>
        <v>1337.7680464383561</v>
      </c>
      <c r="CA115" s="120">
        <f t="shared" si="35"/>
        <v>36.041675327245116</v>
      </c>
    </row>
    <row r="116" spans="2:79" x14ac:dyDescent="0.25">
      <c r="B116" s="123" t="str">
        <f t="shared" si="24"/>
        <v>4 2025</v>
      </c>
      <c r="C116" s="122">
        <f t="shared" si="25"/>
        <v>45768</v>
      </c>
      <c r="D116" s="122">
        <f t="shared" si="30"/>
        <v>45769</v>
      </c>
      <c r="E116" s="123">
        <f t="shared" si="26"/>
        <v>1</v>
      </c>
      <c r="F116" s="123" t="s">
        <v>7</v>
      </c>
      <c r="G116" s="124">
        <f t="shared" si="39"/>
        <v>4950000</v>
      </c>
      <c r="H116" s="125">
        <f t="shared" si="39"/>
        <v>0.04</v>
      </c>
      <c r="I116" s="124">
        <f t="shared" si="27"/>
        <v>550</v>
      </c>
      <c r="J116" s="124">
        <f t="shared" si="28"/>
        <v>104516.7</v>
      </c>
      <c r="K116" s="9"/>
      <c r="L116" s="11"/>
      <c r="M116" s="293"/>
      <c r="N116" s="97"/>
      <c r="O116" s="293"/>
      <c r="P116" s="304"/>
      <c r="Q116" s="304"/>
      <c r="S116" s="11"/>
      <c r="T116" s="293"/>
      <c r="U116" s="97"/>
      <c r="V116" s="293"/>
      <c r="W116" s="304"/>
      <c r="X116" s="304"/>
      <c r="Z116" s="11"/>
      <c r="AA116" s="293"/>
      <c r="AB116" s="97"/>
      <c r="AC116" s="293"/>
      <c r="AD116" s="304"/>
      <c r="AE116" s="304"/>
      <c r="AG116" s="11"/>
      <c r="AH116" s="293"/>
      <c r="AI116" s="97"/>
      <c r="AJ116" s="293"/>
      <c r="AK116" s="304"/>
      <c r="AL116" s="304"/>
      <c r="AN116" s="9"/>
      <c r="AO116" s="9"/>
      <c r="AP116" s="9"/>
      <c r="AQ116" s="9"/>
      <c r="AR116" s="9"/>
      <c r="AS116" s="9"/>
      <c r="AT116" s="123">
        <v>1</v>
      </c>
      <c r="AU116" s="123" t="s">
        <v>32</v>
      </c>
      <c r="AV116" s="124">
        <v>6762578.0499999998</v>
      </c>
      <c r="AW116" s="139">
        <v>4.2500000000000003E-2</v>
      </c>
      <c r="AX116" s="123"/>
      <c r="AY116" s="140">
        <f t="shared" si="36"/>
        <v>787.42347157534243</v>
      </c>
      <c r="AZ116" s="140">
        <f t="shared" si="31"/>
        <v>124959.30103162312</v>
      </c>
      <c r="BA116" s="140">
        <f t="shared" si="29"/>
        <v>36.025910464231401</v>
      </c>
      <c r="BC116" s="122"/>
      <c r="BD116" s="122"/>
      <c r="BE116" s="122"/>
      <c r="BF116" s="122"/>
      <c r="BH116" s="122"/>
      <c r="BI116" s="122"/>
      <c r="BJ116" s="122"/>
      <c r="BK116" s="122"/>
      <c r="BM116" s="122"/>
      <c r="BN116" s="122"/>
      <c r="BO116" s="122"/>
      <c r="BP116" s="122"/>
      <c r="BR116" s="122"/>
      <c r="BS116" s="122"/>
      <c r="BT116" s="122"/>
      <c r="BU116" s="122"/>
      <c r="BV116" s="439"/>
      <c r="BW116" s="120">
        <f t="shared" si="32"/>
        <v>11712578.050000001</v>
      </c>
      <c r="BX116" s="121">
        <v>4.2500000000000003E-2</v>
      </c>
      <c r="BY116" s="121">
        <f t="shared" si="33"/>
        <v>4.1443443540169191E-2</v>
      </c>
      <c r="BZ116" s="120">
        <f t="shared" si="34"/>
        <v>1337.4234715753423</v>
      </c>
      <c r="CA116" s="120">
        <f t="shared" si="35"/>
        <v>36.025910464231401</v>
      </c>
    </row>
    <row r="117" spans="2:79" x14ac:dyDescent="0.25">
      <c r="B117" s="123" t="str">
        <f t="shared" si="24"/>
        <v>4 2025</v>
      </c>
      <c r="C117" s="122">
        <f t="shared" si="25"/>
        <v>45769</v>
      </c>
      <c r="D117" s="122">
        <f t="shared" si="30"/>
        <v>45770</v>
      </c>
      <c r="E117" s="123">
        <f t="shared" si="26"/>
        <v>1</v>
      </c>
      <c r="F117" s="123" t="s">
        <v>7</v>
      </c>
      <c r="G117" s="124">
        <f t="shared" si="39"/>
        <v>4950000</v>
      </c>
      <c r="H117" s="125">
        <f t="shared" si="39"/>
        <v>0.04</v>
      </c>
      <c r="I117" s="124">
        <f t="shared" si="27"/>
        <v>550</v>
      </c>
      <c r="J117" s="124">
        <f t="shared" si="28"/>
        <v>105066.7</v>
      </c>
      <c r="K117" s="9"/>
      <c r="L117" s="11"/>
      <c r="M117" s="293"/>
      <c r="N117" s="97"/>
      <c r="O117" s="293"/>
      <c r="P117" s="304"/>
      <c r="Q117" s="304"/>
      <c r="S117" s="11"/>
      <c r="T117" s="293"/>
      <c r="U117" s="97"/>
      <c r="V117" s="293"/>
      <c r="W117" s="304"/>
      <c r="X117" s="304"/>
      <c r="Z117" s="11"/>
      <c r="AA117" s="293"/>
      <c r="AB117" s="97"/>
      <c r="AC117" s="293"/>
      <c r="AD117" s="304"/>
      <c r="AE117" s="304"/>
      <c r="AG117" s="11"/>
      <c r="AH117" s="293"/>
      <c r="AI117" s="97"/>
      <c r="AJ117" s="293"/>
      <c r="AK117" s="304"/>
      <c r="AL117" s="304"/>
      <c r="AN117" s="9"/>
      <c r="AO117" s="9"/>
      <c r="AP117" s="9"/>
      <c r="AQ117" s="9"/>
      <c r="AR117" s="9"/>
      <c r="AS117" s="9"/>
      <c r="AT117" s="123">
        <v>1</v>
      </c>
      <c r="AU117" s="123" t="s">
        <v>32</v>
      </c>
      <c r="AV117" s="124">
        <v>6763365.4699999997</v>
      </c>
      <c r="AW117" s="139">
        <v>4.2500000000000003E-2</v>
      </c>
      <c r="AX117" s="123"/>
      <c r="AY117" s="140">
        <f t="shared" si="36"/>
        <v>787.51515746575342</v>
      </c>
      <c r="AZ117" s="140">
        <f t="shared" si="31"/>
        <v>125746.81618908887</v>
      </c>
      <c r="BA117" s="140">
        <f t="shared" si="29"/>
        <v>36.030105243531239</v>
      </c>
      <c r="BC117" s="122"/>
      <c r="BD117" s="122"/>
      <c r="BE117" s="122"/>
      <c r="BF117" s="122"/>
      <c r="BH117" s="122"/>
      <c r="BI117" s="122"/>
      <c r="BJ117" s="122"/>
      <c r="BK117" s="122"/>
      <c r="BM117" s="122"/>
      <c r="BN117" s="122"/>
      <c r="BO117" s="122"/>
      <c r="BP117" s="122"/>
      <c r="BR117" s="122"/>
      <c r="BS117" s="122"/>
      <c r="BT117" s="122"/>
      <c r="BU117" s="122"/>
      <c r="BV117" s="439"/>
      <c r="BW117" s="120">
        <f t="shared" si="32"/>
        <v>11713365.469999999</v>
      </c>
      <c r="BX117" s="121">
        <v>4.2500000000000003E-2</v>
      </c>
      <c r="BY117" s="121">
        <f t="shared" si="33"/>
        <v>4.1443514566185571E-2</v>
      </c>
      <c r="BZ117" s="120">
        <f t="shared" si="34"/>
        <v>1337.5151574657534</v>
      </c>
      <c r="CA117" s="120">
        <f t="shared" si="35"/>
        <v>36.030105243531239</v>
      </c>
    </row>
    <row r="118" spans="2:79" x14ac:dyDescent="0.25">
      <c r="B118" s="123" t="str">
        <f t="shared" si="24"/>
        <v>4 2025</v>
      </c>
      <c r="C118" s="122">
        <f t="shared" si="25"/>
        <v>45770</v>
      </c>
      <c r="D118" s="122">
        <f t="shared" si="30"/>
        <v>45771</v>
      </c>
      <c r="E118" s="123">
        <f t="shared" si="26"/>
        <v>1</v>
      </c>
      <c r="F118" s="123" t="s">
        <v>7</v>
      </c>
      <c r="G118" s="124">
        <f t="shared" si="39"/>
        <v>4950000</v>
      </c>
      <c r="H118" s="125">
        <f t="shared" si="39"/>
        <v>0.04</v>
      </c>
      <c r="I118" s="124">
        <f t="shared" si="27"/>
        <v>550</v>
      </c>
      <c r="J118" s="124">
        <f t="shared" si="28"/>
        <v>105616.7</v>
      </c>
      <c r="K118" s="9"/>
      <c r="L118" s="11"/>
      <c r="M118" s="293"/>
      <c r="N118" s="97"/>
      <c r="O118" s="293"/>
      <c r="P118" s="304"/>
      <c r="Q118" s="304"/>
      <c r="S118" s="11"/>
      <c r="T118" s="293"/>
      <c r="U118" s="97"/>
      <c r="V118" s="293"/>
      <c r="W118" s="304"/>
      <c r="X118" s="304"/>
      <c r="Z118" s="11"/>
      <c r="AA118" s="293"/>
      <c r="AB118" s="97"/>
      <c r="AC118" s="293"/>
      <c r="AD118" s="304"/>
      <c r="AE118" s="304"/>
      <c r="AG118" s="11"/>
      <c r="AH118" s="293"/>
      <c r="AI118" s="97"/>
      <c r="AJ118" s="293"/>
      <c r="AK118" s="304"/>
      <c r="AL118" s="304"/>
      <c r="AN118" s="9"/>
      <c r="AO118" s="9"/>
      <c r="AP118" s="9"/>
      <c r="AQ118" s="9"/>
      <c r="AR118" s="9"/>
      <c r="AS118" s="9"/>
      <c r="AT118" s="123">
        <v>1</v>
      </c>
      <c r="AU118" s="123" t="s">
        <v>32</v>
      </c>
      <c r="AV118" s="124">
        <v>6764152.9900000002</v>
      </c>
      <c r="AW118" s="139">
        <v>4.2500000000000003E-2</v>
      </c>
      <c r="AX118" s="123"/>
      <c r="AY118" s="140">
        <f t="shared" si="36"/>
        <v>787.60685500000011</v>
      </c>
      <c r="AZ118" s="140">
        <f t="shared" si="31"/>
        <v>126534.42304408888</v>
      </c>
      <c r="BA118" s="140">
        <f t="shared" si="29"/>
        <v>36.034300555555546</v>
      </c>
      <c r="BC118" s="122"/>
      <c r="BD118" s="122"/>
      <c r="BE118" s="122"/>
      <c r="BF118" s="122"/>
      <c r="BH118" s="122"/>
      <c r="BI118" s="122"/>
      <c r="BJ118" s="122"/>
      <c r="BK118" s="122"/>
      <c r="BM118" s="122"/>
      <c r="BN118" s="122"/>
      <c r="BO118" s="122"/>
      <c r="BP118" s="122"/>
      <c r="BR118" s="122"/>
      <c r="BS118" s="122"/>
      <c r="BT118" s="122"/>
      <c r="BU118" s="122"/>
      <c r="BV118" s="439"/>
      <c r="BW118" s="120">
        <f t="shared" si="32"/>
        <v>11714152.99</v>
      </c>
      <c r="BX118" s="121">
        <v>4.2500000000000003E-2</v>
      </c>
      <c r="BY118" s="121">
        <f t="shared" si="33"/>
        <v>4.1443585591671536E-2</v>
      </c>
      <c r="BZ118" s="120">
        <f t="shared" si="34"/>
        <v>1337.606855</v>
      </c>
      <c r="CA118" s="120">
        <f t="shared" si="35"/>
        <v>36.034300555555546</v>
      </c>
    </row>
    <row r="119" spans="2:79" x14ac:dyDescent="0.25">
      <c r="B119" s="123" t="str">
        <f t="shared" si="24"/>
        <v>4 2025</v>
      </c>
      <c r="C119" s="122">
        <f t="shared" si="25"/>
        <v>45771</v>
      </c>
      <c r="D119" s="122">
        <f t="shared" si="30"/>
        <v>45772</v>
      </c>
      <c r="E119" s="123">
        <f t="shared" si="26"/>
        <v>1</v>
      </c>
      <c r="F119" s="123" t="s">
        <v>7</v>
      </c>
      <c r="G119" s="124">
        <f t="shared" si="39"/>
        <v>4950000</v>
      </c>
      <c r="H119" s="125">
        <f t="shared" si="39"/>
        <v>0.04</v>
      </c>
      <c r="I119" s="124">
        <f t="shared" si="27"/>
        <v>550</v>
      </c>
      <c r="J119" s="124">
        <f t="shared" si="28"/>
        <v>106166.7</v>
      </c>
      <c r="K119" s="9"/>
      <c r="L119" s="11"/>
      <c r="M119" s="293"/>
      <c r="N119" s="97"/>
      <c r="O119" s="293"/>
      <c r="P119" s="304"/>
      <c r="Q119" s="304"/>
      <c r="S119" s="11"/>
      <c r="T119" s="293"/>
      <c r="U119" s="97"/>
      <c r="V119" s="293"/>
      <c r="W119" s="304"/>
      <c r="X119" s="304"/>
      <c r="Z119" s="11"/>
      <c r="AA119" s="293"/>
      <c r="AB119" s="97"/>
      <c r="AC119" s="293"/>
      <c r="AD119" s="304"/>
      <c r="AE119" s="304"/>
      <c r="AG119" s="11"/>
      <c r="AH119" s="293"/>
      <c r="AI119" s="97"/>
      <c r="AJ119" s="293"/>
      <c r="AK119" s="304"/>
      <c r="AL119" s="304"/>
      <c r="AN119" s="9"/>
      <c r="AO119" s="9"/>
      <c r="AP119" s="9"/>
      <c r="AQ119" s="9"/>
      <c r="AR119" s="9"/>
      <c r="AS119" s="9"/>
      <c r="AT119" s="123">
        <v>1</v>
      </c>
      <c r="AU119" s="123" t="s">
        <v>32</v>
      </c>
      <c r="AV119" s="124">
        <v>6764498.1399999997</v>
      </c>
      <c r="AW119" s="139">
        <v>4.2500000000000003E-2</v>
      </c>
      <c r="AX119" s="123"/>
      <c r="AY119" s="140">
        <f t="shared" si="36"/>
        <v>787.64704369863011</v>
      </c>
      <c r="AZ119" s="140">
        <f t="shared" si="31"/>
        <v>127322.07008778751</v>
      </c>
      <c r="BA119" s="140">
        <f t="shared" si="29"/>
        <v>36.036139254185628</v>
      </c>
      <c r="BC119" s="122"/>
      <c r="BD119" s="122"/>
      <c r="BE119" s="122"/>
      <c r="BF119" s="122"/>
      <c r="BH119" s="122"/>
      <c r="BI119" s="122"/>
      <c r="BJ119" s="122"/>
      <c r="BK119" s="122"/>
      <c r="BM119" s="122"/>
      <c r="BN119" s="122"/>
      <c r="BO119" s="122"/>
      <c r="BP119" s="122"/>
      <c r="BR119" s="122"/>
      <c r="BS119" s="122"/>
      <c r="BT119" s="122"/>
      <c r="BU119" s="122"/>
      <c r="BV119" s="439"/>
      <c r="BW119" s="120">
        <f t="shared" si="32"/>
        <v>11714498.140000001</v>
      </c>
      <c r="BX119" s="121">
        <v>4.2500000000000003E-2</v>
      </c>
      <c r="BY119" s="121">
        <f t="shared" si="33"/>
        <v>4.1443616717326992E-2</v>
      </c>
      <c r="BZ119" s="120">
        <f t="shared" si="34"/>
        <v>1337.6470436986301</v>
      </c>
      <c r="CA119" s="120">
        <f t="shared" si="35"/>
        <v>36.036139254185628</v>
      </c>
    </row>
    <row r="120" spans="2:79" x14ac:dyDescent="0.25">
      <c r="B120" s="123" t="str">
        <f t="shared" si="24"/>
        <v>4 2025</v>
      </c>
      <c r="C120" s="122">
        <f t="shared" si="25"/>
        <v>45772</v>
      </c>
      <c r="D120" s="122">
        <f t="shared" si="30"/>
        <v>45773</v>
      </c>
      <c r="E120" s="123">
        <f t="shared" si="26"/>
        <v>1</v>
      </c>
      <c r="F120" s="123" t="s">
        <v>7</v>
      </c>
      <c r="G120" s="126">
        <f>G119-780000</f>
        <v>4170000</v>
      </c>
      <c r="H120" s="125">
        <f t="shared" ref="G120:H135" si="40">H119</f>
        <v>0.04</v>
      </c>
      <c r="I120" s="124">
        <f t="shared" si="27"/>
        <v>463.33</v>
      </c>
      <c r="J120" s="124">
        <f t="shared" si="28"/>
        <v>106630.03</v>
      </c>
      <c r="K120" s="9"/>
      <c r="L120" s="11"/>
      <c r="M120" s="293"/>
      <c r="N120" s="97"/>
      <c r="O120" s="293"/>
      <c r="P120" s="304"/>
      <c r="Q120" s="304"/>
      <c r="S120" s="11"/>
      <c r="T120" s="293"/>
      <c r="U120" s="97"/>
      <c r="V120" s="293"/>
      <c r="W120" s="304"/>
      <c r="X120" s="304"/>
      <c r="Z120" s="11"/>
      <c r="AA120" s="293"/>
      <c r="AB120" s="97"/>
      <c r="AC120" s="293"/>
      <c r="AD120" s="304"/>
      <c r="AE120" s="304"/>
      <c r="AG120" s="11"/>
      <c r="AH120" s="293"/>
      <c r="AI120" s="97"/>
      <c r="AJ120" s="293"/>
      <c r="AK120" s="304"/>
      <c r="AL120" s="304"/>
      <c r="AN120" s="9"/>
      <c r="AO120" s="9"/>
      <c r="AP120" s="9"/>
      <c r="AQ120" s="9"/>
      <c r="AR120" s="9"/>
      <c r="AS120" s="9"/>
      <c r="AT120" s="123">
        <v>1</v>
      </c>
      <c r="AU120" s="123" t="s">
        <v>32</v>
      </c>
      <c r="AV120" s="124">
        <v>6765285.79</v>
      </c>
      <c r="AW120" s="139">
        <v>4.2500000000000003E-2</v>
      </c>
      <c r="AX120" s="123"/>
      <c r="AY120" s="140">
        <f t="shared" si="36"/>
        <v>787.73875636986304</v>
      </c>
      <c r="AZ120" s="140">
        <f t="shared" si="31"/>
        <v>128109.80884415736</v>
      </c>
      <c r="BA120" s="140">
        <f t="shared" si="29"/>
        <v>36.040335258751952</v>
      </c>
      <c r="BC120" s="122"/>
      <c r="BD120" s="122"/>
      <c r="BE120" s="122"/>
      <c r="BF120" s="122"/>
      <c r="BH120" s="122"/>
      <c r="BI120" s="122"/>
      <c r="BJ120" s="122"/>
      <c r="BK120" s="122"/>
      <c r="BM120" s="122"/>
      <c r="BN120" s="122"/>
      <c r="BO120" s="122"/>
      <c r="BP120" s="122"/>
      <c r="BR120" s="122"/>
      <c r="BS120" s="122"/>
      <c r="BT120" s="122"/>
      <c r="BU120" s="122"/>
      <c r="BV120" s="439"/>
      <c r="BW120" s="120">
        <f t="shared" si="32"/>
        <v>10935285.789999999</v>
      </c>
      <c r="BX120" s="121">
        <v>4.2500000000000003E-2</v>
      </c>
      <c r="BY120" s="121">
        <f t="shared" si="33"/>
        <v>4.1546664147586038E-2</v>
      </c>
      <c r="BZ120" s="120">
        <f t="shared" si="34"/>
        <v>1251.068756369863</v>
      </c>
      <c r="CA120" s="120">
        <f t="shared" si="35"/>
        <v>36.040335258751952</v>
      </c>
    </row>
    <row r="121" spans="2:79" x14ac:dyDescent="0.25">
      <c r="B121" s="123" t="str">
        <f t="shared" si="24"/>
        <v>4 2025</v>
      </c>
      <c r="C121" s="122">
        <f t="shared" si="25"/>
        <v>45773</v>
      </c>
      <c r="D121" s="122">
        <f t="shared" si="30"/>
        <v>45774</v>
      </c>
      <c r="E121" s="123">
        <f t="shared" si="26"/>
        <v>1</v>
      </c>
      <c r="F121" s="123" t="s">
        <v>7</v>
      </c>
      <c r="G121" s="124">
        <f t="shared" si="40"/>
        <v>4170000</v>
      </c>
      <c r="H121" s="125">
        <f t="shared" si="40"/>
        <v>0.04</v>
      </c>
      <c r="I121" s="124">
        <f t="shared" si="27"/>
        <v>463.33</v>
      </c>
      <c r="J121" s="124">
        <f t="shared" si="28"/>
        <v>107093.36</v>
      </c>
      <c r="K121" s="9"/>
      <c r="L121" s="11"/>
      <c r="M121" s="293"/>
      <c r="N121" s="97"/>
      <c r="O121" s="293"/>
      <c r="P121" s="304"/>
      <c r="Q121" s="304"/>
      <c r="S121" s="11"/>
      <c r="T121" s="293"/>
      <c r="U121" s="97"/>
      <c r="V121" s="293"/>
      <c r="W121" s="304"/>
      <c r="X121" s="304"/>
      <c r="Z121" s="11"/>
      <c r="AA121" s="293"/>
      <c r="AB121" s="97"/>
      <c r="AC121" s="293"/>
      <c r="AD121" s="304"/>
      <c r="AE121" s="304"/>
      <c r="AG121" s="11"/>
      <c r="AH121" s="293"/>
      <c r="AI121" s="97"/>
      <c r="AJ121" s="293"/>
      <c r="AK121" s="304"/>
      <c r="AL121" s="304"/>
      <c r="AN121" s="9"/>
      <c r="AO121" s="9"/>
      <c r="AP121" s="9"/>
      <c r="AQ121" s="9"/>
      <c r="AR121" s="9"/>
      <c r="AS121" s="9"/>
      <c r="AT121" s="123">
        <v>1</v>
      </c>
      <c r="AU121" s="123" t="s">
        <v>32</v>
      </c>
      <c r="AV121" s="124">
        <v>6765285.79</v>
      </c>
      <c r="AW121" s="139">
        <v>4.2500000000000003E-2</v>
      </c>
      <c r="AX121" s="123"/>
      <c r="AY121" s="140">
        <f t="shared" si="36"/>
        <v>787.73875636986304</v>
      </c>
      <c r="AZ121" s="140">
        <f t="shared" si="31"/>
        <v>128897.54760052722</v>
      </c>
      <c r="BA121" s="140">
        <f t="shared" si="29"/>
        <v>36.040335258751952</v>
      </c>
      <c r="BC121" s="122"/>
      <c r="BD121" s="122"/>
      <c r="BE121" s="122"/>
      <c r="BF121" s="122"/>
      <c r="BH121" s="122"/>
      <c r="BI121" s="122"/>
      <c r="BJ121" s="122"/>
      <c r="BK121" s="122"/>
      <c r="BM121" s="122"/>
      <c r="BN121" s="122"/>
      <c r="BO121" s="122"/>
      <c r="BP121" s="122"/>
      <c r="BR121" s="122"/>
      <c r="BS121" s="122"/>
      <c r="BT121" s="122"/>
      <c r="BU121" s="122"/>
      <c r="BV121" s="439"/>
      <c r="BW121" s="120">
        <f t="shared" si="32"/>
        <v>10935285.789999999</v>
      </c>
      <c r="BX121" s="121">
        <v>4.2500000000000003E-2</v>
      </c>
      <c r="BY121" s="121">
        <f t="shared" si="33"/>
        <v>4.1546664147586038E-2</v>
      </c>
      <c r="BZ121" s="120">
        <f t="shared" si="34"/>
        <v>1251.068756369863</v>
      </c>
      <c r="CA121" s="120">
        <f t="shared" si="35"/>
        <v>36.040335258751952</v>
      </c>
    </row>
    <row r="122" spans="2:79" x14ac:dyDescent="0.25">
      <c r="B122" s="123" t="str">
        <f t="shared" si="24"/>
        <v>4 2025</v>
      </c>
      <c r="C122" s="122">
        <f t="shared" si="25"/>
        <v>45774</v>
      </c>
      <c r="D122" s="122">
        <f t="shared" si="30"/>
        <v>45775</v>
      </c>
      <c r="E122" s="123">
        <f t="shared" si="26"/>
        <v>1</v>
      </c>
      <c r="F122" s="123" t="s">
        <v>7</v>
      </c>
      <c r="G122" s="124">
        <f t="shared" si="40"/>
        <v>4170000</v>
      </c>
      <c r="H122" s="125">
        <f t="shared" si="40"/>
        <v>0.04</v>
      </c>
      <c r="I122" s="124">
        <f t="shared" si="27"/>
        <v>463.33</v>
      </c>
      <c r="J122" s="124">
        <f t="shared" si="28"/>
        <v>107556.69</v>
      </c>
      <c r="K122" s="9"/>
      <c r="L122" s="11"/>
      <c r="M122" s="293"/>
      <c r="N122" s="97"/>
      <c r="O122" s="293"/>
      <c r="P122" s="304"/>
      <c r="Q122" s="304"/>
      <c r="S122" s="11"/>
      <c r="T122" s="293"/>
      <c r="U122" s="97"/>
      <c r="V122" s="293"/>
      <c r="W122" s="304"/>
      <c r="X122" s="304"/>
      <c r="Z122" s="11"/>
      <c r="AA122" s="293"/>
      <c r="AB122" s="97"/>
      <c r="AC122" s="293"/>
      <c r="AD122" s="304"/>
      <c r="AE122" s="304"/>
      <c r="AG122" s="11"/>
      <c r="AH122" s="293"/>
      <c r="AI122" s="97"/>
      <c r="AJ122" s="293"/>
      <c r="AK122" s="304"/>
      <c r="AL122" s="304"/>
      <c r="AN122" s="9"/>
      <c r="AO122" s="9"/>
      <c r="AP122" s="9"/>
      <c r="AQ122" s="9"/>
      <c r="AR122" s="9"/>
      <c r="AS122" s="9"/>
      <c r="AT122" s="123">
        <v>1</v>
      </c>
      <c r="AU122" s="123" t="s">
        <v>32</v>
      </c>
      <c r="AV122" s="124">
        <v>6765285.79</v>
      </c>
      <c r="AW122" s="139">
        <v>4.2500000000000003E-2</v>
      </c>
      <c r="AX122" s="123"/>
      <c r="AY122" s="140">
        <f t="shared" si="36"/>
        <v>787.73875636986304</v>
      </c>
      <c r="AZ122" s="140">
        <f t="shared" si="31"/>
        <v>129685.28635689708</v>
      </c>
      <c r="BA122" s="140">
        <f t="shared" si="29"/>
        <v>36.040335258751952</v>
      </c>
      <c r="BC122" s="122"/>
      <c r="BD122" s="122"/>
      <c r="BE122" s="122"/>
      <c r="BF122" s="122"/>
      <c r="BH122" s="122"/>
      <c r="BI122" s="122"/>
      <c r="BJ122" s="122"/>
      <c r="BK122" s="122"/>
      <c r="BM122" s="122"/>
      <c r="BN122" s="122"/>
      <c r="BO122" s="122"/>
      <c r="BP122" s="122"/>
      <c r="BR122" s="122"/>
      <c r="BS122" s="122"/>
      <c r="BT122" s="122"/>
      <c r="BU122" s="122"/>
      <c r="BV122" s="439"/>
      <c r="BW122" s="120">
        <f t="shared" si="32"/>
        <v>10935285.789999999</v>
      </c>
      <c r="BX122" s="121">
        <v>4.2500000000000003E-2</v>
      </c>
      <c r="BY122" s="121">
        <f t="shared" si="33"/>
        <v>4.1546664147586038E-2</v>
      </c>
      <c r="BZ122" s="120">
        <f t="shared" si="34"/>
        <v>1251.068756369863</v>
      </c>
      <c r="CA122" s="120">
        <f t="shared" si="35"/>
        <v>36.040335258751952</v>
      </c>
    </row>
    <row r="123" spans="2:79" x14ac:dyDescent="0.25">
      <c r="B123" s="123" t="str">
        <f t="shared" si="24"/>
        <v>4 2025</v>
      </c>
      <c r="C123" s="122">
        <f t="shared" si="25"/>
        <v>45775</v>
      </c>
      <c r="D123" s="122">
        <f t="shared" si="30"/>
        <v>45776</v>
      </c>
      <c r="E123" s="123">
        <f t="shared" si="26"/>
        <v>1</v>
      </c>
      <c r="F123" s="123" t="s">
        <v>7</v>
      </c>
      <c r="G123" s="124">
        <f t="shared" si="40"/>
        <v>4170000</v>
      </c>
      <c r="H123" s="125">
        <f t="shared" si="40"/>
        <v>0.04</v>
      </c>
      <c r="I123" s="124">
        <f t="shared" si="27"/>
        <v>463.33</v>
      </c>
      <c r="J123" s="124">
        <f t="shared" si="28"/>
        <v>108020.02</v>
      </c>
      <c r="K123" s="9"/>
      <c r="L123" s="11"/>
      <c r="M123" s="293"/>
      <c r="N123" s="97"/>
      <c r="O123" s="293"/>
      <c r="P123" s="304"/>
      <c r="Q123" s="304"/>
      <c r="S123" s="11"/>
      <c r="T123" s="293"/>
      <c r="U123" s="97"/>
      <c r="V123" s="293"/>
      <c r="W123" s="304"/>
      <c r="X123" s="304"/>
      <c r="Z123" s="11"/>
      <c r="AA123" s="293"/>
      <c r="AB123" s="97"/>
      <c r="AC123" s="293"/>
      <c r="AD123" s="304"/>
      <c r="AE123" s="304"/>
      <c r="AG123" s="11"/>
      <c r="AH123" s="293"/>
      <c r="AI123" s="97"/>
      <c r="AJ123" s="293"/>
      <c r="AK123" s="304"/>
      <c r="AL123" s="304"/>
      <c r="AN123" s="9"/>
      <c r="AO123" s="9"/>
      <c r="AP123" s="9"/>
      <c r="AQ123" s="9"/>
      <c r="AR123" s="9"/>
      <c r="AS123" s="9"/>
      <c r="AT123" s="123">
        <v>1</v>
      </c>
      <c r="AU123" s="123" t="s">
        <v>32</v>
      </c>
      <c r="AV123" s="124">
        <v>6754754.5099999998</v>
      </c>
      <c r="AW123" s="139">
        <v>4.2500000000000003E-2</v>
      </c>
      <c r="AX123" s="123"/>
      <c r="AY123" s="140">
        <f t="shared" si="36"/>
        <v>786.51251143835623</v>
      </c>
      <c r="AZ123" s="140">
        <f t="shared" si="31"/>
        <v>130471.79886833543</v>
      </c>
      <c r="BA123" s="140">
        <f t="shared" si="29"/>
        <v>35.984232549467265</v>
      </c>
      <c r="BC123" s="122"/>
      <c r="BD123" s="122"/>
      <c r="BE123" s="122"/>
      <c r="BF123" s="122"/>
      <c r="BH123" s="122"/>
      <c r="BI123" s="122"/>
      <c r="BJ123" s="122"/>
      <c r="BK123" s="122"/>
      <c r="BM123" s="122"/>
      <c r="BN123" s="122"/>
      <c r="BO123" s="122"/>
      <c r="BP123" s="122"/>
      <c r="BR123" s="122"/>
      <c r="BS123" s="122"/>
      <c r="BT123" s="122"/>
      <c r="BU123" s="122"/>
      <c r="BV123" s="439"/>
      <c r="BW123" s="120">
        <f t="shared" si="32"/>
        <v>10924754.51</v>
      </c>
      <c r="BX123" s="121">
        <v>4.2500000000000003E-2</v>
      </c>
      <c r="BY123" s="121">
        <f t="shared" si="33"/>
        <v>4.1545745147823922E-2</v>
      </c>
      <c r="BZ123" s="120">
        <f t="shared" si="34"/>
        <v>1249.8425114383563</v>
      </c>
      <c r="CA123" s="120">
        <f t="shared" si="35"/>
        <v>35.984232549467265</v>
      </c>
    </row>
    <row r="124" spans="2:79" x14ac:dyDescent="0.25">
      <c r="B124" s="148" t="str">
        <f t="shared" si="24"/>
        <v>4 2025</v>
      </c>
      <c r="C124" s="149">
        <f t="shared" si="25"/>
        <v>45776</v>
      </c>
      <c r="D124" s="149">
        <f t="shared" si="30"/>
        <v>45777</v>
      </c>
      <c r="E124" s="148">
        <f t="shared" si="26"/>
        <v>1</v>
      </c>
      <c r="F124" s="148" t="s">
        <v>7</v>
      </c>
      <c r="G124" s="150">
        <f t="shared" si="40"/>
        <v>4170000</v>
      </c>
      <c r="H124" s="151">
        <f t="shared" si="40"/>
        <v>0.04</v>
      </c>
      <c r="I124" s="150">
        <f t="shared" si="27"/>
        <v>463.33</v>
      </c>
      <c r="J124" s="150">
        <f t="shared" si="28"/>
        <v>108483.35</v>
      </c>
      <c r="K124" s="9"/>
      <c r="L124" s="143"/>
      <c r="M124" s="419"/>
      <c r="N124" s="145"/>
      <c r="O124" s="419"/>
      <c r="P124" s="419"/>
      <c r="Q124" s="339"/>
      <c r="R124" s="17"/>
      <c r="S124" s="143"/>
      <c r="T124" s="419"/>
      <c r="U124" s="145"/>
      <c r="V124" s="419"/>
      <c r="W124" s="419"/>
      <c r="X124" s="339"/>
      <c r="Y124" s="17"/>
      <c r="Z124" s="143"/>
      <c r="AA124" s="419"/>
      <c r="AB124" s="145"/>
      <c r="AC124" s="419"/>
      <c r="AD124" s="419"/>
      <c r="AE124" s="339"/>
      <c r="AF124" s="17"/>
      <c r="AG124" s="143"/>
      <c r="AH124" s="419"/>
      <c r="AI124" s="145"/>
      <c r="AJ124" s="419"/>
      <c r="AK124" s="419"/>
      <c r="AL124" s="339"/>
      <c r="AM124" s="17"/>
      <c r="AN124" s="9"/>
      <c r="AO124" s="9"/>
      <c r="AP124" s="9"/>
      <c r="AQ124" s="9"/>
      <c r="AR124" s="9"/>
      <c r="AS124" s="9"/>
      <c r="AT124" s="148">
        <v>1</v>
      </c>
      <c r="AU124" s="148" t="s">
        <v>32</v>
      </c>
      <c r="AV124" s="205">
        <v>6755541.0199999996</v>
      </c>
      <c r="AW124" s="189">
        <v>4.2500000000000003E-2</v>
      </c>
      <c r="AX124" s="152"/>
      <c r="AY124" s="201">
        <f t="shared" si="36"/>
        <v>786.604091369863</v>
      </c>
      <c r="AZ124" s="201">
        <f>AZ123+AY124-0.01</f>
        <v>131258.39295970529</v>
      </c>
      <c r="BA124" s="153">
        <f t="shared" si="29"/>
        <v>35.988422480974123</v>
      </c>
      <c r="BC124" s="122"/>
      <c r="BD124" s="122"/>
      <c r="BE124" s="122"/>
      <c r="BF124" s="122"/>
      <c r="BH124" s="122"/>
      <c r="BI124" s="122"/>
      <c r="BJ124" s="122"/>
      <c r="BK124" s="122"/>
      <c r="BM124" s="122"/>
      <c r="BN124" s="122"/>
      <c r="BO124" s="122"/>
      <c r="BP124" s="122"/>
      <c r="BR124" s="122"/>
      <c r="BS124" s="122"/>
      <c r="BT124" s="122"/>
      <c r="BU124" s="122"/>
      <c r="BV124" s="439"/>
      <c r="BW124" s="120">
        <f t="shared" si="32"/>
        <v>10925541.02</v>
      </c>
      <c r="BX124" s="173">
        <v>4.2500000000000003E-2</v>
      </c>
      <c r="BY124" s="121">
        <f t="shared" si="33"/>
        <v>4.154581384291027E-2</v>
      </c>
      <c r="BZ124" s="120">
        <f t="shared" si="34"/>
        <v>1249.9340913698629</v>
      </c>
      <c r="CA124" s="120">
        <f t="shared" si="35"/>
        <v>35.988422480974123</v>
      </c>
    </row>
    <row r="125" spans="2:79" x14ac:dyDescent="0.25">
      <c r="B125" s="123" t="str">
        <f t="shared" si="24"/>
        <v>5 2025</v>
      </c>
      <c r="C125" s="122">
        <f t="shared" si="25"/>
        <v>45777</v>
      </c>
      <c r="D125" s="122">
        <f t="shared" si="30"/>
        <v>45778</v>
      </c>
      <c r="E125" s="123">
        <f t="shared" si="26"/>
        <v>1</v>
      </c>
      <c r="F125" s="123" t="s">
        <v>7</v>
      </c>
      <c r="G125" s="124">
        <f t="shared" si="40"/>
        <v>4170000</v>
      </c>
      <c r="H125" s="125">
        <f t="shared" si="40"/>
        <v>0.04</v>
      </c>
      <c r="I125" s="124">
        <f>G125*H125*E125/360</f>
        <v>463.33333333333331</v>
      </c>
      <c r="J125" s="124">
        <f t="shared" si="28"/>
        <v>108946.68333333333</v>
      </c>
      <c r="K125" s="9"/>
      <c r="L125" s="11"/>
      <c r="M125" s="293"/>
      <c r="N125" s="97"/>
      <c r="O125" s="293"/>
      <c r="P125" s="304"/>
      <c r="Q125" s="304"/>
      <c r="S125" s="11"/>
      <c r="T125" s="293"/>
      <c r="U125" s="97"/>
      <c r="V125" s="293"/>
      <c r="W125" s="304"/>
      <c r="X125" s="304"/>
      <c r="Z125" s="11"/>
      <c r="AA125" s="293"/>
      <c r="AB125" s="97"/>
      <c r="AC125" s="293"/>
      <c r="AD125" s="304"/>
      <c r="AE125" s="304"/>
      <c r="AG125" s="11"/>
      <c r="AH125" s="293"/>
      <c r="AI125" s="97"/>
      <c r="AJ125" s="293"/>
      <c r="AK125" s="304"/>
      <c r="AL125" s="304"/>
      <c r="AN125" s="9"/>
      <c r="AO125" s="9"/>
      <c r="AP125" s="9"/>
      <c r="AQ125" s="9"/>
      <c r="AR125" s="9"/>
      <c r="AS125" s="9"/>
      <c r="AT125" s="123">
        <v>1</v>
      </c>
      <c r="AU125" s="123" t="s">
        <v>32</v>
      </c>
      <c r="AV125" s="124">
        <v>6438891.5199999996</v>
      </c>
      <c r="AW125" s="139">
        <v>4.2500000000000003E-2</v>
      </c>
      <c r="AX125" s="123"/>
      <c r="AY125" s="140">
        <f t="shared" si="36"/>
        <v>749.73394410958906</v>
      </c>
      <c r="AZ125" s="140">
        <f t="shared" si="31"/>
        <v>132008.12690381487</v>
      </c>
      <c r="BA125" s="140">
        <f t="shared" si="29"/>
        <v>34.301552998477973</v>
      </c>
      <c r="BC125" s="122"/>
      <c r="BD125" s="122"/>
      <c r="BE125" s="122"/>
      <c r="BF125" s="122"/>
      <c r="BH125" s="122"/>
      <c r="BI125" s="122"/>
      <c r="BJ125" s="122"/>
      <c r="BK125" s="122"/>
      <c r="BM125" s="122"/>
      <c r="BN125" s="122"/>
      <c r="BO125" s="122"/>
      <c r="BP125" s="122"/>
      <c r="BR125" s="122"/>
      <c r="BS125" s="122"/>
      <c r="BT125" s="122"/>
      <c r="BU125" s="122"/>
      <c r="BV125" s="439"/>
      <c r="BW125" s="120">
        <f t="shared" si="32"/>
        <v>10608891.52</v>
      </c>
      <c r="BX125" s="121">
        <v>4.2500000000000003E-2</v>
      </c>
      <c r="BY125" s="121">
        <f t="shared" si="33"/>
        <v>4.1517333716689753E-2</v>
      </c>
      <c r="BZ125" s="120">
        <f t="shared" si="34"/>
        <v>1213.0672774429224</v>
      </c>
      <c r="CA125" s="120">
        <f t="shared" si="35"/>
        <v>34.301552998477973</v>
      </c>
    </row>
    <row r="126" spans="2:79" x14ac:dyDescent="0.25">
      <c r="B126" s="123" t="str">
        <f t="shared" si="24"/>
        <v>5 2025</v>
      </c>
      <c r="C126" s="122">
        <f t="shared" si="25"/>
        <v>45778</v>
      </c>
      <c r="D126" s="122">
        <f t="shared" si="30"/>
        <v>45779</v>
      </c>
      <c r="E126" s="123">
        <f t="shared" si="26"/>
        <v>1</v>
      </c>
      <c r="F126" s="123" t="s">
        <v>7</v>
      </c>
      <c r="G126" s="124">
        <f t="shared" si="40"/>
        <v>4170000</v>
      </c>
      <c r="H126" s="125">
        <f t="shared" si="40"/>
        <v>0.04</v>
      </c>
      <c r="I126" s="124">
        <f t="shared" ref="I126:I189" si="41">G126*H126*E126/360</f>
        <v>463.33333333333331</v>
      </c>
      <c r="J126" s="124">
        <f t="shared" si="28"/>
        <v>109410.01666666666</v>
      </c>
      <c r="K126" s="9"/>
      <c r="L126" s="11"/>
      <c r="M126" s="293"/>
      <c r="N126" s="97"/>
      <c r="O126" s="293"/>
      <c r="P126" s="304"/>
      <c r="Q126" s="304"/>
      <c r="S126" s="11"/>
      <c r="T126" s="293"/>
      <c r="U126" s="97"/>
      <c r="V126" s="293"/>
      <c r="W126" s="304"/>
      <c r="X126" s="304"/>
      <c r="Z126" s="11"/>
      <c r="AA126" s="293"/>
      <c r="AB126" s="97"/>
      <c r="AC126" s="293"/>
      <c r="AD126" s="304"/>
      <c r="AE126" s="304"/>
      <c r="AG126" s="11"/>
      <c r="AH126" s="293"/>
      <c r="AI126" s="97"/>
      <c r="AJ126" s="293"/>
      <c r="AK126" s="304"/>
      <c r="AL126" s="304"/>
      <c r="AN126" s="9"/>
      <c r="AO126" s="9"/>
      <c r="AP126" s="9"/>
      <c r="AQ126" s="9"/>
      <c r="AR126" s="9"/>
      <c r="AS126" s="9"/>
      <c r="AT126" s="123">
        <v>1</v>
      </c>
      <c r="AU126" s="123" t="s">
        <v>32</v>
      </c>
      <c r="AV126" s="124">
        <v>6393703.3499999996</v>
      </c>
      <c r="AW126" s="139">
        <v>4.2500000000000003E-2</v>
      </c>
      <c r="AX126" s="123"/>
      <c r="AY126" s="140">
        <f t="shared" si="36"/>
        <v>744.47230787671231</v>
      </c>
      <c r="AZ126" s="140">
        <f t="shared" si="31"/>
        <v>132752.59921169159</v>
      </c>
      <c r="BA126" s="140">
        <f t="shared" si="29"/>
        <v>34.060824543378999</v>
      </c>
      <c r="BC126" s="122"/>
      <c r="BD126" s="122"/>
      <c r="BE126" s="122"/>
      <c r="BF126" s="122"/>
      <c r="BH126" s="122"/>
      <c r="BI126" s="122"/>
      <c r="BJ126" s="122"/>
      <c r="BK126" s="122"/>
      <c r="BM126" s="122"/>
      <c r="BN126" s="122"/>
      <c r="BO126" s="122"/>
      <c r="BP126" s="122"/>
      <c r="BR126" s="122"/>
      <c r="BS126" s="122"/>
      <c r="BT126" s="122"/>
      <c r="BU126" s="122"/>
      <c r="BV126" s="439"/>
      <c r="BW126" s="120">
        <f t="shared" si="32"/>
        <v>10563703.35</v>
      </c>
      <c r="BX126" s="121">
        <v>4.2500000000000003E-2</v>
      </c>
      <c r="BY126" s="121">
        <f t="shared" si="33"/>
        <v>4.1513130182229137E-2</v>
      </c>
      <c r="BZ126" s="120">
        <f t="shared" si="34"/>
        <v>1207.8056412100457</v>
      </c>
      <c r="CA126" s="120">
        <f t="shared" si="35"/>
        <v>34.060824543378999</v>
      </c>
    </row>
    <row r="127" spans="2:79" x14ac:dyDescent="0.25">
      <c r="B127" s="123" t="str">
        <f t="shared" ref="B127:B190" si="42">CONCATENATE(MONTH(D127)," ",YEAR(D127))</f>
        <v>5 2025</v>
      </c>
      <c r="C127" s="122">
        <f t="shared" ref="C127:C190" si="43">D126</f>
        <v>45779</v>
      </c>
      <c r="D127" s="122">
        <f t="shared" si="30"/>
        <v>45780</v>
      </c>
      <c r="E127" s="123">
        <f t="shared" ref="E127:E190" si="44">D127-C127</f>
        <v>1</v>
      </c>
      <c r="F127" s="123" t="s">
        <v>7</v>
      </c>
      <c r="G127" s="124">
        <f t="shared" si="40"/>
        <v>4170000</v>
      </c>
      <c r="H127" s="125">
        <f t="shared" si="40"/>
        <v>0.04</v>
      </c>
      <c r="I127" s="124">
        <f t="shared" si="41"/>
        <v>463.33333333333331</v>
      </c>
      <c r="J127" s="124">
        <f t="shared" ref="J127:J190" si="45">J126+I127</f>
        <v>109873.34999999999</v>
      </c>
      <c r="K127" s="9"/>
      <c r="L127" s="11"/>
      <c r="M127" s="293"/>
      <c r="N127" s="97"/>
      <c r="O127" s="293"/>
      <c r="P127" s="304"/>
      <c r="Q127" s="304"/>
      <c r="S127" s="11"/>
      <c r="T127" s="293"/>
      <c r="U127" s="97"/>
      <c r="V127" s="293"/>
      <c r="W127" s="304"/>
      <c r="X127" s="304"/>
      <c r="Z127" s="11"/>
      <c r="AA127" s="293"/>
      <c r="AB127" s="97"/>
      <c r="AC127" s="293"/>
      <c r="AD127" s="304"/>
      <c r="AE127" s="304"/>
      <c r="AG127" s="11"/>
      <c r="AH127" s="293"/>
      <c r="AI127" s="97"/>
      <c r="AJ127" s="293"/>
      <c r="AK127" s="304"/>
      <c r="AL127" s="304"/>
      <c r="AN127" s="9"/>
      <c r="AO127" s="9"/>
      <c r="AP127" s="9"/>
      <c r="AQ127" s="9"/>
      <c r="AR127" s="9"/>
      <c r="AS127" s="9"/>
      <c r="AT127" s="123">
        <v>1</v>
      </c>
      <c r="AU127" s="123" t="s">
        <v>32</v>
      </c>
      <c r="AV127" s="124">
        <v>6359582.9299999997</v>
      </c>
      <c r="AW127" s="139">
        <v>4.2500000000000003E-2</v>
      </c>
      <c r="AX127" s="123"/>
      <c r="AY127" s="140">
        <f t="shared" si="36"/>
        <v>740.49938226027405</v>
      </c>
      <c r="AZ127" s="140">
        <f t="shared" si="31"/>
        <v>133493.09859395187</v>
      </c>
      <c r="BA127" s="140">
        <f t="shared" si="29"/>
        <v>33.87905670471855</v>
      </c>
      <c r="BC127" s="122"/>
      <c r="BD127" s="122"/>
      <c r="BE127" s="122"/>
      <c r="BF127" s="122"/>
      <c r="BH127" s="122"/>
      <c r="BI127" s="122"/>
      <c r="BJ127" s="122"/>
      <c r="BK127" s="122"/>
      <c r="BM127" s="122"/>
      <c r="BN127" s="122"/>
      <c r="BO127" s="122"/>
      <c r="BP127" s="122"/>
      <c r="BR127" s="122"/>
      <c r="BS127" s="122"/>
      <c r="BT127" s="122"/>
      <c r="BU127" s="122"/>
      <c r="BV127" s="439"/>
      <c r="BW127" s="120">
        <f t="shared" si="32"/>
        <v>10529582.93</v>
      </c>
      <c r="BX127" s="121">
        <v>4.2500000000000003E-2</v>
      </c>
      <c r="BY127" s="121">
        <f t="shared" si="33"/>
        <v>4.150993229558049E-2</v>
      </c>
      <c r="BZ127" s="120">
        <f t="shared" si="34"/>
        <v>1203.8327155936074</v>
      </c>
      <c r="CA127" s="120">
        <f t="shared" si="35"/>
        <v>33.87905670471855</v>
      </c>
    </row>
    <row r="128" spans="2:79" x14ac:dyDescent="0.25">
      <c r="B128" s="123" t="str">
        <f t="shared" si="42"/>
        <v>5 2025</v>
      </c>
      <c r="C128" s="122">
        <f t="shared" si="43"/>
        <v>45780</v>
      </c>
      <c r="D128" s="122">
        <f t="shared" si="30"/>
        <v>45781</v>
      </c>
      <c r="E128" s="123">
        <f t="shared" si="44"/>
        <v>1</v>
      </c>
      <c r="F128" s="123" t="s">
        <v>7</v>
      </c>
      <c r="G128" s="124">
        <f t="shared" si="40"/>
        <v>4170000</v>
      </c>
      <c r="H128" s="125">
        <f t="shared" si="40"/>
        <v>0.04</v>
      </c>
      <c r="I128" s="124">
        <f t="shared" si="41"/>
        <v>463.33333333333331</v>
      </c>
      <c r="J128" s="124">
        <f t="shared" si="45"/>
        <v>110336.68333333332</v>
      </c>
      <c r="K128" s="9"/>
      <c r="L128" s="11"/>
      <c r="M128" s="293"/>
      <c r="N128" s="97"/>
      <c r="O128" s="293"/>
      <c r="P128" s="304"/>
      <c r="Q128" s="304"/>
      <c r="S128" s="11"/>
      <c r="T128" s="293"/>
      <c r="U128" s="97"/>
      <c r="V128" s="293"/>
      <c r="W128" s="304"/>
      <c r="X128" s="304"/>
      <c r="Z128" s="11"/>
      <c r="AA128" s="293"/>
      <c r="AB128" s="97"/>
      <c r="AC128" s="293"/>
      <c r="AD128" s="304"/>
      <c r="AE128" s="304"/>
      <c r="AG128" s="11"/>
      <c r="AH128" s="293"/>
      <c r="AI128" s="97"/>
      <c r="AJ128" s="293"/>
      <c r="AK128" s="304"/>
      <c r="AL128" s="304"/>
      <c r="AN128" s="9"/>
      <c r="AO128" s="9"/>
      <c r="AP128" s="9"/>
      <c r="AQ128" s="9"/>
      <c r="AR128" s="9"/>
      <c r="AS128" s="9"/>
      <c r="AT128" s="123">
        <v>1</v>
      </c>
      <c r="AU128" s="123" t="s">
        <v>32</v>
      </c>
      <c r="AV128" s="124">
        <v>6359582.9299999997</v>
      </c>
      <c r="AW128" s="139">
        <v>4.2500000000000003E-2</v>
      </c>
      <c r="AX128" s="123"/>
      <c r="AY128" s="140">
        <f t="shared" si="36"/>
        <v>740.49938226027405</v>
      </c>
      <c r="AZ128" s="140">
        <f t="shared" si="31"/>
        <v>134233.59797621216</v>
      </c>
      <c r="BA128" s="140">
        <f t="shared" si="29"/>
        <v>33.87905670471855</v>
      </c>
      <c r="BC128" s="122"/>
      <c r="BD128" s="122"/>
      <c r="BE128" s="122"/>
      <c r="BF128" s="122"/>
      <c r="BH128" s="122"/>
      <c r="BI128" s="122"/>
      <c r="BJ128" s="122"/>
      <c r="BK128" s="122"/>
      <c r="BM128" s="122"/>
      <c r="BN128" s="122"/>
      <c r="BO128" s="122"/>
      <c r="BP128" s="122"/>
      <c r="BR128" s="122"/>
      <c r="BS128" s="122"/>
      <c r="BT128" s="122"/>
      <c r="BU128" s="122"/>
      <c r="BV128" s="439"/>
      <c r="BW128" s="120">
        <f t="shared" si="32"/>
        <v>10529582.93</v>
      </c>
      <c r="BX128" s="121">
        <v>4.2500000000000003E-2</v>
      </c>
      <c r="BY128" s="121">
        <f t="shared" si="33"/>
        <v>4.150993229558049E-2</v>
      </c>
      <c r="BZ128" s="120">
        <f t="shared" si="34"/>
        <v>1203.8327155936074</v>
      </c>
      <c r="CA128" s="120">
        <f t="shared" si="35"/>
        <v>33.87905670471855</v>
      </c>
    </row>
    <row r="129" spans="2:80" x14ac:dyDescent="0.25">
      <c r="B129" s="123" t="str">
        <f t="shared" si="42"/>
        <v>5 2025</v>
      </c>
      <c r="C129" s="122">
        <f t="shared" si="43"/>
        <v>45781</v>
      </c>
      <c r="D129" s="122">
        <f t="shared" si="30"/>
        <v>45782</v>
      </c>
      <c r="E129" s="123">
        <f t="shared" si="44"/>
        <v>1</v>
      </c>
      <c r="F129" s="123" t="s">
        <v>7</v>
      </c>
      <c r="G129" s="124">
        <f t="shared" si="40"/>
        <v>4170000</v>
      </c>
      <c r="H129" s="125">
        <f t="shared" si="40"/>
        <v>0.04</v>
      </c>
      <c r="I129" s="124">
        <f t="shared" si="41"/>
        <v>463.33333333333331</v>
      </c>
      <c r="J129" s="124">
        <f t="shared" si="45"/>
        <v>110800.01666666665</v>
      </c>
      <c r="K129" s="9"/>
      <c r="L129" s="11"/>
      <c r="M129" s="293"/>
      <c r="N129" s="97"/>
      <c r="O129" s="293"/>
      <c r="P129" s="304"/>
      <c r="Q129" s="304"/>
      <c r="S129" s="11"/>
      <c r="T129" s="293"/>
      <c r="U129" s="97"/>
      <c r="V129" s="293"/>
      <c r="W129" s="304"/>
      <c r="X129" s="304"/>
      <c r="Z129" s="11"/>
      <c r="AA129" s="293"/>
      <c r="AB129" s="97"/>
      <c r="AC129" s="293"/>
      <c r="AD129" s="304"/>
      <c r="AE129" s="304"/>
      <c r="AG129" s="11"/>
      <c r="AH129" s="293"/>
      <c r="AI129" s="97"/>
      <c r="AJ129" s="293"/>
      <c r="AK129" s="304"/>
      <c r="AL129" s="304"/>
      <c r="AN129" s="9"/>
      <c r="AO129" s="9"/>
      <c r="AP129" s="9"/>
      <c r="AQ129" s="9"/>
      <c r="AR129" s="9"/>
      <c r="AS129" s="9"/>
      <c r="AT129" s="123">
        <v>1</v>
      </c>
      <c r="AU129" s="123" t="s">
        <v>32</v>
      </c>
      <c r="AV129" s="124">
        <v>6359582.9299999997</v>
      </c>
      <c r="AW129" s="139">
        <v>4.2500000000000003E-2</v>
      </c>
      <c r="AX129" s="123"/>
      <c r="AY129" s="140">
        <f t="shared" si="36"/>
        <v>740.49938226027405</v>
      </c>
      <c r="AZ129" s="140">
        <f t="shared" si="31"/>
        <v>134974.09735847244</v>
      </c>
      <c r="BA129" s="140">
        <f t="shared" si="29"/>
        <v>33.87905670471855</v>
      </c>
      <c r="BC129" s="122"/>
      <c r="BD129" s="122"/>
      <c r="BE129" s="122"/>
      <c r="BF129" s="122"/>
      <c r="BH129" s="122"/>
      <c r="BI129" s="122"/>
      <c r="BJ129" s="122"/>
      <c r="BK129" s="122"/>
      <c r="BM129" s="122"/>
      <c r="BN129" s="122"/>
      <c r="BO129" s="122"/>
      <c r="BP129" s="122"/>
      <c r="BR129" s="122"/>
      <c r="BS129" s="122"/>
      <c r="BT129" s="122"/>
      <c r="BU129" s="122"/>
      <c r="BV129" s="439"/>
      <c r="BW129" s="120">
        <f t="shared" si="32"/>
        <v>10529582.93</v>
      </c>
      <c r="BX129" s="121">
        <v>4.2500000000000003E-2</v>
      </c>
      <c r="BY129" s="121">
        <f t="shared" si="33"/>
        <v>4.150993229558049E-2</v>
      </c>
      <c r="BZ129" s="120">
        <f t="shared" si="34"/>
        <v>1203.8327155936074</v>
      </c>
      <c r="CA129" s="120">
        <f t="shared" si="35"/>
        <v>33.87905670471855</v>
      </c>
    </row>
    <row r="130" spans="2:80" x14ac:dyDescent="0.25">
      <c r="B130" s="123" t="str">
        <f t="shared" si="42"/>
        <v>5 2025</v>
      </c>
      <c r="C130" s="122">
        <f t="shared" si="43"/>
        <v>45782</v>
      </c>
      <c r="D130" s="122">
        <f t="shared" si="30"/>
        <v>45783</v>
      </c>
      <c r="E130" s="123">
        <f t="shared" si="44"/>
        <v>1</v>
      </c>
      <c r="F130" s="123" t="s">
        <v>7</v>
      </c>
      <c r="G130" s="124">
        <f t="shared" si="40"/>
        <v>4170000</v>
      </c>
      <c r="H130" s="125">
        <f t="shared" si="40"/>
        <v>0.04</v>
      </c>
      <c r="I130" s="124">
        <f t="shared" si="41"/>
        <v>463.33333333333331</v>
      </c>
      <c r="J130" s="124">
        <f t="shared" si="45"/>
        <v>111263.34999999998</v>
      </c>
      <c r="K130" s="9"/>
      <c r="L130" s="11"/>
      <c r="M130" s="293"/>
      <c r="N130" s="97"/>
      <c r="O130" s="293"/>
      <c r="P130" s="304"/>
      <c r="Q130" s="304"/>
      <c r="S130" s="11"/>
      <c r="T130" s="293"/>
      <c r="U130" s="97"/>
      <c r="V130" s="293"/>
      <c r="W130" s="304"/>
      <c r="X130" s="304"/>
      <c r="Z130" s="11"/>
      <c r="AA130" s="293"/>
      <c r="AB130" s="97"/>
      <c r="AC130" s="293"/>
      <c r="AD130" s="304"/>
      <c r="AE130" s="304"/>
      <c r="AG130" s="11"/>
      <c r="AH130" s="293"/>
      <c r="AI130" s="97"/>
      <c r="AJ130" s="293"/>
      <c r="AK130" s="304"/>
      <c r="AL130" s="304"/>
      <c r="AN130" s="9"/>
      <c r="AO130" s="9"/>
      <c r="AP130" s="9"/>
      <c r="AQ130" s="9"/>
      <c r="AR130" s="9"/>
      <c r="AS130" s="9"/>
      <c r="AT130" s="123">
        <v>1</v>
      </c>
      <c r="AU130" s="123" t="s">
        <v>32</v>
      </c>
      <c r="AV130" s="124">
        <v>6361804.4299999997</v>
      </c>
      <c r="AW130" s="139">
        <v>4.2500000000000003E-2</v>
      </c>
      <c r="AX130" s="123"/>
      <c r="AY130" s="140">
        <f t="shared" si="36"/>
        <v>740.75805006849316</v>
      </c>
      <c r="AZ130" s="140">
        <f t="shared" si="31"/>
        <v>135714.85540854093</v>
      </c>
      <c r="BA130" s="140">
        <f t="shared" si="29"/>
        <v>33.890891179604296</v>
      </c>
      <c r="BC130" s="122"/>
      <c r="BD130" s="122"/>
      <c r="BE130" s="122"/>
      <c r="BF130" s="122"/>
      <c r="BH130" s="122"/>
      <c r="BI130" s="122"/>
      <c r="BJ130" s="122"/>
      <c r="BK130" s="122"/>
      <c r="BM130" s="122"/>
      <c r="BN130" s="122"/>
      <c r="BO130" s="122"/>
      <c r="BP130" s="122"/>
      <c r="BR130" s="122"/>
      <c r="BS130" s="122"/>
      <c r="BT130" s="122"/>
      <c r="BU130" s="122"/>
      <c r="BV130" s="439"/>
      <c r="BW130" s="120">
        <f t="shared" si="32"/>
        <v>10531804.43</v>
      </c>
      <c r="BX130" s="121">
        <v>4.2500000000000003E-2</v>
      </c>
      <c r="BY130" s="121">
        <f t="shared" si="33"/>
        <v>4.1510141133051785E-2</v>
      </c>
      <c r="BZ130" s="120">
        <f t="shared" si="34"/>
        <v>1204.0913834018265</v>
      </c>
      <c r="CA130" s="120">
        <f t="shared" si="35"/>
        <v>33.890891179604296</v>
      </c>
    </row>
    <row r="131" spans="2:80" x14ac:dyDescent="0.25">
      <c r="B131" s="123" t="str">
        <f t="shared" si="42"/>
        <v>5 2025</v>
      </c>
      <c r="C131" s="122">
        <f t="shared" si="43"/>
        <v>45783</v>
      </c>
      <c r="D131" s="122">
        <f t="shared" si="30"/>
        <v>45784</v>
      </c>
      <c r="E131" s="123">
        <f t="shared" si="44"/>
        <v>1</v>
      </c>
      <c r="F131" s="123" t="s">
        <v>7</v>
      </c>
      <c r="G131" s="124">
        <f t="shared" si="40"/>
        <v>4170000</v>
      </c>
      <c r="H131" s="125">
        <f t="shared" si="40"/>
        <v>0.04</v>
      </c>
      <c r="I131" s="124">
        <f t="shared" si="41"/>
        <v>463.33333333333331</v>
      </c>
      <c r="J131" s="124">
        <f t="shared" si="45"/>
        <v>111726.68333333331</v>
      </c>
      <c r="K131" s="9"/>
      <c r="L131" s="11"/>
      <c r="M131" s="293"/>
      <c r="N131" s="97"/>
      <c r="O131" s="305"/>
      <c r="P131" s="304"/>
      <c r="Q131" s="307"/>
      <c r="S131" s="11"/>
      <c r="T131" s="293"/>
      <c r="U131" s="97"/>
      <c r="V131" s="305"/>
      <c r="W131" s="304"/>
      <c r="X131" s="307"/>
      <c r="Z131" s="11"/>
      <c r="AA131" s="293"/>
      <c r="AB131" s="97"/>
      <c r="AC131" s="305"/>
      <c r="AD131" s="304"/>
      <c r="AE131" s="307"/>
      <c r="AG131" s="11"/>
      <c r="AH131" s="293"/>
      <c r="AI131" s="97"/>
      <c r="AJ131" s="305"/>
      <c r="AK131" s="304"/>
      <c r="AL131" s="307"/>
      <c r="AN131" s="9"/>
      <c r="AO131" s="9"/>
      <c r="AP131" s="9"/>
      <c r="AQ131" s="9"/>
      <c r="AR131" s="9"/>
      <c r="AS131" s="9"/>
      <c r="AT131" s="123">
        <v>1</v>
      </c>
      <c r="AU131" s="123" t="s">
        <v>32</v>
      </c>
      <c r="AV131" s="124">
        <v>6344979.4000000004</v>
      </c>
      <c r="AW131" s="139">
        <v>4.2500000000000003E-2</v>
      </c>
      <c r="AX131" s="123"/>
      <c r="AY131" s="140">
        <f t="shared" si="36"/>
        <v>738.79897123287685</v>
      </c>
      <c r="AZ131" s="140">
        <f t="shared" si="31"/>
        <v>136453.6543797738</v>
      </c>
      <c r="BA131" s="140">
        <f t="shared" si="29"/>
        <v>33.801260121765722</v>
      </c>
      <c r="BC131" s="122"/>
      <c r="BD131" s="122"/>
      <c r="BE131" s="122"/>
      <c r="BF131" s="122"/>
      <c r="BH131" s="122"/>
      <c r="BI131" s="122"/>
      <c r="BJ131" s="122"/>
      <c r="BK131" s="122"/>
      <c r="BM131" s="122"/>
      <c r="BN131" s="122"/>
      <c r="BO131" s="122"/>
      <c r="BP131" s="122"/>
      <c r="BR131" s="122"/>
      <c r="BS131" s="122"/>
      <c r="BT131" s="122"/>
      <c r="BU131" s="122"/>
      <c r="BV131" s="439"/>
      <c r="BW131" s="120">
        <f t="shared" si="32"/>
        <v>10514979.4</v>
      </c>
      <c r="BX131" s="121">
        <v>4.2500000000000003E-2</v>
      </c>
      <c r="BY131" s="121">
        <f t="shared" si="33"/>
        <v>4.1508557258799768E-2</v>
      </c>
      <c r="BZ131" s="120">
        <f t="shared" si="34"/>
        <v>1202.1323045662102</v>
      </c>
      <c r="CA131" s="120">
        <f t="shared" si="35"/>
        <v>33.801260121765722</v>
      </c>
      <c r="CB131" s="253" t="s">
        <v>102</v>
      </c>
    </row>
    <row r="132" spans="2:80" x14ac:dyDescent="0.25">
      <c r="B132" s="123" t="str">
        <f t="shared" si="42"/>
        <v>5 2025</v>
      </c>
      <c r="C132" s="122">
        <f t="shared" si="43"/>
        <v>45784</v>
      </c>
      <c r="D132" s="122">
        <f t="shared" si="30"/>
        <v>45785</v>
      </c>
      <c r="E132" s="123">
        <f t="shared" si="44"/>
        <v>1</v>
      </c>
      <c r="F132" s="123" t="s">
        <v>7</v>
      </c>
      <c r="G132" s="126">
        <f>G131+550000</f>
        <v>4720000</v>
      </c>
      <c r="H132" s="125">
        <f t="shared" si="40"/>
        <v>0.04</v>
      </c>
      <c r="I132" s="124">
        <f t="shared" si="41"/>
        <v>524.44444444444446</v>
      </c>
      <c r="J132" s="124">
        <f t="shared" si="45"/>
        <v>112251.12777777774</v>
      </c>
      <c r="K132" s="9"/>
      <c r="L132" s="11"/>
      <c r="M132" s="293"/>
      <c r="N132" s="97"/>
      <c r="O132" s="306"/>
      <c r="P132" s="304"/>
      <c r="Q132" s="307"/>
      <c r="S132" s="11"/>
      <c r="T132" s="293"/>
      <c r="U132" s="97"/>
      <c r="V132" s="306"/>
      <c r="W132" s="304"/>
      <c r="X132" s="307"/>
      <c r="Z132" s="11"/>
      <c r="AA132" s="293"/>
      <c r="AB132" s="97"/>
      <c r="AC132" s="306"/>
      <c r="AD132" s="304"/>
      <c r="AE132" s="307"/>
      <c r="AG132" s="11"/>
      <c r="AH132" s="293"/>
      <c r="AI132" s="97"/>
      <c r="AJ132" s="306"/>
      <c r="AK132" s="304"/>
      <c r="AL132" s="307"/>
      <c r="AN132" s="9"/>
      <c r="AO132" s="9"/>
      <c r="AP132" s="9"/>
      <c r="AQ132" s="9"/>
      <c r="AR132" s="9"/>
      <c r="AS132" s="9"/>
      <c r="AT132" s="123">
        <v>1</v>
      </c>
      <c r="AU132" s="123" t="s">
        <v>32</v>
      </c>
      <c r="AV132" s="124">
        <v>6345718.2000000002</v>
      </c>
      <c r="AW132" s="139">
        <v>4.2500000000000003E-2</v>
      </c>
      <c r="AX132" s="123"/>
      <c r="AY132" s="140">
        <f t="shared" si="36"/>
        <v>738.88499589041101</v>
      </c>
      <c r="AZ132" s="140">
        <f t="shared" si="31"/>
        <v>137192.5393756642</v>
      </c>
      <c r="BA132" s="140">
        <f t="shared" si="29"/>
        <v>33.805195890411028</v>
      </c>
      <c r="BC132" s="122"/>
      <c r="BD132" s="122"/>
      <c r="BE132" s="122"/>
      <c r="BF132" s="122"/>
      <c r="BH132" s="122"/>
      <c r="BI132" s="122"/>
      <c r="BJ132" s="122"/>
      <c r="BK132" s="122"/>
      <c r="BM132" s="122"/>
      <c r="BN132" s="122"/>
      <c r="BO132" s="122"/>
      <c r="BP132" s="122"/>
      <c r="BR132" s="122"/>
      <c r="BS132" s="122"/>
      <c r="BT132" s="122"/>
      <c r="BU132" s="122"/>
      <c r="BV132" s="439"/>
      <c r="BW132" s="120">
        <f t="shared" si="32"/>
        <v>11065718.199999999</v>
      </c>
      <c r="BX132" s="121">
        <v>4.2500000000000003E-2</v>
      </c>
      <c r="BY132" s="121">
        <f t="shared" si="33"/>
        <v>4.1433643547872025E-2</v>
      </c>
      <c r="BZ132" s="120">
        <f t="shared" si="34"/>
        <v>1263.3294403348555</v>
      </c>
      <c r="CA132" s="120">
        <f t="shared" si="35"/>
        <v>33.805195890411028</v>
      </c>
    </row>
    <row r="133" spans="2:80" x14ac:dyDescent="0.25">
      <c r="B133" s="123" t="str">
        <f t="shared" si="42"/>
        <v>5 2025</v>
      </c>
      <c r="C133" s="122">
        <f t="shared" si="43"/>
        <v>45785</v>
      </c>
      <c r="D133" s="122">
        <f t="shared" si="30"/>
        <v>45786</v>
      </c>
      <c r="E133" s="123">
        <f t="shared" si="44"/>
        <v>1</v>
      </c>
      <c r="F133" s="123" t="s">
        <v>7</v>
      </c>
      <c r="G133" s="124">
        <f t="shared" si="40"/>
        <v>4720000</v>
      </c>
      <c r="H133" s="125">
        <f t="shared" si="40"/>
        <v>0.04</v>
      </c>
      <c r="I133" s="124">
        <f t="shared" si="41"/>
        <v>524.44444444444446</v>
      </c>
      <c r="J133" s="124">
        <f t="shared" si="45"/>
        <v>112775.57222222218</v>
      </c>
      <c r="K133" s="9"/>
      <c r="L133" s="11"/>
      <c r="M133" s="293"/>
      <c r="N133" s="97"/>
      <c r="O133" s="306"/>
      <c r="P133" s="304"/>
      <c r="Q133" s="307"/>
      <c r="S133" s="11"/>
      <c r="T133" s="293"/>
      <c r="U133" s="97"/>
      <c r="V133" s="306"/>
      <c r="W133" s="304"/>
      <c r="X133" s="307"/>
      <c r="Z133" s="11"/>
      <c r="AA133" s="293"/>
      <c r="AB133" s="97"/>
      <c r="AC133" s="306"/>
      <c r="AD133" s="304"/>
      <c r="AE133" s="307"/>
      <c r="AG133" s="11"/>
      <c r="AH133" s="293"/>
      <c r="AI133" s="97"/>
      <c r="AJ133" s="306"/>
      <c r="AK133" s="304"/>
      <c r="AL133" s="307"/>
      <c r="AN133" s="9"/>
      <c r="AO133" s="9"/>
      <c r="AP133" s="9"/>
      <c r="AQ133" s="9"/>
      <c r="AR133" s="9"/>
      <c r="AS133" s="9"/>
      <c r="AT133" s="123">
        <v>1</v>
      </c>
      <c r="AU133" s="123" t="s">
        <v>32</v>
      </c>
      <c r="AV133" s="124">
        <v>6346457.0800000001</v>
      </c>
      <c r="AW133" s="139">
        <v>4.2500000000000003E-2</v>
      </c>
      <c r="AX133" s="123"/>
      <c r="AY133" s="140">
        <f t="shared" si="36"/>
        <v>738.97102986301377</v>
      </c>
      <c r="AZ133" s="140">
        <f t="shared" si="31"/>
        <v>137931.51040552722</v>
      </c>
      <c r="BA133" s="140">
        <f t="shared" ref="BA133:BA196" si="46">AY133-AV133*H133*AT133/360</f>
        <v>33.809132085236001</v>
      </c>
      <c r="BC133" s="122"/>
      <c r="BD133" s="122"/>
      <c r="BE133" s="122"/>
      <c r="BF133" s="122"/>
      <c r="BH133" s="122"/>
      <c r="BI133" s="122"/>
      <c r="BJ133" s="122"/>
      <c r="BK133" s="122"/>
      <c r="BM133" s="122"/>
      <c r="BN133" s="122"/>
      <c r="BO133" s="122"/>
      <c r="BP133" s="122"/>
      <c r="BR133" s="122"/>
      <c r="BS133" s="122"/>
      <c r="BT133" s="122"/>
      <c r="BU133" s="122"/>
      <c r="BV133" s="439"/>
      <c r="BW133" s="120">
        <f t="shared" si="32"/>
        <v>11066457.08</v>
      </c>
      <c r="BX133" s="121">
        <v>4.2500000000000003E-2</v>
      </c>
      <c r="BY133" s="121">
        <f t="shared" si="33"/>
        <v>4.1433714745857941E-2</v>
      </c>
      <c r="BZ133" s="120">
        <f t="shared" si="34"/>
        <v>1263.4154743074582</v>
      </c>
      <c r="CA133" s="120">
        <f t="shared" si="35"/>
        <v>33.809132085236001</v>
      </c>
    </row>
    <row r="134" spans="2:80" x14ac:dyDescent="0.25">
      <c r="B134" s="123" t="str">
        <f t="shared" si="42"/>
        <v>5 2025</v>
      </c>
      <c r="C134" s="122">
        <f t="shared" si="43"/>
        <v>45786</v>
      </c>
      <c r="D134" s="122">
        <f t="shared" ref="D134:D197" si="47">D133+1</f>
        <v>45787</v>
      </c>
      <c r="E134" s="123">
        <f t="shared" si="44"/>
        <v>1</v>
      </c>
      <c r="F134" s="123" t="s">
        <v>7</v>
      </c>
      <c r="G134" s="124">
        <f t="shared" si="40"/>
        <v>4720000</v>
      </c>
      <c r="H134" s="125">
        <f t="shared" si="40"/>
        <v>0.04</v>
      </c>
      <c r="I134" s="124">
        <f t="shared" si="41"/>
        <v>524.44444444444446</v>
      </c>
      <c r="J134" s="124">
        <f t="shared" si="45"/>
        <v>113300.01666666662</v>
      </c>
      <c r="K134" s="9"/>
      <c r="L134" s="11"/>
      <c r="M134" s="293"/>
      <c r="N134" s="97"/>
      <c r="O134" s="305"/>
      <c r="P134" s="304"/>
      <c r="Q134" s="307"/>
      <c r="S134" s="11"/>
      <c r="T134" s="293"/>
      <c r="U134" s="97"/>
      <c r="V134" s="305"/>
      <c r="W134" s="304"/>
      <c r="X134" s="307"/>
      <c r="Z134" s="11"/>
      <c r="AA134" s="293"/>
      <c r="AB134" s="97"/>
      <c r="AC134" s="305"/>
      <c r="AD134" s="304"/>
      <c r="AE134" s="307"/>
      <c r="AG134" s="11"/>
      <c r="AH134" s="293"/>
      <c r="AI134" s="97"/>
      <c r="AJ134" s="305"/>
      <c r="AK134" s="304"/>
      <c r="AL134" s="307"/>
      <c r="AN134" s="9"/>
      <c r="AO134" s="9"/>
      <c r="AP134" s="9"/>
      <c r="AQ134" s="9"/>
      <c r="AR134" s="9"/>
      <c r="AS134" s="9"/>
      <c r="AT134" s="123">
        <v>1</v>
      </c>
      <c r="AU134" s="123" t="s">
        <v>32</v>
      </c>
      <c r="AV134" s="124">
        <v>6347196.0499999998</v>
      </c>
      <c r="AW134" s="139">
        <v>4.2500000000000003E-2</v>
      </c>
      <c r="AX134" s="123"/>
      <c r="AY134" s="140">
        <f t="shared" si="36"/>
        <v>739.05707431506858</v>
      </c>
      <c r="AZ134" s="140">
        <f t="shared" ref="AZ134:AZ197" si="48">AZ133+AY134</f>
        <v>138670.56747984228</v>
      </c>
      <c r="BA134" s="140">
        <f t="shared" si="46"/>
        <v>33.813068759513044</v>
      </c>
      <c r="BC134" s="122"/>
      <c r="BD134" s="122"/>
      <c r="BE134" s="122"/>
      <c r="BF134" s="122"/>
      <c r="BH134" s="122"/>
      <c r="BI134" s="122"/>
      <c r="BJ134" s="122"/>
      <c r="BK134" s="122"/>
      <c r="BM134" s="122"/>
      <c r="BN134" s="122"/>
      <c r="BO134" s="122"/>
      <c r="BP134" s="122"/>
      <c r="BR134" s="122"/>
      <c r="BS134" s="122"/>
      <c r="BT134" s="122"/>
      <c r="BU134" s="122"/>
      <c r="BV134" s="439"/>
      <c r="BW134" s="120">
        <f t="shared" ref="BW134:BW197" si="49">AV134+G134+M134+T134+AA134+AH134+AN134+BC134+BH134+BM134+BR134</f>
        <v>11067196.050000001</v>
      </c>
      <c r="BX134" s="121">
        <v>4.2500000000000003E-2</v>
      </c>
      <c r="BY134" s="121">
        <f t="shared" ref="BY134:BY197" si="50">(SUM((AW134*AV134),(H134*G134),(M134*N134),(T134*U134),(AA134*AB134),(AH134*AI134),(AN134*AO134),(BC134*BD134),(BH134*BI134),(BM134*BN134),(BR134*BS134))/BW134)</f>
        <v>4.1433785943007666E-2</v>
      </c>
      <c r="BZ134" s="120">
        <f t="shared" ref="BZ134:BZ197" si="51">AY134+I134+O134+V134+AC134+AJ134+AP134+BE134+BJ134+BO134+BT134</f>
        <v>1263.5015187595131</v>
      </c>
      <c r="CA134" s="120">
        <f t="shared" ref="CA134:CA197" si="52">BA134+Q134+X134+AE134+AL134+AQ134+BF134+BK134+BP134+BU134</f>
        <v>33.813068759513044</v>
      </c>
    </row>
    <row r="135" spans="2:80" x14ac:dyDescent="0.25">
      <c r="B135" s="123" t="str">
        <f t="shared" si="42"/>
        <v>5 2025</v>
      </c>
      <c r="C135" s="122">
        <f t="shared" si="43"/>
        <v>45787</v>
      </c>
      <c r="D135" s="122">
        <f t="shared" si="47"/>
        <v>45788</v>
      </c>
      <c r="E135" s="123">
        <f t="shared" si="44"/>
        <v>1</v>
      </c>
      <c r="F135" s="123" t="s">
        <v>7</v>
      </c>
      <c r="G135" s="124">
        <f t="shared" si="40"/>
        <v>4720000</v>
      </c>
      <c r="H135" s="125">
        <f t="shared" si="40"/>
        <v>0.04</v>
      </c>
      <c r="I135" s="124">
        <f t="shared" si="41"/>
        <v>524.44444444444446</v>
      </c>
      <c r="J135" s="124">
        <f t="shared" si="45"/>
        <v>113824.46111111106</v>
      </c>
      <c r="K135" s="9"/>
      <c r="L135" s="11"/>
      <c r="M135" s="293"/>
      <c r="N135" s="97"/>
      <c r="O135" s="305"/>
      <c r="P135" s="304"/>
      <c r="Q135" s="307"/>
      <c r="S135" s="11"/>
      <c r="T135" s="293"/>
      <c r="U135" s="97"/>
      <c r="V135" s="305"/>
      <c r="W135" s="304"/>
      <c r="X135" s="307"/>
      <c r="Z135" s="11"/>
      <c r="AA135" s="293"/>
      <c r="AB135" s="97"/>
      <c r="AC135" s="305"/>
      <c r="AD135" s="304"/>
      <c r="AE135" s="307"/>
      <c r="AG135" s="11"/>
      <c r="AH135" s="293"/>
      <c r="AI135" s="97"/>
      <c r="AJ135" s="305"/>
      <c r="AK135" s="304"/>
      <c r="AL135" s="307"/>
      <c r="AN135" s="9"/>
      <c r="AO135" s="9"/>
      <c r="AP135" s="9"/>
      <c r="AQ135" s="9"/>
      <c r="AR135" s="9"/>
      <c r="AS135" s="9"/>
      <c r="AT135" s="123">
        <v>1</v>
      </c>
      <c r="AU135" s="123" t="s">
        <v>32</v>
      </c>
      <c r="AV135" s="124">
        <v>6347196.0499999998</v>
      </c>
      <c r="AW135" s="139">
        <v>4.2500000000000003E-2</v>
      </c>
      <c r="AX135" s="123"/>
      <c r="AY135" s="140">
        <f t="shared" ref="AY135:AY198" si="53">AV135*AW135*AT135/365</f>
        <v>739.05707431506858</v>
      </c>
      <c r="AZ135" s="140">
        <f t="shared" si="48"/>
        <v>139409.62455415734</v>
      </c>
      <c r="BA135" s="140">
        <f t="shared" si="46"/>
        <v>33.813068759513044</v>
      </c>
      <c r="BC135" s="122"/>
      <c r="BD135" s="122"/>
      <c r="BE135" s="122"/>
      <c r="BF135" s="122"/>
      <c r="BH135" s="122"/>
      <c r="BI135" s="122"/>
      <c r="BJ135" s="122"/>
      <c r="BK135" s="122"/>
      <c r="BM135" s="122"/>
      <c r="BN135" s="122"/>
      <c r="BO135" s="122"/>
      <c r="BP135" s="122"/>
      <c r="BR135" s="122"/>
      <c r="BS135" s="122"/>
      <c r="BT135" s="122"/>
      <c r="BU135" s="122"/>
      <c r="BV135" s="439"/>
      <c r="BW135" s="120">
        <f t="shared" si="49"/>
        <v>11067196.050000001</v>
      </c>
      <c r="BX135" s="121">
        <v>4.2500000000000003E-2</v>
      </c>
      <c r="BY135" s="121">
        <f t="shared" si="50"/>
        <v>4.1433785943007666E-2</v>
      </c>
      <c r="BZ135" s="120">
        <f t="shared" si="51"/>
        <v>1263.5015187595131</v>
      </c>
      <c r="CA135" s="120">
        <f t="shared" si="52"/>
        <v>33.813068759513044</v>
      </c>
    </row>
    <row r="136" spans="2:80" x14ac:dyDescent="0.25">
      <c r="B136" s="123" t="str">
        <f t="shared" si="42"/>
        <v>5 2025</v>
      </c>
      <c r="C136" s="122">
        <f t="shared" si="43"/>
        <v>45788</v>
      </c>
      <c r="D136" s="122">
        <f t="shared" si="47"/>
        <v>45789</v>
      </c>
      <c r="E136" s="123">
        <f t="shared" si="44"/>
        <v>1</v>
      </c>
      <c r="F136" s="123" t="s">
        <v>7</v>
      </c>
      <c r="G136" s="124">
        <f t="shared" ref="G136:H151" si="54">G135</f>
        <v>4720000</v>
      </c>
      <c r="H136" s="125">
        <f t="shared" si="54"/>
        <v>0.04</v>
      </c>
      <c r="I136" s="124">
        <f t="shared" si="41"/>
        <v>524.44444444444446</v>
      </c>
      <c r="J136" s="124">
        <f t="shared" si="45"/>
        <v>114348.9055555555</v>
      </c>
      <c r="K136" s="9"/>
      <c r="L136" s="11"/>
      <c r="M136" s="293"/>
      <c r="N136" s="97"/>
      <c r="O136" s="305"/>
      <c r="P136" s="304"/>
      <c r="Q136" s="307"/>
      <c r="S136" s="11"/>
      <c r="T136" s="293"/>
      <c r="U136" s="97"/>
      <c r="V136" s="305"/>
      <c r="W136" s="304"/>
      <c r="X136" s="307"/>
      <c r="Z136" s="11"/>
      <c r="AA136" s="293"/>
      <c r="AB136" s="97"/>
      <c r="AC136" s="305"/>
      <c r="AD136" s="304"/>
      <c r="AE136" s="307"/>
      <c r="AG136" s="11"/>
      <c r="AH136" s="293"/>
      <c r="AI136" s="97"/>
      <c r="AJ136" s="305"/>
      <c r="AK136" s="304"/>
      <c r="AL136" s="307"/>
      <c r="AN136" s="9"/>
      <c r="AO136" s="9"/>
      <c r="AP136" s="9"/>
      <c r="AQ136" s="9"/>
      <c r="AR136" s="9"/>
      <c r="AS136" s="9"/>
      <c r="AT136" s="123">
        <v>1</v>
      </c>
      <c r="AU136" s="123" t="s">
        <v>32</v>
      </c>
      <c r="AV136" s="124">
        <v>6347196.0499999998</v>
      </c>
      <c r="AW136" s="139">
        <v>4.2500000000000003E-2</v>
      </c>
      <c r="AX136" s="123"/>
      <c r="AY136" s="140">
        <f t="shared" si="53"/>
        <v>739.05707431506858</v>
      </c>
      <c r="AZ136" s="140">
        <f t="shared" si="48"/>
        <v>140148.6816284724</v>
      </c>
      <c r="BA136" s="140">
        <f t="shared" si="46"/>
        <v>33.813068759513044</v>
      </c>
      <c r="BC136" s="122"/>
      <c r="BD136" s="122"/>
      <c r="BE136" s="122"/>
      <c r="BF136" s="122"/>
      <c r="BH136" s="122"/>
      <c r="BI136" s="122"/>
      <c r="BJ136" s="122"/>
      <c r="BK136" s="122"/>
      <c r="BM136" s="122"/>
      <c r="BN136" s="122"/>
      <c r="BO136" s="122"/>
      <c r="BP136" s="122"/>
      <c r="BR136" s="122"/>
      <c r="BS136" s="122"/>
      <c r="BT136" s="122"/>
      <c r="BU136" s="122"/>
      <c r="BV136" s="439"/>
      <c r="BW136" s="120">
        <f t="shared" si="49"/>
        <v>11067196.050000001</v>
      </c>
      <c r="BX136" s="121">
        <v>4.2500000000000003E-2</v>
      </c>
      <c r="BY136" s="121">
        <f t="shared" si="50"/>
        <v>4.1433785943007666E-2</v>
      </c>
      <c r="BZ136" s="120">
        <f t="shared" si="51"/>
        <v>1263.5015187595131</v>
      </c>
      <c r="CA136" s="120">
        <f t="shared" si="52"/>
        <v>33.813068759513044</v>
      </c>
    </row>
    <row r="137" spans="2:80" x14ac:dyDescent="0.25">
      <c r="B137" s="123" t="str">
        <f t="shared" si="42"/>
        <v>5 2025</v>
      </c>
      <c r="C137" s="122">
        <f t="shared" si="43"/>
        <v>45789</v>
      </c>
      <c r="D137" s="122">
        <f t="shared" si="47"/>
        <v>45790</v>
      </c>
      <c r="E137" s="123">
        <f t="shared" si="44"/>
        <v>1</v>
      </c>
      <c r="F137" s="123" t="s">
        <v>7</v>
      </c>
      <c r="G137" s="126">
        <f>G136-710000</f>
        <v>4010000</v>
      </c>
      <c r="H137" s="125">
        <f t="shared" si="54"/>
        <v>0.04</v>
      </c>
      <c r="I137" s="124">
        <f t="shared" si="41"/>
        <v>445.55555555555554</v>
      </c>
      <c r="J137" s="124">
        <f t="shared" si="45"/>
        <v>114794.46111111106</v>
      </c>
      <c r="K137" s="9"/>
      <c r="L137" s="11"/>
      <c r="M137" s="293"/>
      <c r="N137" s="97"/>
      <c r="O137" s="305"/>
      <c r="P137" s="304"/>
      <c r="Q137" s="307"/>
      <c r="S137" s="11"/>
      <c r="T137" s="293"/>
      <c r="U137" s="97"/>
      <c r="V137" s="305"/>
      <c r="W137" s="304"/>
      <c r="X137" s="307"/>
      <c r="Z137" s="11"/>
      <c r="AA137" s="293"/>
      <c r="AB137" s="97"/>
      <c r="AC137" s="305"/>
      <c r="AD137" s="304"/>
      <c r="AE137" s="307"/>
      <c r="AG137" s="11"/>
      <c r="AH137" s="293"/>
      <c r="AI137" s="97"/>
      <c r="AJ137" s="305"/>
      <c r="AK137" s="304"/>
      <c r="AL137" s="307"/>
      <c r="AN137" s="9"/>
      <c r="AO137" s="9"/>
      <c r="AP137" s="9"/>
      <c r="AQ137" s="9"/>
      <c r="AR137" s="9"/>
      <c r="AS137" s="9"/>
      <c r="AT137" s="123">
        <v>1</v>
      </c>
      <c r="AU137" s="123" t="s">
        <v>32</v>
      </c>
      <c r="AV137" s="124">
        <v>6316658.8499999996</v>
      </c>
      <c r="AW137" s="139">
        <v>4.2500000000000003E-2</v>
      </c>
      <c r="AX137" s="123"/>
      <c r="AY137" s="140">
        <f t="shared" si="53"/>
        <v>735.5013729452055</v>
      </c>
      <c r="AZ137" s="140">
        <f t="shared" si="48"/>
        <v>140884.18300141761</v>
      </c>
      <c r="BA137" s="140">
        <f t="shared" si="46"/>
        <v>33.650389611872242</v>
      </c>
      <c r="BC137" s="122"/>
      <c r="BD137" s="122"/>
      <c r="BE137" s="122"/>
      <c r="BF137" s="122"/>
      <c r="BH137" s="122"/>
      <c r="BI137" s="122"/>
      <c r="BJ137" s="122"/>
      <c r="BK137" s="122"/>
      <c r="BM137" s="122"/>
      <c r="BN137" s="122"/>
      <c r="BO137" s="122"/>
      <c r="BP137" s="122"/>
      <c r="BR137" s="122"/>
      <c r="BS137" s="122"/>
      <c r="BT137" s="122"/>
      <c r="BU137" s="122"/>
      <c r="BV137" s="439"/>
      <c r="BW137" s="120">
        <f t="shared" si="49"/>
        <v>10326658.85</v>
      </c>
      <c r="BX137" s="121">
        <v>4.2500000000000003E-2</v>
      </c>
      <c r="BY137" s="121">
        <f t="shared" si="50"/>
        <v>4.1529211660265124E-2</v>
      </c>
      <c r="BZ137" s="120">
        <f t="shared" si="51"/>
        <v>1181.0569285007609</v>
      </c>
      <c r="CA137" s="120">
        <f t="shared" si="52"/>
        <v>33.650389611872242</v>
      </c>
    </row>
    <row r="138" spans="2:80" x14ac:dyDescent="0.25">
      <c r="B138" s="123" t="str">
        <f t="shared" si="42"/>
        <v>5 2025</v>
      </c>
      <c r="C138" s="122">
        <f t="shared" si="43"/>
        <v>45790</v>
      </c>
      <c r="D138" s="122">
        <f t="shared" si="47"/>
        <v>45791</v>
      </c>
      <c r="E138" s="123">
        <f t="shared" si="44"/>
        <v>1</v>
      </c>
      <c r="F138" s="123" t="s">
        <v>7</v>
      </c>
      <c r="G138" s="124">
        <f t="shared" si="54"/>
        <v>4010000</v>
      </c>
      <c r="H138" s="125">
        <f t="shared" si="54"/>
        <v>0.04</v>
      </c>
      <c r="I138" s="124">
        <f t="shared" si="41"/>
        <v>445.55555555555554</v>
      </c>
      <c r="J138" s="124">
        <f t="shared" si="45"/>
        <v>115240.01666666662</v>
      </c>
      <c r="K138" s="9"/>
      <c r="L138" s="11"/>
      <c r="M138" s="293"/>
      <c r="N138" s="97"/>
      <c r="O138" s="305"/>
      <c r="P138" s="304"/>
      <c r="Q138" s="307"/>
      <c r="S138" s="11"/>
      <c r="T138" s="293"/>
      <c r="U138" s="97"/>
      <c r="V138" s="305"/>
      <c r="W138" s="304"/>
      <c r="X138" s="307"/>
      <c r="Z138" s="11"/>
      <c r="AA138" s="293"/>
      <c r="AB138" s="97"/>
      <c r="AC138" s="305"/>
      <c r="AD138" s="304"/>
      <c r="AE138" s="307"/>
      <c r="AG138" s="11"/>
      <c r="AH138" s="293"/>
      <c r="AI138" s="97"/>
      <c r="AJ138" s="305"/>
      <c r="AK138" s="304"/>
      <c r="AL138" s="307"/>
      <c r="AN138" s="9"/>
      <c r="AO138" s="9"/>
      <c r="AP138" s="9"/>
      <c r="AQ138" s="9"/>
      <c r="AR138" s="9"/>
      <c r="AS138" s="9"/>
      <c r="AT138" s="123">
        <v>1</v>
      </c>
      <c r="AU138" s="123" t="s">
        <v>32</v>
      </c>
      <c r="AV138" s="124">
        <v>6315152.5</v>
      </c>
      <c r="AW138" s="139">
        <v>4.2500000000000003E-2</v>
      </c>
      <c r="AX138" s="123"/>
      <c r="AY138" s="140">
        <f t="shared" si="53"/>
        <v>735.32597602739725</v>
      </c>
      <c r="AZ138" s="140">
        <f t="shared" si="48"/>
        <v>141619.50897744502</v>
      </c>
      <c r="BA138" s="140">
        <f t="shared" si="46"/>
        <v>33.642364916286169</v>
      </c>
      <c r="BC138" s="122"/>
      <c r="BD138" s="122"/>
      <c r="BE138" s="122"/>
      <c r="BF138" s="122"/>
      <c r="BH138" s="122"/>
      <c r="BI138" s="122"/>
      <c r="BJ138" s="122"/>
      <c r="BK138" s="122"/>
      <c r="BM138" s="122"/>
      <c r="BN138" s="122"/>
      <c r="BO138" s="122"/>
      <c r="BP138" s="122"/>
      <c r="BR138" s="122"/>
      <c r="BS138" s="122"/>
      <c r="BT138" s="122"/>
      <c r="BU138" s="122"/>
      <c r="BV138" s="439"/>
      <c r="BW138" s="120">
        <f t="shared" si="49"/>
        <v>10325152.5</v>
      </c>
      <c r="BX138" s="121">
        <v>4.2500000000000003E-2</v>
      </c>
      <c r="BY138" s="121">
        <f t="shared" si="50"/>
        <v>4.1529070030684775E-2</v>
      </c>
      <c r="BZ138" s="120">
        <f t="shared" si="51"/>
        <v>1180.8815315829529</v>
      </c>
      <c r="CA138" s="120">
        <f t="shared" si="52"/>
        <v>33.642364916286169</v>
      </c>
    </row>
    <row r="139" spans="2:80" x14ac:dyDescent="0.25">
      <c r="B139" s="123" t="str">
        <f t="shared" si="42"/>
        <v>5 2025</v>
      </c>
      <c r="C139" s="122">
        <f t="shared" si="43"/>
        <v>45791</v>
      </c>
      <c r="D139" s="122">
        <f t="shared" si="47"/>
        <v>45792</v>
      </c>
      <c r="E139" s="123">
        <f t="shared" si="44"/>
        <v>1</v>
      </c>
      <c r="F139" s="123" t="s">
        <v>7</v>
      </c>
      <c r="G139" s="124">
        <f t="shared" si="54"/>
        <v>4010000</v>
      </c>
      <c r="H139" s="125">
        <f t="shared" si="54"/>
        <v>0.04</v>
      </c>
      <c r="I139" s="124">
        <f t="shared" si="41"/>
        <v>445.55555555555554</v>
      </c>
      <c r="J139" s="124">
        <f t="shared" si="45"/>
        <v>115685.57222222218</v>
      </c>
      <c r="K139" s="9"/>
      <c r="L139" s="11"/>
      <c r="M139" s="293"/>
      <c r="N139" s="97"/>
      <c r="O139" s="305"/>
      <c r="P139" s="304"/>
      <c r="Q139" s="307"/>
      <c r="S139" s="11"/>
      <c r="T139" s="293"/>
      <c r="U139" s="97"/>
      <c r="V139" s="305"/>
      <c r="W139" s="304"/>
      <c r="X139" s="307"/>
      <c r="Z139" s="11"/>
      <c r="AA139" s="293"/>
      <c r="AB139" s="97"/>
      <c r="AC139" s="305"/>
      <c r="AD139" s="304"/>
      <c r="AE139" s="307"/>
      <c r="AG139" s="11"/>
      <c r="AH139" s="293"/>
      <c r="AI139" s="97"/>
      <c r="AJ139" s="305"/>
      <c r="AK139" s="304"/>
      <c r="AL139" s="307"/>
      <c r="AN139" s="9"/>
      <c r="AO139" s="9"/>
      <c r="AP139" s="9"/>
      <c r="AQ139" s="9"/>
      <c r="AR139" s="9"/>
      <c r="AS139" s="9"/>
      <c r="AT139" s="123">
        <v>1</v>
      </c>
      <c r="AU139" s="123" t="s">
        <v>32</v>
      </c>
      <c r="AV139" s="124">
        <v>6315803.8300000001</v>
      </c>
      <c r="AW139" s="139">
        <v>4.2500000000000003E-2</v>
      </c>
      <c r="AX139" s="123"/>
      <c r="AY139" s="140">
        <f t="shared" si="53"/>
        <v>735.40181582191792</v>
      </c>
      <c r="AZ139" s="140">
        <f t="shared" si="48"/>
        <v>142354.91079326693</v>
      </c>
      <c r="BA139" s="140">
        <f t="shared" si="46"/>
        <v>33.645834710806753</v>
      </c>
      <c r="BC139" s="122"/>
      <c r="BD139" s="122"/>
      <c r="BE139" s="122"/>
      <c r="BF139" s="122"/>
      <c r="BH139" s="122"/>
      <c r="BI139" s="122"/>
      <c r="BJ139" s="122"/>
      <c r="BK139" s="122"/>
      <c r="BM139" s="122"/>
      <c r="BN139" s="122"/>
      <c r="BO139" s="122"/>
      <c r="BP139" s="122"/>
      <c r="BR139" s="122"/>
      <c r="BS139" s="122"/>
      <c r="BT139" s="122"/>
      <c r="BU139" s="122"/>
      <c r="BV139" s="439"/>
      <c r="BW139" s="120">
        <f t="shared" si="49"/>
        <v>10325803.83</v>
      </c>
      <c r="BX139" s="121">
        <v>4.2500000000000003E-2</v>
      </c>
      <c r="BY139" s="121">
        <f t="shared" si="50"/>
        <v>4.1529131274906275E-2</v>
      </c>
      <c r="BZ139" s="120">
        <f t="shared" si="51"/>
        <v>1180.9573713774735</v>
      </c>
      <c r="CA139" s="120">
        <f t="shared" si="52"/>
        <v>33.645834710806753</v>
      </c>
    </row>
    <row r="140" spans="2:80" x14ac:dyDescent="0.25">
      <c r="B140" s="123" t="str">
        <f t="shared" si="42"/>
        <v>5 2025</v>
      </c>
      <c r="C140" s="122">
        <f t="shared" si="43"/>
        <v>45792</v>
      </c>
      <c r="D140" s="122">
        <f t="shared" si="47"/>
        <v>45793</v>
      </c>
      <c r="E140" s="123">
        <f t="shared" si="44"/>
        <v>1</v>
      </c>
      <c r="F140" s="123" t="s">
        <v>7</v>
      </c>
      <c r="G140" s="124">
        <f t="shared" si="54"/>
        <v>4010000</v>
      </c>
      <c r="H140" s="125">
        <f t="shared" si="54"/>
        <v>0.04</v>
      </c>
      <c r="I140" s="124">
        <f t="shared" si="41"/>
        <v>445.55555555555554</v>
      </c>
      <c r="J140" s="124">
        <f t="shared" si="45"/>
        <v>116131.12777777774</v>
      </c>
      <c r="K140" s="9"/>
      <c r="L140" s="11"/>
      <c r="M140" s="293"/>
      <c r="N140" s="97"/>
      <c r="O140" s="305"/>
      <c r="P140" s="304"/>
      <c r="Q140" s="307"/>
      <c r="S140" s="11"/>
      <c r="T140" s="293"/>
      <c r="U140" s="97"/>
      <c r="V140" s="305"/>
      <c r="W140" s="304"/>
      <c r="X140" s="307"/>
      <c r="Z140" s="11"/>
      <c r="AA140" s="293"/>
      <c r="AB140" s="97"/>
      <c r="AC140" s="305"/>
      <c r="AD140" s="304"/>
      <c r="AE140" s="307"/>
      <c r="AG140" s="11"/>
      <c r="AH140" s="293"/>
      <c r="AI140" s="97"/>
      <c r="AJ140" s="305"/>
      <c r="AK140" s="304"/>
      <c r="AL140" s="307"/>
      <c r="AN140" s="9"/>
      <c r="AO140" s="9"/>
      <c r="AP140" s="9"/>
      <c r="AQ140" s="9"/>
      <c r="AR140" s="9"/>
      <c r="AS140" s="9"/>
      <c r="AT140" s="123">
        <v>1</v>
      </c>
      <c r="AU140" s="123" t="s">
        <v>32</v>
      </c>
      <c r="AV140" s="124">
        <v>5813749.6399999997</v>
      </c>
      <c r="AW140" s="139">
        <v>4.2500000000000003E-2</v>
      </c>
      <c r="AX140" s="123"/>
      <c r="AY140" s="140">
        <f t="shared" si="53"/>
        <v>676.94345123287667</v>
      </c>
      <c r="AZ140" s="140">
        <f t="shared" si="48"/>
        <v>143031.85424449982</v>
      </c>
      <c r="BA140" s="140">
        <f t="shared" si="46"/>
        <v>30.97126901065451</v>
      </c>
      <c r="BC140" s="122"/>
      <c r="BD140" s="122"/>
      <c r="BE140" s="122"/>
      <c r="BF140" s="122"/>
      <c r="BH140" s="122"/>
      <c r="BI140" s="122"/>
      <c r="BJ140" s="122"/>
      <c r="BK140" s="122"/>
      <c r="BM140" s="122"/>
      <c r="BN140" s="122"/>
      <c r="BO140" s="122"/>
      <c r="BP140" s="122"/>
      <c r="BR140" s="122"/>
      <c r="BS140" s="122"/>
      <c r="BT140" s="122"/>
      <c r="BU140" s="122"/>
      <c r="BV140" s="439"/>
      <c r="BW140" s="120">
        <f t="shared" si="49"/>
        <v>9823749.6400000006</v>
      </c>
      <c r="BX140" s="121">
        <v>4.2500000000000003E-2</v>
      </c>
      <c r="BY140" s="121">
        <f t="shared" si="50"/>
        <v>4.1479513895673753E-2</v>
      </c>
      <c r="BZ140" s="120">
        <f t="shared" si="51"/>
        <v>1122.4990067884323</v>
      </c>
      <c r="CA140" s="120">
        <f t="shared" si="52"/>
        <v>30.97126901065451</v>
      </c>
    </row>
    <row r="141" spans="2:80" x14ac:dyDescent="0.25">
      <c r="B141" s="123" t="str">
        <f t="shared" si="42"/>
        <v>5 2025</v>
      </c>
      <c r="C141" s="122">
        <f t="shared" si="43"/>
        <v>45793</v>
      </c>
      <c r="D141" s="122">
        <f t="shared" si="47"/>
        <v>45794</v>
      </c>
      <c r="E141" s="123">
        <f t="shared" si="44"/>
        <v>1</v>
      </c>
      <c r="F141" s="123" t="s">
        <v>7</v>
      </c>
      <c r="G141" s="124">
        <f t="shared" si="54"/>
        <v>4010000</v>
      </c>
      <c r="H141" s="125">
        <f t="shared" si="54"/>
        <v>0.04</v>
      </c>
      <c r="I141" s="124">
        <f t="shared" si="41"/>
        <v>445.55555555555554</v>
      </c>
      <c r="J141" s="124">
        <f t="shared" si="45"/>
        <v>116576.68333333331</v>
      </c>
      <c r="K141" s="9"/>
      <c r="L141" s="11"/>
      <c r="M141" s="293"/>
      <c r="N141" s="97"/>
      <c r="O141" s="305"/>
      <c r="P141" s="304"/>
      <c r="Q141" s="307"/>
      <c r="S141" s="11"/>
      <c r="T141" s="293"/>
      <c r="U141" s="97"/>
      <c r="V141" s="305"/>
      <c r="W141" s="304"/>
      <c r="X141" s="307"/>
      <c r="Z141" s="11"/>
      <c r="AA141" s="293"/>
      <c r="AB141" s="97"/>
      <c r="AC141" s="305"/>
      <c r="AD141" s="304"/>
      <c r="AE141" s="307"/>
      <c r="AG141" s="11"/>
      <c r="AH141" s="293"/>
      <c r="AI141" s="97"/>
      <c r="AJ141" s="305"/>
      <c r="AK141" s="304"/>
      <c r="AL141" s="307"/>
      <c r="AN141" s="9"/>
      <c r="AO141" s="9"/>
      <c r="AP141" s="9"/>
      <c r="AQ141" s="9"/>
      <c r="AR141" s="9"/>
      <c r="AS141" s="9"/>
      <c r="AT141" s="123">
        <v>1</v>
      </c>
      <c r="AU141" s="123" t="s">
        <v>32</v>
      </c>
      <c r="AV141" s="124">
        <v>5814426.5800000001</v>
      </c>
      <c r="AW141" s="139">
        <v>4.2500000000000003E-2</v>
      </c>
      <c r="AX141" s="123"/>
      <c r="AY141" s="140">
        <f t="shared" si="53"/>
        <v>677.02227301369862</v>
      </c>
      <c r="AZ141" s="140">
        <f t="shared" si="48"/>
        <v>143708.8765175135</v>
      </c>
      <c r="BA141" s="140">
        <f t="shared" si="46"/>
        <v>30.974875235920877</v>
      </c>
      <c r="BC141" s="122"/>
      <c r="BD141" s="122"/>
      <c r="BE141" s="122"/>
      <c r="BF141" s="122"/>
      <c r="BH141" s="122"/>
      <c r="BI141" s="122"/>
      <c r="BJ141" s="122"/>
      <c r="BK141" s="122"/>
      <c r="BM141" s="122"/>
      <c r="BN141" s="122"/>
      <c r="BO141" s="122"/>
      <c r="BP141" s="122"/>
      <c r="BR141" s="122"/>
      <c r="BS141" s="122"/>
      <c r="BT141" s="122"/>
      <c r="BU141" s="122"/>
      <c r="BV141" s="439"/>
      <c r="BW141" s="120">
        <f t="shared" si="49"/>
        <v>9824426.5800000001</v>
      </c>
      <c r="BX141" s="121">
        <v>4.2500000000000003E-2</v>
      </c>
      <c r="BY141" s="121">
        <f t="shared" si="50"/>
        <v>4.1479584211010515E-2</v>
      </c>
      <c r="BZ141" s="120">
        <f t="shared" si="51"/>
        <v>1122.5778285692541</v>
      </c>
      <c r="CA141" s="120">
        <f t="shared" si="52"/>
        <v>30.974875235920877</v>
      </c>
    </row>
    <row r="142" spans="2:80" x14ac:dyDescent="0.25">
      <c r="B142" s="123" t="str">
        <f t="shared" si="42"/>
        <v>5 2025</v>
      </c>
      <c r="C142" s="122">
        <f t="shared" si="43"/>
        <v>45794</v>
      </c>
      <c r="D142" s="122">
        <f t="shared" si="47"/>
        <v>45795</v>
      </c>
      <c r="E142" s="123">
        <f t="shared" si="44"/>
        <v>1</v>
      </c>
      <c r="F142" s="123" t="s">
        <v>7</v>
      </c>
      <c r="G142" s="124">
        <f t="shared" si="54"/>
        <v>4010000</v>
      </c>
      <c r="H142" s="125">
        <f t="shared" si="54"/>
        <v>0.04</v>
      </c>
      <c r="I142" s="124">
        <f t="shared" si="41"/>
        <v>445.55555555555554</v>
      </c>
      <c r="J142" s="124">
        <f t="shared" si="45"/>
        <v>117022.23888888887</v>
      </c>
      <c r="K142" s="9"/>
      <c r="L142" s="11"/>
      <c r="M142" s="293"/>
      <c r="N142" s="97"/>
      <c r="O142" s="305"/>
      <c r="P142" s="304"/>
      <c r="Q142" s="307"/>
      <c r="S142" s="11"/>
      <c r="T142" s="293"/>
      <c r="U142" s="97"/>
      <c r="V142" s="305"/>
      <c r="W142" s="304"/>
      <c r="X142" s="307"/>
      <c r="Z142" s="11"/>
      <c r="AA142" s="293"/>
      <c r="AB142" s="97"/>
      <c r="AC142" s="305"/>
      <c r="AD142" s="304"/>
      <c r="AE142" s="307"/>
      <c r="AG142" s="11"/>
      <c r="AH142" s="293"/>
      <c r="AI142" s="97"/>
      <c r="AJ142" s="305"/>
      <c r="AK142" s="304"/>
      <c r="AL142" s="307"/>
      <c r="AN142" s="9"/>
      <c r="AO142" s="9"/>
      <c r="AP142" s="9"/>
      <c r="AQ142" s="9"/>
      <c r="AR142" s="9"/>
      <c r="AS142" s="9"/>
      <c r="AT142" s="123">
        <v>1</v>
      </c>
      <c r="AU142" s="123" t="s">
        <v>32</v>
      </c>
      <c r="AV142" s="124">
        <v>5814426.5800000001</v>
      </c>
      <c r="AW142" s="139">
        <v>4.2500000000000003E-2</v>
      </c>
      <c r="AX142" s="123"/>
      <c r="AY142" s="140">
        <f t="shared" si="53"/>
        <v>677.02227301369862</v>
      </c>
      <c r="AZ142" s="140">
        <f t="shared" si="48"/>
        <v>144385.89879052719</v>
      </c>
      <c r="BA142" s="140">
        <f t="shared" si="46"/>
        <v>30.974875235920877</v>
      </c>
      <c r="BC142" s="122"/>
      <c r="BD142" s="122"/>
      <c r="BE142" s="122"/>
      <c r="BF142" s="122"/>
      <c r="BH142" s="122"/>
      <c r="BI142" s="122"/>
      <c r="BJ142" s="122"/>
      <c r="BK142" s="122"/>
      <c r="BM142" s="122"/>
      <c r="BN142" s="122"/>
      <c r="BO142" s="122"/>
      <c r="BP142" s="122"/>
      <c r="BR142" s="122"/>
      <c r="BS142" s="122"/>
      <c r="BT142" s="122"/>
      <c r="BU142" s="122"/>
      <c r="BV142" s="439"/>
      <c r="BW142" s="120">
        <f t="shared" si="49"/>
        <v>9824426.5800000001</v>
      </c>
      <c r="BX142" s="121">
        <v>4.2500000000000003E-2</v>
      </c>
      <c r="BY142" s="121">
        <f t="shared" si="50"/>
        <v>4.1479584211010515E-2</v>
      </c>
      <c r="BZ142" s="120">
        <f t="shared" si="51"/>
        <v>1122.5778285692541</v>
      </c>
      <c r="CA142" s="120">
        <f t="shared" si="52"/>
        <v>30.974875235920877</v>
      </c>
    </row>
    <row r="143" spans="2:80" x14ac:dyDescent="0.25">
      <c r="B143" s="123" t="str">
        <f t="shared" si="42"/>
        <v>5 2025</v>
      </c>
      <c r="C143" s="122">
        <f t="shared" si="43"/>
        <v>45795</v>
      </c>
      <c r="D143" s="122">
        <f t="shared" si="47"/>
        <v>45796</v>
      </c>
      <c r="E143" s="123">
        <f t="shared" si="44"/>
        <v>1</v>
      </c>
      <c r="F143" s="123" t="s">
        <v>7</v>
      </c>
      <c r="G143" s="124">
        <f t="shared" si="54"/>
        <v>4010000</v>
      </c>
      <c r="H143" s="125">
        <f t="shared" si="54"/>
        <v>0.04</v>
      </c>
      <c r="I143" s="124">
        <f t="shared" si="41"/>
        <v>445.55555555555554</v>
      </c>
      <c r="J143" s="124">
        <f t="shared" si="45"/>
        <v>117467.79444444443</v>
      </c>
      <c r="K143" s="9"/>
      <c r="L143" s="11"/>
      <c r="M143" s="293"/>
      <c r="N143" s="97"/>
      <c r="O143" s="305"/>
      <c r="P143" s="304"/>
      <c r="Q143" s="307"/>
      <c r="S143" s="11"/>
      <c r="T143" s="293"/>
      <c r="U143" s="97"/>
      <c r="V143" s="305"/>
      <c r="W143" s="304"/>
      <c r="X143" s="307"/>
      <c r="Z143" s="11"/>
      <c r="AA143" s="293"/>
      <c r="AB143" s="97"/>
      <c r="AC143" s="305"/>
      <c r="AD143" s="304"/>
      <c r="AE143" s="307"/>
      <c r="AG143" s="11"/>
      <c r="AH143" s="293"/>
      <c r="AI143" s="97"/>
      <c r="AJ143" s="305"/>
      <c r="AK143" s="304"/>
      <c r="AL143" s="307"/>
      <c r="AN143" s="9"/>
      <c r="AO143" s="9"/>
      <c r="AP143" s="9"/>
      <c r="AQ143" s="9"/>
      <c r="AR143" s="9"/>
      <c r="AS143" s="9"/>
      <c r="AT143" s="123">
        <v>1</v>
      </c>
      <c r="AU143" s="123" t="s">
        <v>32</v>
      </c>
      <c r="AV143" s="124">
        <v>5814426.5800000001</v>
      </c>
      <c r="AW143" s="139">
        <v>4.2500000000000003E-2</v>
      </c>
      <c r="AX143" s="123"/>
      <c r="AY143" s="140">
        <f t="shared" si="53"/>
        <v>677.02227301369862</v>
      </c>
      <c r="AZ143" s="140">
        <f t="shared" si="48"/>
        <v>145062.92106354088</v>
      </c>
      <c r="BA143" s="140">
        <f t="shared" si="46"/>
        <v>30.974875235920877</v>
      </c>
      <c r="BC143" s="122"/>
      <c r="BD143" s="122"/>
      <c r="BE143" s="122"/>
      <c r="BF143" s="122"/>
      <c r="BH143" s="122"/>
      <c r="BI143" s="122"/>
      <c r="BJ143" s="122"/>
      <c r="BK143" s="122"/>
      <c r="BM143" s="122"/>
      <c r="BN143" s="122"/>
      <c r="BO143" s="122"/>
      <c r="BP143" s="122"/>
      <c r="BR143" s="122"/>
      <c r="BS143" s="122"/>
      <c r="BT143" s="122"/>
      <c r="BU143" s="122"/>
      <c r="BV143" s="439"/>
      <c r="BW143" s="120">
        <f t="shared" si="49"/>
        <v>9824426.5800000001</v>
      </c>
      <c r="BX143" s="121">
        <v>4.2500000000000003E-2</v>
      </c>
      <c r="BY143" s="121">
        <f t="shared" si="50"/>
        <v>4.1479584211010515E-2</v>
      </c>
      <c r="BZ143" s="120">
        <f t="shared" si="51"/>
        <v>1122.5778285692541</v>
      </c>
      <c r="CA143" s="120">
        <f t="shared" si="52"/>
        <v>30.974875235920877</v>
      </c>
    </row>
    <row r="144" spans="2:80" x14ac:dyDescent="0.25">
      <c r="B144" s="123" t="str">
        <f t="shared" si="42"/>
        <v>5 2025</v>
      </c>
      <c r="C144" s="122">
        <f t="shared" si="43"/>
        <v>45796</v>
      </c>
      <c r="D144" s="122">
        <f t="shared" si="47"/>
        <v>45797</v>
      </c>
      <c r="E144" s="123">
        <f t="shared" si="44"/>
        <v>1</v>
      </c>
      <c r="F144" s="123" t="s">
        <v>7</v>
      </c>
      <c r="G144" s="124">
        <f t="shared" si="54"/>
        <v>4010000</v>
      </c>
      <c r="H144" s="125">
        <f t="shared" si="54"/>
        <v>0.04</v>
      </c>
      <c r="I144" s="124">
        <f t="shared" si="41"/>
        <v>445.55555555555554</v>
      </c>
      <c r="J144" s="124">
        <f t="shared" si="45"/>
        <v>117913.34999999999</v>
      </c>
      <c r="K144" s="9"/>
      <c r="L144" s="11"/>
      <c r="M144" s="293"/>
      <c r="N144" s="97"/>
      <c r="O144" s="305"/>
      <c r="P144" s="304"/>
      <c r="Q144" s="307"/>
      <c r="S144" s="11"/>
      <c r="T144" s="293"/>
      <c r="U144" s="97"/>
      <c r="V144" s="305"/>
      <c r="W144" s="304"/>
      <c r="X144" s="307"/>
      <c r="Z144" s="11"/>
      <c r="AA144" s="293"/>
      <c r="AB144" s="97"/>
      <c r="AC144" s="305"/>
      <c r="AD144" s="304"/>
      <c r="AE144" s="307"/>
      <c r="AG144" s="11"/>
      <c r="AH144" s="293"/>
      <c r="AI144" s="97"/>
      <c r="AJ144" s="305"/>
      <c r="AK144" s="304"/>
      <c r="AL144" s="307"/>
      <c r="AN144" s="9"/>
      <c r="AO144" s="9"/>
      <c r="AP144" s="9"/>
      <c r="AQ144" s="9"/>
      <c r="AR144" s="9"/>
      <c r="AS144" s="9"/>
      <c r="AT144" s="123">
        <v>1</v>
      </c>
      <c r="AU144" s="123" t="s">
        <v>32</v>
      </c>
      <c r="AV144" s="124">
        <v>5727880.5199999996</v>
      </c>
      <c r="AW144" s="139">
        <v>4.2500000000000003E-2</v>
      </c>
      <c r="AX144" s="123"/>
      <c r="AY144" s="140">
        <f t="shared" si="53"/>
        <v>666.94499205479451</v>
      </c>
      <c r="AZ144" s="140">
        <f t="shared" si="48"/>
        <v>145729.86605559569</v>
      </c>
      <c r="BA144" s="140">
        <f t="shared" si="46"/>
        <v>30.513823165905706</v>
      </c>
      <c r="BC144" s="122"/>
      <c r="BD144" s="122"/>
      <c r="BE144" s="122"/>
      <c r="BF144" s="122"/>
      <c r="BH144" s="122"/>
      <c r="BI144" s="122"/>
      <c r="BJ144" s="122"/>
      <c r="BK144" s="122"/>
      <c r="BM144" s="122"/>
      <c r="BN144" s="122"/>
      <c r="BO144" s="122"/>
      <c r="BP144" s="122"/>
      <c r="BR144" s="122"/>
      <c r="BS144" s="122"/>
      <c r="BT144" s="122"/>
      <c r="BU144" s="122"/>
      <c r="BV144" s="439"/>
      <c r="BW144" s="120">
        <f t="shared" si="49"/>
        <v>9737880.5199999996</v>
      </c>
      <c r="BX144" s="121">
        <v>4.2500000000000003E-2</v>
      </c>
      <c r="BY144" s="121">
        <f t="shared" si="50"/>
        <v>4.1470515197900577E-2</v>
      </c>
      <c r="BZ144" s="120">
        <f t="shared" si="51"/>
        <v>1112.5005476103502</v>
      </c>
      <c r="CA144" s="120">
        <f t="shared" si="52"/>
        <v>30.513823165905706</v>
      </c>
    </row>
    <row r="145" spans="2:79" x14ac:dyDescent="0.25">
      <c r="B145" s="123" t="str">
        <f t="shared" si="42"/>
        <v>5 2025</v>
      </c>
      <c r="C145" s="122">
        <f t="shared" si="43"/>
        <v>45797</v>
      </c>
      <c r="D145" s="122">
        <f t="shared" si="47"/>
        <v>45798</v>
      </c>
      <c r="E145" s="123">
        <f t="shared" si="44"/>
        <v>1</v>
      </c>
      <c r="F145" s="123" t="s">
        <v>7</v>
      </c>
      <c r="G145" s="124">
        <f t="shared" si="54"/>
        <v>4010000</v>
      </c>
      <c r="H145" s="125">
        <f t="shared" si="54"/>
        <v>0.04</v>
      </c>
      <c r="I145" s="124">
        <f t="shared" si="41"/>
        <v>445.55555555555554</v>
      </c>
      <c r="J145" s="124">
        <f t="shared" si="45"/>
        <v>118358.90555555555</v>
      </c>
      <c r="K145" s="9"/>
      <c r="L145" s="11"/>
      <c r="M145" s="293"/>
      <c r="N145" s="97"/>
      <c r="O145" s="305"/>
      <c r="P145" s="304"/>
      <c r="Q145" s="307"/>
      <c r="S145" s="11"/>
      <c r="T145" s="293"/>
      <c r="U145" s="97"/>
      <c r="V145" s="305"/>
      <c r="W145" s="304"/>
      <c r="X145" s="307"/>
      <c r="Z145" s="11"/>
      <c r="AA145" s="293"/>
      <c r="AB145" s="97"/>
      <c r="AC145" s="305"/>
      <c r="AD145" s="304"/>
      <c r="AE145" s="307"/>
      <c r="AG145" s="11"/>
      <c r="AH145" s="293"/>
      <c r="AI145" s="97"/>
      <c r="AJ145" s="305"/>
      <c r="AK145" s="304"/>
      <c r="AL145" s="307"/>
      <c r="AN145" s="9"/>
      <c r="AO145" s="9"/>
      <c r="AP145" s="9"/>
      <c r="AQ145" s="9"/>
      <c r="AR145" s="9"/>
      <c r="AS145" s="9"/>
      <c r="AT145" s="123">
        <v>1</v>
      </c>
      <c r="AU145" s="123" t="s">
        <v>32</v>
      </c>
      <c r="AV145" s="124">
        <v>5728547.46</v>
      </c>
      <c r="AW145" s="139">
        <v>4.2500000000000003E-2</v>
      </c>
      <c r="AX145" s="123"/>
      <c r="AY145" s="140">
        <f t="shared" si="53"/>
        <v>667.02264945205491</v>
      </c>
      <c r="AZ145" s="140">
        <f t="shared" si="48"/>
        <v>146396.88870504775</v>
      </c>
      <c r="BA145" s="140">
        <f t="shared" si="46"/>
        <v>30.517376118721586</v>
      </c>
      <c r="BC145" s="122"/>
      <c r="BD145" s="122"/>
      <c r="BE145" s="122"/>
      <c r="BF145" s="122"/>
      <c r="BH145" s="122"/>
      <c r="BI145" s="122"/>
      <c r="BJ145" s="122"/>
      <c r="BK145" s="122"/>
      <c r="BM145" s="122"/>
      <c r="BN145" s="122"/>
      <c r="BO145" s="122"/>
      <c r="BP145" s="122"/>
      <c r="BR145" s="122"/>
      <c r="BS145" s="122"/>
      <c r="BT145" s="122"/>
      <c r="BU145" s="122"/>
      <c r="BV145" s="439"/>
      <c r="BW145" s="120">
        <f t="shared" si="49"/>
        <v>9738547.4600000009</v>
      </c>
      <c r="BX145" s="121">
        <v>4.2500000000000003E-2</v>
      </c>
      <c r="BY145" s="121">
        <f t="shared" si="50"/>
        <v>4.1470585701699703E-2</v>
      </c>
      <c r="BZ145" s="120">
        <f t="shared" si="51"/>
        <v>1112.5782050076104</v>
      </c>
      <c r="CA145" s="120">
        <f t="shared" si="52"/>
        <v>30.517376118721586</v>
      </c>
    </row>
    <row r="146" spans="2:79" x14ac:dyDescent="0.25">
      <c r="B146" s="123" t="str">
        <f t="shared" si="42"/>
        <v>5 2025</v>
      </c>
      <c r="C146" s="122">
        <f t="shared" si="43"/>
        <v>45798</v>
      </c>
      <c r="D146" s="122">
        <f t="shared" si="47"/>
        <v>45799</v>
      </c>
      <c r="E146" s="123">
        <f t="shared" si="44"/>
        <v>1</v>
      </c>
      <c r="F146" s="123" t="s">
        <v>7</v>
      </c>
      <c r="G146" s="124">
        <f t="shared" si="54"/>
        <v>4010000</v>
      </c>
      <c r="H146" s="125">
        <f t="shared" si="54"/>
        <v>0.04</v>
      </c>
      <c r="I146" s="124">
        <f t="shared" si="41"/>
        <v>445.55555555555554</v>
      </c>
      <c r="J146" s="124">
        <f t="shared" si="45"/>
        <v>118804.46111111112</v>
      </c>
      <c r="K146" s="9"/>
      <c r="L146" s="11"/>
      <c r="M146" s="293"/>
      <c r="N146" s="97"/>
      <c r="O146" s="305"/>
      <c r="P146" s="304"/>
      <c r="Q146" s="307"/>
      <c r="S146" s="11"/>
      <c r="T146" s="293"/>
      <c r="U146" s="97"/>
      <c r="V146" s="305"/>
      <c r="W146" s="304"/>
      <c r="X146" s="307"/>
      <c r="Z146" s="11"/>
      <c r="AA146" s="293"/>
      <c r="AB146" s="97"/>
      <c r="AC146" s="305"/>
      <c r="AD146" s="304"/>
      <c r="AE146" s="307"/>
      <c r="AG146" s="11"/>
      <c r="AH146" s="293"/>
      <c r="AI146" s="97"/>
      <c r="AJ146" s="305"/>
      <c r="AK146" s="304"/>
      <c r="AL146" s="307"/>
      <c r="AN146" s="9"/>
      <c r="AO146" s="9"/>
      <c r="AP146" s="9"/>
      <c r="AQ146" s="9"/>
      <c r="AR146" s="9"/>
      <c r="AS146" s="9"/>
      <c r="AT146" s="123">
        <v>1</v>
      </c>
      <c r="AU146" s="123" t="s">
        <v>32</v>
      </c>
      <c r="AV146" s="124">
        <v>5702225.1600000001</v>
      </c>
      <c r="AW146" s="139">
        <v>4.2500000000000003E-2</v>
      </c>
      <c r="AX146" s="123"/>
      <c r="AY146" s="140">
        <f t="shared" si="53"/>
        <v>663.95772410958909</v>
      </c>
      <c r="AZ146" s="140">
        <f t="shared" si="48"/>
        <v>147060.84642915733</v>
      </c>
      <c r="BA146" s="140">
        <f t="shared" si="46"/>
        <v>30.377150776255689</v>
      </c>
      <c r="BC146" s="122"/>
      <c r="BD146" s="122"/>
      <c r="BE146" s="122"/>
      <c r="BF146" s="122"/>
      <c r="BH146" s="122"/>
      <c r="BI146" s="122"/>
      <c r="BJ146" s="122"/>
      <c r="BK146" s="122"/>
      <c r="BM146" s="122"/>
      <c r="BN146" s="122"/>
      <c r="BO146" s="122"/>
      <c r="BP146" s="122"/>
      <c r="BR146" s="122"/>
      <c r="BS146" s="122"/>
      <c r="BT146" s="122"/>
      <c r="BU146" s="122"/>
      <c r="BV146" s="439"/>
      <c r="BW146" s="120">
        <f t="shared" si="49"/>
        <v>9712225.1600000001</v>
      </c>
      <c r="BX146" s="121">
        <v>4.2500000000000003E-2</v>
      </c>
      <c r="BY146" s="121">
        <f t="shared" si="50"/>
        <v>4.1467795758969E-2</v>
      </c>
      <c r="BZ146" s="120">
        <f t="shared" si="51"/>
        <v>1109.5132796651446</v>
      </c>
      <c r="CA146" s="120">
        <f t="shared" si="52"/>
        <v>30.377150776255689</v>
      </c>
    </row>
    <row r="147" spans="2:79" x14ac:dyDescent="0.25">
      <c r="B147" s="123" t="str">
        <f t="shared" si="42"/>
        <v>5 2025</v>
      </c>
      <c r="C147" s="122">
        <f t="shared" si="43"/>
        <v>45799</v>
      </c>
      <c r="D147" s="122">
        <f t="shared" si="47"/>
        <v>45800</v>
      </c>
      <c r="E147" s="123">
        <f t="shared" si="44"/>
        <v>1</v>
      </c>
      <c r="F147" s="123" t="s">
        <v>7</v>
      </c>
      <c r="G147" s="124">
        <f t="shared" si="54"/>
        <v>4010000</v>
      </c>
      <c r="H147" s="125">
        <f t="shared" si="54"/>
        <v>0.04</v>
      </c>
      <c r="I147" s="124">
        <f t="shared" si="41"/>
        <v>445.55555555555554</v>
      </c>
      <c r="J147" s="124">
        <f t="shared" si="45"/>
        <v>119250.01666666668</v>
      </c>
      <c r="K147" s="9"/>
      <c r="L147" s="11"/>
      <c r="M147" s="293"/>
      <c r="N147" s="97"/>
      <c r="O147" s="305"/>
      <c r="P147" s="304"/>
      <c r="Q147" s="307"/>
      <c r="S147" s="11"/>
      <c r="T147" s="293"/>
      <c r="U147" s="97"/>
      <c r="V147" s="305"/>
      <c r="W147" s="304"/>
      <c r="X147" s="307"/>
      <c r="Z147" s="11"/>
      <c r="AA147" s="293"/>
      <c r="AB147" s="97"/>
      <c r="AC147" s="305"/>
      <c r="AD147" s="304"/>
      <c r="AE147" s="307"/>
      <c r="AG147" s="11"/>
      <c r="AH147" s="293"/>
      <c r="AI147" s="97"/>
      <c r="AJ147" s="305"/>
      <c r="AK147" s="304"/>
      <c r="AL147" s="307"/>
      <c r="AN147" s="9"/>
      <c r="AO147" s="9"/>
      <c r="AP147" s="9"/>
      <c r="AQ147" s="9"/>
      <c r="AR147" s="9"/>
      <c r="AS147" s="9"/>
      <c r="AT147" s="123">
        <v>1</v>
      </c>
      <c r="AU147" s="123" t="s">
        <v>32</v>
      </c>
      <c r="AV147" s="124">
        <v>5702889.1200000001</v>
      </c>
      <c r="AW147" s="139">
        <v>4.2500000000000003E-2</v>
      </c>
      <c r="AX147" s="123"/>
      <c r="AY147" s="140">
        <f t="shared" si="53"/>
        <v>664.03503452054792</v>
      </c>
      <c r="AZ147" s="140">
        <f t="shared" si="48"/>
        <v>147724.88146367788</v>
      </c>
      <c r="BA147" s="140">
        <f t="shared" si="46"/>
        <v>30.380687853881227</v>
      </c>
      <c r="BC147" s="122"/>
      <c r="BD147" s="122"/>
      <c r="BE147" s="122"/>
      <c r="BF147" s="122"/>
      <c r="BH147" s="122"/>
      <c r="BI147" s="122"/>
      <c r="BJ147" s="122"/>
      <c r="BK147" s="122"/>
      <c r="BM147" s="122"/>
      <c r="BN147" s="122"/>
      <c r="BO147" s="122"/>
      <c r="BP147" s="122"/>
      <c r="BR147" s="122"/>
      <c r="BS147" s="122"/>
      <c r="BT147" s="122"/>
      <c r="BU147" s="122"/>
      <c r="BV147" s="439"/>
      <c r="BW147" s="120">
        <f t="shared" si="49"/>
        <v>9712889.120000001</v>
      </c>
      <c r="BX147" s="121">
        <v>4.2500000000000003E-2</v>
      </c>
      <c r="BY147" s="121">
        <f t="shared" si="50"/>
        <v>4.146786631905873E-2</v>
      </c>
      <c r="BZ147" s="120">
        <f t="shared" si="51"/>
        <v>1109.5905900761036</v>
      </c>
      <c r="CA147" s="120">
        <f t="shared" si="52"/>
        <v>30.380687853881227</v>
      </c>
    </row>
    <row r="148" spans="2:79" x14ac:dyDescent="0.25">
      <c r="B148" s="123" t="str">
        <f t="shared" si="42"/>
        <v>5 2025</v>
      </c>
      <c r="C148" s="122">
        <f t="shared" si="43"/>
        <v>45800</v>
      </c>
      <c r="D148" s="122">
        <f t="shared" si="47"/>
        <v>45801</v>
      </c>
      <c r="E148" s="123">
        <f t="shared" si="44"/>
        <v>1</v>
      </c>
      <c r="F148" s="123" t="s">
        <v>7</v>
      </c>
      <c r="G148" s="126">
        <f>G147-1330000</f>
        <v>2680000</v>
      </c>
      <c r="H148" s="125">
        <f t="shared" si="54"/>
        <v>0.04</v>
      </c>
      <c r="I148" s="124">
        <f t="shared" si="41"/>
        <v>297.77777777777777</v>
      </c>
      <c r="J148" s="124">
        <f t="shared" si="45"/>
        <v>119547.79444444446</v>
      </c>
      <c r="K148" s="9"/>
      <c r="L148" s="11"/>
      <c r="M148" s="293"/>
      <c r="N148" s="97"/>
      <c r="O148" s="305"/>
      <c r="P148" s="304"/>
      <c r="Q148" s="307"/>
      <c r="S148" s="11"/>
      <c r="T148" s="293"/>
      <c r="U148" s="97"/>
      <c r="V148" s="305"/>
      <c r="W148" s="304"/>
      <c r="X148" s="307"/>
      <c r="Z148" s="11"/>
      <c r="AA148" s="293"/>
      <c r="AB148" s="97"/>
      <c r="AC148" s="305"/>
      <c r="AD148" s="304"/>
      <c r="AE148" s="307"/>
      <c r="AG148" s="11"/>
      <c r="AH148" s="293"/>
      <c r="AI148" s="97"/>
      <c r="AJ148" s="305"/>
      <c r="AK148" s="304"/>
      <c r="AL148" s="307"/>
      <c r="AN148" s="9"/>
      <c r="AO148" s="9"/>
      <c r="AP148" s="9"/>
      <c r="AQ148" s="9"/>
      <c r="AR148" s="9"/>
      <c r="AS148" s="9"/>
      <c r="AT148" s="123">
        <v>1</v>
      </c>
      <c r="AU148" s="123" t="s">
        <v>32</v>
      </c>
      <c r="AV148" s="124">
        <v>5703110.7000000002</v>
      </c>
      <c r="AW148" s="139">
        <v>4.2500000000000003E-2</v>
      </c>
      <c r="AX148" s="123"/>
      <c r="AY148" s="140">
        <f t="shared" si="53"/>
        <v>664.06083493150697</v>
      </c>
      <c r="AZ148" s="140">
        <f t="shared" si="48"/>
        <v>148388.94229860939</v>
      </c>
      <c r="BA148" s="140">
        <f t="shared" si="46"/>
        <v>30.38186826484025</v>
      </c>
      <c r="BC148" s="122"/>
      <c r="BD148" s="122"/>
      <c r="BE148" s="122"/>
      <c r="BF148" s="122"/>
      <c r="BH148" s="122"/>
      <c r="BI148" s="122"/>
      <c r="BJ148" s="122"/>
      <c r="BK148" s="122"/>
      <c r="BM148" s="122"/>
      <c r="BN148" s="122"/>
      <c r="BO148" s="122"/>
      <c r="BP148" s="122"/>
      <c r="BR148" s="122"/>
      <c r="BS148" s="122"/>
      <c r="BT148" s="122"/>
      <c r="BU148" s="122"/>
      <c r="BV148" s="439"/>
      <c r="BW148" s="120">
        <f t="shared" si="49"/>
        <v>8383110.7000000002</v>
      </c>
      <c r="BX148" s="121">
        <v>4.2500000000000003E-2</v>
      </c>
      <c r="BY148" s="121">
        <f t="shared" si="50"/>
        <v>4.1700774003855162E-2</v>
      </c>
      <c r="BZ148" s="120">
        <f t="shared" si="51"/>
        <v>961.83861270928469</v>
      </c>
      <c r="CA148" s="120">
        <f t="shared" si="52"/>
        <v>30.38186826484025</v>
      </c>
    </row>
    <row r="149" spans="2:79" x14ac:dyDescent="0.25">
      <c r="B149" s="123" t="str">
        <f t="shared" si="42"/>
        <v>5 2025</v>
      </c>
      <c r="C149" s="122">
        <f t="shared" si="43"/>
        <v>45801</v>
      </c>
      <c r="D149" s="122">
        <f t="shared" si="47"/>
        <v>45802</v>
      </c>
      <c r="E149" s="123">
        <f t="shared" si="44"/>
        <v>1</v>
      </c>
      <c r="F149" s="123" t="s">
        <v>7</v>
      </c>
      <c r="G149" s="124">
        <f t="shared" si="54"/>
        <v>2680000</v>
      </c>
      <c r="H149" s="125">
        <f t="shared" si="54"/>
        <v>0.04</v>
      </c>
      <c r="I149" s="124">
        <f t="shared" si="41"/>
        <v>297.77777777777777</v>
      </c>
      <c r="J149" s="124">
        <f t="shared" si="45"/>
        <v>119845.57222222224</v>
      </c>
      <c r="K149" s="9"/>
      <c r="L149" s="11"/>
      <c r="M149" s="293"/>
      <c r="N149" s="97"/>
      <c r="O149" s="305"/>
      <c r="P149" s="304"/>
      <c r="Q149" s="307"/>
      <c r="S149" s="11"/>
      <c r="T149" s="293"/>
      <c r="U149" s="97"/>
      <c r="V149" s="305"/>
      <c r="W149" s="304"/>
      <c r="X149" s="307"/>
      <c r="Z149" s="11"/>
      <c r="AA149" s="293"/>
      <c r="AB149" s="97"/>
      <c r="AC149" s="305"/>
      <c r="AD149" s="304"/>
      <c r="AE149" s="307"/>
      <c r="AG149" s="11"/>
      <c r="AH149" s="293"/>
      <c r="AI149" s="97"/>
      <c r="AJ149" s="305"/>
      <c r="AK149" s="304"/>
      <c r="AL149" s="307"/>
      <c r="AN149" s="9"/>
      <c r="AO149" s="9"/>
      <c r="AP149" s="9"/>
      <c r="AQ149" s="9"/>
      <c r="AR149" s="9"/>
      <c r="AS149" s="9"/>
      <c r="AT149" s="123">
        <v>1</v>
      </c>
      <c r="AU149" s="123" t="s">
        <v>32</v>
      </c>
      <c r="AV149" s="124">
        <v>5703110.7000000002</v>
      </c>
      <c r="AW149" s="139">
        <v>4.2500000000000003E-2</v>
      </c>
      <c r="AX149" s="123"/>
      <c r="AY149" s="140">
        <f t="shared" si="53"/>
        <v>664.06083493150697</v>
      </c>
      <c r="AZ149" s="140">
        <f t="shared" si="48"/>
        <v>149053.00313354089</v>
      </c>
      <c r="BA149" s="140">
        <f t="shared" si="46"/>
        <v>30.38186826484025</v>
      </c>
      <c r="BC149" s="122"/>
      <c r="BD149" s="122"/>
      <c r="BE149" s="122"/>
      <c r="BF149" s="122"/>
      <c r="BH149" s="122"/>
      <c r="BI149" s="122"/>
      <c r="BJ149" s="122"/>
      <c r="BK149" s="122"/>
      <c r="BM149" s="122"/>
      <c r="BN149" s="122"/>
      <c r="BO149" s="122"/>
      <c r="BP149" s="122"/>
      <c r="BR149" s="122"/>
      <c r="BS149" s="122"/>
      <c r="BT149" s="122"/>
      <c r="BU149" s="122"/>
      <c r="BV149" s="439"/>
      <c r="BW149" s="120">
        <f t="shared" si="49"/>
        <v>8383110.7000000002</v>
      </c>
      <c r="BX149" s="121">
        <v>4.2500000000000003E-2</v>
      </c>
      <c r="BY149" s="121">
        <f t="shared" si="50"/>
        <v>4.1700774003855162E-2</v>
      </c>
      <c r="BZ149" s="120">
        <f t="shared" si="51"/>
        <v>961.83861270928469</v>
      </c>
      <c r="CA149" s="120">
        <f t="shared" si="52"/>
        <v>30.38186826484025</v>
      </c>
    </row>
    <row r="150" spans="2:79" x14ac:dyDescent="0.25">
      <c r="B150" s="123" t="str">
        <f t="shared" si="42"/>
        <v>5 2025</v>
      </c>
      <c r="C150" s="122">
        <f t="shared" si="43"/>
        <v>45802</v>
      </c>
      <c r="D150" s="122">
        <f t="shared" si="47"/>
        <v>45803</v>
      </c>
      <c r="E150" s="123">
        <f t="shared" si="44"/>
        <v>1</v>
      </c>
      <c r="F150" s="123" t="s">
        <v>7</v>
      </c>
      <c r="G150" s="124">
        <f t="shared" si="54"/>
        <v>2680000</v>
      </c>
      <c r="H150" s="125">
        <f t="shared" si="54"/>
        <v>0.04</v>
      </c>
      <c r="I150" s="124">
        <f t="shared" si="41"/>
        <v>297.77777777777777</v>
      </c>
      <c r="J150" s="124">
        <f t="shared" si="45"/>
        <v>120143.35000000002</v>
      </c>
      <c r="K150" s="9"/>
      <c r="L150" s="11"/>
      <c r="M150" s="293"/>
      <c r="N150" s="97"/>
      <c r="O150" s="305"/>
      <c r="P150" s="304"/>
      <c r="Q150" s="307"/>
      <c r="S150" s="11"/>
      <c r="T150" s="293"/>
      <c r="U150" s="97"/>
      <c r="V150" s="305"/>
      <c r="W150" s="304"/>
      <c r="X150" s="307"/>
      <c r="Z150" s="11"/>
      <c r="AA150" s="293"/>
      <c r="AB150" s="97"/>
      <c r="AC150" s="305"/>
      <c r="AD150" s="304"/>
      <c r="AE150" s="307"/>
      <c r="AG150" s="11"/>
      <c r="AH150" s="293"/>
      <c r="AI150" s="97"/>
      <c r="AJ150" s="305"/>
      <c r="AK150" s="304"/>
      <c r="AL150" s="307"/>
      <c r="AN150" s="9"/>
      <c r="AO150" s="9"/>
      <c r="AP150" s="9"/>
      <c r="AQ150" s="9"/>
      <c r="AR150" s="9"/>
      <c r="AS150" s="9"/>
      <c r="AT150" s="123">
        <v>1</v>
      </c>
      <c r="AU150" s="123" t="s">
        <v>32</v>
      </c>
      <c r="AV150" s="124">
        <v>5703110.7000000002</v>
      </c>
      <c r="AW150" s="139">
        <v>4.2500000000000003E-2</v>
      </c>
      <c r="AX150" s="123"/>
      <c r="AY150" s="140">
        <f t="shared" si="53"/>
        <v>664.06083493150697</v>
      </c>
      <c r="AZ150" s="140">
        <f t="shared" si="48"/>
        <v>149717.06396847239</v>
      </c>
      <c r="BA150" s="140">
        <f t="shared" si="46"/>
        <v>30.38186826484025</v>
      </c>
      <c r="BC150" s="122"/>
      <c r="BD150" s="122"/>
      <c r="BE150" s="122"/>
      <c r="BF150" s="122"/>
      <c r="BH150" s="122"/>
      <c r="BI150" s="122"/>
      <c r="BJ150" s="122"/>
      <c r="BK150" s="122"/>
      <c r="BM150" s="122"/>
      <c r="BN150" s="122"/>
      <c r="BO150" s="122"/>
      <c r="BP150" s="122"/>
      <c r="BR150" s="122"/>
      <c r="BS150" s="122"/>
      <c r="BT150" s="122"/>
      <c r="BU150" s="122"/>
      <c r="BV150" s="439"/>
      <c r="BW150" s="120">
        <f t="shared" si="49"/>
        <v>8383110.7000000002</v>
      </c>
      <c r="BX150" s="121">
        <v>4.2500000000000003E-2</v>
      </c>
      <c r="BY150" s="121">
        <f t="shared" si="50"/>
        <v>4.1700774003855162E-2</v>
      </c>
      <c r="BZ150" s="120">
        <f t="shared" si="51"/>
        <v>961.83861270928469</v>
      </c>
      <c r="CA150" s="120">
        <f t="shared" si="52"/>
        <v>30.38186826484025</v>
      </c>
    </row>
    <row r="151" spans="2:79" x14ac:dyDescent="0.25">
      <c r="B151" s="123" t="str">
        <f t="shared" si="42"/>
        <v>5 2025</v>
      </c>
      <c r="C151" s="122">
        <f t="shared" si="43"/>
        <v>45803</v>
      </c>
      <c r="D151" s="122">
        <f t="shared" si="47"/>
        <v>45804</v>
      </c>
      <c r="E151" s="123">
        <f t="shared" si="44"/>
        <v>1</v>
      </c>
      <c r="F151" s="123" t="s">
        <v>7</v>
      </c>
      <c r="G151" s="124">
        <f t="shared" si="54"/>
        <v>2680000</v>
      </c>
      <c r="H151" s="125">
        <f t="shared" si="54"/>
        <v>0.04</v>
      </c>
      <c r="I151" s="124">
        <f t="shared" si="41"/>
        <v>297.77777777777777</v>
      </c>
      <c r="J151" s="124">
        <f t="shared" si="45"/>
        <v>120441.1277777778</v>
      </c>
      <c r="K151" s="9"/>
      <c r="L151" s="11"/>
      <c r="M151" s="293"/>
      <c r="N151" s="97"/>
      <c r="O151" s="305"/>
      <c r="P151" s="304"/>
      <c r="Q151" s="307"/>
      <c r="S151" s="11"/>
      <c r="T151" s="293"/>
      <c r="U151" s="97"/>
      <c r="V151" s="305"/>
      <c r="W151" s="304"/>
      <c r="X151" s="307"/>
      <c r="Z151" s="11"/>
      <c r="AA151" s="293"/>
      <c r="AB151" s="97"/>
      <c r="AC151" s="305"/>
      <c r="AD151" s="304"/>
      <c r="AE151" s="307"/>
      <c r="AG151" s="11"/>
      <c r="AH151" s="293"/>
      <c r="AI151" s="97"/>
      <c r="AJ151" s="305"/>
      <c r="AK151" s="304"/>
      <c r="AL151" s="307"/>
      <c r="AN151" s="9"/>
      <c r="AO151" s="9"/>
      <c r="AP151" s="9"/>
      <c r="AQ151" s="9"/>
      <c r="AR151" s="9"/>
      <c r="AS151" s="9"/>
      <c r="AT151" s="123">
        <v>1</v>
      </c>
      <c r="AU151" s="123" t="s">
        <v>32</v>
      </c>
      <c r="AV151" s="124">
        <v>5703110.7000000002</v>
      </c>
      <c r="AW151" s="139">
        <v>4.2500000000000003E-2</v>
      </c>
      <c r="AX151" s="123"/>
      <c r="AY151" s="140">
        <f t="shared" si="53"/>
        <v>664.06083493150697</v>
      </c>
      <c r="AZ151" s="140">
        <f t="shared" si="48"/>
        <v>150381.12480340389</v>
      </c>
      <c r="BA151" s="140">
        <f t="shared" si="46"/>
        <v>30.38186826484025</v>
      </c>
      <c r="BC151" s="122"/>
      <c r="BD151" s="122"/>
      <c r="BE151" s="122"/>
      <c r="BF151" s="122"/>
      <c r="BH151" s="122"/>
      <c r="BI151" s="122"/>
      <c r="BJ151" s="122"/>
      <c r="BK151" s="122"/>
      <c r="BM151" s="122"/>
      <c r="BN151" s="122"/>
      <c r="BO151" s="122"/>
      <c r="BP151" s="122"/>
      <c r="BR151" s="122"/>
      <c r="BS151" s="122"/>
      <c r="BT151" s="122"/>
      <c r="BU151" s="122"/>
      <c r="BV151" s="439"/>
      <c r="BW151" s="120">
        <f t="shared" si="49"/>
        <v>8383110.7000000002</v>
      </c>
      <c r="BX151" s="121">
        <v>4.2500000000000003E-2</v>
      </c>
      <c r="BY151" s="121">
        <f t="shared" si="50"/>
        <v>4.1700774003855162E-2</v>
      </c>
      <c r="BZ151" s="120">
        <f t="shared" si="51"/>
        <v>961.83861270928469</v>
      </c>
      <c r="CA151" s="120">
        <f t="shared" si="52"/>
        <v>30.38186826484025</v>
      </c>
    </row>
    <row r="152" spans="2:79" x14ac:dyDescent="0.25">
      <c r="B152" s="123" t="str">
        <f t="shared" si="42"/>
        <v>5 2025</v>
      </c>
      <c r="C152" s="122">
        <f t="shared" si="43"/>
        <v>45804</v>
      </c>
      <c r="D152" s="122">
        <f t="shared" si="47"/>
        <v>45805</v>
      </c>
      <c r="E152" s="123">
        <f t="shared" si="44"/>
        <v>1</v>
      </c>
      <c r="F152" s="123" t="s">
        <v>7</v>
      </c>
      <c r="G152" s="124">
        <f t="shared" ref="G152:H167" si="55">G151</f>
        <v>2680000</v>
      </c>
      <c r="H152" s="125">
        <f t="shared" si="55"/>
        <v>0.04</v>
      </c>
      <c r="I152" s="124">
        <f t="shared" si="41"/>
        <v>297.77777777777777</v>
      </c>
      <c r="J152" s="124">
        <f t="shared" si="45"/>
        <v>120738.90555555558</v>
      </c>
      <c r="K152" s="9"/>
      <c r="L152" s="11"/>
      <c r="M152" s="293"/>
      <c r="N152" s="97"/>
      <c r="O152" s="305"/>
      <c r="P152" s="304"/>
      <c r="Q152" s="307"/>
      <c r="S152" s="11"/>
      <c r="T152" s="293"/>
      <c r="U152" s="97"/>
      <c r="V152" s="305"/>
      <c r="W152" s="304"/>
      <c r="X152" s="307"/>
      <c r="Z152" s="11"/>
      <c r="AA152" s="293"/>
      <c r="AB152" s="97"/>
      <c r="AC152" s="305"/>
      <c r="AD152" s="304"/>
      <c r="AE152" s="307"/>
      <c r="AG152" s="11"/>
      <c r="AH152" s="293"/>
      <c r="AI152" s="97"/>
      <c r="AJ152" s="305"/>
      <c r="AK152" s="304"/>
      <c r="AL152" s="307"/>
      <c r="AN152" s="9"/>
      <c r="AO152" s="9"/>
      <c r="AP152" s="9"/>
      <c r="AQ152" s="9"/>
      <c r="AR152" s="9"/>
      <c r="AS152" s="9"/>
      <c r="AT152" s="123">
        <v>1</v>
      </c>
      <c r="AU152" s="123" t="s">
        <v>32</v>
      </c>
      <c r="AV152" s="124">
        <v>5705766.9400000004</v>
      </c>
      <c r="AW152" s="139">
        <v>4.2500000000000003E-2</v>
      </c>
      <c r="AX152" s="123"/>
      <c r="AY152" s="140">
        <f t="shared" si="53"/>
        <v>664.370123150685</v>
      </c>
      <c r="AZ152" s="140">
        <f t="shared" si="48"/>
        <v>151045.49492655456</v>
      </c>
      <c r="BA152" s="140">
        <f t="shared" si="46"/>
        <v>30.396018706240511</v>
      </c>
      <c r="BC152" s="122"/>
      <c r="BD152" s="122"/>
      <c r="BE152" s="122"/>
      <c r="BF152" s="122"/>
      <c r="BH152" s="122"/>
      <c r="BI152" s="122"/>
      <c r="BJ152" s="122"/>
      <c r="BK152" s="122"/>
      <c r="BM152" s="122"/>
      <c r="BN152" s="122"/>
      <c r="BO152" s="122"/>
      <c r="BP152" s="122"/>
      <c r="BR152" s="122"/>
      <c r="BS152" s="122"/>
      <c r="BT152" s="122"/>
      <c r="BU152" s="122"/>
      <c r="BV152" s="439"/>
      <c r="BW152" s="120">
        <f t="shared" si="49"/>
        <v>8385766.9400000004</v>
      </c>
      <c r="BX152" s="121">
        <v>4.2500000000000003E-2</v>
      </c>
      <c r="BY152" s="121">
        <f t="shared" si="50"/>
        <v>4.1701027163294865E-2</v>
      </c>
      <c r="BZ152" s="120">
        <f t="shared" si="51"/>
        <v>962.14790092846283</v>
      </c>
      <c r="CA152" s="120">
        <f t="shared" si="52"/>
        <v>30.396018706240511</v>
      </c>
    </row>
    <row r="153" spans="2:79" x14ac:dyDescent="0.25">
      <c r="B153" s="123" t="str">
        <f t="shared" si="42"/>
        <v>5 2025</v>
      </c>
      <c r="C153" s="122">
        <f t="shared" si="43"/>
        <v>45805</v>
      </c>
      <c r="D153" s="122">
        <f t="shared" si="47"/>
        <v>45806</v>
      </c>
      <c r="E153" s="123">
        <f t="shared" si="44"/>
        <v>1</v>
      </c>
      <c r="F153" s="123" t="s">
        <v>7</v>
      </c>
      <c r="G153" s="124">
        <f t="shared" si="55"/>
        <v>2680000</v>
      </c>
      <c r="H153" s="125">
        <f t="shared" si="55"/>
        <v>0.04</v>
      </c>
      <c r="I153" s="124">
        <f t="shared" si="41"/>
        <v>297.77777777777777</v>
      </c>
      <c r="J153" s="124">
        <f t="shared" si="45"/>
        <v>121036.68333333336</v>
      </c>
      <c r="K153" s="9"/>
      <c r="L153" s="11"/>
      <c r="M153" s="293"/>
      <c r="N153" s="97"/>
      <c r="O153" s="305"/>
      <c r="P153" s="304"/>
      <c r="Q153" s="307"/>
      <c r="S153" s="11"/>
      <c r="T153" s="293"/>
      <c r="U153" s="97"/>
      <c r="V153" s="305"/>
      <c r="W153" s="304"/>
      <c r="X153" s="307"/>
      <c r="Z153" s="11"/>
      <c r="AA153" s="293"/>
      <c r="AB153" s="97"/>
      <c r="AC153" s="305"/>
      <c r="AD153" s="304"/>
      <c r="AE153" s="307"/>
      <c r="AG153" s="11"/>
      <c r="AH153" s="293"/>
      <c r="AI153" s="97"/>
      <c r="AJ153" s="305"/>
      <c r="AK153" s="304"/>
      <c r="AL153" s="307"/>
      <c r="AN153" s="9"/>
      <c r="AO153" s="9"/>
      <c r="AP153" s="9"/>
      <c r="AQ153" s="9"/>
      <c r="AR153" s="9"/>
      <c r="AS153" s="9"/>
      <c r="AT153" s="123">
        <v>1</v>
      </c>
      <c r="AU153" s="123" t="s">
        <v>32</v>
      </c>
      <c r="AV153" s="124">
        <v>5706431.3099999996</v>
      </c>
      <c r="AW153" s="139">
        <v>4.2500000000000003E-2</v>
      </c>
      <c r="AX153" s="123"/>
      <c r="AY153" s="140">
        <f t="shared" si="53"/>
        <v>664.44748130136986</v>
      </c>
      <c r="AZ153" s="140">
        <f t="shared" si="48"/>
        <v>151709.94240785594</v>
      </c>
      <c r="BA153" s="140">
        <f t="shared" si="46"/>
        <v>30.399557968036561</v>
      </c>
      <c r="BC153" s="122"/>
      <c r="BD153" s="122"/>
      <c r="BE153" s="122"/>
      <c r="BF153" s="122"/>
      <c r="BH153" s="122"/>
      <c r="BI153" s="122"/>
      <c r="BJ153" s="122"/>
      <c r="BK153" s="122"/>
      <c r="BM153" s="122"/>
      <c r="BN153" s="122"/>
      <c r="BO153" s="122"/>
      <c r="BP153" s="122"/>
      <c r="BR153" s="122"/>
      <c r="BS153" s="122"/>
      <c r="BT153" s="122"/>
      <c r="BU153" s="122"/>
      <c r="BV153" s="439"/>
      <c r="BW153" s="120">
        <f t="shared" si="49"/>
        <v>8386431.3099999996</v>
      </c>
      <c r="BX153" s="121">
        <v>4.2500000000000003E-2</v>
      </c>
      <c r="BY153" s="121">
        <f t="shared" si="50"/>
        <v>4.1701090457628751E-2</v>
      </c>
      <c r="BZ153" s="120">
        <f t="shared" si="51"/>
        <v>962.22525907914769</v>
      </c>
      <c r="CA153" s="120">
        <f t="shared" si="52"/>
        <v>30.399557968036561</v>
      </c>
    </row>
    <row r="154" spans="2:79" x14ac:dyDescent="0.25">
      <c r="B154" s="123" t="str">
        <f t="shared" si="42"/>
        <v>5 2025</v>
      </c>
      <c r="C154" s="122">
        <f t="shared" si="43"/>
        <v>45806</v>
      </c>
      <c r="D154" s="122">
        <f t="shared" si="47"/>
        <v>45807</v>
      </c>
      <c r="E154" s="123">
        <f t="shared" si="44"/>
        <v>1</v>
      </c>
      <c r="F154" s="123" t="s">
        <v>7</v>
      </c>
      <c r="G154" s="124">
        <f t="shared" si="55"/>
        <v>2680000</v>
      </c>
      <c r="H154" s="125">
        <f t="shared" si="55"/>
        <v>0.04</v>
      </c>
      <c r="I154" s="124">
        <f t="shared" si="41"/>
        <v>297.77777777777777</v>
      </c>
      <c r="J154" s="124">
        <f t="shared" si="45"/>
        <v>121334.46111111114</v>
      </c>
      <c r="K154" s="9"/>
      <c r="L154" s="11"/>
      <c r="M154" s="293"/>
      <c r="N154" s="97"/>
      <c r="O154" s="305"/>
      <c r="P154" s="304"/>
      <c r="Q154" s="307"/>
      <c r="S154" s="11"/>
      <c r="T154" s="293"/>
      <c r="U154" s="97"/>
      <c r="V154" s="305"/>
      <c r="W154" s="304"/>
      <c r="X154" s="307"/>
      <c r="Z154" s="11"/>
      <c r="AA154" s="293"/>
      <c r="AB154" s="97"/>
      <c r="AC154" s="305"/>
      <c r="AD154" s="304"/>
      <c r="AE154" s="307"/>
      <c r="AG154" s="11"/>
      <c r="AH154" s="293"/>
      <c r="AI154" s="97"/>
      <c r="AJ154" s="305"/>
      <c r="AK154" s="304"/>
      <c r="AL154" s="307"/>
      <c r="AN154" s="9"/>
      <c r="AO154" s="9"/>
      <c r="AP154" s="9"/>
      <c r="AQ154" s="9"/>
      <c r="AR154" s="9"/>
      <c r="AS154" s="9"/>
      <c r="AT154" s="123">
        <v>1</v>
      </c>
      <c r="AU154" s="123" t="s">
        <v>32</v>
      </c>
      <c r="AV154" s="124">
        <v>5694201.2599999998</v>
      </c>
      <c r="AW154" s="139">
        <v>4.2500000000000003E-2</v>
      </c>
      <c r="AX154" s="123"/>
      <c r="AY154" s="140">
        <f t="shared" si="53"/>
        <v>663.02343438356172</v>
      </c>
      <c r="AZ154" s="140">
        <f t="shared" si="48"/>
        <v>152372.9658422395</v>
      </c>
      <c r="BA154" s="140">
        <f t="shared" si="46"/>
        <v>30.334405494672865</v>
      </c>
      <c r="BC154" s="122"/>
      <c r="BD154" s="122"/>
      <c r="BE154" s="122"/>
      <c r="BF154" s="122"/>
      <c r="BH154" s="122"/>
      <c r="BI154" s="122"/>
      <c r="BJ154" s="122"/>
      <c r="BK154" s="122"/>
      <c r="BM154" s="122"/>
      <c r="BN154" s="122"/>
      <c r="BO154" s="122"/>
      <c r="BP154" s="122"/>
      <c r="BR154" s="122"/>
      <c r="BS154" s="122"/>
      <c r="BT154" s="122"/>
      <c r="BU154" s="122"/>
      <c r="BV154" s="439"/>
      <c r="BW154" s="120">
        <f t="shared" si="49"/>
        <v>8374201.2599999998</v>
      </c>
      <c r="BX154" s="121">
        <v>4.2500000000000003E-2</v>
      </c>
      <c r="BY154" s="121">
        <f t="shared" si="50"/>
        <v>4.1699923695170421E-2</v>
      </c>
      <c r="BZ154" s="120">
        <f t="shared" si="51"/>
        <v>960.80121216133944</v>
      </c>
      <c r="CA154" s="120">
        <f t="shared" si="52"/>
        <v>30.334405494672865</v>
      </c>
    </row>
    <row r="155" spans="2:79" x14ac:dyDescent="0.25">
      <c r="B155" s="148" t="str">
        <f t="shared" si="42"/>
        <v>5 2025</v>
      </c>
      <c r="C155" s="149">
        <f t="shared" si="43"/>
        <v>45807</v>
      </c>
      <c r="D155" s="149">
        <f t="shared" si="47"/>
        <v>45808</v>
      </c>
      <c r="E155" s="148">
        <f t="shared" si="44"/>
        <v>1</v>
      </c>
      <c r="F155" s="148" t="s">
        <v>7</v>
      </c>
      <c r="G155" s="150">
        <f t="shared" si="55"/>
        <v>2680000</v>
      </c>
      <c r="H155" s="151">
        <f t="shared" si="55"/>
        <v>0.04</v>
      </c>
      <c r="I155" s="150">
        <f t="shared" si="41"/>
        <v>297.77777777777777</v>
      </c>
      <c r="J155" s="150">
        <f t="shared" si="45"/>
        <v>121632.23888888893</v>
      </c>
      <c r="K155" s="9"/>
      <c r="L155" s="143"/>
      <c r="M155" s="419"/>
      <c r="N155" s="145"/>
      <c r="O155" s="420"/>
      <c r="P155" s="419"/>
      <c r="Q155" s="308"/>
      <c r="R155" s="17"/>
      <c r="S155" s="143"/>
      <c r="T155" s="419"/>
      <c r="U155" s="145"/>
      <c r="V155" s="420"/>
      <c r="W155" s="419"/>
      <c r="X155" s="308"/>
      <c r="Y155" s="17"/>
      <c r="Z155" s="143"/>
      <c r="AA155" s="419"/>
      <c r="AB155" s="145"/>
      <c r="AC155" s="420"/>
      <c r="AD155" s="419"/>
      <c r="AE155" s="308"/>
      <c r="AF155" s="17"/>
      <c r="AG155" s="143"/>
      <c r="AH155" s="419"/>
      <c r="AI155" s="145"/>
      <c r="AJ155" s="420"/>
      <c r="AK155" s="419"/>
      <c r="AL155" s="308"/>
      <c r="AM155" s="17"/>
      <c r="AN155" s="9"/>
      <c r="AO155" s="9"/>
      <c r="AP155" s="9"/>
      <c r="AQ155" s="9"/>
      <c r="AR155" s="9"/>
      <c r="AS155" s="9"/>
      <c r="AT155" s="148">
        <v>1</v>
      </c>
      <c r="AU155" s="148" t="s">
        <v>32</v>
      </c>
      <c r="AV155" s="205">
        <v>5384751.04</v>
      </c>
      <c r="AW155" s="152">
        <v>4.2500000000000003E-2</v>
      </c>
      <c r="AX155" s="152"/>
      <c r="AY155" s="201">
        <f t="shared" si="53"/>
        <v>626.99155945205484</v>
      </c>
      <c r="AZ155" s="153">
        <f t="shared" ref="AZ155" si="56">AZ154+AY155</f>
        <v>152999.95740169156</v>
      </c>
      <c r="BA155" s="153">
        <f t="shared" si="46"/>
        <v>28.685888340943734</v>
      </c>
      <c r="BC155" s="122"/>
      <c r="BD155" s="122"/>
      <c r="BE155" s="122"/>
      <c r="BF155" s="122"/>
      <c r="BH155" s="122"/>
      <c r="BI155" s="122"/>
      <c r="BJ155" s="122"/>
      <c r="BK155" s="122"/>
      <c r="BM155" s="122"/>
      <c r="BN155" s="122"/>
      <c r="BO155" s="122"/>
      <c r="BP155" s="122"/>
      <c r="BR155" s="122"/>
      <c r="BS155" s="122"/>
      <c r="BT155" s="122"/>
      <c r="BU155" s="122"/>
      <c r="BV155" s="439"/>
      <c r="BW155" s="120">
        <f t="shared" si="49"/>
        <v>8064751.04</v>
      </c>
      <c r="BX155" s="173">
        <v>4.2500000000000003E-2</v>
      </c>
      <c r="BY155" s="121">
        <f t="shared" si="50"/>
        <v>4.1669224199635056E-2</v>
      </c>
      <c r="BZ155" s="120">
        <f t="shared" si="51"/>
        <v>924.76933722983267</v>
      </c>
      <c r="CA155" s="120">
        <f t="shared" si="52"/>
        <v>28.685888340943734</v>
      </c>
    </row>
    <row r="156" spans="2:79" x14ac:dyDescent="0.25">
      <c r="B156" s="123" t="str">
        <f t="shared" si="42"/>
        <v>6 2025</v>
      </c>
      <c r="C156" s="122">
        <f t="shared" si="43"/>
        <v>45808</v>
      </c>
      <c r="D156" s="122">
        <f t="shared" si="47"/>
        <v>45809</v>
      </c>
      <c r="E156" s="123">
        <f t="shared" si="44"/>
        <v>1</v>
      </c>
      <c r="F156" s="123" t="s">
        <v>7</v>
      </c>
      <c r="G156" s="124">
        <f t="shared" si="55"/>
        <v>2680000</v>
      </c>
      <c r="H156" s="125">
        <f t="shared" si="55"/>
        <v>0.04</v>
      </c>
      <c r="I156" s="124">
        <f t="shared" si="41"/>
        <v>297.77777777777777</v>
      </c>
      <c r="J156" s="124">
        <f t="shared" si="45"/>
        <v>121930.01666666671</v>
      </c>
      <c r="K156" s="9"/>
      <c r="L156" s="11"/>
      <c r="M156" s="293"/>
      <c r="N156" s="97"/>
      <c r="O156" s="305"/>
      <c r="P156" s="304"/>
      <c r="Q156" s="307"/>
      <c r="S156" s="11"/>
      <c r="T156" s="293"/>
      <c r="U156" s="97"/>
      <c r="V156" s="305"/>
      <c r="W156" s="304"/>
      <c r="X156" s="307"/>
      <c r="Z156" s="11"/>
      <c r="AA156" s="293"/>
      <c r="AB156" s="97"/>
      <c r="AC156" s="305"/>
      <c r="AD156" s="304"/>
      <c r="AE156" s="307"/>
      <c r="AG156" s="11"/>
      <c r="AH156" s="293"/>
      <c r="AI156" s="97"/>
      <c r="AJ156" s="305"/>
      <c r="AK156" s="304"/>
      <c r="AL156" s="307"/>
      <c r="AN156" s="9"/>
      <c r="AO156" s="9"/>
      <c r="AP156" s="9"/>
      <c r="AQ156" s="9"/>
      <c r="AR156" s="9"/>
      <c r="AS156" s="9"/>
      <c r="AT156" s="123">
        <v>1</v>
      </c>
      <c r="AU156" s="123" t="s">
        <v>32</v>
      </c>
      <c r="AV156" s="124">
        <v>5384751.04</v>
      </c>
      <c r="AW156" s="139">
        <v>4.2500000000000003E-2</v>
      </c>
      <c r="AX156" s="123"/>
      <c r="AY156" s="140">
        <f t="shared" si="53"/>
        <v>626.99155945205484</v>
      </c>
      <c r="AZ156" s="140">
        <f t="shared" si="48"/>
        <v>153626.94896114361</v>
      </c>
      <c r="BA156" s="140">
        <f t="shared" si="46"/>
        <v>28.685888340943734</v>
      </c>
      <c r="BC156" s="122"/>
      <c r="BD156" s="122"/>
      <c r="BE156" s="122"/>
      <c r="BF156" s="122"/>
      <c r="BH156" s="122"/>
      <c r="BI156" s="122"/>
      <c r="BJ156" s="122"/>
      <c r="BK156" s="122"/>
      <c r="BM156" s="122"/>
      <c r="BN156" s="122"/>
      <c r="BO156" s="122"/>
      <c r="BP156" s="122"/>
      <c r="BR156" s="122"/>
      <c r="BS156" s="122"/>
      <c r="BT156" s="122"/>
      <c r="BU156" s="122"/>
      <c r="BV156" s="439"/>
      <c r="BW156" s="120">
        <f t="shared" si="49"/>
        <v>8064751.04</v>
      </c>
      <c r="BX156" s="121">
        <v>4.2500000000000003E-2</v>
      </c>
      <c r="BY156" s="121">
        <f t="shared" si="50"/>
        <v>4.1669224199635056E-2</v>
      </c>
      <c r="BZ156" s="120">
        <f t="shared" si="51"/>
        <v>924.76933722983267</v>
      </c>
      <c r="CA156" s="120">
        <f t="shared" si="52"/>
        <v>28.685888340943734</v>
      </c>
    </row>
    <row r="157" spans="2:79" x14ac:dyDescent="0.25">
      <c r="B157" s="123" t="str">
        <f t="shared" si="42"/>
        <v>6 2025</v>
      </c>
      <c r="C157" s="122">
        <f t="shared" si="43"/>
        <v>45809</v>
      </c>
      <c r="D157" s="122">
        <f t="shared" si="47"/>
        <v>45810</v>
      </c>
      <c r="E157" s="123">
        <f t="shared" si="44"/>
        <v>1</v>
      </c>
      <c r="F157" s="123" t="s">
        <v>7</v>
      </c>
      <c r="G157" s="124">
        <f t="shared" si="55"/>
        <v>2680000</v>
      </c>
      <c r="H157" s="125">
        <f t="shared" si="55"/>
        <v>0.04</v>
      </c>
      <c r="I157" s="124">
        <f t="shared" si="41"/>
        <v>297.77777777777777</v>
      </c>
      <c r="J157" s="124">
        <f t="shared" si="45"/>
        <v>122227.79444444449</v>
      </c>
      <c r="K157" s="9"/>
      <c r="L157" s="11"/>
      <c r="M157" s="293"/>
      <c r="N157" s="97"/>
      <c r="O157" s="305"/>
      <c r="P157" s="304"/>
      <c r="Q157" s="307"/>
      <c r="S157" s="11"/>
      <c r="T157" s="293"/>
      <c r="U157" s="97"/>
      <c r="V157" s="305"/>
      <c r="W157" s="304"/>
      <c r="X157" s="307"/>
      <c r="Z157" s="11"/>
      <c r="AA157" s="293"/>
      <c r="AB157" s="97"/>
      <c r="AC157" s="305"/>
      <c r="AD157" s="304"/>
      <c r="AE157" s="307"/>
      <c r="AG157" s="11"/>
      <c r="AH157" s="293"/>
      <c r="AI157" s="97"/>
      <c r="AJ157" s="305"/>
      <c r="AK157" s="304"/>
      <c r="AL157" s="307"/>
      <c r="AN157" s="9"/>
      <c r="AO157" s="9"/>
      <c r="AP157" s="9"/>
      <c r="AQ157" s="9"/>
      <c r="AR157" s="9"/>
      <c r="AS157" s="9"/>
      <c r="AT157" s="123">
        <v>1</v>
      </c>
      <c r="AU157" s="123" t="s">
        <v>32</v>
      </c>
      <c r="AV157" s="124">
        <v>5384751.04</v>
      </c>
      <c r="AW157" s="139">
        <v>4.2500000000000003E-2</v>
      </c>
      <c r="AX157" s="123"/>
      <c r="AY157" s="140">
        <f t="shared" si="53"/>
        <v>626.99155945205484</v>
      </c>
      <c r="AZ157" s="140">
        <f t="shared" si="48"/>
        <v>154253.94052059567</v>
      </c>
      <c r="BA157" s="140">
        <f t="shared" si="46"/>
        <v>28.685888340943734</v>
      </c>
      <c r="BC157" s="122"/>
      <c r="BD157" s="122"/>
      <c r="BE157" s="122"/>
      <c r="BF157" s="122"/>
      <c r="BH157" s="122"/>
      <c r="BI157" s="122"/>
      <c r="BJ157" s="122"/>
      <c r="BK157" s="122"/>
      <c r="BM157" s="122"/>
      <c r="BN157" s="122"/>
      <c r="BO157" s="122"/>
      <c r="BP157" s="122"/>
      <c r="BR157" s="122"/>
      <c r="BS157" s="122"/>
      <c r="BT157" s="122"/>
      <c r="BU157" s="122"/>
      <c r="BV157" s="439"/>
      <c r="BW157" s="120">
        <f t="shared" si="49"/>
        <v>8064751.04</v>
      </c>
      <c r="BX157" s="121">
        <v>4.2500000000000003E-2</v>
      </c>
      <c r="BY157" s="121">
        <f t="shared" si="50"/>
        <v>4.1669224199635056E-2</v>
      </c>
      <c r="BZ157" s="120">
        <f t="shared" si="51"/>
        <v>924.76933722983267</v>
      </c>
      <c r="CA157" s="120">
        <f t="shared" si="52"/>
        <v>28.685888340943734</v>
      </c>
    </row>
    <row r="158" spans="2:79" x14ac:dyDescent="0.25">
      <c r="B158" s="123" t="str">
        <f t="shared" si="42"/>
        <v>6 2025</v>
      </c>
      <c r="C158" s="122">
        <f t="shared" si="43"/>
        <v>45810</v>
      </c>
      <c r="D158" s="122">
        <f t="shared" si="47"/>
        <v>45811</v>
      </c>
      <c r="E158" s="123">
        <f t="shared" si="44"/>
        <v>1</v>
      </c>
      <c r="F158" s="123" t="s">
        <v>7</v>
      </c>
      <c r="G158" s="124">
        <f t="shared" si="55"/>
        <v>2680000</v>
      </c>
      <c r="H158" s="125">
        <f t="shared" si="55"/>
        <v>0.04</v>
      </c>
      <c r="I158" s="124">
        <f t="shared" si="41"/>
        <v>297.77777777777777</v>
      </c>
      <c r="J158" s="124">
        <f t="shared" si="45"/>
        <v>122525.57222222227</v>
      </c>
      <c r="K158" s="9"/>
      <c r="L158" s="11"/>
      <c r="M158" s="293"/>
      <c r="N158" s="97"/>
      <c r="O158" s="305"/>
      <c r="P158" s="304"/>
      <c r="Q158" s="307"/>
      <c r="S158" s="11"/>
      <c r="T158" s="293"/>
      <c r="U158" s="97"/>
      <c r="V158" s="305"/>
      <c r="W158" s="304"/>
      <c r="X158" s="307"/>
      <c r="Z158" s="11"/>
      <c r="AA158" s="293"/>
      <c r="AB158" s="97"/>
      <c r="AC158" s="305"/>
      <c r="AD158" s="304"/>
      <c r="AE158" s="307"/>
      <c r="AG158" s="11"/>
      <c r="AH158" s="293"/>
      <c r="AI158" s="97"/>
      <c r="AJ158" s="305"/>
      <c r="AK158" s="304"/>
      <c r="AL158" s="307"/>
      <c r="AN158" s="9"/>
      <c r="AO158" s="9"/>
      <c r="AP158" s="9"/>
      <c r="AQ158" s="9"/>
      <c r="AR158" s="9"/>
      <c r="AS158" s="9"/>
      <c r="AT158" s="123">
        <v>1</v>
      </c>
      <c r="AU158" s="123" t="s">
        <v>32</v>
      </c>
      <c r="AV158" s="124">
        <v>5376678.0999999996</v>
      </c>
      <c r="AW158" s="139">
        <v>4.2500000000000003E-2</v>
      </c>
      <c r="AX158" s="123"/>
      <c r="AY158" s="140">
        <f t="shared" si="53"/>
        <v>626.05155958904106</v>
      </c>
      <c r="AZ158" s="140">
        <f t="shared" si="48"/>
        <v>154879.99208018472</v>
      </c>
      <c r="BA158" s="140">
        <f t="shared" si="46"/>
        <v>28.642881811263351</v>
      </c>
      <c r="BC158" s="122"/>
      <c r="BD158" s="122"/>
      <c r="BE158" s="122"/>
      <c r="BF158" s="122"/>
      <c r="BH158" s="122"/>
      <c r="BI158" s="122"/>
      <c r="BJ158" s="122"/>
      <c r="BK158" s="122"/>
      <c r="BM158" s="122"/>
      <c r="BN158" s="122"/>
      <c r="BO158" s="122"/>
      <c r="BP158" s="122"/>
      <c r="BR158" s="122"/>
      <c r="BS158" s="122"/>
      <c r="BT158" s="122"/>
      <c r="BU158" s="122"/>
      <c r="BV158" s="439"/>
      <c r="BW158" s="120">
        <f t="shared" si="49"/>
        <v>8056678.0999999996</v>
      </c>
      <c r="BX158" s="121">
        <v>4.2500000000000003E-2</v>
      </c>
      <c r="BY158" s="121">
        <f t="shared" si="50"/>
        <v>4.1668391746965787E-2</v>
      </c>
      <c r="BZ158" s="120">
        <f t="shared" si="51"/>
        <v>923.82933736681889</v>
      </c>
      <c r="CA158" s="120">
        <f t="shared" si="52"/>
        <v>28.642881811263351</v>
      </c>
    </row>
    <row r="159" spans="2:79" x14ac:dyDescent="0.25">
      <c r="B159" s="123" t="str">
        <f t="shared" si="42"/>
        <v>6 2025</v>
      </c>
      <c r="C159" s="122">
        <f t="shared" si="43"/>
        <v>45811</v>
      </c>
      <c r="D159" s="122">
        <f t="shared" si="47"/>
        <v>45812</v>
      </c>
      <c r="E159" s="123">
        <f t="shared" si="44"/>
        <v>1</v>
      </c>
      <c r="F159" s="123" t="s">
        <v>7</v>
      </c>
      <c r="G159" s="124">
        <f t="shared" si="55"/>
        <v>2680000</v>
      </c>
      <c r="H159" s="125">
        <f t="shared" si="55"/>
        <v>0.04</v>
      </c>
      <c r="I159" s="124">
        <f t="shared" si="41"/>
        <v>297.77777777777777</v>
      </c>
      <c r="J159" s="124">
        <f t="shared" si="45"/>
        <v>122823.35000000005</v>
      </c>
      <c r="K159" s="9"/>
      <c r="L159" s="11"/>
      <c r="M159" s="293"/>
      <c r="N159" s="97"/>
      <c r="O159" s="305"/>
      <c r="P159" s="304"/>
      <c r="Q159" s="307"/>
      <c r="S159" s="11"/>
      <c r="T159" s="293"/>
      <c r="U159" s="97"/>
      <c r="V159" s="305"/>
      <c r="W159" s="304"/>
      <c r="X159" s="307"/>
      <c r="Z159" s="11"/>
      <c r="AA159" s="293"/>
      <c r="AB159" s="97"/>
      <c r="AC159" s="305"/>
      <c r="AD159" s="304"/>
      <c r="AE159" s="307"/>
      <c r="AG159" s="11"/>
      <c r="AH159" s="293"/>
      <c r="AI159" s="97"/>
      <c r="AJ159" s="305"/>
      <c r="AK159" s="304"/>
      <c r="AL159" s="307"/>
      <c r="AN159" s="9"/>
      <c r="AO159" s="9"/>
      <c r="AP159" s="9"/>
      <c r="AQ159" s="9"/>
      <c r="AR159" s="9"/>
      <c r="AS159" s="9"/>
      <c r="AT159" s="123">
        <v>1</v>
      </c>
      <c r="AU159" s="123" t="s">
        <v>32</v>
      </c>
      <c r="AV159" s="124">
        <v>5298567.43</v>
      </c>
      <c r="AW159" s="139">
        <v>4.2500000000000003E-2</v>
      </c>
      <c r="AX159" s="123"/>
      <c r="AY159" s="140">
        <f t="shared" si="53"/>
        <v>616.95648157534254</v>
      </c>
      <c r="AZ159" s="140">
        <f t="shared" si="48"/>
        <v>155496.94856176007</v>
      </c>
      <c r="BA159" s="140">
        <f t="shared" si="46"/>
        <v>28.226767130898111</v>
      </c>
      <c r="BC159" s="122"/>
      <c r="BD159" s="122"/>
      <c r="BE159" s="122"/>
      <c r="BF159" s="122"/>
      <c r="BH159" s="122"/>
      <c r="BI159" s="122"/>
      <c r="BJ159" s="122"/>
      <c r="BK159" s="122"/>
      <c r="BM159" s="122"/>
      <c r="BN159" s="122"/>
      <c r="BO159" s="122"/>
      <c r="BP159" s="122"/>
      <c r="BR159" s="122"/>
      <c r="BS159" s="122"/>
      <c r="BT159" s="122"/>
      <c r="BU159" s="122"/>
      <c r="BV159" s="439"/>
      <c r="BW159" s="120">
        <f t="shared" si="49"/>
        <v>7978567.4299999997</v>
      </c>
      <c r="BX159" s="121">
        <v>4.2500000000000003E-2</v>
      </c>
      <c r="BY159" s="121">
        <f t="shared" si="50"/>
        <v>4.1660250250589163E-2</v>
      </c>
      <c r="BZ159" s="120">
        <f t="shared" si="51"/>
        <v>914.73425935312025</v>
      </c>
      <c r="CA159" s="120">
        <f t="shared" si="52"/>
        <v>28.226767130898111</v>
      </c>
    </row>
    <row r="160" spans="2:79" x14ac:dyDescent="0.25">
      <c r="B160" s="123" t="str">
        <f t="shared" si="42"/>
        <v>6 2025</v>
      </c>
      <c r="C160" s="122">
        <f t="shared" si="43"/>
        <v>45812</v>
      </c>
      <c r="D160" s="122">
        <f t="shared" si="47"/>
        <v>45813</v>
      </c>
      <c r="E160" s="123">
        <f t="shared" si="44"/>
        <v>1</v>
      </c>
      <c r="F160" s="123" t="s">
        <v>7</v>
      </c>
      <c r="G160" s="124">
        <f t="shared" si="55"/>
        <v>2680000</v>
      </c>
      <c r="H160" s="125">
        <f t="shared" si="55"/>
        <v>0.04</v>
      </c>
      <c r="I160" s="124">
        <f t="shared" si="41"/>
        <v>297.77777777777777</v>
      </c>
      <c r="J160" s="124">
        <f t="shared" si="45"/>
        <v>123121.12777777783</v>
      </c>
      <c r="K160" s="9"/>
      <c r="L160" s="11"/>
      <c r="M160" s="293"/>
      <c r="N160" s="97"/>
      <c r="O160" s="305"/>
      <c r="P160" s="304"/>
      <c r="Q160" s="307"/>
      <c r="S160" s="11"/>
      <c r="T160" s="293"/>
      <c r="U160" s="97"/>
      <c r="V160" s="305"/>
      <c r="W160" s="304"/>
      <c r="X160" s="307"/>
      <c r="Z160" s="11"/>
      <c r="AA160" s="293"/>
      <c r="AB160" s="97"/>
      <c r="AC160" s="305"/>
      <c r="AD160" s="304"/>
      <c r="AE160" s="307"/>
      <c r="AG160" s="11"/>
      <c r="AH160" s="293"/>
      <c r="AI160" s="97"/>
      <c r="AJ160" s="305"/>
      <c r="AK160" s="304"/>
      <c r="AL160" s="307"/>
      <c r="AN160" s="9"/>
      <c r="AO160" s="9"/>
      <c r="AP160" s="9"/>
      <c r="AQ160" s="9"/>
      <c r="AR160" s="9"/>
      <c r="AS160" s="9"/>
      <c r="AT160" s="123">
        <v>1</v>
      </c>
      <c r="AU160" s="123" t="s">
        <v>32</v>
      </c>
      <c r="AV160" s="124">
        <v>5299184.3899999997</v>
      </c>
      <c r="AW160" s="139">
        <v>4.2500000000000003E-2</v>
      </c>
      <c r="AX160" s="123"/>
      <c r="AY160" s="140">
        <f t="shared" si="53"/>
        <v>617.02831938356167</v>
      </c>
      <c r="AZ160" s="140">
        <f t="shared" si="48"/>
        <v>156113.97688114364</v>
      </c>
      <c r="BA160" s="140">
        <f t="shared" si="46"/>
        <v>28.230053828006135</v>
      </c>
      <c r="BC160" s="122"/>
      <c r="BD160" s="122"/>
      <c r="BE160" s="122"/>
      <c r="BF160" s="122"/>
      <c r="BH160" s="122"/>
      <c r="BI160" s="122"/>
      <c r="BJ160" s="122"/>
      <c r="BK160" s="122"/>
      <c r="BM160" s="122"/>
      <c r="BN160" s="122"/>
      <c r="BO160" s="122"/>
      <c r="BP160" s="122"/>
      <c r="BR160" s="122"/>
      <c r="BS160" s="122"/>
      <c r="BT160" s="122"/>
      <c r="BU160" s="122"/>
      <c r="BV160" s="439"/>
      <c r="BW160" s="120">
        <f t="shared" si="49"/>
        <v>7979184.3899999997</v>
      </c>
      <c r="BX160" s="121">
        <v>4.2500000000000003E-2</v>
      </c>
      <c r="BY160" s="121">
        <f t="shared" si="50"/>
        <v>4.166031518103569E-2</v>
      </c>
      <c r="BZ160" s="120">
        <f t="shared" si="51"/>
        <v>914.80609716133949</v>
      </c>
      <c r="CA160" s="120">
        <f t="shared" si="52"/>
        <v>28.230053828006135</v>
      </c>
    </row>
    <row r="161" spans="2:79" x14ac:dyDescent="0.25">
      <c r="B161" s="123" t="str">
        <f t="shared" si="42"/>
        <v>6 2025</v>
      </c>
      <c r="C161" s="122">
        <f t="shared" si="43"/>
        <v>45813</v>
      </c>
      <c r="D161" s="122">
        <f t="shared" si="47"/>
        <v>45814</v>
      </c>
      <c r="E161" s="123">
        <f t="shared" si="44"/>
        <v>1</v>
      </c>
      <c r="F161" s="123" t="s">
        <v>7</v>
      </c>
      <c r="G161" s="124">
        <f t="shared" si="55"/>
        <v>2680000</v>
      </c>
      <c r="H161" s="125">
        <f t="shared" si="55"/>
        <v>0.04</v>
      </c>
      <c r="I161" s="124">
        <f t="shared" si="41"/>
        <v>297.77777777777777</v>
      </c>
      <c r="J161" s="124">
        <f t="shared" si="45"/>
        <v>123418.90555555561</v>
      </c>
      <c r="K161" s="9"/>
      <c r="L161" s="11"/>
      <c r="M161" s="293"/>
      <c r="N161" s="97"/>
      <c r="O161" s="305"/>
      <c r="P161" s="304"/>
      <c r="Q161" s="307"/>
      <c r="S161" s="11"/>
      <c r="T161" s="293"/>
      <c r="U161" s="97"/>
      <c r="V161" s="305"/>
      <c r="W161" s="304"/>
      <c r="X161" s="307"/>
      <c r="Z161" s="11"/>
      <c r="AA161" s="293"/>
      <c r="AB161" s="97"/>
      <c r="AC161" s="305"/>
      <c r="AD161" s="304"/>
      <c r="AE161" s="307"/>
      <c r="AG161" s="11"/>
      <c r="AH161" s="293"/>
      <c r="AI161" s="97"/>
      <c r="AJ161" s="305"/>
      <c r="AK161" s="304"/>
      <c r="AL161" s="307"/>
      <c r="AN161" s="9"/>
      <c r="AO161" s="9"/>
      <c r="AP161" s="9"/>
      <c r="AQ161" s="9"/>
      <c r="AR161" s="9"/>
      <c r="AS161" s="9"/>
      <c r="AT161" s="123">
        <v>1</v>
      </c>
      <c r="AU161" s="123" t="s">
        <v>32</v>
      </c>
      <c r="AV161" s="124">
        <v>5183567.05</v>
      </c>
      <c r="AW161" s="139">
        <v>4.2500000000000003E-2</v>
      </c>
      <c r="AX161" s="123"/>
      <c r="AY161" s="140">
        <f t="shared" si="53"/>
        <v>603.56602636986304</v>
      </c>
      <c r="AZ161" s="140">
        <f t="shared" si="48"/>
        <v>156717.5429075135</v>
      </c>
      <c r="BA161" s="140">
        <f t="shared" si="46"/>
        <v>27.614131925418633</v>
      </c>
      <c r="BC161" s="122"/>
      <c r="BD161" s="122"/>
      <c r="BE161" s="122"/>
      <c r="BF161" s="122"/>
      <c r="BH161" s="122"/>
      <c r="BI161" s="122"/>
      <c r="BJ161" s="122"/>
      <c r="BK161" s="122"/>
      <c r="BM161" s="122"/>
      <c r="BN161" s="122"/>
      <c r="BO161" s="122"/>
      <c r="BP161" s="122"/>
      <c r="BR161" s="122"/>
      <c r="BS161" s="122"/>
      <c r="BT161" s="122"/>
      <c r="BU161" s="122"/>
      <c r="BV161" s="439"/>
      <c r="BW161" s="120">
        <f t="shared" si="49"/>
        <v>7863567.0499999998</v>
      </c>
      <c r="BX161" s="121">
        <v>4.2500000000000003E-2</v>
      </c>
      <c r="BY161" s="121">
        <f t="shared" si="50"/>
        <v>4.1647969368430585E-2</v>
      </c>
      <c r="BZ161" s="120">
        <f t="shared" si="51"/>
        <v>901.34380414764087</v>
      </c>
      <c r="CA161" s="120">
        <f t="shared" si="52"/>
        <v>27.614131925418633</v>
      </c>
    </row>
    <row r="162" spans="2:79" x14ac:dyDescent="0.25">
      <c r="B162" s="123" t="str">
        <f t="shared" si="42"/>
        <v>6 2025</v>
      </c>
      <c r="C162" s="122">
        <f t="shared" si="43"/>
        <v>45814</v>
      </c>
      <c r="D162" s="122">
        <f t="shared" si="47"/>
        <v>45815</v>
      </c>
      <c r="E162" s="123">
        <f t="shared" si="44"/>
        <v>1</v>
      </c>
      <c r="F162" s="123" t="s">
        <v>7</v>
      </c>
      <c r="G162" s="124">
        <f t="shared" si="55"/>
        <v>2680000</v>
      </c>
      <c r="H162" s="125">
        <f t="shared" si="55"/>
        <v>0.04</v>
      </c>
      <c r="I162" s="124">
        <f t="shared" si="41"/>
        <v>297.77777777777777</v>
      </c>
      <c r="J162" s="124">
        <f t="shared" si="45"/>
        <v>123716.68333333339</v>
      </c>
      <c r="K162" s="9"/>
      <c r="L162" s="11"/>
      <c r="M162" s="293"/>
      <c r="N162" s="97"/>
      <c r="O162" s="305"/>
      <c r="P162" s="304"/>
      <c r="Q162" s="307"/>
      <c r="S162" s="11"/>
      <c r="T162" s="293"/>
      <c r="U162" s="97"/>
      <c r="V162" s="305"/>
      <c r="W162" s="304"/>
      <c r="X162" s="307"/>
      <c r="Z162" s="11"/>
      <c r="AA162" s="293"/>
      <c r="AB162" s="97"/>
      <c r="AC162" s="305"/>
      <c r="AD162" s="304"/>
      <c r="AE162" s="307"/>
      <c r="AG162" s="11"/>
      <c r="AH162" s="293"/>
      <c r="AI162" s="97"/>
      <c r="AJ162" s="305"/>
      <c r="AK162" s="304"/>
      <c r="AL162" s="307"/>
      <c r="AN162" s="9"/>
      <c r="AO162" s="9"/>
      <c r="AP162" s="9"/>
      <c r="AQ162" s="9"/>
      <c r="AR162" s="9"/>
      <c r="AS162" s="9"/>
      <c r="AT162" s="123">
        <v>1</v>
      </c>
      <c r="AU162" s="123" t="s">
        <v>32</v>
      </c>
      <c r="AV162" s="124">
        <v>5183003.68</v>
      </c>
      <c r="AW162" s="139">
        <v>4.2500000000000003E-2</v>
      </c>
      <c r="AX162" s="123"/>
      <c r="AY162" s="140">
        <f t="shared" si="53"/>
        <v>603.50042849315071</v>
      </c>
      <c r="AZ162" s="140">
        <f t="shared" si="48"/>
        <v>157321.04333600667</v>
      </c>
      <c r="BA162" s="140">
        <f t="shared" si="46"/>
        <v>27.611130715372951</v>
      </c>
      <c r="BC162" s="122"/>
      <c r="BD162" s="122"/>
      <c r="BE162" s="122"/>
      <c r="BF162" s="122"/>
      <c r="BH162" s="122"/>
      <c r="BI162" s="122"/>
      <c r="BJ162" s="122"/>
      <c r="BK162" s="122"/>
      <c r="BM162" s="122"/>
      <c r="BN162" s="122"/>
      <c r="BO162" s="122"/>
      <c r="BP162" s="122"/>
      <c r="BR162" s="122"/>
      <c r="BS162" s="122"/>
      <c r="BT162" s="122"/>
      <c r="BU162" s="122"/>
      <c r="BV162" s="439"/>
      <c r="BW162" s="120">
        <f t="shared" si="49"/>
        <v>7863003.6799999997</v>
      </c>
      <c r="BX162" s="121">
        <v>4.2500000000000003E-2</v>
      </c>
      <c r="BY162" s="121">
        <f t="shared" si="50"/>
        <v>4.1647908321976013E-2</v>
      </c>
      <c r="BZ162" s="120">
        <f t="shared" si="51"/>
        <v>901.27820627092842</v>
      </c>
      <c r="CA162" s="120">
        <f t="shared" si="52"/>
        <v>27.611130715372951</v>
      </c>
    </row>
    <row r="163" spans="2:79" x14ac:dyDescent="0.25">
      <c r="B163" s="123" t="str">
        <f t="shared" si="42"/>
        <v>6 2025</v>
      </c>
      <c r="C163" s="122">
        <f t="shared" si="43"/>
        <v>45815</v>
      </c>
      <c r="D163" s="122">
        <f t="shared" si="47"/>
        <v>45816</v>
      </c>
      <c r="E163" s="123">
        <f t="shared" si="44"/>
        <v>1</v>
      </c>
      <c r="F163" s="123" t="s">
        <v>7</v>
      </c>
      <c r="G163" s="124">
        <f t="shared" si="55"/>
        <v>2680000</v>
      </c>
      <c r="H163" s="125">
        <f t="shared" si="55"/>
        <v>0.04</v>
      </c>
      <c r="I163" s="124">
        <f t="shared" si="41"/>
        <v>297.77777777777777</v>
      </c>
      <c r="J163" s="124">
        <f t="shared" si="45"/>
        <v>124014.46111111117</v>
      </c>
      <c r="K163" s="9"/>
      <c r="L163" s="11"/>
      <c r="M163" s="293"/>
      <c r="N163" s="97"/>
      <c r="O163" s="305"/>
      <c r="P163" s="304"/>
      <c r="Q163" s="307"/>
      <c r="S163" s="11"/>
      <c r="T163" s="293"/>
      <c r="U163" s="97"/>
      <c r="V163" s="305"/>
      <c r="W163" s="304"/>
      <c r="X163" s="307"/>
      <c r="Z163" s="11"/>
      <c r="AA163" s="293"/>
      <c r="AB163" s="97"/>
      <c r="AC163" s="305"/>
      <c r="AD163" s="304"/>
      <c r="AE163" s="307"/>
      <c r="AG163" s="11"/>
      <c r="AH163" s="293"/>
      <c r="AI163" s="97"/>
      <c r="AJ163" s="305"/>
      <c r="AK163" s="304"/>
      <c r="AL163" s="307"/>
      <c r="AN163" s="9"/>
      <c r="AO163" s="9"/>
      <c r="AP163" s="9"/>
      <c r="AQ163" s="9"/>
      <c r="AR163" s="9"/>
      <c r="AS163" s="9"/>
      <c r="AT163" s="123">
        <v>1</v>
      </c>
      <c r="AU163" s="123" t="s">
        <v>32</v>
      </c>
      <c r="AV163" s="124">
        <v>5183003.68</v>
      </c>
      <c r="AW163" s="139">
        <v>4.2500000000000003E-2</v>
      </c>
      <c r="AX163" s="123"/>
      <c r="AY163" s="140">
        <f t="shared" si="53"/>
        <v>603.50042849315071</v>
      </c>
      <c r="AZ163" s="140">
        <f t="shared" si="48"/>
        <v>157924.54376449983</v>
      </c>
      <c r="BA163" s="140">
        <f t="shared" si="46"/>
        <v>27.611130715372951</v>
      </c>
      <c r="BC163" s="122"/>
      <c r="BD163" s="122"/>
      <c r="BE163" s="122"/>
      <c r="BF163" s="122"/>
      <c r="BH163" s="122"/>
      <c r="BI163" s="122"/>
      <c r="BJ163" s="122"/>
      <c r="BK163" s="122"/>
      <c r="BM163" s="122"/>
      <c r="BN163" s="122"/>
      <c r="BO163" s="122"/>
      <c r="BP163" s="122"/>
      <c r="BR163" s="122"/>
      <c r="BS163" s="122"/>
      <c r="BT163" s="122"/>
      <c r="BU163" s="122"/>
      <c r="BV163" s="439"/>
      <c r="BW163" s="120">
        <f t="shared" si="49"/>
        <v>7863003.6799999997</v>
      </c>
      <c r="BX163" s="121">
        <v>4.2500000000000003E-2</v>
      </c>
      <c r="BY163" s="121">
        <f t="shared" si="50"/>
        <v>4.1647908321976013E-2</v>
      </c>
      <c r="BZ163" s="120">
        <f t="shared" si="51"/>
        <v>901.27820627092842</v>
      </c>
      <c r="CA163" s="120">
        <f t="shared" si="52"/>
        <v>27.611130715372951</v>
      </c>
    </row>
    <row r="164" spans="2:79" x14ac:dyDescent="0.25">
      <c r="B164" s="123" t="str">
        <f t="shared" si="42"/>
        <v>6 2025</v>
      </c>
      <c r="C164" s="122">
        <f t="shared" si="43"/>
        <v>45816</v>
      </c>
      <c r="D164" s="122">
        <f t="shared" si="47"/>
        <v>45817</v>
      </c>
      <c r="E164" s="123">
        <f t="shared" si="44"/>
        <v>1</v>
      </c>
      <c r="F164" s="123" t="s">
        <v>7</v>
      </c>
      <c r="G164" s="124">
        <f t="shared" si="55"/>
        <v>2680000</v>
      </c>
      <c r="H164" s="125">
        <f t="shared" si="55"/>
        <v>0.04</v>
      </c>
      <c r="I164" s="124">
        <f t="shared" si="41"/>
        <v>297.77777777777777</v>
      </c>
      <c r="J164" s="124">
        <f t="shared" si="45"/>
        <v>124312.23888888895</v>
      </c>
      <c r="K164" s="9"/>
      <c r="L164" s="11"/>
      <c r="M164" s="293"/>
      <c r="N164" s="97"/>
      <c r="O164" s="305"/>
      <c r="P164" s="304"/>
      <c r="Q164" s="307"/>
      <c r="S164" s="11"/>
      <c r="T164" s="293"/>
      <c r="U164" s="97"/>
      <c r="V164" s="305"/>
      <c r="W164" s="304"/>
      <c r="X164" s="307"/>
      <c r="Z164" s="11"/>
      <c r="AA164" s="293"/>
      <c r="AB164" s="97"/>
      <c r="AC164" s="305"/>
      <c r="AD164" s="304"/>
      <c r="AE164" s="307"/>
      <c r="AG164" s="11"/>
      <c r="AH164" s="293"/>
      <c r="AI164" s="97"/>
      <c r="AJ164" s="305"/>
      <c r="AK164" s="304"/>
      <c r="AL164" s="307"/>
      <c r="AN164" s="9"/>
      <c r="AO164" s="9"/>
      <c r="AP164" s="9"/>
      <c r="AQ164" s="9"/>
      <c r="AR164" s="9"/>
      <c r="AS164" s="9"/>
      <c r="AT164" s="123">
        <v>1</v>
      </c>
      <c r="AU164" s="123" t="s">
        <v>32</v>
      </c>
      <c r="AV164" s="124">
        <v>5183003.68</v>
      </c>
      <c r="AW164" s="139">
        <v>4.2500000000000003E-2</v>
      </c>
      <c r="AX164" s="123"/>
      <c r="AY164" s="140">
        <f t="shared" si="53"/>
        <v>603.50042849315071</v>
      </c>
      <c r="AZ164" s="140">
        <f t="shared" si="48"/>
        <v>158528.04419299299</v>
      </c>
      <c r="BA164" s="140">
        <f t="shared" si="46"/>
        <v>27.611130715372951</v>
      </c>
      <c r="BC164" s="122"/>
      <c r="BD164" s="122"/>
      <c r="BE164" s="122"/>
      <c r="BF164" s="122"/>
      <c r="BH164" s="122"/>
      <c r="BI164" s="122"/>
      <c r="BJ164" s="122"/>
      <c r="BK164" s="122"/>
      <c r="BM164" s="122"/>
      <c r="BN164" s="122"/>
      <c r="BO164" s="122"/>
      <c r="BP164" s="122"/>
      <c r="BR164" s="122"/>
      <c r="BS164" s="122"/>
      <c r="BT164" s="122"/>
      <c r="BU164" s="122"/>
      <c r="BV164" s="439"/>
      <c r="BW164" s="120">
        <f t="shared" si="49"/>
        <v>7863003.6799999997</v>
      </c>
      <c r="BX164" s="121">
        <v>4.2500000000000003E-2</v>
      </c>
      <c r="BY164" s="121">
        <f t="shared" si="50"/>
        <v>4.1647908321976013E-2</v>
      </c>
      <c r="BZ164" s="120">
        <f t="shared" si="51"/>
        <v>901.27820627092842</v>
      </c>
      <c r="CA164" s="120">
        <f t="shared" si="52"/>
        <v>27.611130715372951</v>
      </c>
    </row>
    <row r="165" spans="2:79" x14ac:dyDescent="0.25">
      <c r="B165" s="123" t="str">
        <f t="shared" si="42"/>
        <v>6 2025</v>
      </c>
      <c r="C165" s="122">
        <f t="shared" si="43"/>
        <v>45817</v>
      </c>
      <c r="D165" s="122">
        <f t="shared" si="47"/>
        <v>45818</v>
      </c>
      <c r="E165" s="123">
        <f t="shared" si="44"/>
        <v>1</v>
      </c>
      <c r="F165" s="123" t="s">
        <v>7</v>
      </c>
      <c r="G165" s="124">
        <f t="shared" si="55"/>
        <v>2680000</v>
      </c>
      <c r="H165" s="125">
        <f t="shared" si="55"/>
        <v>0.04</v>
      </c>
      <c r="I165" s="124">
        <f t="shared" si="41"/>
        <v>297.77777777777777</v>
      </c>
      <c r="J165" s="124">
        <f t="shared" si="45"/>
        <v>124610.01666666674</v>
      </c>
      <c r="K165" s="9"/>
      <c r="L165" s="11"/>
      <c r="M165" s="293"/>
      <c r="N165" s="97"/>
      <c r="O165" s="305"/>
      <c r="P165" s="304"/>
      <c r="Q165" s="307"/>
      <c r="S165" s="11"/>
      <c r="T165" s="293"/>
      <c r="U165" s="97"/>
      <c r="V165" s="305"/>
      <c r="W165" s="304"/>
      <c r="X165" s="307"/>
      <c r="Z165" s="11"/>
      <c r="AA165" s="293"/>
      <c r="AB165" s="97"/>
      <c r="AC165" s="305"/>
      <c r="AD165" s="304"/>
      <c r="AE165" s="307"/>
      <c r="AG165" s="11"/>
      <c r="AH165" s="293"/>
      <c r="AI165" s="97"/>
      <c r="AJ165" s="305"/>
      <c r="AK165" s="304"/>
      <c r="AL165" s="307"/>
      <c r="AN165" s="9"/>
      <c r="AO165" s="9"/>
      <c r="AP165" s="9"/>
      <c r="AQ165" s="9"/>
      <c r="AR165" s="9"/>
      <c r="AS165" s="9"/>
      <c r="AT165" s="123">
        <v>1</v>
      </c>
      <c r="AU165" s="123" t="s">
        <v>32</v>
      </c>
      <c r="AV165" s="124">
        <v>5177794.6100000003</v>
      </c>
      <c r="AW165" s="139">
        <v>4.2500000000000003E-2</v>
      </c>
      <c r="AX165" s="123"/>
      <c r="AY165" s="140">
        <f t="shared" si="53"/>
        <v>602.89389294520549</v>
      </c>
      <c r="AZ165" s="140">
        <f t="shared" si="48"/>
        <v>159130.93808593819</v>
      </c>
      <c r="BA165" s="140">
        <f t="shared" si="46"/>
        <v>27.583380722983293</v>
      </c>
      <c r="BC165" s="122"/>
      <c r="BD165" s="122"/>
      <c r="BE165" s="122"/>
      <c r="BF165" s="122"/>
      <c r="BH165" s="122"/>
      <c r="BI165" s="122"/>
      <c r="BJ165" s="122"/>
      <c r="BK165" s="122"/>
      <c r="BM165" s="122"/>
      <c r="BN165" s="122"/>
      <c r="BO165" s="122"/>
      <c r="BP165" s="122"/>
      <c r="BR165" s="122"/>
      <c r="BS165" s="122"/>
      <c r="BT165" s="122"/>
      <c r="BU165" s="122"/>
      <c r="BV165" s="439"/>
      <c r="BW165" s="120">
        <f t="shared" si="49"/>
        <v>7857794.6100000003</v>
      </c>
      <c r="BX165" s="121">
        <v>4.2500000000000003E-2</v>
      </c>
      <c r="BY165" s="121">
        <f t="shared" si="50"/>
        <v>4.1647343455443159E-2</v>
      </c>
      <c r="BZ165" s="120">
        <f t="shared" si="51"/>
        <v>900.67167072298321</v>
      </c>
      <c r="CA165" s="120">
        <f t="shared" si="52"/>
        <v>27.583380722983293</v>
      </c>
    </row>
    <row r="166" spans="2:79" x14ac:dyDescent="0.25">
      <c r="B166" s="123" t="str">
        <f t="shared" si="42"/>
        <v>6 2025</v>
      </c>
      <c r="C166" s="122">
        <f t="shared" si="43"/>
        <v>45818</v>
      </c>
      <c r="D166" s="122">
        <f t="shared" si="47"/>
        <v>45819</v>
      </c>
      <c r="E166" s="123">
        <f t="shared" si="44"/>
        <v>1</v>
      </c>
      <c r="F166" s="123" t="s">
        <v>7</v>
      </c>
      <c r="G166" s="124">
        <f t="shared" si="55"/>
        <v>2680000</v>
      </c>
      <c r="H166" s="125">
        <f t="shared" si="55"/>
        <v>0.04</v>
      </c>
      <c r="I166" s="124">
        <f t="shared" si="41"/>
        <v>297.77777777777777</v>
      </c>
      <c r="J166" s="124">
        <f t="shared" si="45"/>
        <v>124907.79444444452</v>
      </c>
      <c r="K166" s="9"/>
      <c r="L166" s="11"/>
      <c r="M166" s="293"/>
      <c r="N166" s="97"/>
      <c r="O166" s="305"/>
      <c r="P166" s="304"/>
      <c r="Q166" s="307"/>
      <c r="S166" s="11"/>
      <c r="T166" s="293"/>
      <c r="U166" s="97"/>
      <c r="V166" s="305"/>
      <c r="W166" s="304"/>
      <c r="X166" s="307"/>
      <c r="Z166" s="11"/>
      <c r="AA166" s="293"/>
      <c r="AB166" s="97"/>
      <c r="AC166" s="305"/>
      <c r="AD166" s="304"/>
      <c r="AE166" s="307"/>
      <c r="AG166" s="11"/>
      <c r="AH166" s="293"/>
      <c r="AI166" s="97"/>
      <c r="AJ166" s="305"/>
      <c r="AK166" s="304"/>
      <c r="AL166" s="307"/>
      <c r="AN166" s="9"/>
      <c r="AO166" s="9"/>
      <c r="AP166" s="9"/>
      <c r="AQ166" s="9"/>
      <c r="AR166" s="9"/>
      <c r="AS166" s="9"/>
      <c r="AT166" s="123">
        <v>1</v>
      </c>
      <c r="AU166" s="123" t="s">
        <v>32</v>
      </c>
      <c r="AV166" s="124">
        <v>5137005.58</v>
      </c>
      <c r="AW166" s="139">
        <v>4.2500000000000003E-2</v>
      </c>
      <c r="AX166" s="123"/>
      <c r="AY166" s="140">
        <f t="shared" si="53"/>
        <v>598.14448534246583</v>
      </c>
      <c r="AZ166" s="140">
        <f t="shared" si="48"/>
        <v>159729.08257128065</v>
      </c>
      <c r="BA166" s="140">
        <f t="shared" si="46"/>
        <v>27.366087564687973</v>
      </c>
      <c r="BC166" s="122"/>
      <c r="BD166" s="122"/>
      <c r="BE166" s="122"/>
      <c r="BF166" s="122"/>
      <c r="BH166" s="122"/>
      <c r="BI166" s="122"/>
      <c r="BJ166" s="122"/>
      <c r="BK166" s="122"/>
      <c r="BM166" s="122"/>
      <c r="BN166" s="122"/>
      <c r="BO166" s="122"/>
      <c r="BP166" s="122"/>
      <c r="BR166" s="122"/>
      <c r="BS166" s="122"/>
      <c r="BT166" s="122"/>
      <c r="BU166" s="122"/>
      <c r="BV166" s="439"/>
      <c r="BW166" s="120">
        <f t="shared" si="49"/>
        <v>7817005.5800000001</v>
      </c>
      <c r="BX166" s="121">
        <v>4.2500000000000003E-2</v>
      </c>
      <c r="BY166" s="121">
        <f t="shared" si="50"/>
        <v>4.1642894305059464E-2</v>
      </c>
      <c r="BZ166" s="120">
        <f t="shared" si="51"/>
        <v>895.92226312024354</v>
      </c>
      <c r="CA166" s="120">
        <f t="shared" si="52"/>
        <v>27.366087564687973</v>
      </c>
    </row>
    <row r="167" spans="2:79" x14ac:dyDescent="0.25">
      <c r="B167" s="123" t="str">
        <f t="shared" si="42"/>
        <v>6 2025</v>
      </c>
      <c r="C167" s="122">
        <f t="shared" si="43"/>
        <v>45819</v>
      </c>
      <c r="D167" s="122">
        <f t="shared" si="47"/>
        <v>45820</v>
      </c>
      <c r="E167" s="123">
        <f t="shared" si="44"/>
        <v>1</v>
      </c>
      <c r="F167" s="123" t="s">
        <v>7</v>
      </c>
      <c r="G167" s="124">
        <f t="shared" si="55"/>
        <v>2680000</v>
      </c>
      <c r="H167" s="125">
        <f t="shared" si="55"/>
        <v>0.04</v>
      </c>
      <c r="I167" s="124">
        <f t="shared" si="41"/>
        <v>297.77777777777777</v>
      </c>
      <c r="J167" s="124">
        <f t="shared" si="45"/>
        <v>125205.5722222223</v>
      </c>
      <c r="K167" s="9"/>
      <c r="L167" s="11"/>
      <c r="M167" s="293"/>
      <c r="N167" s="97"/>
      <c r="O167" s="305"/>
      <c r="P167" s="304"/>
      <c r="Q167" s="307"/>
      <c r="S167" s="11"/>
      <c r="T167" s="293"/>
      <c r="U167" s="97"/>
      <c r="V167" s="305"/>
      <c r="W167" s="304"/>
      <c r="X167" s="307"/>
      <c r="Z167" s="11"/>
      <c r="AA167" s="293"/>
      <c r="AB167" s="97"/>
      <c r="AC167" s="305"/>
      <c r="AD167" s="304"/>
      <c r="AE167" s="307"/>
      <c r="AG167" s="11"/>
      <c r="AH167" s="293"/>
      <c r="AI167" s="97"/>
      <c r="AJ167" s="305"/>
      <c r="AK167" s="304"/>
      <c r="AL167" s="307"/>
      <c r="AN167" s="9"/>
      <c r="AO167" s="9"/>
      <c r="AP167" s="9"/>
      <c r="AQ167" s="9"/>
      <c r="AR167" s="9"/>
      <c r="AS167" s="9"/>
      <c r="AT167" s="123">
        <v>1</v>
      </c>
      <c r="AU167" s="123" t="s">
        <v>32</v>
      </c>
      <c r="AV167" s="124">
        <v>5138304.82</v>
      </c>
      <c r="AW167" s="139">
        <v>4.2500000000000003E-2</v>
      </c>
      <c r="AX167" s="123"/>
      <c r="AY167" s="140">
        <f t="shared" si="53"/>
        <v>598.29576671232883</v>
      </c>
      <c r="AZ167" s="140">
        <f t="shared" si="48"/>
        <v>160327.378337993</v>
      </c>
      <c r="BA167" s="140">
        <f t="shared" si="46"/>
        <v>27.373008934550967</v>
      </c>
      <c r="BC167" s="122"/>
      <c r="BD167" s="122"/>
      <c r="BE167" s="122"/>
      <c r="BF167" s="122"/>
      <c r="BH167" s="122"/>
      <c r="BI167" s="122"/>
      <c r="BJ167" s="122"/>
      <c r="BK167" s="122"/>
      <c r="BM167" s="122"/>
      <c r="BN167" s="122"/>
      <c r="BO167" s="122"/>
      <c r="BP167" s="122"/>
      <c r="BR167" s="122"/>
      <c r="BS167" s="122"/>
      <c r="BT167" s="122"/>
      <c r="BU167" s="122"/>
      <c r="BV167" s="439"/>
      <c r="BW167" s="120">
        <f t="shared" si="49"/>
        <v>7818304.8200000003</v>
      </c>
      <c r="BX167" s="121">
        <v>4.2500000000000003E-2</v>
      </c>
      <c r="BY167" s="121">
        <f t="shared" si="50"/>
        <v>4.164303673823759E-2</v>
      </c>
      <c r="BZ167" s="120">
        <f t="shared" si="51"/>
        <v>896.07354449010654</v>
      </c>
      <c r="CA167" s="120">
        <f t="shared" si="52"/>
        <v>27.373008934550967</v>
      </c>
    </row>
    <row r="168" spans="2:79" x14ac:dyDescent="0.25">
      <c r="B168" s="123" t="str">
        <f t="shared" si="42"/>
        <v>6 2025</v>
      </c>
      <c r="C168" s="122">
        <f t="shared" si="43"/>
        <v>45820</v>
      </c>
      <c r="D168" s="122">
        <f t="shared" si="47"/>
        <v>45821</v>
      </c>
      <c r="E168" s="123">
        <f t="shared" si="44"/>
        <v>1</v>
      </c>
      <c r="F168" s="123" t="s">
        <v>7</v>
      </c>
      <c r="G168" s="126">
        <f>G167-560000</f>
        <v>2120000</v>
      </c>
      <c r="H168" s="125">
        <f t="shared" ref="G168:H183" si="57">H167</f>
        <v>0.04</v>
      </c>
      <c r="I168" s="124">
        <f t="shared" si="41"/>
        <v>235.55555555555554</v>
      </c>
      <c r="J168" s="124">
        <f t="shared" si="45"/>
        <v>125441.12777777786</v>
      </c>
      <c r="K168" s="9"/>
      <c r="L168" s="11"/>
      <c r="M168" s="293"/>
      <c r="N168" s="97"/>
      <c r="O168" s="305"/>
      <c r="P168" s="304"/>
      <c r="Q168" s="307"/>
      <c r="S168" s="11"/>
      <c r="T168" s="293"/>
      <c r="U168" s="97"/>
      <c r="V168" s="305"/>
      <c r="W168" s="304"/>
      <c r="X168" s="307"/>
      <c r="Z168" s="11"/>
      <c r="AA168" s="293"/>
      <c r="AB168" s="97"/>
      <c r="AC168" s="305"/>
      <c r="AD168" s="304"/>
      <c r="AE168" s="307"/>
      <c r="AG168" s="11"/>
      <c r="AH168" s="293"/>
      <c r="AI168" s="97"/>
      <c r="AJ168" s="305"/>
      <c r="AK168" s="304"/>
      <c r="AL168" s="307"/>
      <c r="AN168" s="9"/>
      <c r="AO168" s="9"/>
      <c r="AP168" s="9"/>
      <c r="AQ168" s="9"/>
      <c r="AR168" s="9"/>
      <c r="AS168" s="9"/>
      <c r="AT168" s="123">
        <v>1</v>
      </c>
      <c r="AU168" s="123" t="s">
        <v>32</v>
      </c>
      <c r="AV168" s="124">
        <v>5136419.78</v>
      </c>
      <c r="AW168" s="139">
        <v>4.2500000000000003E-2</v>
      </c>
      <c r="AX168" s="123"/>
      <c r="AY168" s="140">
        <f t="shared" si="53"/>
        <v>598.07627575342474</v>
      </c>
      <c r="AZ168" s="140">
        <f t="shared" si="48"/>
        <v>160925.45461374641</v>
      </c>
      <c r="BA168" s="140">
        <f t="shared" si="46"/>
        <v>27.362966864535792</v>
      </c>
      <c r="BC168" s="122"/>
      <c r="BD168" s="122"/>
      <c r="BE168" s="122"/>
      <c r="BF168" s="122"/>
      <c r="BH168" s="122"/>
      <c r="BI168" s="122"/>
      <c r="BJ168" s="122"/>
      <c r="BK168" s="122"/>
      <c r="BM168" s="122"/>
      <c r="BN168" s="122"/>
      <c r="BO168" s="122"/>
      <c r="BP168" s="122"/>
      <c r="BR168" s="122"/>
      <c r="BS168" s="122"/>
      <c r="BT168" s="122"/>
      <c r="BU168" s="122"/>
      <c r="BV168" s="439"/>
      <c r="BW168" s="120">
        <f t="shared" si="49"/>
        <v>7256419.7800000003</v>
      </c>
      <c r="BX168" s="121">
        <v>4.2500000000000003E-2</v>
      </c>
      <c r="BY168" s="121">
        <f t="shared" si="50"/>
        <v>4.1769612266009233E-2</v>
      </c>
      <c r="BZ168" s="120">
        <f t="shared" si="51"/>
        <v>833.63183130898028</v>
      </c>
      <c r="CA168" s="120">
        <f t="shared" si="52"/>
        <v>27.362966864535792</v>
      </c>
    </row>
    <row r="169" spans="2:79" x14ac:dyDescent="0.25">
      <c r="B169" s="123" t="str">
        <f t="shared" si="42"/>
        <v>6 2025</v>
      </c>
      <c r="C169" s="122">
        <f t="shared" si="43"/>
        <v>45821</v>
      </c>
      <c r="D169" s="122">
        <f t="shared" si="47"/>
        <v>45822</v>
      </c>
      <c r="E169" s="123">
        <f t="shared" si="44"/>
        <v>1</v>
      </c>
      <c r="F169" s="123" t="s">
        <v>7</v>
      </c>
      <c r="G169" s="124">
        <f t="shared" si="57"/>
        <v>2120000</v>
      </c>
      <c r="H169" s="125">
        <f t="shared" si="57"/>
        <v>0.04</v>
      </c>
      <c r="I169" s="124">
        <f t="shared" si="41"/>
        <v>235.55555555555554</v>
      </c>
      <c r="J169" s="124">
        <f t="shared" si="45"/>
        <v>125676.68333333342</v>
      </c>
      <c r="K169" s="9"/>
      <c r="L169" s="11"/>
      <c r="M169" s="293"/>
      <c r="N169" s="97"/>
      <c r="O169" s="305"/>
      <c r="P169" s="304"/>
      <c r="Q169" s="307"/>
      <c r="S169" s="11"/>
      <c r="T169" s="293"/>
      <c r="U169" s="97"/>
      <c r="V169" s="305"/>
      <c r="W169" s="304"/>
      <c r="X169" s="307"/>
      <c r="Z169" s="11"/>
      <c r="AA169" s="293"/>
      <c r="AB169" s="97"/>
      <c r="AC169" s="305"/>
      <c r="AD169" s="304"/>
      <c r="AE169" s="307"/>
      <c r="AG169" s="11"/>
      <c r="AH169" s="293"/>
      <c r="AI169" s="97"/>
      <c r="AJ169" s="305"/>
      <c r="AK169" s="304"/>
      <c r="AL169" s="307"/>
      <c r="AN169" s="9"/>
      <c r="AO169" s="9"/>
      <c r="AP169" s="9"/>
      <c r="AQ169" s="9"/>
      <c r="AR169" s="9"/>
      <c r="AS169" s="9"/>
      <c r="AT169" s="123">
        <v>1</v>
      </c>
      <c r="AU169" s="123" t="s">
        <v>32</v>
      </c>
      <c r="AV169" s="124">
        <v>4827189.12</v>
      </c>
      <c r="AW169" s="139">
        <v>4.2500000000000003E-2</v>
      </c>
      <c r="AX169" s="123"/>
      <c r="AY169" s="140">
        <f t="shared" si="53"/>
        <v>562.0699660273973</v>
      </c>
      <c r="AZ169" s="140">
        <f t="shared" si="48"/>
        <v>161487.5245797738</v>
      </c>
      <c r="BA169" s="140">
        <f t="shared" si="46"/>
        <v>25.715619360730557</v>
      </c>
      <c r="BC169" s="122"/>
      <c r="BD169" s="122"/>
      <c r="BE169" s="122"/>
      <c r="BF169" s="122"/>
      <c r="BH169" s="122"/>
      <c r="BI169" s="122"/>
      <c r="BJ169" s="122"/>
      <c r="BK169" s="122"/>
      <c r="BM169" s="122"/>
      <c r="BN169" s="122"/>
      <c r="BO169" s="122"/>
      <c r="BP169" s="122"/>
      <c r="BR169" s="122"/>
      <c r="BS169" s="122"/>
      <c r="BT169" s="122"/>
      <c r="BU169" s="122"/>
      <c r="BV169" s="439"/>
      <c r="BW169" s="120">
        <f t="shared" si="49"/>
        <v>6947189.1200000001</v>
      </c>
      <c r="BX169" s="121">
        <v>4.2500000000000003E-2</v>
      </c>
      <c r="BY169" s="121">
        <f t="shared" si="50"/>
        <v>4.1737101522867429E-2</v>
      </c>
      <c r="BZ169" s="120">
        <f t="shared" si="51"/>
        <v>797.62552158295284</v>
      </c>
      <c r="CA169" s="120">
        <f t="shared" si="52"/>
        <v>25.715619360730557</v>
      </c>
    </row>
    <row r="170" spans="2:79" x14ac:dyDescent="0.25">
      <c r="B170" s="123" t="str">
        <f t="shared" si="42"/>
        <v>6 2025</v>
      </c>
      <c r="C170" s="122">
        <f t="shared" si="43"/>
        <v>45822</v>
      </c>
      <c r="D170" s="122">
        <f t="shared" si="47"/>
        <v>45823</v>
      </c>
      <c r="E170" s="123">
        <f t="shared" si="44"/>
        <v>1</v>
      </c>
      <c r="F170" s="123" t="s">
        <v>7</v>
      </c>
      <c r="G170" s="124">
        <f t="shared" si="57"/>
        <v>2120000</v>
      </c>
      <c r="H170" s="125">
        <f t="shared" si="57"/>
        <v>0.04</v>
      </c>
      <c r="I170" s="124">
        <f t="shared" si="41"/>
        <v>235.55555555555554</v>
      </c>
      <c r="J170" s="124">
        <f t="shared" si="45"/>
        <v>125912.23888888898</v>
      </c>
      <c r="K170" s="9"/>
      <c r="L170" s="11"/>
      <c r="M170" s="293"/>
      <c r="N170" s="97"/>
      <c r="O170" s="305"/>
      <c r="P170" s="304"/>
      <c r="Q170" s="307"/>
      <c r="S170" s="11"/>
      <c r="T170" s="293"/>
      <c r="U170" s="97"/>
      <c r="V170" s="305"/>
      <c r="W170" s="304"/>
      <c r="X170" s="307"/>
      <c r="Z170" s="11"/>
      <c r="AA170" s="293"/>
      <c r="AB170" s="97"/>
      <c r="AC170" s="305"/>
      <c r="AD170" s="304"/>
      <c r="AE170" s="307"/>
      <c r="AG170" s="11"/>
      <c r="AH170" s="293"/>
      <c r="AI170" s="97"/>
      <c r="AJ170" s="305"/>
      <c r="AK170" s="304"/>
      <c r="AL170" s="307"/>
      <c r="AN170" s="9"/>
      <c r="AO170" s="9"/>
      <c r="AP170" s="9"/>
      <c r="AQ170" s="9"/>
      <c r="AR170" s="9"/>
      <c r="AS170" s="9"/>
      <c r="AT170" s="123">
        <v>1</v>
      </c>
      <c r="AU170" s="123" t="s">
        <v>32</v>
      </c>
      <c r="AV170" s="124">
        <v>4827189.12</v>
      </c>
      <c r="AW170" s="139">
        <v>4.2500000000000003E-2</v>
      </c>
      <c r="AX170" s="123"/>
      <c r="AY170" s="140">
        <f t="shared" si="53"/>
        <v>562.0699660273973</v>
      </c>
      <c r="AZ170" s="140">
        <f t="shared" si="48"/>
        <v>162049.5945458012</v>
      </c>
      <c r="BA170" s="140">
        <f t="shared" si="46"/>
        <v>25.715619360730557</v>
      </c>
      <c r="BC170" s="122"/>
      <c r="BD170" s="122"/>
      <c r="BE170" s="122"/>
      <c r="BF170" s="122"/>
      <c r="BH170" s="122"/>
      <c r="BI170" s="122"/>
      <c r="BJ170" s="122"/>
      <c r="BK170" s="122"/>
      <c r="BM170" s="122"/>
      <c r="BN170" s="122"/>
      <c r="BO170" s="122"/>
      <c r="BP170" s="122"/>
      <c r="BR170" s="122"/>
      <c r="BS170" s="122"/>
      <c r="BT170" s="122"/>
      <c r="BU170" s="122"/>
      <c r="BV170" s="439"/>
      <c r="BW170" s="120">
        <f t="shared" si="49"/>
        <v>6947189.1200000001</v>
      </c>
      <c r="BX170" s="121">
        <v>4.2500000000000003E-2</v>
      </c>
      <c r="BY170" s="121">
        <f t="shared" si="50"/>
        <v>4.1737101522867429E-2</v>
      </c>
      <c r="BZ170" s="120">
        <f t="shared" si="51"/>
        <v>797.62552158295284</v>
      </c>
      <c r="CA170" s="120">
        <f t="shared" si="52"/>
        <v>25.715619360730557</v>
      </c>
    </row>
    <row r="171" spans="2:79" x14ac:dyDescent="0.25">
      <c r="B171" s="123" t="str">
        <f t="shared" si="42"/>
        <v>6 2025</v>
      </c>
      <c r="C171" s="122">
        <f t="shared" si="43"/>
        <v>45823</v>
      </c>
      <c r="D171" s="122">
        <f t="shared" si="47"/>
        <v>45824</v>
      </c>
      <c r="E171" s="123">
        <f t="shared" si="44"/>
        <v>1</v>
      </c>
      <c r="F171" s="123" t="s">
        <v>7</v>
      </c>
      <c r="G171" s="124">
        <f t="shared" si="57"/>
        <v>2120000</v>
      </c>
      <c r="H171" s="125">
        <f t="shared" si="57"/>
        <v>0.04</v>
      </c>
      <c r="I171" s="124">
        <f t="shared" si="41"/>
        <v>235.55555555555554</v>
      </c>
      <c r="J171" s="124">
        <f t="shared" si="45"/>
        <v>126147.79444444455</v>
      </c>
      <c r="K171" s="9"/>
      <c r="L171" s="11"/>
      <c r="M171" s="293"/>
      <c r="N171" s="97"/>
      <c r="O171" s="305"/>
      <c r="P171" s="304"/>
      <c r="Q171" s="307"/>
      <c r="S171" s="11"/>
      <c r="T171" s="293"/>
      <c r="U171" s="97"/>
      <c r="V171" s="305"/>
      <c r="W171" s="304"/>
      <c r="X171" s="307"/>
      <c r="Z171" s="11"/>
      <c r="AA171" s="293"/>
      <c r="AB171" s="97"/>
      <c r="AC171" s="305"/>
      <c r="AD171" s="304"/>
      <c r="AE171" s="307"/>
      <c r="AG171" s="11"/>
      <c r="AH171" s="293"/>
      <c r="AI171" s="97"/>
      <c r="AJ171" s="305"/>
      <c r="AK171" s="304"/>
      <c r="AL171" s="307"/>
      <c r="AN171" s="9"/>
      <c r="AO171" s="9"/>
      <c r="AP171" s="9"/>
      <c r="AQ171" s="9"/>
      <c r="AR171" s="9"/>
      <c r="AS171" s="9"/>
      <c r="AT171" s="123">
        <v>1</v>
      </c>
      <c r="AU171" s="123" t="s">
        <v>32</v>
      </c>
      <c r="AV171" s="124">
        <v>4827189.12</v>
      </c>
      <c r="AW171" s="139">
        <v>4.2500000000000003E-2</v>
      </c>
      <c r="AX171" s="123"/>
      <c r="AY171" s="140">
        <f t="shared" si="53"/>
        <v>562.0699660273973</v>
      </c>
      <c r="AZ171" s="140">
        <f t="shared" si="48"/>
        <v>162611.6645118286</v>
      </c>
      <c r="BA171" s="140">
        <f t="shared" si="46"/>
        <v>25.715619360730557</v>
      </c>
      <c r="BC171" s="122"/>
      <c r="BD171" s="122"/>
      <c r="BE171" s="122"/>
      <c r="BF171" s="122"/>
      <c r="BH171" s="122"/>
      <c r="BI171" s="122"/>
      <c r="BJ171" s="122"/>
      <c r="BK171" s="122"/>
      <c r="BM171" s="122"/>
      <c r="BN171" s="122"/>
      <c r="BO171" s="122"/>
      <c r="BP171" s="122"/>
      <c r="BR171" s="122"/>
      <c r="BS171" s="122"/>
      <c r="BT171" s="122"/>
      <c r="BU171" s="122"/>
      <c r="BV171" s="439"/>
      <c r="BW171" s="120">
        <f t="shared" si="49"/>
        <v>6947189.1200000001</v>
      </c>
      <c r="BX171" s="121">
        <v>4.2500000000000003E-2</v>
      </c>
      <c r="BY171" s="121">
        <f t="shared" si="50"/>
        <v>4.1737101522867429E-2</v>
      </c>
      <c r="BZ171" s="120">
        <f t="shared" si="51"/>
        <v>797.62552158295284</v>
      </c>
      <c r="CA171" s="120">
        <f t="shared" si="52"/>
        <v>25.715619360730557</v>
      </c>
    </row>
    <row r="172" spans="2:79" x14ac:dyDescent="0.25">
      <c r="B172" s="123" t="str">
        <f t="shared" si="42"/>
        <v>6 2025</v>
      </c>
      <c r="C172" s="122">
        <f t="shared" si="43"/>
        <v>45824</v>
      </c>
      <c r="D172" s="122">
        <f t="shared" si="47"/>
        <v>45825</v>
      </c>
      <c r="E172" s="123">
        <f t="shared" si="44"/>
        <v>1</v>
      </c>
      <c r="F172" s="123" t="s">
        <v>7</v>
      </c>
      <c r="G172" s="124">
        <f t="shared" si="57"/>
        <v>2120000</v>
      </c>
      <c r="H172" s="125">
        <f t="shared" si="57"/>
        <v>0.04</v>
      </c>
      <c r="I172" s="124">
        <f t="shared" si="41"/>
        <v>235.55555555555554</v>
      </c>
      <c r="J172" s="124">
        <f t="shared" si="45"/>
        <v>126383.35000000011</v>
      </c>
      <c r="K172" s="9"/>
      <c r="L172" s="11"/>
      <c r="M172" s="293"/>
      <c r="N172" s="97"/>
      <c r="O172" s="305"/>
      <c r="P172" s="304"/>
      <c r="Q172" s="307"/>
      <c r="S172" s="11"/>
      <c r="T172" s="293"/>
      <c r="U172" s="97"/>
      <c r="V172" s="305"/>
      <c r="W172" s="304"/>
      <c r="X172" s="307"/>
      <c r="Z172" s="11"/>
      <c r="AA172" s="293"/>
      <c r="AB172" s="97"/>
      <c r="AC172" s="305"/>
      <c r="AD172" s="304"/>
      <c r="AE172" s="307"/>
      <c r="AG172" s="11"/>
      <c r="AH172" s="293"/>
      <c r="AI172" s="97"/>
      <c r="AJ172" s="305"/>
      <c r="AK172" s="304"/>
      <c r="AL172" s="307"/>
      <c r="AN172" s="9"/>
      <c r="AO172" s="9"/>
      <c r="AP172" s="9"/>
      <c r="AQ172" s="9"/>
      <c r="AR172" s="9"/>
      <c r="AS172" s="9"/>
      <c r="AT172" s="123">
        <v>1</v>
      </c>
      <c r="AU172" s="123" t="s">
        <v>32</v>
      </c>
      <c r="AV172" s="124">
        <v>4828875.33</v>
      </c>
      <c r="AW172" s="139">
        <v>4.2500000000000003E-2</v>
      </c>
      <c r="AX172" s="123"/>
      <c r="AY172" s="140">
        <f t="shared" si="53"/>
        <v>562.26630554794519</v>
      </c>
      <c r="AZ172" s="140">
        <f t="shared" si="48"/>
        <v>163173.93081737653</v>
      </c>
      <c r="BA172" s="140">
        <f t="shared" si="46"/>
        <v>25.724602214611764</v>
      </c>
      <c r="BC172" s="122"/>
      <c r="BD172" s="122"/>
      <c r="BE172" s="122"/>
      <c r="BF172" s="122"/>
      <c r="BH172" s="122"/>
      <c r="BI172" s="122"/>
      <c r="BJ172" s="122"/>
      <c r="BK172" s="122"/>
      <c r="BM172" s="122"/>
      <c r="BN172" s="122"/>
      <c r="BO172" s="122"/>
      <c r="BP172" s="122"/>
      <c r="BR172" s="122"/>
      <c r="BS172" s="122"/>
      <c r="BT172" s="122"/>
      <c r="BU172" s="122"/>
      <c r="BV172" s="439"/>
      <c r="BW172" s="120">
        <f t="shared" si="49"/>
        <v>6948875.3300000001</v>
      </c>
      <c r="BX172" s="121">
        <v>4.2500000000000003E-2</v>
      </c>
      <c r="BY172" s="121">
        <f t="shared" si="50"/>
        <v>4.1737286647363127E-2</v>
      </c>
      <c r="BZ172" s="120">
        <f t="shared" si="51"/>
        <v>797.82186110350074</v>
      </c>
      <c r="CA172" s="120">
        <f t="shared" si="52"/>
        <v>25.724602214611764</v>
      </c>
    </row>
    <row r="173" spans="2:79" x14ac:dyDescent="0.25">
      <c r="B173" s="123" t="str">
        <f t="shared" si="42"/>
        <v>6 2025</v>
      </c>
      <c r="C173" s="122">
        <f t="shared" si="43"/>
        <v>45825</v>
      </c>
      <c r="D173" s="122">
        <f t="shared" si="47"/>
        <v>45826</v>
      </c>
      <c r="E173" s="123">
        <f t="shared" si="44"/>
        <v>1</v>
      </c>
      <c r="F173" s="123" t="s">
        <v>7</v>
      </c>
      <c r="G173" s="124">
        <f t="shared" si="57"/>
        <v>2120000</v>
      </c>
      <c r="H173" s="125">
        <f t="shared" si="57"/>
        <v>0.04</v>
      </c>
      <c r="I173" s="124">
        <f t="shared" si="41"/>
        <v>235.55555555555554</v>
      </c>
      <c r="J173" s="124">
        <f t="shared" si="45"/>
        <v>126618.90555555567</v>
      </c>
      <c r="K173" s="9"/>
      <c r="L173" s="11"/>
      <c r="M173" s="293"/>
      <c r="N173" s="97"/>
      <c r="O173" s="305"/>
      <c r="P173" s="304"/>
      <c r="Q173" s="307"/>
      <c r="S173" s="11"/>
      <c r="T173" s="293"/>
      <c r="U173" s="97"/>
      <c r="V173" s="305"/>
      <c r="W173" s="304"/>
      <c r="X173" s="307"/>
      <c r="Z173" s="11"/>
      <c r="AA173" s="293"/>
      <c r="AB173" s="97"/>
      <c r="AC173" s="305"/>
      <c r="AD173" s="304"/>
      <c r="AE173" s="307"/>
      <c r="AG173" s="11"/>
      <c r="AH173" s="293"/>
      <c r="AI173" s="97"/>
      <c r="AJ173" s="305"/>
      <c r="AK173" s="304"/>
      <c r="AL173" s="307"/>
      <c r="AN173" s="9"/>
      <c r="AO173" s="9"/>
      <c r="AP173" s="9"/>
      <c r="AQ173" s="9"/>
      <c r="AR173" s="9"/>
      <c r="AS173" s="9"/>
      <c r="AT173" s="123">
        <v>1</v>
      </c>
      <c r="AU173" s="123" t="s">
        <v>32</v>
      </c>
      <c r="AV173" s="124">
        <v>4795638.6399999997</v>
      </c>
      <c r="AW173" s="139">
        <v>4.2500000000000003E-2</v>
      </c>
      <c r="AX173" s="123"/>
      <c r="AY173" s="140">
        <f t="shared" si="53"/>
        <v>558.39628000000005</v>
      </c>
      <c r="AZ173" s="140">
        <f t="shared" si="48"/>
        <v>163732.32709737652</v>
      </c>
      <c r="BA173" s="140">
        <f t="shared" si="46"/>
        <v>25.547542222222319</v>
      </c>
      <c r="BC173" s="122"/>
      <c r="BD173" s="122"/>
      <c r="BE173" s="122"/>
      <c r="BF173" s="122"/>
      <c r="BH173" s="122"/>
      <c r="BI173" s="122"/>
      <c r="BJ173" s="122"/>
      <c r="BK173" s="122"/>
      <c r="BM173" s="122"/>
      <c r="BN173" s="122"/>
      <c r="BO173" s="122"/>
      <c r="BP173" s="122"/>
      <c r="BR173" s="122"/>
      <c r="BS173" s="122"/>
      <c r="BT173" s="122"/>
      <c r="BU173" s="122"/>
      <c r="BV173" s="439"/>
      <c r="BW173" s="120">
        <f t="shared" si="49"/>
        <v>6915638.6399999997</v>
      </c>
      <c r="BX173" s="121">
        <v>4.2500000000000003E-2</v>
      </c>
      <c r="BY173" s="121">
        <f t="shared" si="50"/>
        <v>4.1733621032576107E-2</v>
      </c>
      <c r="BZ173" s="120">
        <f t="shared" si="51"/>
        <v>793.95183555555559</v>
      </c>
      <c r="CA173" s="120">
        <f t="shared" si="52"/>
        <v>25.547542222222319</v>
      </c>
    </row>
    <row r="174" spans="2:79" x14ac:dyDescent="0.25">
      <c r="B174" s="123" t="str">
        <f t="shared" si="42"/>
        <v>6 2025</v>
      </c>
      <c r="C174" s="122">
        <f t="shared" si="43"/>
        <v>45826</v>
      </c>
      <c r="D174" s="122">
        <f t="shared" si="47"/>
        <v>45827</v>
      </c>
      <c r="E174" s="123">
        <f t="shared" si="44"/>
        <v>1</v>
      </c>
      <c r="F174" s="123" t="s">
        <v>7</v>
      </c>
      <c r="G174" s="124">
        <f t="shared" si="57"/>
        <v>2120000</v>
      </c>
      <c r="H174" s="125">
        <f t="shared" si="57"/>
        <v>0.04</v>
      </c>
      <c r="I174" s="124">
        <f t="shared" si="41"/>
        <v>235.55555555555554</v>
      </c>
      <c r="J174" s="124">
        <f t="shared" si="45"/>
        <v>126854.46111111123</v>
      </c>
      <c r="K174" s="9"/>
      <c r="L174" s="11"/>
      <c r="M174" s="293"/>
      <c r="N174" s="97"/>
      <c r="O174" s="305"/>
      <c r="P174" s="304"/>
      <c r="Q174" s="307"/>
      <c r="S174" s="11"/>
      <c r="T174" s="293"/>
      <c r="U174" s="97"/>
      <c r="V174" s="305"/>
      <c r="W174" s="304"/>
      <c r="X174" s="307"/>
      <c r="Z174" s="11"/>
      <c r="AA174" s="293"/>
      <c r="AB174" s="97"/>
      <c r="AC174" s="305"/>
      <c r="AD174" s="304"/>
      <c r="AE174" s="307"/>
      <c r="AG174" s="11"/>
      <c r="AH174" s="293"/>
      <c r="AI174" s="97"/>
      <c r="AJ174" s="305"/>
      <c r="AK174" s="304"/>
      <c r="AL174" s="307"/>
      <c r="AN174" s="9"/>
      <c r="AO174" s="9"/>
      <c r="AP174" s="9"/>
      <c r="AQ174" s="9"/>
      <c r="AR174" s="9"/>
      <c r="AS174" s="9"/>
      <c r="AT174" s="123">
        <v>1</v>
      </c>
      <c r="AU174" s="123" t="s">
        <v>32</v>
      </c>
      <c r="AV174" s="124">
        <v>4795731.68</v>
      </c>
      <c r="AW174" s="139">
        <v>4.2500000000000003E-2</v>
      </c>
      <c r="AX174" s="123"/>
      <c r="AY174" s="140">
        <f t="shared" si="53"/>
        <v>558.40711342465761</v>
      </c>
      <c r="AZ174" s="140">
        <f t="shared" si="48"/>
        <v>164290.73421080117</v>
      </c>
      <c r="BA174" s="140">
        <f t="shared" si="46"/>
        <v>25.548037869102018</v>
      </c>
      <c r="BC174" s="122"/>
      <c r="BD174" s="122"/>
      <c r="BE174" s="122"/>
      <c r="BF174" s="122"/>
      <c r="BH174" s="122"/>
      <c r="BI174" s="122"/>
      <c r="BJ174" s="122"/>
      <c r="BK174" s="122"/>
      <c r="BM174" s="122"/>
      <c r="BN174" s="122"/>
      <c r="BO174" s="122"/>
      <c r="BP174" s="122"/>
      <c r="BR174" s="122"/>
      <c r="BS174" s="122"/>
      <c r="BT174" s="122"/>
      <c r="BU174" s="122"/>
      <c r="BV174" s="439"/>
      <c r="BW174" s="120">
        <f t="shared" si="49"/>
        <v>6915731.6799999997</v>
      </c>
      <c r="BX174" s="121">
        <v>4.2500000000000003E-2</v>
      </c>
      <c r="BY174" s="121">
        <f t="shared" si="50"/>
        <v>4.1733631342967321E-2</v>
      </c>
      <c r="BZ174" s="120">
        <f t="shared" si="51"/>
        <v>793.96266898021315</v>
      </c>
      <c r="CA174" s="120">
        <f t="shared" si="52"/>
        <v>25.548037869102018</v>
      </c>
    </row>
    <row r="175" spans="2:79" x14ac:dyDescent="0.25">
      <c r="B175" s="123" t="str">
        <f t="shared" si="42"/>
        <v>6 2025</v>
      </c>
      <c r="C175" s="122">
        <f t="shared" si="43"/>
        <v>45827</v>
      </c>
      <c r="D175" s="122">
        <f t="shared" si="47"/>
        <v>45828</v>
      </c>
      <c r="E175" s="123">
        <f t="shared" si="44"/>
        <v>1</v>
      </c>
      <c r="F175" s="123" t="s">
        <v>7</v>
      </c>
      <c r="G175" s="124">
        <f t="shared" si="57"/>
        <v>2120000</v>
      </c>
      <c r="H175" s="125">
        <f t="shared" si="57"/>
        <v>0.04</v>
      </c>
      <c r="I175" s="124">
        <f t="shared" si="41"/>
        <v>235.55555555555554</v>
      </c>
      <c r="J175" s="124">
        <f t="shared" si="45"/>
        <v>127090.01666666679</v>
      </c>
      <c r="K175" s="9"/>
      <c r="L175" s="11"/>
      <c r="M175" s="293"/>
      <c r="N175" s="97"/>
      <c r="O175" s="305"/>
      <c r="P175" s="304"/>
      <c r="Q175" s="307"/>
      <c r="S175" s="11"/>
      <c r="T175" s="293"/>
      <c r="U175" s="97"/>
      <c r="V175" s="305"/>
      <c r="W175" s="304"/>
      <c r="X175" s="307"/>
      <c r="Z175" s="11"/>
      <c r="AA175" s="293"/>
      <c r="AB175" s="97"/>
      <c r="AC175" s="305"/>
      <c r="AD175" s="304"/>
      <c r="AE175" s="307"/>
      <c r="AG175" s="11"/>
      <c r="AH175" s="293"/>
      <c r="AI175" s="97"/>
      <c r="AJ175" s="305"/>
      <c r="AK175" s="304"/>
      <c r="AL175" s="307"/>
      <c r="AN175" s="9"/>
      <c r="AO175" s="9"/>
      <c r="AP175" s="9"/>
      <c r="AQ175" s="9"/>
      <c r="AR175" s="9"/>
      <c r="AS175" s="9"/>
      <c r="AT175" s="123">
        <v>1</v>
      </c>
      <c r="AU175" s="123" t="s">
        <v>32</v>
      </c>
      <c r="AV175" s="124">
        <v>4795731.68</v>
      </c>
      <c r="AW175" s="139">
        <v>4.2500000000000003E-2</v>
      </c>
      <c r="AX175" s="123"/>
      <c r="AY175" s="140">
        <f t="shared" si="53"/>
        <v>558.40711342465761</v>
      </c>
      <c r="AZ175" s="140">
        <f t="shared" si="48"/>
        <v>164849.14132422581</v>
      </c>
      <c r="BA175" s="140">
        <f t="shared" si="46"/>
        <v>25.548037869102018</v>
      </c>
      <c r="BC175" s="122"/>
      <c r="BD175" s="122"/>
      <c r="BE175" s="122"/>
      <c r="BF175" s="122"/>
      <c r="BH175" s="122"/>
      <c r="BI175" s="122"/>
      <c r="BJ175" s="122"/>
      <c r="BK175" s="122"/>
      <c r="BM175" s="122"/>
      <c r="BN175" s="122"/>
      <c r="BO175" s="122"/>
      <c r="BP175" s="122"/>
      <c r="BR175" s="122"/>
      <c r="BS175" s="122"/>
      <c r="BT175" s="122"/>
      <c r="BU175" s="122"/>
      <c r="BV175" s="439"/>
      <c r="BW175" s="120">
        <f t="shared" si="49"/>
        <v>6915731.6799999997</v>
      </c>
      <c r="BX175" s="121">
        <v>4.2500000000000003E-2</v>
      </c>
      <c r="BY175" s="121">
        <f t="shared" si="50"/>
        <v>4.1733631342967321E-2</v>
      </c>
      <c r="BZ175" s="120">
        <f t="shared" si="51"/>
        <v>793.96266898021315</v>
      </c>
      <c r="CA175" s="120">
        <f t="shared" si="52"/>
        <v>25.548037869102018</v>
      </c>
    </row>
    <row r="176" spans="2:79" x14ac:dyDescent="0.25">
      <c r="B176" s="123" t="str">
        <f t="shared" si="42"/>
        <v>6 2025</v>
      </c>
      <c r="C176" s="122">
        <f t="shared" si="43"/>
        <v>45828</v>
      </c>
      <c r="D176" s="122">
        <f t="shared" si="47"/>
        <v>45829</v>
      </c>
      <c r="E176" s="123">
        <f t="shared" si="44"/>
        <v>1</v>
      </c>
      <c r="F176" s="123" t="s">
        <v>7</v>
      </c>
      <c r="G176" s="124">
        <f t="shared" si="57"/>
        <v>2120000</v>
      </c>
      <c r="H176" s="125">
        <f t="shared" si="57"/>
        <v>0.04</v>
      </c>
      <c r="I176" s="124">
        <f t="shared" si="41"/>
        <v>235.55555555555554</v>
      </c>
      <c r="J176" s="124">
        <f t="shared" si="45"/>
        <v>127325.57222222236</v>
      </c>
      <c r="K176" s="9"/>
      <c r="L176" s="11"/>
      <c r="M176" s="293"/>
      <c r="N176" s="97"/>
      <c r="O176" s="305"/>
      <c r="P176" s="304"/>
      <c r="Q176" s="307"/>
      <c r="S176" s="11"/>
      <c r="T176" s="293"/>
      <c r="U176" s="97"/>
      <c r="V176" s="305"/>
      <c r="W176" s="304"/>
      <c r="X176" s="307"/>
      <c r="Z176" s="11"/>
      <c r="AA176" s="293"/>
      <c r="AB176" s="97"/>
      <c r="AC176" s="305"/>
      <c r="AD176" s="304"/>
      <c r="AE176" s="307"/>
      <c r="AG176" s="11"/>
      <c r="AH176" s="293"/>
      <c r="AI176" s="97"/>
      <c r="AJ176" s="305"/>
      <c r="AK176" s="304"/>
      <c r="AL176" s="307"/>
      <c r="AN176" s="9"/>
      <c r="AO176" s="9"/>
      <c r="AP176" s="9"/>
      <c r="AQ176" s="9"/>
      <c r="AR176" s="9"/>
      <c r="AS176" s="9"/>
      <c r="AT176" s="123">
        <v>1</v>
      </c>
      <c r="AU176" s="123" t="s">
        <v>32</v>
      </c>
      <c r="AV176" s="124">
        <v>4796848.49</v>
      </c>
      <c r="AW176" s="139">
        <v>4.2500000000000003E-2</v>
      </c>
      <c r="AX176" s="123"/>
      <c r="AY176" s="140">
        <f t="shared" si="53"/>
        <v>558.53715294520555</v>
      </c>
      <c r="AZ176" s="140">
        <f t="shared" si="48"/>
        <v>165407.67847717102</v>
      </c>
      <c r="BA176" s="140">
        <f t="shared" si="46"/>
        <v>25.553987389649933</v>
      </c>
      <c r="BC176" s="122"/>
      <c r="BD176" s="122"/>
      <c r="BE176" s="122"/>
      <c r="BF176" s="122"/>
      <c r="BH176" s="122"/>
      <c r="BI176" s="122"/>
      <c r="BJ176" s="122"/>
      <c r="BK176" s="122"/>
      <c r="BM176" s="122"/>
      <c r="BN176" s="122"/>
      <c r="BO176" s="122"/>
      <c r="BP176" s="122"/>
      <c r="BR176" s="122"/>
      <c r="BS176" s="122"/>
      <c r="BT176" s="122"/>
      <c r="BU176" s="122"/>
      <c r="BV176" s="439"/>
      <c r="BW176" s="120">
        <f t="shared" si="49"/>
        <v>6916848.4900000002</v>
      </c>
      <c r="BX176" s="121">
        <v>4.2500000000000003E-2</v>
      </c>
      <c r="BY176" s="121">
        <f t="shared" si="50"/>
        <v>4.1733755082583868E-2</v>
      </c>
      <c r="BZ176" s="120">
        <f t="shared" si="51"/>
        <v>794.09270850076109</v>
      </c>
      <c r="CA176" s="120">
        <f t="shared" si="52"/>
        <v>25.553987389649933</v>
      </c>
    </row>
    <row r="177" spans="2:79" x14ac:dyDescent="0.25">
      <c r="B177" s="123" t="str">
        <f t="shared" si="42"/>
        <v>6 2025</v>
      </c>
      <c r="C177" s="122">
        <f t="shared" si="43"/>
        <v>45829</v>
      </c>
      <c r="D177" s="122">
        <f t="shared" si="47"/>
        <v>45830</v>
      </c>
      <c r="E177" s="123">
        <f t="shared" si="44"/>
        <v>1</v>
      </c>
      <c r="F177" s="123" t="s">
        <v>7</v>
      </c>
      <c r="G177" s="124">
        <f t="shared" si="57"/>
        <v>2120000</v>
      </c>
      <c r="H177" s="125">
        <f t="shared" si="57"/>
        <v>0.04</v>
      </c>
      <c r="I177" s="124">
        <f t="shared" si="41"/>
        <v>235.55555555555554</v>
      </c>
      <c r="J177" s="124">
        <f t="shared" si="45"/>
        <v>127561.12777777792</v>
      </c>
      <c r="K177" s="9"/>
      <c r="L177" s="11"/>
      <c r="M177" s="293"/>
      <c r="N177" s="97"/>
      <c r="O177" s="305"/>
      <c r="P177" s="304"/>
      <c r="Q177" s="307"/>
      <c r="S177" s="11"/>
      <c r="T177" s="293"/>
      <c r="U177" s="97"/>
      <c r="V177" s="305"/>
      <c r="W177" s="304"/>
      <c r="X177" s="307"/>
      <c r="Z177" s="11"/>
      <c r="AA177" s="293"/>
      <c r="AB177" s="97"/>
      <c r="AC177" s="305"/>
      <c r="AD177" s="304"/>
      <c r="AE177" s="307"/>
      <c r="AG177" s="11"/>
      <c r="AH177" s="293"/>
      <c r="AI177" s="97"/>
      <c r="AJ177" s="305"/>
      <c r="AK177" s="304"/>
      <c r="AL177" s="307"/>
      <c r="AN177" s="9"/>
      <c r="AO177" s="9"/>
      <c r="AP177" s="9"/>
      <c r="AQ177" s="9"/>
      <c r="AR177" s="9"/>
      <c r="AS177" s="9"/>
      <c r="AT177" s="123">
        <v>1</v>
      </c>
      <c r="AU177" s="123" t="s">
        <v>32</v>
      </c>
      <c r="AV177" s="124">
        <v>4796848.49</v>
      </c>
      <c r="AW177" s="139">
        <v>4.2500000000000003E-2</v>
      </c>
      <c r="AX177" s="123"/>
      <c r="AY177" s="140">
        <f t="shared" si="53"/>
        <v>558.53715294520555</v>
      </c>
      <c r="AZ177" s="140">
        <f t="shared" si="48"/>
        <v>165966.21563011623</v>
      </c>
      <c r="BA177" s="140">
        <f t="shared" si="46"/>
        <v>25.553987389649933</v>
      </c>
      <c r="BC177" s="122"/>
      <c r="BD177" s="122"/>
      <c r="BE177" s="122"/>
      <c r="BF177" s="122"/>
      <c r="BH177" s="122"/>
      <c r="BI177" s="122"/>
      <c r="BJ177" s="122"/>
      <c r="BK177" s="122"/>
      <c r="BM177" s="122"/>
      <c r="BN177" s="122"/>
      <c r="BO177" s="122"/>
      <c r="BP177" s="122"/>
      <c r="BR177" s="122"/>
      <c r="BS177" s="122"/>
      <c r="BT177" s="122"/>
      <c r="BU177" s="122"/>
      <c r="BV177" s="439"/>
      <c r="BW177" s="120">
        <f t="shared" si="49"/>
        <v>6916848.4900000002</v>
      </c>
      <c r="BX177" s="121">
        <v>4.2500000000000003E-2</v>
      </c>
      <c r="BY177" s="121">
        <f t="shared" si="50"/>
        <v>4.1733755082583868E-2</v>
      </c>
      <c r="BZ177" s="120">
        <f t="shared" si="51"/>
        <v>794.09270850076109</v>
      </c>
      <c r="CA177" s="120">
        <f t="shared" si="52"/>
        <v>25.553987389649933</v>
      </c>
    </row>
    <row r="178" spans="2:79" x14ac:dyDescent="0.25">
      <c r="B178" s="123" t="str">
        <f t="shared" si="42"/>
        <v>6 2025</v>
      </c>
      <c r="C178" s="122">
        <f t="shared" si="43"/>
        <v>45830</v>
      </c>
      <c r="D178" s="122">
        <f t="shared" si="47"/>
        <v>45831</v>
      </c>
      <c r="E178" s="123">
        <f t="shared" si="44"/>
        <v>1</v>
      </c>
      <c r="F178" s="123" t="s">
        <v>7</v>
      </c>
      <c r="G178" s="124">
        <f t="shared" si="57"/>
        <v>2120000</v>
      </c>
      <c r="H178" s="125">
        <f t="shared" si="57"/>
        <v>0.04</v>
      </c>
      <c r="I178" s="124">
        <f t="shared" si="41"/>
        <v>235.55555555555554</v>
      </c>
      <c r="J178" s="124">
        <f t="shared" si="45"/>
        <v>127796.68333333348</v>
      </c>
      <c r="K178" s="9"/>
      <c r="L178" s="11"/>
      <c r="M178" s="293"/>
      <c r="N178" s="97"/>
      <c r="O178" s="305"/>
      <c r="P178" s="304"/>
      <c r="Q178" s="307"/>
      <c r="S178" s="11"/>
      <c r="T178" s="293"/>
      <c r="U178" s="97"/>
      <c r="V178" s="305"/>
      <c r="W178" s="304"/>
      <c r="X178" s="307"/>
      <c r="Z178" s="11"/>
      <c r="AA178" s="293"/>
      <c r="AB178" s="97"/>
      <c r="AC178" s="305"/>
      <c r="AD178" s="304"/>
      <c r="AE178" s="307"/>
      <c r="AG178" s="11"/>
      <c r="AH178" s="293"/>
      <c r="AI178" s="97"/>
      <c r="AJ178" s="305"/>
      <c r="AK178" s="304"/>
      <c r="AL178" s="307"/>
      <c r="AN178" s="9"/>
      <c r="AO178" s="9"/>
      <c r="AP178" s="9"/>
      <c r="AQ178" s="9"/>
      <c r="AR178" s="9"/>
      <c r="AS178" s="9"/>
      <c r="AT178" s="123">
        <v>1</v>
      </c>
      <c r="AU178" s="123" t="s">
        <v>32</v>
      </c>
      <c r="AV178" s="124">
        <v>4796848.49</v>
      </c>
      <c r="AW178" s="139">
        <v>4.2500000000000003E-2</v>
      </c>
      <c r="AX178" s="123"/>
      <c r="AY178" s="140">
        <f t="shared" si="53"/>
        <v>558.53715294520555</v>
      </c>
      <c r="AZ178" s="140">
        <f t="shared" si="48"/>
        <v>166524.75278306144</v>
      </c>
      <c r="BA178" s="140">
        <f t="shared" si="46"/>
        <v>25.553987389649933</v>
      </c>
      <c r="BC178" s="122"/>
      <c r="BD178" s="122"/>
      <c r="BE178" s="122"/>
      <c r="BF178" s="122"/>
      <c r="BH178" s="122"/>
      <c r="BI178" s="122"/>
      <c r="BJ178" s="122"/>
      <c r="BK178" s="122"/>
      <c r="BM178" s="122"/>
      <c r="BN178" s="122"/>
      <c r="BO178" s="122"/>
      <c r="BP178" s="122"/>
      <c r="BR178" s="122"/>
      <c r="BS178" s="122"/>
      <c r="BT178" s="122"/>
      <c r="BU178" s="122"/>
      <c r="BV178" s="439"/>
      <c r="BW178" s="120">
        <f t="shared" si="49"/>
        <v>6916848.4900000002</v>
      </c>
      <c r="BX178" s="121">
        <v>4.2500000000000003E-2</v>
      </c>
      <c r="BY178" s="121">
        <f t="shared" si="50"/>
        <v>4.1733755082583868E-2</v>
      </c>
      <c r="BZ178" s="120">
        <f t="shared" si="51"/>
        <v>794.09270850076109</v>
      </c>
      <c r="CA178" s="120">
        <f t="shared" si="52"/>
        <v>25.553987389649933</v>
      </c>
    </row>
    <row r="179" spans="2:79" x14ac:dyDescent="0.25">
      <c r="B179" s="123" t="str">
        <f t="shared" si="42"/>
        <v>6 2025</v>
      </c>
      <c r="C179" s="122">
        <f t="shared" si="43"/>
        <v>45831</v>
      </c>
      <c r="D179" s="122">
        <f t="shared" si="47"/>
        <v>45832</v>
      </c>
      <c r="E179" s="123">
        <f t="shared" si="44"/>
        <v>1</v>
      </c>
      <c r="F179" s="123" t="s">
        <v>7</v>
      </c>
      <c r="G179" s="124">
        <f t="shared" si="57"/>
        <v>2120000</v>
      </c>
      <c r="H179" s="125">
        <f t="shared" si="57"/>
        <v>0.04</v>
      </c>
      <c r="I179" s="124">
        <f t="shared" si="41"/>
        <v>235.55555555555554</v>
      </c>
      <c r="J179" s="124">
        <f t="shared" si="45"/>
        <v>128032.23888888904</v>
      </c>
      <c r="K179" s="9"/>
      <c r="L179" s="11"/>
      <c r="M179" s="293"/>
      <c r="N179" s="97"/>
      <c r="O179" s="305"/>
      <c r="P179" s="304"/>
      <c r="Q179" s="307"/>
      <c r="S179" s="11"/>
      <c r="T179" s="293"/>
      <c r="U179" s="97"/>
      <c r="V179" s="305"/>
      <c r="W179" s="304"/>
      <c r="X179" s="307"/>
      <c r="Z179" s="11"/>
      <c r="AA179" s="293"/>
      <c r="AB179" s="97"/>
      <c r="AC179" s="305"/>
      <c r="AD179" s="304"/>
      <c r="AE179" s="307"/>
      <c r="AG179" s="11"/>
      <c r="AH179" s="293"/>
      <c r="AI179" s="97"/>
      <c r="AJ179" s="305"/>
      <c r="AK179" s="304"/>
      <c r="AL179" s="307"/>
      <c r="AN179" s="9"/>
      <c r="AO179" s="9"/>
      <c r="AP179" s="9"/>
      <c r="AQ179" s="9"/>
      <c r="AR179" s="9"/>
      <c r="AS179" s="9"/>
      <c r="AT179" s="123">
        <v>1</v>
      </c>
      <c r="AU179" s="123" t="s">
        <v>32</v>
      </c>
      <c r="AV179" s="124">
        <v>4791877.5</v>
      </c>
      <c r="AW179" s="139">
        <v>4.2500000000000003E-2</v>
      </c>
      <c r="AX179" s="123"/>
      <c r="AY179" s="140">
        <f t="shared" si="53"/>
        <v>557.95833904109588</v>
      </c>
      <c r="AZ179" s="140">
        <f t="shared" si="48"/>
        <v>167082.71112210254</v>
      </c>
      <c r="BA179" s="140">
        <f t="shared" si="46"/>
        <v>25.527505707762543</v>
      </c>
      <c r="BC179" s="122"/>
      <c r="BD179" s="122"/>
      <c r="BE179" s="122"/>
      <c r="BF179" s="122"/>
      <c r="BH179" s="122"/>
      <c r="BI179" s="122"/>
      <c r="BJ179" s="122"/>
      <c r="BK179" s="122"/>
      <c r="BM179" s="122"/>
      <c r="BN179" s="122"/>
      <c r="BO179" s="122"/>
      <c r="BP179" s="122"/>
      <c r="BR179" s="122"/>
      <c r="BS179" s="122"/>
      <c r="BT179" s="122"/>
      <c r="BU179" s="122"/>
      <c r="BV179" s="439"/>
      <c r="BW179" s="120">
        <f t="shared" si="49"/>
        <v>6911877.5</v>
      </c>
      <c r="BX179" s="121">
        <v>4.2500000000000003E-2</v>
      </c>
      <c r="BY179" s="121">
        <f t="shared" si="50"/>
        <v>4.1733204002819782E-2</v>
      </c>
      <c r="BZ179" s="120">
        <f t="shared" si="51"/>
        <v>793.51389459665143</v>
      </c>
      <c r="CA179" s="120">
        <f t="shared" si="52"/>
        <v>25.527505707762543</v>
      </c>
    </row>
    <row r="180" spans="2:79" x14ac:dyDescent="0.25">
      <c r="B180" s="123" t="str">
        <f t="shared" si="42"/>
        <v>6 2025</v>
      </c>
      <c r="C180" s="122">
        <f t="shared" si="43"/>
        <v>45832</v>
      </c>
      <c r="D180" s="122">
        <f t="shared" si="47"/>
        <v>45833</v>
      </c>
      <c r="E180" s="123">
        <f t="shared" si="44"/>
        <v>1</v>
      </c>
      <c r="F180" s="123" t="s">
        <v>7</v>
      </c>
      <c r="G180" s="124">
        <f t="shared" si="57"/>
        <v>2120000</v>
      </c>
      <c r="H180" s="125">
        <f t="shared" si="57"/>
        <v>0.04</v>
      </c>
      <c r="I180" s="124">
        <f t="shared" si="41"/>
        <v>235.55555555555554</v>
      </c>
      <c r="J180" s="124">
        <f t="shared" si="45"/>
        <v>128267.7944444446</v>
      </c>
      <c r="K180" s="9"/>
      <c r="L180" s="11"/>
      <c r="M180" s="293"/>
      <c r="N180" s="97"/>
      <c r="O180" s="305"/>
      <c r="P180" s="304"/>
      <c r="Q180" s="307"/>
      <c r="S180" s="11"/>
      <c r="T180" s="293"/>
      <c r="U180" s="97"/>
      <c r="V180" s="305"/>
      <c r="W180" s="304"/>
      <c r="X180" s="307"/>
      <c r="Z180" s="11"/>
      <c r="AA180" s="293"/>
      <c r="AB180" s="97"/>
      <c r="AC180" s="305"/>
      <c r="AD180" s="304"/>
      <c r="AE180" s="307"/>
      <c r="AG180" s="11"/>
      <c r="AH180" s="293"/>
      <c r="AI180" s="97"/>
      <c r="AJ180" s="305"/>
      <c r="AK180" s="304"/>
      <c r="AL180" s="307"/>
      <c r="AN180" s="9"/>
      <c r="AO180" s="9"/>
      <c r="AP180" s="9"/>
      <c r="AQ180" s="9"/>
      <c r="AR180" s="9"/>
      <c r="AS180" s="9"/>
      <c r="AT180" s="123">
        <v>1</v>
      </c>
      <c r="AU180" s="123" t="s">
        <v>32</v>
      </c>
      <c r="AV180" s="124">
        <v>4792435.46</v>
      </c>
      <c r="AW180" s="139">
        <v>4.2500000000000003E-2</v>
      </c>
      <c r="AX180" s="123"/>
      <c r="AY180" s="140">
        <f t="shared" si="53"/>
        <v>558.02330698630146</v>
      </c>
      <c r="AZ180" s="140">
        <f t="shared" si="48"/>
        <v>167640.73442908883</v>
      </c>
      <c r="BA180" s="140">
        <f t="shared" si="46"/>
        <v>25.530478097412583</v>
      </c>
      <c r="BC180" s="122"/>
      <c r="BD180" s="122"/>
      <c r="BE180" s="122"/>
      <c r="BF180" s="122"/>
      <c r="BH180" s="122"/>
      <c r="BI180" s="122"/>
      <c r="BJ180" s="122"/>
      <c r="BK180" s="122"/>
      <c r="BM180" s="122"/>
      <c r="BN180" s="122"/>
      <c r="BO180" s="122"/>
      <c r="BP180" s="122"/>
      <c r="BR180" s="122"/>
      <c r="BS180" s="122"/>
      <c r="BT180" s="122"/>
      <c r="BU180" s="122"/>
      <c r="BV180" s="439"/>
      <c r="BW180" s="120">
        <f t="shared" si="49"/>
        <v>6912435.46</v>
      </c>
      <c r="BX180" s="121">
        <v>4.2500000000000003E-2</v>
      </c>
      <c r="BY180" s="121">
        <f t="shared" si="50"/>
        <v>4.173326589728478E-2</v>
      </c>
      <c r="BZ180" s="120">
        <f t="shared" si="51"/>
        <v>793.57886254185701</v>
      </c>
      <c r="CA180" s="120">
        <f t="shared" si="52"/>
        <v>25.530478097412583</v>
      </c>
    </row>
    <row r="181" spans="2:79" x14ac:dyDescent="0.25">
      <c r="B181" s="123" t="str">
        <f t="shared" si="42"/>
        <v>6 2025</v>
      </c>
      <c r="C181" s="122">
        <f t="shared" si="43"/>
        <v>45833</v>
      </c>
      <c r="D181" s="122">
        <f t="shared" si="47"/>
        <v>45834</v>
      </c>
      <c r="E181" s="123">
        <f t="shared" si="44"/>
        <v>1</v>
      </c>
      <c r="F181" s="123" t="s">
        <v>7</v>
      </c>
      <c r="G181" s="126">
        <f>G180-780000</f>
        <v>1340000</v>
      </c>
      <c r="H181" s="125">
        <f t="shared" si="57"/>
        <v>0.04</v>
      </c>
      <c r="I181" s="124">
        <f t="shared" si="41"/>
        <v>148.88888888888889</v>
      </c>
      <c r="J181" s="124">
        <f t="shared" si="45"/>
        <v>128416.68333333349</v>
      </c>
      <c r="K181" s="9"/>
      <c r="L181" s="11"/>
      <c r="M181" s="293"/>
      <c r="N181" s="97"/>
      <c r="O181" s="305"/>
      <c r="P181" s="304"/>
      <c r="Q181" s="307"/>
      <c r="S181" s="11"/>
      <c r="T181" s="293"/>
      <c r="U181" s="97"/>
      <c r="V181" s="305"/>
      <c r="W181" s="304"/>
      <c r="X181" s="307"/>
      <c r="Z181" s="11"/>
      <c r="AA181" s="293"/>
      <c r="AB181" s="97"/>
      <c r="AC181" s="305"/>
      <c r="AD181" s="304"/>
      <c r="AE181" s="307"/>
      <c r="AG181" s="11"/>
      <c r="AH181" s="293"/>
      <c r="AI181" s="97"/>
      <c r="AJ181" s="305"/>
      <c r="AK181" s="304"/>
      <c r="AL181" s="307"/>
      <c r="AN181" s="9"/>
      <c r="AO181" s="9"/>
      <c r="AP181" s="9"/>
      <c r="AQ181" s="9"/>
      <c r="AR181" s="9"/>
      <c r="AS181" s="9"/>
      <c r="AT181" s="123">
        <v>1</v>
      </c>
      <c r="AU181" s="123" t="s">
        <v>32</v>
      </c>
      <c r="AV181" s="124">
        <v>4792993.4800000004</v>
      </c>
      <c r="AW181" s="139">
        <v>4.2500000000000003E-2</v>
      </c>
      <c r="AX181" s="123"/>
      <c r="AY181" s="140">
        <f t="shared" si="53"/>
        <v>558.08828191780833</v>
      </c>
      <c r="AZ181" s="140">
        <f t="shared" si="48"/>
        <v>168198.82271100665</v>
      </c>
      <c r="BA181" s="140">
        <f t="shared" si="46"/>
        <v>25.533450806697147</v>
      </c>
      <c r="BC181" s="122"/>
      <c r="BD181" s="122"/>
      <c r="BE181" s="122"/>
      <c r="BF181" s="122"/>
      <c r="BH181" s="122"/>
      <c r="BI181" s="122"/>
      <c r="BJ181" s="122"/>
      <c r="BK181" s="122"/>
      <c r="BM181" s="122"/>
      <c r="BN181" s="122"/>
      <c r="BO181" s="122"/>
      <c r="BP181" s="122"/>
      <c r="BR181" s="122"/>
      <c r="BS181" s="122"/>
      <c r="BT181" s="122"/>
      <c r="BU181" s="122"/>
      <c r="BV181" s="439"/>
      <c r="BW181" s="120">
        <f t="shared" si="49"/>
        <v>6132993.4800000004</v>
      </c>
      <c r="BX181" s="121">
        <v>4.2500000000000003E-2</v>
      </c>
      <c r="BY181" s="121">
        <f t="shared" si="50"/>
        <v>4.1953774080972936E-2</v>
      </c>
      <c r="BZ181" s="120">
        <f t="shared" si="51"/>
        <v>706.97717080669725</v>
      </c>
      <c r="CA181" s="120">
        <f t="shared" si="52"/>
        <v>25.533450806697147</v>
      </c>
    </row>
    <row r="182" spans="2:79" x14ac:dyDescent="0.25">
      <c r="B182" s="123" t="str">
        <f t="shared" si="42"/>
        <v>6 2025</v>
      </c>
      <c r="C182" s="122">
        <f t="shared" si="43"/>
        <v>45834</v>
      </c>
      <c r="D182" s="122">
        <f t="shared" si="47"/>
        <v>45835</v>
      </c>
      <c r="E182" s="123">
        <f t="shared" si="44"/>
        <v>1</v>
      </c>
      <c r="F182" s="123" t="s">
        <v>7</v>
      </c>
      <c r="G182" s="124">
        <f t="shared" si="57"/>
        <v>1340000</v>
      </c>
      <c r="H182" s="125">
        <f t="shared" si="57"/>
        <v>0.04</v>
      </c>
      <c r="I182" s="124">
        <f t="shared" si="41"/>
        <v>148.88888888888889</v>
      </c>
      <c r="J182" s="124">
        <f t="shared" si="45"/>
        <v>128565.57222222238</v>
      </c>
      <c r="K182" s="9"/>
      <c r="L182" s="11"/>
      <c r="M182" s="293"/>
      <c r="N182" s="97"/>
      <c r="O182" s="305"/>
      <c r="P182" s="304"/>
      <c r="Q182" s="307"/>
      <c r="S182" s="11"/>
      <c r="T182" s="293"/>
      <c r="U182" s="97"/>
      <c r="V182" s="305"/>
      <c r="W182" s="304"/>
      <c r="X182" s="307"/>
      <c r="Z182" s="11"/>
      <c r="AA182" s="293"/>
      <c r="AB182" s="97"/>
      <c r="AC182" s="305"/>
      <c r="AD182" s="304"/>
      <c r="AE182" s="307"/>
      <c r="AG182" s="11"/>
      <c r="AH182" s="293"/>
      <c r="AI182" s="97"/>
      <c r="AJ182" s="305"/>
      <c r="AK182" s="304"/>
      <c r="AL182" s="307"/>
      <c r="AN182" s="9"/>
      <c r="AO182" s="9"/>
      <c r="AP182" s="9"/>
      <c r="AQ182" s="9"/>
      <c r="AR182" s="9"/>
      <c r="AS182" s="9"/>
      <c r="AT182" s="123">
        <v>1</v>
      </c>
      <c r="AU182" s="123" t="s">
        <v>32</v>
      </c>
      <c r="AV182" s="124">
        <v>4780214.6100000003</v>
      </c>
      <c r="AW182" s="139">
        <v>4.2500000000000003E-2</v>
      </c>
      <c r="AX182" s="123"/>
      <c r="AY182" s="140">
        <f t="shared" si="53"/>
        <v>556.60033130136992</v>
      </c>
      <c r="AZ182" s="140">
        <f t="shared" si="48"/>
        <v>168755.42304230802</v>
      </c>
      <c r="BA182" s="140">
        <f t="shared" si="46"/>
        <v>25.465374634703153</v>
      </c>
      <c r="BC182" s="122"/>
      <c r="BD182" s="122"/>
      <c r="BE182" s="122"/>
      <c r="BF182" s="122"/>
      <c r="BH182" s="122"/>
      <c r="BI182" s="122"/>
      <c r="BJ182" s="122"/>
      <c r="BK182" s="122"/>
      <c r="BM182" s="122"/>
      <c r="BN182" s="122"/>
      <c r="BO182" s="122"/>
      <c r="BP182" s="122"/>
      <c r="BR182" s="122"/>
      <c r="BS182" s="122"/>
      <c r="BT182" s="122"/>
      <c r="BU182" s="122"/>
      <c r="BV182" s="439"/>
      <c r="BW182" s="120">
        <f t="shared" si="49"/>
        <v>6120214.6100000003</v>
      </c>
      <c r="BX182" s="121">
        <v>4.2500000000000003E-2</v>
      </c>
      <c r="BY182" s="121">
        <f t="shared" si="50"/>
        <v>4.1952633573579867E-2</v>
      </c>
      <c r="BZ182" s="120">
        <f t="shared" si="51"/>
        <v>705.48922019025883</v>
      </c>
      <c r="CA182" s="120">
        <f t="shared" si="52"/>
        <v>25.465374634703153</v>
      </c>
    </row>
    <row r="183" spans="2:79" x14ac:dyDescent="0.25">
      <c r="B183" s="123" t="str">
        <f t="shared" si="42"/>
        <v>6 2025</v>
      </c>
      <c r="C183" s="122">
        <f t="shared" si="43"/>
        <v>45835</v>
      </c>
      <c r="D183" s="122">
        <f t="shared" si="47"/>
        <v>45836</v>
      </c>
      <c r="E183" s="123">
        <f t="shared" si="44"/>
        <v>1</v>
      </c>
      <c r="F183" s="123" t="s">
        <v>7</v>
      </c>
      <c r="G183" s="124">
        <f t="shared" si="57"/>
        <v>1340000</v>
      </c>
      <c r="H183" s="125">
        <f t="shared" si="57"/>
        <v>0.04</v>
      </c>
      <c r="I183" s="124">
        <f t="shared" si="41"/>
        <v>148.88888888888889</v>
      </c>
      <c r="J183" s="124">
        <f t="shared" si="45"/>
        <v>128714.46111111128</v>
      </c>
      <c r="K183" s="9"/>
      <c r="L183" s="11"/>
      <c r="M183" s="293"/>
      <c r="N183" s="97"/>
      <c r="O183" s="305"/>
      <c r="P183" s="304"/>
      <c r="Q183" s="307"/>
      <c r="S183" s="11"/>
      <c r="T183" s="293"/>
      <c r="U183" s="97"/>
      <c r="V183" s="305"/>
      <c r="W183" s="304"/>
      <c r="X183" s="307"/>
      <c r="Z183" s="11"/>
      <c r="AA183" s="293"/>
      <c r="AB183" s="97"/>
      <c r="AC183" s="305"/>
      <c r="AD183" s="304"/>
      <c r="AE183" s="307"/>
      <c r="AG183" s="11"/>
      <c r="AH183" s="293"/>
      <c r="AI183" s="97"/>
      <c r="AJ183" s="305"/>
      <c r="AK183" s="304"/>
      <c r="AL183" s="307"/>
      <c r="AN183" s="9"/>
      <c r="AO183" s="9"/>
      <c r="AP183" s="9"/>
      <c r="AQ183" s="9"/>
      <c r="AR183" s="9"/>
      <c r="AS183" s="9"/>
      <c r="AT183" s="123">
        <v>1</v>
      </c>
      <c r="AU183" s="123" t="s">
        <v>32</v>
      </c>
      <c r="AV183" s="124">
        <v>4780271.21</v>
      </c>
      <c r="AW183" s="139">
        <v>4.2500000000000003E-2</v>
      </c>
      <c r="AX183" s="123"/>
      <c r="AY183" s="140">
        <f t="shared" si="53"/>
        <v>556.60692171232881</v>
      </c>
      <c r="AZ183" s="140">
        <f t="shared" si="48"/>
        <v>169312.02996402033</v>
      </c>
      <c r="BA183" s="140">
        <f t="shared" si="46"/>
        <v>25.46567615677327</v>
      </c>
      <c r="BC183" s="122"/>
      <c r="BD183" s="122"/>
      <c r="BE183" s="122"/>
      <c r="BF183" s="122"/>
      <c r="BH183" s="122"/>
      <c r="BI183" s="122"/>
      <c r="BJ183" s="122"/>
      <c r="BK183" s="122"/>
      <c r="BM183" s="122"/>
      <c r="BN183" s="122"/>
      <c r="BO183" s="122"/>
      <c r="BP183" s="122"/>
      <c r="BR183" s="122"/>
      <c r="BS183" s="122"/>
      <c r="BT183" s="122"/>
      <c r="BU183" s="122"/>
      <c r="BV183" s="439"/>
      <c r="BW183" s="120">
        <f t="shared" si="49"/>
        <v>6120271.21</v>
      </c>
      <c r="BX183" s="121">
        <v>4.2500000000000003E-2</v>
      </c>
      <c r="BY183" s="121">
        <f t="shared" si="50"/>
        <v>4.19526386356006E-2</v>
      </c>
      <c r="BZ183" s="120">
        <f t="shared" si="51"/>
        <v>705.49581060121773</v>
      </c>
      <c r="CA183" s="120">
        <f t="shared" si="52"/>
        <v>25.46567615677327</v>
      </c>
    </row>
    <row r="184" spans="2:79" x14ac:dyDescent="0.25">
      <c r="B184" s="123" t="str">
        <f t="shared" si="42"/>
        <v>6 2025</v>
      </c>
      <c r="C184" s="122">
        <f t="shared" si="43"/>
        <v>45836</v>
      </c>
      <c r="D184" s="122">
        <f t="shared" si="47"/>
        <v>45837</v>
      </c>
      <c r="E184" s="123">
        <f t="shared" si="44"/>
        <v>1</v>
      </c>
      <c r="F184" s="123" t="s">
        <v>7</v>
      </c>
      <c r="G184" s="124">
        <f t="shared" ref="G184:H199" si="58">G183</f>
        <v>1340000</v>
      </c>
      <c r="H184" s="125">
        <f t="shared" si="58"/>
        <v>0.04</v>
      </c>
      <c r="I184" s="124">
        <f t="shared" si="41"/>
        <v>148.88888888888889</v>
      </c>
      <c r="J184" s="124">
        <f t="shared" si="45"/>
        <v>128863.35000000017</v>
      </c>
      <c r="K184" s="9"/>
      <c r="L184" s="11"/>
      <c r="M184" s="293"/>
      <c r="N184" s="97"/>
      <c r="O184" s="305"/>
      <c r="P184" s="304"/>
      <c r="Q184" s="307"/>
      <c r="S184" s="11"/>
      <c r="T184" s="293"/>
      <c r="U184" s="97"/>
      <c r="V184" s="305"/>
      <c r="W184" s="304"/>
      <c r="X184" s="307"/>
      <c r="Z184" s="11"/>
      <c r="AA184" s="293"/>
      <c r="AB184" s="97"/>
      <c r="AC184" s="305"/>
      <c r="AD184" s="304"/>
      <c r="AE184" s="307"/>
      <c r="AG184" s="11"/>
      <c r="AH184" s="293"/>
      <c r="AI184" s="97"/>
      <c r="AJ184" s="305"/>
      <c r="AK184" s="304"/>
      <c r="AL184" s="307"/>
      <c r="AN184" s="9"/>
      <c r="AO184" s="9"/>
      <c r="AP184" s="9"/>
      <c r="AQ184" s="9"/>
      <c r="AR184" s="9"/>
      <c r="AS184" s="9"/>
      <c r="AT184" s="123">
        <v>1</v>
      </c>
      <c r="AU184" s="123" t="s">
        <v>32</v>
      </c>
      <c r="AV184" s="124">
        <v>4780271.21</v>
      </c>
      <c r="AW184" s="139">
        <v>4.2500000000000003E-2</v>
      </c>
      <c r="AX184" s="123"/>
      <c r="AY184" s="140">
        <f t="shared" si="53"/>
        <v>556.60692171232881</v>
      </c>
      <c r="AZ184" s="140">
        <f t="shared" si="48"/>
        <v>169868.63688573265</v>
      </c>
      <c r="BA184" s="140">
        <f t="shared" si="46"/>
        <v>25.46567615677327</v>
      </c>
      <c r="BC184" s="122"/>
      <c r="BD184" s="122"/>
      <c r="BE184" s="122"/>
      <c r="BF184" s="122"/>
      <c r="BH184" s="122"/>
      <c r="BI184" s="122"/>
      <c r="BJ184" s="122"/>
      <c r="BK184" s="122"/>
      <c r="BM184" s="122"/>
      <c r="BN184" s="122"/>
      <c r="BO184" s="122"/>
      <c r="BP184" s="122"/>
      <c r="BR184" s="122"/>
      <c r="BS184" s="122"/>
      <c r="BT184" s="122"/>
      <c r="BU184" s="122"/>
      <c r="BV184" s="439"/>
      <c r="BW184" s="120">
        <f t="shared" si="49"/>
        <v>6120271.21</v>
      </c>
      <c r="BX184" s="121">
        <v>4.2500000000000003E-2</v>
      </c>
      <c r="BY184" s="121">
        <f t="shared" si="50"/>
        <v>4.19526386356006E-2</v>
      </c>
      <c r="BZ184" s="120">
        <f t="shared" si="51"/>
        <v>705.49581060121773</v>
      </c>
      <c r="CA184" s="120">
        <f t="shared" si="52"/>
        <v>25.46567615677327</v>
      </c>
    </row>
    <row r="185" spans="2:79" x14ac:dyDescent="0.25">
      <c r="B185" s="148" t="str">
        <f t="shared" si="42"/>
        <v>6 2025</v>
      </c>
      <c r="C185" s="149">
        <f t="shared" si="43"/>
        <v>45837</v>
      </c>
      <c r="D185" s="149">
        <f t="shared" si="47"/>
        <v>45838</v>
      </c>
      <c r="E185" s="148">
        <f t="shared" si="44"/>
        <v>1</v>
      </c>
      <c r="F185" s="148" t="s">
        <v>7</v>
      </c>
      <c r="G185" s="275">
        <f>G184</f>
        <v>1340000</v>
      </c>
      <c r="H185" s="151">
        <f t="shared" si="58"/>
        <v>0.04</v>
      </c>
      <c r="I185" s="150">
        <f t="shared" si="41"/>
        <v>148.88888888888889</v>
      </c>
      <c r="J185" s="150">
        <f t="shared" si="45"/>
        <v>129012.23888888906</v>
      </c>
      <c r="K185" s="9"/>
      <c r="L185" s="143"/>
      <c r="M185" s="419"/>
      <c r="N185" s="145"/>
      <c r="O185" s="420"/>
      <c r="P185" s="419"/>
      <c r="Q185" s="308"/>
      <c r="R185" s="17"/>
      <c r="S185" s="143"/>
      <c r="T185" s="419"/>
      <c r="U185" s="145"/>
      <c r="V185" s="420"/>
      <c r="W185" s="419"/>
      <c r="X185" s="308"/>
      <c r="Y185" s="17"/>
      <c r="Z185" s="143"/>
      <c r="AA185" s="419"/>
      <c r="AB185" s="145"/>
      <c r="AC185" s="420"/>
      <c r="AD185" s="419"/>
      <c r="AE185" s="308"/>
      <c r="AF185" s="17"/>
      <c r="AG185" s="143"/>
      <c r="AH185" s="419"/>
      <c r="AI185" s="145"/>
      <c r="AJ185" s="420"/>
      <c r="AK185" s="419"/>
      <c r="AL185" s="308"/>
      <c r="AM185" s="17"/>
      <c r="AN185" s="9"/>
      <c r="AO185" s="9"/>
      <c r="AP185" s="9"/>
      <c r="AQ185" s="9"/>
      <c r="AR185" s="9"/>
      <c r="AS185" s="9"/>
      <c r="AT185" s="148">
        <v>1</v>
      </c>
      <c r="AU185" s="148" t="s">
        <v>32</v>
      </c>
      <c r="AV185" s="150">
        <v>4780271.21</v>
      </c>
      <c r="AW185" s="152">
        <v>4.2500000000000003E-2</v>
      </c>
      <c r="AX185" s="152"/>
      <c r="AY185" s="201">
        <f t="shared" si="53"/>
        <v>556.60692171232881</v>
      </c>
      <c r="AZ185" s="153">
        <f t="shared" si="48"/>
        <v>170425.24380744496</v>
      </c>
      <c r="BA185" s="153">
        <f t="shared" si="46"/>
        <v>25.46567615677327</v>
      </c>
      <c r="BC185" s="122"/>
      <c r="BD185" s="122"/>
      <c r="BE185" s="122"/>
      <c r="BF185" s="122"/>
      <c r="BH185" s="122"/>
      <c r="BI185" s="122"/>
      <c r="BJ185" s="122"/>
      <c r="BK185" s="122"/>
      <c r="BM185" s="122"/>
      <c r="BN185" s="122"/>
      <c r="BO185" s="122"/>
      <c r="BP185" s="122"/>
      <c r="BR185" s="122"/>
      <c r="BS185" s="122"/>
      <c r="BT185" s="122"/>
      <c r="BU185" s="122"/>
      <c r="BV185" s="439"/>
      <c r="BW185" s="120">
        <f t="shared" si="49"/>
        <v>6120271.21</v>
      </c>
      <c r="BX185" s="173">
        <v>4.2500000000000003E-2</v>
      </c>
      <c r="BY185" s="121">
        <f t="shared" si="50"/>
        <v>4.19526386356006E-2</v>
      </c>
      <c r="BZ185" s="120">
        <f t="shared" si="51"/>
        <v>705.49581060121773</v>
      </c>
      <c r="CA185" s="120">
        <f t="shared" si="52"/>
        <v>25.46567615677327</v>
      </c>
    </row>
    <row r="186" spans="2:79" x14ac:dyDescent="0.25">
      <c r="B186" s="123" t="str">
        <f t="shared" si="42"/>
        <v>7 2025</v>
      </c>
      <c r="C186" s="122">
        <f t="shared" si="43"/>
        <v>45838</v>
      </c>
      <c r="D186" s="122">
        <f t="shared" si="47"/>
        <v>45839</v>
      </c>
      <c r="E186" s="123">
        <f t="shared" si="44"/>
        <v>1</v>
      </c>
      <c r="F186" s="123" t="s">
        <v>7</v>
      </c>
      <c r="G186" s="274">
        <f>G185+40000</f>
        <v>1380000</v>
      </c>
      <c r="H186" s="125">
        <f t="shared" si="58"/>
        <v>0.04</v>
      </c>
      <c r="I186" s="124">
        <f t="shared" si="41"/>
        <v>153.33333333333334</v>
      </c>
      <c r="J186" s="124">
        <f t="shared" si="45"/>
        <v>129165.57222222238</v>
      </c>
      <c r="K186" s="9"/>
      <c r="L186" s="11"/>
      <c r="M186" s="293"/>
      <c r="N186" s="97"/>
      <c r="O186" s="305"/>
      <c r="P186" s="304"/>
      <c r="Q186" s="307"/>
      <c r="S186" s="11"/>
      <c r="T186" s="293"/>
      <c r="U186" s="97"/>
      <c r="V186" s="305"/>
      <c r="W186" s="304"/>
      <c r="X186" s="307"/>
      <c r="Z186" s="11"/>
      <c r="AA186" s="293"/>
      <c r="AB186" s="97"/>
      <c r="AC186" s="305"/>
      <c r="AD186" s="304"/>
      <c r="AE186" s="307"/>
      <c r="AG186" s="11"/>
      <c r="AH186" s="293"/>
      <c r="AI186" s="97"/>
      <c r="AJ186" s="305"/>
      <c r="AK186" s="304"/>
      <c r="AL186" s="307"/>
      <c r="AN186" s="9"/>
      <c r="AO186" s="9"/>
      <c r="AP186" s="9"/>
      <c r="AQ186" s="9"/>
      <c r="AR186" s="9"/>
      <c r="AS186" s="9"/>
      <c r="AT186" s="123">
        <v>1</v>
      </c>
      <c r="AU186" s="123" t="s">
        <v>32</v>
      </c>
      <c r="AV186" s="124">
        <v>4480525.87</v>
      </c>
      <c r="AW186" s="291">
        <v>4.2500000000000003E-2</v>
      </c>
      <c r="AX186" s="123"/>
      <c r="AY186" s="140">
        <f t="shared" si="53"/>
        <v>521.70506705479454</v>
      </c>
      <c r="AZ186" s="140">
        <f t="shared" si="48"/>
        <v>170946.94887449977</v>
      </c>
      <c r="BA186" s="140">
        <f t="shared" si="46"/>
        <v>23.868859277016782</v>
      </c>
      <c r="BC186" s="122"/>
      <c r="BD186" s="122"/>
      <c r="BE186" s="122"/>
      <c r="BF186" s="122"/>
      <c r="BH186" s="122"/>
      <c r="BI186" s="122"/>
      <c r="BJ186" s="122"/>
      <c r="BK186" s="122"/>
      <c r="BM186" s="122"/>
      <c r="BN186" s="122"/>
      <c r="BO186" s="122"/>
      <c r="BP186" s="122"/>
      <c r="BR186" s="122"/>
      <c r="BS186" s="122"/>
      <c r="BT186" s="122"/>
      <c r="BU186" s="122"/>
      <c r="BV186" s="439"/>
      <c r="BW186" s="120">
        <f t="shared" si="49"/>
        <v>5860525.8700000001</v>
      </c>
      <c r="BX186" s="121">
        <v>4.2500000000000003E-2</v>
      </c>
      <c r="BY186" s="121">
        <f t="shared" si="50"/>
        <v>4.1911315626527557E-2</v>
      </c>
      <c r="BZ186" s="120">
        <f t="shared" si="51"/>
        <v>675.03840038812791</v>
      </c>
      <c r="CA186" s="120">
        <f t="shared" si="52"/>
        <v>23.868859277016782</v>
      </c>
    </row>
    <row r="187" spans="2:79" x14ac:dyDescent="0.25">
      <c r="B187" s="123" t="str">
        <f t="shared" si="42"/>
        <v>7 2025</v>
      </c>
      <c r="C187" s="122">
        <f t="shared" si="43"/>
        <v>45839</v>
      </c>
      <c r="D187" s="122">
        <f t="shared" si="47"/>
        <v>45840</v>
      </c>
      <c r="E187" s="123">
        <f t="shared" si="44"/>
        <v>1</v>
      </c>
      <c r="F187" s="123" t="s">
        <v>7</v>
      </c>
      <c r="G187" s="124">
        <f t="shared" si="58"/>
        <v>1380000</v>
      </c>
      <c r="H187" s="125">
        <f t="shared" si="58"/>
        <v>0.04</v>
      </c>
      <c r="I187" s="124">
        <f t="shared" si="41"/>
        <v>153.33333333333334</v>
      </c>
      <c r="J187" s="124">
        <f t="shared" si="45"/>
        <v>129318.90555555571</v>
      </c>
      <c r="K187" s="9"/>
      <c r="L187" s="11"/>
      <c r="M187" s="293"/>
      <c r="N187" s="97"/>
      <c r="O187" s="305"/>
      <c r="P187" s="304"/>
      <c r="Q187" s="307"/>
      <c r="S187" s="11"/>
      <c r="T187" s="293"/>
      <c r="U187" s="97"/>
      <c r="V187" s="305"/>
      <c r="W187" s="304"/>
      <c r="X187" s="307"/>
      <c r="Z187" s="11"/>
      <c r="AA187" s="293"/>
      <c r="AB187" s="97"/>
      <c r="AC187" s="305"/>
      <c r="AD187" s="304"/>
      <c r="AE187" s="307"/>
      <c r="AG187" s="11"/>
      <c r="AH187" s="293"/>
      <c r="AI187" s="97"/>
      <c r="AJ187" s="305"/>
      <c r="AK187" s="304"/>
      <c r="AL187" s="307"/>
      <c r="AN187" s="9"/>
      <c r="AO187" s="9"/>
      <c r="AP187" s="9"/>
      <c r="AQ187" s="9"/>
      <c r="AR187" s="9"/>
      <c r="AS187" s="9"/>
      <c r="AT187" s="123">
        <v>1</v>
      </c>
      <c r="AU187" s="123" t="s">
        <v>32</v>
      </c>
      <c r="AV187" s="124">
        <v>4481092.18</v>
      </c>
      <c r="AW187" s="291">
        <v>4.2500000000000003E-2</v>
      </c>
      <c r="AX187" s="123"/>
      <c r="AY187" s="140">
        <f t="shared" si="53"/>
        <v>521.7710072602739</v>
      </c>
      <c r="AZ187" s="140">
        <f t="shared" si="48"/>
        <v>171468.71988176004</v>
      </c>
      <c r="BA187" s="140">
        <f t="shared" si="46"/>
        <v>23.871876149162858</v>
      </c>
      <c r="BC187" s="122"/>
      <c r="BD187" s="122"/>
      <c r="BE187" s="122"/>
      <c r="BF187" s="122"/>
      <c r="BH187" s="122"/>
      <c r="BI187" s="122"/>
      <c r="BJ187" s="122"/>
      <c r="BK187" s="122"/>
      <c r="BM187" s="122"/>
      <c r="BN187" s="122"/>
      <c r="BO187" s="122"/>
      <c r="BP187" s="122"/>
      <c r="BR187" s="122"/>
      <c r="BS187" s="122"/>
      <c r="BT187" s="122"/>
      <c r="BU187" s="122"/>
      <c r="BV187" s="439"/>
      <c r="BW187" s="120">
        <f t="shared" si="49"/>
        <v>5861092.1799999997</v>
      </c>
      <c r="BX187" s="121">
        <v>4.2500000000000003E-2</v>
      </c>
      <c r="BY187" s="121">
        <f t="shared" si="50"/>
        <v>4.1911372506344031E-2</v>
      </c>
      <c r="BZ187" s="120">
        <f t="shared" si="51"/>
        <v>675.10434059360728</v>
      </c>
      <c r="CA187" s="120">
        <f t="shared" si="52"/>
        <v>23.871876149162858</v>
      </c>
    </row>
    <row r="188" spans="2:79" x14ac:dyDescent="0.25">
      <c r="B188" s="123" t="str">
        <f t="shared" si="42"/>
        <v>7 2025</v>
      </c>
      <c r="C188" s="122">
        <f t="shared" si="43"/>
        <v>45840</v>
      </c>
      <c r="D188" s="122">
        <f t="shared" si="47"/>
        <v>45841</v>
      </c>
      <c r="E188" s="123">
        <f t="shared" si="44"/>
        <v>1</v>
      </c>
      <c r="F188" s="123" t="s">
        <v>7</v>
      </c>
      <c r="G188" s="124">
        <f t="shared" si="58"/>
        <v>1380000</v>
      </c>
      <c r="H188" s="125">
        <f t="shared" si="58"/>
        <v>0.04</v>
      </c>
      <c r="I188" s="124">
        <f t="shared" si="41"/>
        <v>153.33333333333334</v>
      </c>
      <c r="J188" s="124">
        <f t="shared" si="45"/>
        <v>129472.23888888904</v>
      </c>
      <c r="K188" s="9"/>
      <c r="L188" s="11"/>
      <c r="M188" s="293"/>
      <c r="N188" s="97"/>
      <c r="O188" s="305"/>
      <c r="P188" s="304"/>
      <c r="Q188" s="307"/>
      <c r="S188" s="11"/>
      <c r="T188" s="293"/>
      <c r="U188" s="97"/>
      <c r="V188" s="305"/>
      <c r="W188" s="304"/>
      <c r="X188" s="307"/>
      <c r="Z188" s="11"/>
      <c r="AA188" s="293"/>
      <c r="AB188" s="97"/>
      <c r="AC188" s="305"/>
      <c r="AD188" s="304"/>
      <c r="AE188" s="307"/>
      <c r="AG188" s="11"/>
      <c r="AH188" s="293"/>
      <c r="AI188" s="97"/>
      <c r="AJ188" s="305"/>
      <c r="AK188" s="304"/>
      <c r="AL188" s="307"/>
      <c r="AN188" s="9"/>
      <c r="AO188" s="9"/>
      <c r="AP188" s="9"/>
      <c r="AQ188" s="9"/>
      <c r="AR188" s="9"/>
      <c r="AS188" s="9"/>
      <c r="AT188" s="123">
        <v>1</v>
      </c>
      <c r="AU188" s="123" t="s">
        <v>32</v>
      </c>
      <c r="AV188" s="124">
        <v>4290471.9800000004</v>
      </c>
      <c r="AW188" s="291">
        <v>4.2500000000000003E-2</v>
      </c>
      <c r="AX188" s="123"/>
      <c r="AY188" s="140">
        <f t="shared" si="53"/>
        <v>499.57550452054807</v>
      </c>
      <c r="AZ188" s="140">
        <f t="shared" si="48"/>
        <v>171968.2953862806</v>
      </c>
      <c r="BA188" s="140">
        <f t="shared" si="46"/>
        <v>22.856395631659097</v>
      </c>
      <c r="BC188" s="122"/>
      <c r="BD188" s="122"/>
      <c r="BE188" s="122"/>
      <c r="BF188" s="122"/>
      <c r="BH188" s="122"/>
      <c r="BI188" s="122"/>
      <c r="BJ188" s="122"/>
      <c r="BK188" s="122"/>
      <c r="BM188" s="122"/>
      <c r="BN188" s="122"/>
      <c r="BO188" s="122"/>
      <c r="BP188" s="122"/>
      <c r="BR188" s="122"/>
      <c r="BS188" s="122"/>
      <c r="BT188" s="122"/>
      <c r="BU188" s="122"/>
      <c r="BV188" s="439"/>
      <c r="BW188" s="120">
        <f t="shared" si="49"/>
        <v>5670471.9800000004</v>
      </c>
      <c r="BX188" s="121">
        <v>4.2500000000000003E-2</v>
      </c>
      <c r="BY188" s="121">
        <f t="shared" si="50"/>
        <v>4.189158503698312E-2</v>
      </c>
      <c r="BZ188" s="120">
        <f t="shared" si="51"/>
        <v>652.90883785388144</v>
      </c>
      <c r="CA188" s="120">
        <f t="shared" si="52"/>
        <v>22.856395631659097</v>
      </c>
    </row>
    <row r="189" spans="2:79" x14ac:dyDescent="0.25">
      <c r="B189" s="123" t="str">
        <f t="shared" si="42"/>
        <v>7 2025</v>
      </c>
      <c r="C189" s="122">
        <f t="shared" si="43"/>
        <v>45841</v>
      </c>
      <c r="D189" s="122">
        <f t="shared" si="47"/>
        <v>45842</v>
      </c>
      <c r="E189" s="123">
        <f t="shared" si="44"/>
        <v>1</v>
      </c>
      <c r="F189" s="123" t="s">
        <v>7</v>
      </c>
      <c r="G189" s="124">
        <f t="shared" si="58"/>
        <v>1380000</v>
      </c>
      <c r="H189" s="125">
        <f t="shared" si="58"/>
        <v>0.04</v>
      </c>
      <c r="I189" s="124">
        <f t="shared" si="41"/>
        <v>153.33333333333334</v>
      </c>
      <c r="J189" s="124">
        <f t="shared" si="45"/>
        <v>129625.57222222237</v>
      </c>
      <c r="K189" s="9"/>
      <c r="L189" s="11"/>
      <c r="M189" s="293"/>
      <c r="N189" s="97"/>
      <c r="O189" s="305"/>
      <c r="P189" s="304"/>
      <c r="Q189" s="307"/>
      <c r="S189" s="11"/>
      <c r="T189" s="293"/>
      <c r="U189" s="97"/>
      <c r="V189" s="305"/>
      <c r="W189" s="304"/>
      <c r="X189" s="307"/>
      <c r="Z189" s="11"/>
      <c r="AA189" s="293"/>
      <c r="AB189" s="97"/>
      <c r="AC189" s="305"/>
      <c r="AD189" s="304"/>
      <c r="AE189" s="307"/>
      <c r="AG189" s="11"/>
      <c r="AH189" s="293"/>
      <c r="AI189" s="97"/>
      <c r="AJ189" s="305"/>
      <c r="AK189" s="304"/>
      <c r="AL189" s="307"/>
      <c r="AN189" s="9"/>
      <c r="AO189" s="9"/>
      <c r="AP189" s="9"/>
      <c r="AQ189" s="9"/>
      <c r="AR189" s="9"/>
      <c r="AS189" s="9"/>
      <c r="AT189" s="123">
        <v>1</v>
      </c>
      <c r="AU189" s="123" t="s">
        <v>32</v>
      </c>
      <c r="AV189" s="124">
        <v>4290971.5599999996</v>
      </c>
      <c r="AW189" s="291">
        <v>4.2500000000000003E-2</v>
      </c>
      <c r="AX189" s="123"/>
      <c r="AY189" s="140">
        <f t="shared" si="53"/>
        <v>499.63367479452052</v>
      </c>
      <c r="AZ189" s="140">
        <f t="shared" si="48"/>
        <v>172467.92906107512</v>
      </c>
      <c r="BA189" s="140">
        <f t="shared" si="46"/>
        <v>22.859057016742781</v>
      </c>
      <c r="BC189" s="122"/>
      <c r="BD189" s="122"/>
      <c r="BE189" s="122"/>
      <c r="BF189" s="122"/>
      <c r="BH189" s="122"/>
      <c r="BI189" s="122"/>
      <c r="BJ189" s="122"/>
      <c r="BK189" s="122"/>
      <c r="BM189" s="122"/>
      <c r="BN189" s="122"/>
      <c r="BO189" s="122"/>
      <c r="BP189" s="122"/>
      <c r="BR189" s="122"/>
      <c r="BS189" s="122"/>
      <c r="BT189" s="122"/>
      <c r="BU189" s="122"/>
      <c r="BV189" s="439"/>
      <c r="BW189" s="120">
        <f t="shared" si="49"/>
        <v>5670971.5599999996</v>
      </c>
      <c r="BX189" s="121">
        <v>4.2500000000000003E-2</v>
      </c>
      <c r="BY189" s="121">
        <f t="shared" si="50"/>
        <v>4.1891638634844429E-2</v>
      </c>
      <c r="BZ189" s="120">
        <f t="shared" si="51"/>
        <v>652.96700812785389</v>
      </c>
      <c r="CA189" s="120">
        <f t="shared" si="52"/>
        <v>22.859057016742781</v>
      </c>
    </row>
    <row r="190" spans="2:79" x14ac:dyDescent="0.25">
      <c r="B190" s="123" t="str">
        <f t="shared" si="42"/>
        <v>7 2025</v>
      </c>
      <c r="C190" s="122">
        <f t="shared" si="43"/>
        <v>45842</v>
      </c>
      <c r="D190" s="122">
        <f t="shared" si="47"/>
        <v>45843</v>
      </c>
      <c r="E190" s="123">
        <f t="shared" si="44"/>
        <v>1</v>
      </c>
      <c r="F190" s="123" t="s">
        <v>7</v>
      </c>
      <c r="G190" s="124">
        <f t="shared" si="58"/>
        <v>1380000</v>
      </c>
      <c r="H190" s="125">
        <f t="shared" si="58"/>
        <v>0.04</v>
      </c>
      <c r="I190" s="124">
        <f t="shared" ref="I190:I253" si="59">G190*H190*E190/360</f>
        <v>153.33333333333334</v>
      </c>
      <c r="J190" s="124">
        <f t="shared" si="45"/>
        <v>129778.9055555557</v>
      </c>
      <c r="K190" s="9"/>
      <c r="L190" s="11"/>
      <c r="M190" s="293"/>
      <c r="N190" s="97"/>
      <c r="O190" s="305"/>
      <c r="P190" s="304"/>
      <c r="Q190" s="307"/>
      <c r="S190" s="11"/>
      <c r="T190" s="293"/>
      <c r="U190" s="97"/>
      <c r="V190" s="305"/>
      <c r="W190" s="304"/>
      <c r="X190" s="307"/>
      <c r="Z190" s="11"/>
      <c r="AA190" s="293"/>
      <c r="AB190" s="97"/>
      <c r="AC190" s="305"/>
      <c r="AD190" s="304"/>
      <c r="AE190" s="307"/>
      <c r="AG190" s="11"/>
      <c r="AH190" s="293"/>
      <c r="AI190" s="97"/>
      <c r="AJ190" s="305"/>
      <c r="AK190" s="304"/>
      <c r="AL190" s="307"/>
      <c r="AN190" s="9"/>
      <c r="AO190" s="9"/>
      <c r="AP190" s="9"/>
      <c r="AQ190" s="9"/>
      <c r="AR190" s="9"/>
      <c r="AS190" s="9"/>
      <c r="AT190" s="123">
        <v>1</v>
      </c>
      <c r="AU190" s="123" t="s">
        <v>32</v>
      </c>
      <c r="AV190" s="124">
        <v>4290971.5599999996</v>
      </c>
      <c r="AW190" s="291">
        <v>4.2500000000000003E-2</v>
      </c>
      <c r="AX190" s="123"/>
      <c r="AY190" s="140">
        <f t="shared" si="53"/>
        <v>499.63367479452052</v>
      </c>
      <c r="AZ190" s="140">
        <f t="shared" si="48"/>
        <v>172967.56273586964</v>
      </c>
      <c r="BA190" s="140">
        <f t="shared" si="46"/>
        <v>22.859057016742781</v>
      </c>
      <c r="BC190" s="122"/>
      <c r="BD190" s="122"/>
      <c r="BE190" s="122"/>
      <c r="BF190" s="122"/>
      <c r="BH190" s="122"/>
      <c r="BI190" s="122"/>
      <c r="BJ190" s="122"/>
      <c r="BK190" s="122"/>
      <c r="BM190" s="122"/>
      <c r="BN190" s="122"/>
      <c r="BO190" s="122"/>
      <c r="BP190" s="122"/>
      <c r="BR190" s="122"/>
      <c r="BS190" s="122"/>
      <c r="BT190" s="122"/>
      <c r="BU190" s="122"/>
      <c r="BV190" s="439"/>
      <c r="BW190" s="120">
        <f t="shared" si="49"/>
        <v>5670971.5599999996</v>
      </c>
      <c r="BX190" s="121">
        <v>4.2500000000000003E-2</v>
      </c>
      <c r="BY190" s="121">
        <f t="shared" si="50"/>
        <v>4.1891638634844429E-2</v>
      </c>
      <c r="BZ190" s="120">
        <f t="shared" si="51"/>
        <v>652.96700812785389</v>
      </c>
      <c r="CA190" s="120">
        <f t="shared" si="52"/>
        <v>22.859057016742781</v>
      </c>
    </row>
    <row r="191" spans="2:79" x14ac:dyDescent="0.25">
      <c r="B191" s="123" t="str">
        <f t="shared" ref="B191:B254" si="60">CONCATENATE(MONTH(D191)," ",YEAR(D191))</f>
        <v>7 2025</v>
      </c>
      <c r="C191" s="122">
        <f t="shared" ref="C191:C254" si="61">D190</f>
        <v>45843</v>
      </c>
      <c r="D191" s="122">
        <f t="shared" si="47"/>
        <v>45844</v>
      </c>
      <c r="E191" s="123">
        <f t="shared" ref="E191:E254" si="62">D191-C191</f>
        <v>1</v>
      </c>
      <c r="F191" s="123" t="s">
        <v>7</v>
      </c>
      <c r="G191" s="124">
        <f t="shared" si="58"/>
        <v>1380000</v>
      </c>
      <c r="H191" s="125">
        <f t="shared" si="58"/>
        <v>0.04</v>
      </c>
      <c r="I191" s="124">
        <f t="shared" si="59"/>
        <v>153.33333333333334</v>
      </c>
      <c r="J191" s="124">
        <f t="shared" ref="J191:J254" si="63">J190+I191</f>
        <v>129932.23888888903</v>
      </c>
      <c r="K191" s="9"/>
      <c r="L191" s="11"/>
      <c r="M191" s="293"/>
      <c r="N191" s="97"/>
      <c r="O191" s="305"/>
      <c r="P191" s="304"/>
      <c r="Q191" s="307"/>
      <c r="S191" s="11"/>
      <c r="T191" s="293"/>
      <c r="U191" s="97"/>
      <c r="V191" s="305"/>
      <c r="W191" s="304"/>
      <c r="X191" s="307"/>
      <c r="Z191" s="11"/>
      <c r="AA191" s="293"/>
      <c r="AB191" s="97"/>
      <c r="AC191" s="305"/>
      <c r="AD191" s="304"/>
      <c r="AE191" s="307"/>
      <c r="AG191" s="11"/>
      <c r="AH191" s="293"/>
      <c r="AI191" s="97"/>
      <c r="AJ191" s="305"/>
      <c r="AK191" s="304"/>
      <c r="AL191" s="307"/>
      <c r="AN191" s="9"/>
      <c r="AO191" s="9"/>
      <c r="AP191" s="9"/>
      <c r="AQ191" s="9"/>
      <c r="AR191" s="9"/>
      <c r="AS191" s="9"/>
      <c r="AT191" s="123">
        <v>1</v>
      </c>
      <c r="AU191" s="123" t="s">
        <v>32</v>
      </c>
      <c r="AV191" s="124">
        <v>4290971.5599999996</v>
      </c>
      <c r="AW191" s="291">
        <v>4.2500000000000003E-2</v>
      </c>
      <c r="AX191" s="123"/>
      <c r="AY191" s="140">
        <f t="shared" si="53"/>
        <v>499.63367479452052</v>
      </c>
      <c r="AZ191" s="140">
        <f t="shared" si="48"/>
        <v>173467.19641066415</v>
      </c>
      <c r="BA191" s="140">
        <f t="shared" si="46"/>
        <v>22.859057016742781</v>
      </c>
      <c r="BC191" s="122"/>
      <c r="BD191" s="122"/>
      <c r="BE191" s="122"/>
      <c r="BF191" s="122"/>
      <c r="BH191" s="122"/>
      <c r="BI191" s="122"/>
      <c r="BJ191" s="122"/>
      <c r="BK191" s="122"/>
      <c r="BM191" s="122"/>
      <c r="BN191" s="122"/>
      <c r="BO191" s="122"/>
      <c r="BP191" s="122"/>
      <c r="BR191" s="122"/>
      <c r="BS191" s="122"/>
      <c r="BT191" s="122"/>
      <c r="BU191" s="122"/>
      <c r="BV191" s="439"/>
      <c r="BW191" s="120">
        <f t="shared" si="49"/>
        <v>5670971.5599999996</v>
      </c>
      <c r="BX191" s="121">
        <v>4.2500000000000003E-2</v>
      </c>
      <c r="BY191" s="121">
        <f t="shared" si="50"/>
        <v>4.1891638634844429E-2</v>
      </c>
      <c r="BZ191" s="120">
        <f t="shared" si="51"/>
        <v>652.96700812785389</v>
      </c>
      <c r="CA191" s="120">
        <f t="shared" si="52"/>
        <v>22.859057016742781</v>
      </c>
    </row>
    <row r="192" spans="2:79" x14ac:dyDescent="0.25">
      <c r="B192" s="123" t="str">
        <f t="shared" si="60"/>
        <v>7 2025</v>
      </c>
      <c r="C192" s="122">
        <f t="shared" si="61"/>
        <v>45844</v>
      </c>
      <c r="D192" s="122">
        <f t="shared" si="47"/>
        <v>45845</v>
      </c>
      <c r="E192" s="123">
        <f t="shared" si="62"/>
        <v>1</v>
      </c>
      <c r="F192" s="123" t="s">
        <v>7</v>
      </c>
      <c r="G192" s="124">
        <f t="shared" si="58"/>
        <v>1380000</v>
      </c>
      <c r="H192" s="125">
        <f t="shared" si="58"/>
        <v>0.04</v>
      </c>
      <c r="I192" s="124">
        <f t="shared" si="59"/>
        <v>153.33333333333334</v>
      </c>
      <c r="J192" s="124">
        <f t="shared" si="63"/>
        <v>130085.57222222236</v>
      </c>
      <c r="K192" s="9"/>
      <c r="L192" s="11"/>
      <c r="M192" s="293"/>
      <c r="N192" s="97"/>
      <c r="O192" s="305"/>
      <c r="P192" s="304"/>
      <c r="Q192" s="307"/>
      <c r="S192" s="11"/>
      <c r="T192" s="293"/>
      <c r="U192" s="97"/>
      <c r="V192" s="305"/>
      <c r="W192" s="304"/>
      <c r="X192" s="307"/>
      <c r="Z192" s="11"/>
      <c r="AA192" s="293"/>
      <c r="AB192" s="97"/>
      <c r="AC192" s="305"/>
      <c r="AD192" s="304"/>
      <c r="AE192" s="307"/>
      <c r="AG192" s="11"/>
      <c r="AH192" s="293"/>
      <c r="AI192" s="97"/>
      <c r="AJ192" s="305"/>
      <c r="AK192" s="304"/>
      <c r="AL192" s="307"/>
      <c r="AN192" s="9"/>
      <c r="AO192" s="9"/>
      <c r="AP192" s="9"/>
      <c r="AQ192" s="9"/>
      <c r="AR192" s="9"/>
      <c r="AS192" s="9"/>
      <c r="AT192" s="123">
        <v>1</v>
      </c>
      <c r="AU192" s="123" t="s">
        <v>32</v>
      </c>
      <c r="AV192" s="124">
        <v>4290971.5599999996</v>
      </c>
      <c r="AW192" s="291">
        <v>4.2500000000000003E-2</v>
      </c>
      <c r="AX192" s="123"/>
      <c r="AY192" s="140">
        <f t="shared" si="53"/>
        <v>499.63367479452052</v>
      </c>
      <c r="AZ192" s="140">
        <f t="shared" si="48"/>
        <v>173966.83008545867</v>
      </c>
      <c r="BA192" s="140">
        <f t="shared" si="46"/>
        <v>22.859057016742781</v>
      </c>
      <c r="BC192" s="122"/>
      <c r="BD192" s="122"/>
      <c r="BE192" s="122"/>
      <c r="BF192" s="122"/>
      <c r="BH192" s="122"/>
      <c r="BI192" s="122"/>
      <c r="BJ192" s="122"/>
      <c r="BK192" s="122"/>
      <c r="BM192" s="122"/>
      <c r="BN192" s="122"/>
      <c r="BO192" s="122"/>
      <c r="BP192" s="122"/>
      <c r="BR192" s="122"/>
      <c r="BS192" s="122"/>
      <c r="BT192" s="122"/>
      <c r="BU192" s="122"/>
      <c r="BV192" s="439"/>
      <c r="BW192" s="120">
        <f t="shared" si="49"/>
        <v>5670971.5599999996</v>
      </c>
      <c r="BX192" s="121">
        <v>4.2500000000000003E-2</v>
      </c>
      <c r="BY192" s="121">
        <f t="shared" si="50"/>
        <v>4.1891638634844429E-2</v>
      </c>
      <c r="BZ192" s="120">
        <f t="shared" si="51"/>
        <v>652.96700812785389</v>
      </c>
      <c r="CA192" s="120">
        <f t="shared" si="52"/>
        <v>22.859057016742781</v>
      </c>
    </row>
    <row r="193" spans="1:79" x14ac:dyDescent="0.25">
      <c r="A193" s="24" t="s">
        <v>99</v>
      </c>
      <c r="B193" s="123" t="str">
        <f t="shared" si="60"/>
        <v>7 2025</v>
      </c>
      <c r="C193" s="250">
        <f t="shared" si="61"/>
        <v>45845</v>
      </c>
      <c r="D193" s="122">
        <f t="shared" si="47"/>
        <v>45846</v>
      </c>
      <c r="E193" s="123">
        <f t="shared" si="62"/>
        <v>1</v>
      </c>
      <c r="F193" s="123" t="s">
        <v>7</v>
      </c>
      <c r="G193" s="126">
        <f>G192+1530000</f>
        <v>2910000</v>
      </c>
      <c r="H193" s="125">
        <f t="shared" si="58"/>
        <v>0.04</v>
      </c>
      <c r="I193" s="124">
        <f t="shared" si="59"/>
        <v>323.33333333333331</v>
      </c>
      <c r="J193" s="124">
        <f t="shared" si="63"/>
        <v>130408.90555555568</v>
      </c>
      <c r="K193" s="9"/>
      <c r="L193" s="11"/>
      <c r="M193" s="293"/>
      <c r="N193" s="97"/>
      <c r="O193" s="305"/>
      <c r="P193" s="304"/>
      <c r="Q193" s="307"/>
      <c r="S193" s="11"/>
      <c r="T193" s="293"/>
      <c r="U193" s="97"/>
      <c r="V193" s="305"/>
      <c r="W193" s="304"/>
      <c r="X193" s="307"/>
      <c r="Z193" s="11"/>
      <c r="AA193" s="293"/>
      <c r="AB193" s="97"/>
      <c r="AC193" s="305"/>
      <c r="AD193" s="304"/>
      <c r="AE193" s="307"/>
      <c r="AG193" s="11"/>
      <c r="AH193" s="293"/>
      <c r="AI193" s="97"/>
      <c r="AJ193" s="305"/>
      <c r="AK193" s="304"/>
      <c r="AL193" s="307"/>
      <c r="AN193" s="9"/>
      <c r="AO193" s="9"/>
      <c r="AP193" s="9"/>
      <c r="AQ193" s="9"/>
      <c r="AR193" s="9"/>
      <c r="AS193" s="9"/>
      <c r="AT193" s="123">
        <v>1</v>
      </c>
      <c r="AU193" s="123" t="s">
        <v>32</v>
      </c>
      <c r="AV193" s="124">
        <v>4289334.2300000004</v>
      </c>
      <c r="AW193" s="291">
        <v>4.2500000000000003E-2</v>
      </c>
      <c r="AX193" s="123"/>
      <c r="AY193" s="140">
        <f t="shared" si="53"/>
        <v>499.44302678082198</v>
      </c>
      <c r="AZ193" s="140">
        <f t="shared" si="48"/>
        <v>174466.27311223949</v>
      </c>
      <c r="BA193" s="140">
        <f t="shared" si="46"/>
        <v>22.850334558599741</v>
      </c>
      <c r="BC193" s="122"/>
      <c r="BD193" s="122"/>
      <c r="BE193" s="122"/>
      <c r="BF193" s="122"/>
      <c r="BH193" s="122"/>
      <c r="BI193" s="122"/>
      <c r="BJ193" s="122"/>
      <c r="BK193" s="122"/>
      <c r="BM193" s="122"/>
      <c r="BN193" s="122"/>
      <c r="BO193" s="122"/>
      <c r="BP193" s="122"/>
      <c r="BR193" s="122"/>
      <c r="BS193" s="122"/>
      <c r="BT193" s="122"/>
      <c r="BU193" s="122"/>
      <c r="BV193" s="439"/>
      <c r="BW193" s="120">
        <f t="shared" si="49"/>
        <v>7199334.2300000004</v>
      </c>
      <c r="BX193" s="121">
        <v>4.2500000000000003E-2</v>
      </c>
      <c r="BY193" s="121">
        <f t="shared" si="50"/>
        <v>4.1489489893428655E-2</v>
      </c>
      <c r="BZ193" s="120">
        <f t="shared" si="51"/>
        <v>822.7763601141553</v>
      </c>
      <c r="CA193" s="120">
        <f t="shared" si="52"/>
        <v>22.850334558599741</v>
      </c>
    </row>
    <row r="194" spans="1:79" x14ac:dyDescent="0.25">
      <c r="B194" s="123" t="str">
        <f t="shared" si="60"/>
        <v>7 2025</v>
      </c>
      <c r="C194" s="122">
        <f t="shared" si="61"/>
        <v>45846</v>
      </c>
      <c r="D194" s="122">
        <f t="shared" si="47"/>
        <v>45847</v>
      </c>
      <c r="E194" s="123">
        <f t="shared" si="62"/>
        <v>1</v>
      </c>
      <c r="F194" s="123" t="s">
        <v>7</v>
      </c>
      <c r="G194" s="124">
        <f t="shared" si="58"/>
        <v>2910000</v>
      </c>
      <c r="H194" s="125">
        <f t="shared" si="58"/>
        <v>0.04</v>
      </c>
      <c r="I194" s="124">
        <f t="shared" si="59"/>
        <v>323.33333333333331</v>
      </c>
      <c r="J194" s="124">
        <f t="shared" si="63"/>
        <v>130732.23888888901</v>
      </c>
      <c r="K194" s="9"/>
      <c r="L194" s="11"/>
      <c r="M194" s="293"/>
      <c r="N194" s="97"/>
      <c r="O194" s="305"/>
      <c r="P194" s="304"/>
      <c r="Q194" s="307"/>
      <c r="S194" s="11"/>
      <c r="T194" s="293"/>
      <c r="U194" s="97"/>
      <c r="V194" s="305"/>
      <c r="W194" s="304"/>
      <c r="X194" s="307"/>
      <c r="Z194" s="11"/>
      <c r="AA194" s="293"/>
      <c r="AB194" s="97"/>
      <c r="AC194" s="305"/>
      <c r="AD194" s="304"/>
      <c r="AE194" s="307"/>
      <c r="AG194" s="11"/>
      <c r="AH194" s="293"/>
      <c r="AI194" s="97"/>
      <c r="AJ194" s="305"/>
      <c r="AK194" s="304"/>
      <c r="AL194" s="307"/>
      <c r="AN194" s="9"/>
      <c r="AO194" s="9"/>
      <c r="AP194" s="9"/>
      <c r="AQ194" s="9"/>
      <c r="AR194" s="9"/>
      <c r="AS194" s="9"/>
      <c r="AT194" s="123">
        <v>1</v>
      </c>
      <c r="AU194" s="123" t="s">
        <v>32</v>
      </c>
      <c r="AV194" s="124">
        <v>4289833.67</v>
      </c>
      <c r="AW194" s="291">
        <v>4.2500000000000003E-2</v>
      </c>
      <c r="AX194" s="123"/>
      <c r="AY194" s="140">
        <f t="shared" si="53"/>
        <v>499.50118075342465</v>
      </c>
      <c r="AZ194" s="140">
        <f t="shared" si="48"/>
        <v>174965.77429299292</v>
      </c>
      <c r="BA194" s="140">
        <f t="shared" si="46"/>
        <v>22.85299519786912</v>
      </c>
      <c r="BC194" s="122"/>
      <c r="BD194" s="122"/>
      <c r="BE194" s="122"/>
      <c r="BF194" s="122"/>
      <c r="BH194" s="122"/>
      <c r="BI194" s="122"/>
      <c r="BJ194" s="122"/>
      <c r="BK194" s="122"/>
      <c r="BM194" s="122"/>
      <c r="BN194" s="122"/>
      <c r="BO194" s="122"/>
      <c r="BP194" s="122"/>
      <c r="BR194" s="122"/>
      <c r="BS194" s="122"/>
      <c r="BT194" s="122"/>
      <c r="BU194" s="122"/>
      <c r="BV194" s="439"/>
      <c r="BW194" s="120">
        <f t="shared" si="49"/>
        <v>7199833.6699999999</v>
      </c>
      <c r="BX194" s="121">
        <v>4.2500000000000003E-2</v>
      </c>
      <c r="BY194" s="121">
        <f t="shared" si="50"/>
        <v>4.1489559990765736E-2</v>
      </c>
      <c r="BZ194" s="120">
        <f t="shared" si="51"/>
        <v>822.83451408675796</v>
      </c>
      <c r="CA194" s="120">
        <f t="shared" si="52"/>
        <v>22.85299519786912</v>
      </c>
    </row>
    <row r="195" spans="1:79" x14ac:dyDescent="0.25">
      <c r="B195" s="123" t="str">
        <f t="shared" si="60"/>
        <v>7 2025</v>
      </c>
      <c r="C195" s="122">
        <f t="shared" si="61"/>
        <v>45847</v>
      </c>
      <c r="D195" s="122">
        <f t="shared" si="47"/>
        <v>45848</v>
      </c>
      <c r="E195" s="123">
        <f t="shared" si="62"/>
        <v>1</v>
      </c>
      <c r="F195" s="123" t="s">
        <v>7</v>
      </c>
      <c r="G195" s="124">
        <f t="shared" si="58"/>
        <v>2910000</v>
      </c>
      <c r="H195" s="125">
        <f t="shared" si="58"/>
        <v>0.04</v>
      </c>
      <c r="I195" s="124">
        <f t="shared" si="59"/>
        <v>323.33333333333331</v>
      </c>
      <c r="J195" s="124">
        <f t="shared" si="63"/>
        <v>131055.57222222234</v>
      </c>
      <c r="K195" s="9"/>
      <c r="L195" s="11"/>
      <c r="M195" s="293"/>
      <c r="N195" s="97"/>
      <c r="O195" s="305"/>
      <c r="P195" s="304"/>
      <c r="Q195" s="307"/>
      <c r="S195" s="11"/>
      <c r="T195" s="293"/>
      <c r="U195" s="97"/>
      <c r="V195" s="305"/>
      <c r="W195" s="304"/>
      <c r="X195" s="307"/>
      <c r="Z195" s="11"/>
      <c r="AA195" s="293"/>
      <c r="AB195" s="97"/>
      <c r="AC195" s="305"/>
      <c r="AD195" s="304"/>
      <c r="AE195" s="307"/>
      <c r="AG195" s="11"/>
      <c r="AH195" s="293"/>
      <c r="AI195" s="97"/>
      <c r="AJ195" s="305"/>
      <c r="AK195" s="304"/>
      <c r="AL195" s="307"/>
      <c r="AN195" s="9"/>
      <c r="AO195" s="9"/>
      <c r="AP195" s="9"/>
      <c r="AQ195" s="9"/>
      <c r="AR195" s="9"/>
      <c r="AS195" s="9"/>
      <c r="AT195" s="123">
        <v>1</v>
      </c>
      <c r="AU195" s="123" t="s">
        <v>32</v>
      </c>
      <c r="AV195" s="124">
        <v>4290333.17</v>
      </c>
      <c r="AW195" s="291">
        <v>4.2500000000000003E-2</v>
      </c>
      <c r="AX195" s="123"/>
      <c r="AY195" s="140">
        <f t="shared" si="53"/>
        <v>499.55934171232877</v>
      </c>
      <c r="AZ195" s="140">
        <f t="shared" si="48"/>
        <v>175465.33363470525</v>
      </c>
      <c r="BA195" s="140">
        <f t="shared" si="46"/>
        <v>22.855656156773193</v>
      </c>
      <c r="BC195" s="122"/>
      <c r="BD195" s="122"/>
      <c r="BE195" s="122"/>
      <c r="BF195" s="122"/>
      <c r="BH195" s="122"/>
      <c r="BI195" s="122"/>
      <c r="BJ195" s="122"/>
      <c r="BK195" s="122"/>
      <c r="BM195" s="122"/>
      <c r="BN195" s="122"/>
      <c r="BO195" s="122"/>
      <c r="BP195" s="122"/>
      <c r="BR195" s="122"/>
      <c r="BS195" s="122"/>
      <c r="BT195" s="122"/>
      <c r="BU195" s="122"/>
      <c r="BV195" s="439"/>
      <c r="BW195" s="120">
        <f t="shared" si="49"/>
        <v>7200333.1699999999</v>
      </c>
      <c r="BX195" s="121">
        <v>4.2500000000000003E-2</v>
      </c>
      <c r="BY195" s="121">
        <f t="shared" si="50"/>
        <v>4.1489630086797784E-2</v>
      </c>
      <c r="BZ195" s="120">
        <f t="shared" si="51"/>
        <v>822.89267504566214</v>
      </c>
      <c r="CA195" s="120">
        <f t="shared" si="52"/>
        <v>22.855656156773193</v>
      </c>
    </row>
    <row r="196" spans="1:79" x14ac:dyDescent="0.25">
      <c r="B196" s="123" t="str">
        <f t="shared" si="60"/>
        <v>7 2025</v>
      </c>
      <c r="C196" s="122">
        <f t="shared" si="61"/>
        <v>45848</v>
      </c>
      <c r="D196" s="122">
        <f t="shared" si="47"/>
        <v>45849</v>
      </c>
      <c r="E196" s="123">
        <f t="shared" si="62"/>
        <v>1</v>
      </c>
      <c r="F196" s="123" t="s">
        <v>7</v>
      </c>
      <c r="G196" s="126">
        <f>G195-450000</f>
        <v>2460000</v>
      </c>
      <c r="H196" s="125">
        <f t="shared" si="58"/>
        <v>0.04</v>
      </c>
      <c r="I196" s="124">
        <f t="shared" si="59"/>
        <v>273.33333333333331</v>
      </c>
      <c r="J196" s="124">
        <f t="shared" si="63"/>
        <v>131328.90555555568</v>
      </c>
      <c r="K196" s="9"/>
      <c r="L196" s="11"/>
      <c r="M196" s="293"/>
      <c r="N196" s="97"/>
      <c r="O196" s="305"/>
      <c r="P196" s="304"/>
      <c r="Q196" s="307"/>
      <c r="S196" s="11"/>
      <c r="T196" s="293"/>
      <c r="U196" s="97"/>
      <c r="V196" s="305"/>
      <c r="W196" s="304"/>
      <c r="X196" s="307"/>
      <c r="Z196" s="11"/>
      <c r="AA196" s="293"/>
      <c r="AB196" s="97"/>
      <c r="AC196" s="305"/>
      <c r="AD196" s="304"/>
      <c r="AE196" s="307"/>
      <c r="AG196" s="11"/>
      <c r="AH196" s="293"/>
      <c r="AI196" s="97"/>
      <c r="AJ196" s="305"/>
      <c r="AK196" s="304"/>
      <c r="AL196" s="307"/>
      <c r="AN196" s="9"/>
      <c r="AO196" s="9"/>
      <c r="AP196" s="9"/>
      <c r="AQ196" s="9"/>
      <c r="AR196" s="9"/>
      <c r="AS196" s="9"/>
      <c r="AT196" s="123">
        <v>1</v>
      </c>
      <c r="AU196" s="123" t="s">
        <v>32</v>
      </c>
      <c r="AV196" s="124">
        <v>4000876.53</v>
      </c>
      <c r="AW196" s="291">
        <v>4.2500000000000003E-2</v>
      </c>
      <c r="AX196" s="123"/>
      <c r="AY196" s="140">
        <f t="shared" si="53"/>
        <v>465.855486369863</v>
      </c>
      <c r="AZ196" s="140">
        <f t="shared" si="48"/>
        <v>175931.18912107512</v>
      </c>
      <c r="BA196" s="140">
        <f t="shared" si="46"/>
        <v>21.313649703196347</v>
      </c>
      <c r="BC196" s="122"/>
      <c r="BD196" s="122"/>
      <c r="BE196" s="122"/>
      <c r="BF196" s="122"/>
      <c r="BH196" s="122"/>
      <c r="BI196" s="122"/>
      <c r="BJ196" s="122"/>
      <c r="BK196" s="122"/>
      <c r="BM196" s="122"/>
      <c r="BN196" s="122"/>
      <c r="BO196" s="122"/>
      <c r="BP196" s="122"/>
      <c r="BR196" s="122"/>
      <c r="BS196" s="122"/>
      <c r="BT196" s="122"/>
      <c r="BU196" s="122"/>
      <c r="BV196" s="439"/>
      <c r="BW196" s="120">
        <f t="shared" si="49"/>
        <v>6460876.5299999993</v>
      </c>
      <c r="BX196" s="121">
        <v>4.2500000000000003E-2</v>
      </c>
      <c r="BY196" s="121">
        <f t="shared" si="50"/>
        <v>4.1548116773096735E-2</v>
      </c>
      <c r="BZ196" s="120">
        <f t="shared" si="51"/>
        <v>739.18881970319626</v>
      </c>
      <c r="CA196" s="120">
        <f t="shared" si="52"/>
        <v>21.313649703196347</v>
      </c>
    </row>
    <row r="197" spans="1:79" x14ac:dyDescent="0.25">
      <c r="B197" s="123" t="str">
        <f t="shared" si="60"/>
        <v>7 2025</v>
      </c>
      <c r="C197" s="122">
        <f t="shared" si="61"/>
        <v>45849</v>
      </c>
      <c r="D197" s="122">
        <f t="shared" si="47"/>
        <v>45850</v>
      </c>
      <c r="E197" s="123">
        <f t="shared" si="62"/>
        <v>1</v>
      </c>
      <c r="F197" s="123" t="s">
        <v>7</v>
      </c>
      <c r="G197" s="124">
        <f t="shared" si="58"/>
        <v>2460000</v>
      </c>
      <c r="H197" s="125">
        <f t="shared" si="58"/>
        <v>0.04</v>
      </c>
      <c r="I197" s="124">
        <f t="shared" si="59"/>
        <v>273.33333333333331</v>
      </c>
      <c r="J197" s="124">
        <f t="shared" si="63"/>
        <v>131602.23888888903</v>
      </c>
      <c r="K197" s="9"/>
      <c r="L197" s="11"/>
      <c r="M197" s="293"/>
      <c r="N197" s="97"/>
      <c r="O197" s="305"/>
      <c r="P197" s="304"/>
      <c r="Q197" s="307"/>
      <c r="S197" s="11"/>
      <c r="T197" s="293"/>
      <c r="U197" s="97"/>
      <c r="V197" s="305"/>
      <c r="W197" s="304"/>
      <c r="X197" s="307"/>
      <c r="Z197" s="11"/>
      <c r="AA197" s="293"/>
      <c r="AB197" s="97"/>
      <c r="AC197" s="305"/>
      <c r="AD197" s="304"/>
      <c r="AE197" s="307"/>
      <c r="AG197" s="11"/>
      <c r="AH197" s="293"/>
      <c r="AI197" s="97"/>
      <c r="AJ197" s="305"/>
      <c r="AK197" s="304"/>
      <c r="AL197" s="307"/>
      <c r="AN197" s="9"/>
      <c r="AO197" s="9"/>
      <c r="AP197" s="9"/>
      <c r="AQ197" s="9"/>
      <c r="AR197" s="9"/>
      <c r="AS197" s="9"/>
      <c r="AT197" s="123">
        <v>1</v>
      </c>
      <c r="AU197" s="123" t="s">
        <v>32</v>
      </c>
      <c r="AV197" s="124">
        <v>4000581.45</v>
      </c>
      <c r="AW197" s="291">
        <v>4.2500000000000003E-2</v>
      </c>
      <c r="AX197" s="123"/>
      <c r="AY197" s="140">
        <f t="shared" si="53"/>
        <v>465.82112773972608</v>
      </c>
      <c r="AZ197" s="140">
        <f t="shared" si="48"/>
        <v>176397.01024881486</v>
      </c>
      <c r="BA197" s="140">
        <f t="shared" ref="BA197:BA260" si="64">AY197-AV197*H197*AT197/360</f>
        <v>21.312077739726078</v>
      </c>
      <c r="BC197" s="122"/>
      <c r="BD197" s="122"/>
      <c r="BE197" s="122"/>
      <c r="BF197" s="122"/>
      <c r="BH197" s="122"/>
      <c r="BI197" s="122"/>
      <c r="BJ197" s="122"/>
      <c r="BK197" s="122"/>
      <c r="BM197" s="122"/>
      <c r="BN197" s="122"/>
      <c r="BO197" s="122"/>
      <c r="BP197" s="122"/>
      <c r="BR197" s="122"/>
      <c r="BS197" s="122"/>
      <c r="BT197" s="122"/>
      <c r="BU197" s="122"/>
      <c r="BV197" s="439"/>
      <c r="BW197" s="120">
        <f t="shared" si="49"/>
        <v>6460581.4500000002</v>
      </c>
      <c r="BX197" s="121">
        <v>4.2500000000000003E-2</v>
      </c>
      <c r="BY197" s="121">
        <f t="shared" si="50"/>
        <v>4.1548073296870207E-2</v>
      </c>
      <c r="BZ197" s="120">
        <f t="shared" si="51"/>
        <v>739.15446107305934</v>
      </c>
      <c r="CA197" s="120">
        <f t="shared" si="52"/>
        <v>21.312077739726078</v>
      </c>
    </row>
    <row r="198" spans="1:79" x14ac:dyDescent="0.25">
      <c r="B198" s="123" t="str">
        <f t="shared" si="60"/>
        <v>7 2025</v>
      </c>
      <c r="C198" s="122">
        <f t="shared" si="61"/>
        <v>45850</v>
      </c>
      <c r="D198" s="122">
        <f t="shared" ref="D198:D261" si="65">D197+1</f>
        <v>45851</v>
      </c>
      <c r="E198" s="123">
        <f t="shared" si="62"/>
        <v>1</v>
      </c>
      <c r="F198" s="123" t="s">
        <v>7</v>
      </c>
      <c r="G198" s="124">
        <f t="shared" si="58"/>
        <v>2460000</v>
      </c>
      <c r="H198" s="125">
        <f t="shared" si="58"/>
        <v>0.04</v>
      </c>
      <c r="I198" s="124">
        <f t="shared" si="59"/>
        <v>273.33333333333331</v>
      </c>
      <c r="J198" s="124">
        <f t="shared" si="63"/>
        <v>131875.57222222237</v>
      </c>
      <c r="K198" s="9"/>
      <c r="L198" s="11"/>
      <c r="M198" s="293"/>
      <c r="N198" s="97"/>
      <c r="O198" s="305"/>
      <c r="P198" s="304"/>
      <c r="Q198" s="307"/>
      <c r="S198" s="11"/>
      <c r="T198" s="293"/>
      <c r="U198" s="97"/>
      <c r="V198" s="305"/>
      <c r="W198" s="304"/>
      <c r="X198" s="307"/>
      <c r="Z198" s="11"/>
      <c r="AA198" s="293"/>
      <c r="AB198" s="97"/>
      <c r="AC198" s="305"/>
      <c r="AD198" s="304"/>
      <c r="AE198" s="307"/>
      <c r="AG198" s="11"/>
      <c r="AH198" s="293"/>
      <c r="AI198" s="97"/>
      <c r="AJ198" s="305"/>
      <c r="AK198" s="304"/>
      <c r="AL198" s="307"/>
      <c r="AN198" s="9"/>
      <c r="AO198" s="9"/>
      <c r="AP198" s="9"/>
      <c r="AQ198" s="9"/>
      <c r="AR198" s="9"/>
      <c r="AS198" s="9"/>
      <c r="AT198" s="123">
        <v>1</v>
      </c>
      <c r="AU198" s="123" t="s">
        <v>32</v>
      </c>
      <c r="AV198" s="124">
        <v>4000581.45</v>
      </c>
      <c r="AW198" s="291">
        <v>4.2500000000000003E-2</v>
      </c>
      <c r="AX198" s="123"/>
      <c r="AY198" s="140">
        <f t="shared" si="53"/>
        <v>465.82112773972608</v>
      </c>
      <c r="AZ198" s="140">
        <f t="shared" ref="AZ198:AZ249" si="66">AZ197+AY198</f>
        <v>176862.83137655459</v>
      </c>
      <c r="BA198" s="140">
        <f t="shared" si="64"/>
        <v>21.312077739726078</v>
      </c>
      <c r="BC198" s="122"/>
      <c r="BD198" s="122"/>
      <c r="BE198" s="122"/>
      <c r="BF198" s="122"/>
      <c r="BH198" s="122"/>
      <c r="BI198" s="122"/>
      <c r="BJ198" s="122"/>
      <c r="BK198" s="122"/>
      <c r="BM198" s="122"/>
      <c r="BN198" s="122"/>
      <c r="BO198" s="122"/>
      <c r="BP198" s="122"/>
      <c r="BR198" s="122"/>
      <c r="BS198" s="122"/>
      <c r="BT198" s="122"/>
      <c r="BU198" s="122"/>
      <c r="BV198" s="439"/>
      <c r="BW198" s="120">
        <f t="shared" ref="BW198:BW261" si="67">AV198+G198+M198+T198+AA198+AH198+AN198+BC198+BH198+BM198+BR198</f>
        <v>6460581.4500000002</v>
      </c>
      <c r="BX198" s="121">
        <v>4.2500000000000003E-2</v>
      </c>
      <c r="BY198" s="121">
        <f t="shared" ref="BY198:BY261" si="68">(SUM((AW198*AV198),(H198*G198),(M198*N198),(T198*U198),(AA198*AB198),(AH198*AI198),(AN198*AO198),(BC198*BD198),(BH198*BI198),(BM198*BN198),(BR198*BS198))/BW198)</f>
        <v>4.1548073296870207E-2</v>
      </c>
      <c r="BZ198" s="120">
        <f t="shared" ref="BZ198:BZ261" si="69">AY198+I198+O198+V198+AC198+AJ198+AP198+BE198+BJ198+BO198+BT198</f>
        <v>739.15446107305934</v>
      </c>
      <c r="CA198" s="120">
        <f t="shared" ref="CA198:CA261" si="70">BA198+Q198+X198+AE198+AL198+AQ198+BF198+BK198+BP198+BU198</f>
        <v>21.312077739726078</v>
      </c>
    </row>
    <row r="199" spans="1:79" x14ac:dyDescent="0.25">
      <c r="B199" s="123" t="str">
        <f t="shared" si="60"/>
        <v>7 2025</v>
      </c>
      <c r="C199" s="122">
        <f t="shared" si="61"/>
        <v>45851</v>
      </c>
      <c r="D199" s="122">
        <f t="shared" si="65"/>
        <v>45852</v>
      </c>
      <c r="E199" s="123">
        <f t="shared" si="62"/>
        <v>1</v>
      </c>
      <c r="F199" s="123" t="s">
        <v>7</v>
      </c>
      <c r="G199" s="124">
        <f t="shared" si="58"/>
        <v>2460000</v>
      </c>
      <c r="H199" s="125">
        <f t="shared" si="58"/>
        <v>0.04</v>
      </c>
      <c r="I199" s="124">
        <f t="shared" si="59"/>
        <v>273.33333333333331</v>
      </c>
      <c r="J199" s="124">
        <f t="shared" si="63"/>
        <v>132148.90555555571</v>
      </c>
      <c r="K199" s="9"/>
      <c r="L199" s="11"/>
      <c r="M199" s="293"/>
      <c r="N199" s="97"/>
      <c r="O199" s="305"/>
      <c r="P199" s="304"/>
      <c r="Q199" s="307"/>
      <c r="S199" s="11"/>
      <c r="T199" s="293"/>
      <c r="U199" s="97"/>
      <c r="V199" s="305"/>
      <c r="W199" s="304"/>
      <c r="X199" s="307"/>
      <c r="Z199" s="11"/>
      <c r="AA199" s="293"/>
      <c r="AB199" s="97"/>
      <c r="AC199" s="305"/>
      <c r="AD199" s="304"/>
      <c r="AE199" s="307"/>
      <c r="AG199" s="11"/>
      <c r="AH199" s="293"/>
      <c r="AI199" s="97"/>
      <c r="AJ199" s="305"/>
      <c r="AK199" s="304"/>
      <c r="AL199" s="307"/>
      <c r="AN199" s="9"/>
      <c r="AO199" s="9"/>
      <c r="AP199" s="9"/>
      <c r="AQ199" s="9"/>
      <c r="AR199" s="9"/>
      <c r="AS199" s="9"/>
      <c r="AT199" s="123">
        <v>1</v>
      </c>
      <c r="AU199" s="123" t="s">
        <v>32</v>
      </c>
      <c r="AV199" s="124">
        <v>4000581.45</v>
      </c>
      <c r="AW199" s="291">
        <v>4.2500000000000003E-2</v>
      </c>
      <c r="AX199" s="123"/>
      <c r="AY199" s="140">
        <f t="shared" ref="AY199:AY262" si="71">AV199*AW199*AT199/365</f>
        <v>465.82112773972608</v>
      </c>
      <c r="AZ199" s="140">
        <f t="shared" si="66"/>
        <v>177328.65250429432</v>
      </c>
      <c r="BA199" s="140">
        <f t="shared" si="64"/>
        <v>21.312077739726078</v>
      </c>
      <c r="BC199" s="122"/>
      <c r="BD199" s="122"/>
      <c r="BE199" s="122"/>
      <c r="BF199" s="122"/>
      <c r="BH199" s="122"/>
      <c r="BI199" s="122"/>
      <c r="BJ199" s="122"/>
      <c r="BK199" s="122"/>
      <c r="BM199" s="122"/>
      <c r="BN199" s="122"/>
      <c r="BO199" s="122"/>
      <c r="BP199" s="122"/>
      <c r="BR199" s="122"/>
      <c r="BS199" s="122"/>
      <c r="BT199" s="122"/>
      <c r="BU199" s="122"/>
      <c r="BV199" s="439"/>
      <c r="BW199" s="120">
        <f t="shared" si="67"/>
        <v>6460581.4500000002</v>
      </c>
      <c r="BX199" s="121">
        <v>4.2500000000000003E-2</v>
      </c>
      <c r="BY199" s="121">
        <f t="shared" si="68"/>
        <v>4.1548073296870207E-2</v>
      </c>
      <c r="BZ199" s="120">
        <f t="shared" si="69"/>
        <v>739.15446107305934</v>
      </c>
      <c r="CA199" s="120">
        <f t="shared" si="70"/>
        <v>21.312077739726078</v>
      </c>
    </row>
    <row r="200" spans="1:79" x14ac:dyDescent="0.25">
      <c r="B200" s="123" t="str">
        <f t="shared" si="60"/>
        <v>7 2025</v>
      </c>
      <c r="C200" s="122">
        <f t="shared" si="61"/>
        <v>45852</v>
      </c>
      <c r="D200" s="122">
        <f t="shared" si="65"/>
        <v>45853</v>
      </c>
      <c r="E200" s="123">
        <f t="shared" si="62"/>
        <v>1</v>
      </c>
      <c r="F200" s="123" t="s">
        <v>7</v>
      </c>
      <c r="G200" s="124">
        <f t="shared" ref="G200:H215" si="72">G199</f>
        <v>2460000</v>
      </c>
      <c r="H200" s="125">
        <f t="shared" si="72"/>
        <v>0.04</v>
      </c>
      <c r="I200" s="124">
        <f t="shared" si="59"/>
        <v>273.33333333333331</v>
      </c>
      <c r="J200" s="124">
        <f t="shared" si="63"/>
        <v>132422.23888888906</v>
      </c>
      <c r="K200" s="9"/>
      <c r="L200" s="11"/>
      <c r="M200" s="293"/>
      <c r="N200" s="97"/>
      <c r="O200" s="305"/>
      <c r="P200" s="304"/>
      <c r="Q200" s="307"/>
      <c r="S200" s="11"/>
      <c r="T200" s="293"/>
      <c r="U200" s="97"/>
      <c r="V200" s="305"/>
      <c r="W200" s="304"/>
      <c r="X200" s="307"/>
      <c r="Z200" s="11"/>
      <c r="AA200" s="293"/>
      <c r="AB200" s="97"/>
      <c r="AC200" s="305"/>
      <c r="AD200" s="304"/>
      <c r="AE200" s="307"/>
      <c r="AG200" s="11"/>
      <c r="AH200" s="293"/>
      <c r="AI200" s="97"/>
      <c r="AJ200" s="305"/>
      <c r="AK200" s="304"/>
      <c r="AL200" s="307"/>
      <c r="AN200" s="9"/>
      <c r="AO200" s="9"/>
      <c r="AP200" s="9"/>
      <c r="AQ200" s="9"/>
      <c r="AR200" s="9"/>
      <c r="AS200" s="9"/>
      <c r="AT200" s="123">
        <v>1</v>
      </c>
      <c r="AU200" s="123" t="s">
        <v>32</v>
      </c>
      <c r="AV200" s="124">
        <v>4001978.91</v>
      </c>
      <c r="AW200" s="291">
        <v>4.2500000000000003E-2</v>
      </c>
      <c r="AX200" s="123"/>
      <c r="AY200" s="140">
        <f t="shared" si="71"/>
        <v>465.98384568493157</v>
      </c>
      <c r="AZ200" s="140">
        <f t="shared" si="66"/>
        <v>177794.63634997926</v>
      </c>
      <c r="BA200" s="140">
        <f t="shared" si="64"/>
        <v>21.319522351598209</v>
      </c>
      <c r="BC200" s="122"/>
      <c r="BD200" s="122"/>
      <c r="BE200" s="122"/>
      <c r="BF200" s="122"/>
      <c r="BH200" s="122"/>
      <c r="BI200" s="122"/>
      <c r="BJ200" s="122"/>
      <c r="BK200" s="122"/>
      <c r="BM200" s="122"/>
      <c r="BN200" s="122"/>
      <c r="BO200" s="122"/>
      <c r="BP200" s="122"/>
      <c r="BR200" s="122"/>
      <c r="BS200" s="122"/>
      <c r="BT200" s="122"/>
      <c r="BU200" s="122"/>
      <c r="BV200" s="439"/>
      <c r="BW200" s="120">
        <f t="shared" si="67"/>
        <v>6461978.9100000001</v>
      </c>
      <c r="BX200" s="121">
        <v>4.2500000000000003E-2</v>
      </c>
      <c r="BY200" s="121">
        <f t="shared" si="68"/>
        <v>4.1548279159425487E-2</v>
      </c>
      <c r="BZ200" s="120">
        <f t="shared" si="69"/>
        <v>739.31717901826482</v>
      </c>
      <c r="CA200" s="120">
        <f t="shared" si="70"/>
        <v>21.319522351598209</v>
      </c>
    </row>
    <row r="201" spans="1:79" x14ac:dyDescent="0.25">
      <c r="B201" s="123" t="str">
        <f t="shared" si="60"/>
        <v>7 2025</v>
      </c>
      <c r="C201" s="122">
        <f t="shared" si="61"/>
        <v>45853</v>
      </c>
      <c r="D201" s="122">
        <f t="shared" si="65"/>
        <v>45854</v>
      </c>
      <c r="E201" s="123">
        <f t="shared" si="62"/>
        <v>1</v>
      </c>
      <c r="F201" s="123" t="s">
        <v>7</v>
      </c>
      <c r="G201" s="124">
        <f t="shared" si="72"/>
        <v>2460000</v>
      </c>
      <c r="H201" s="125">
        <f t="shared" si="72"/>
        <v>0.04</v>
      </c>
      <c r="I201" s="124">
        <f t="shared" si="59"/>
        <v>273.33333333333331</v>
      </c>
      <c r="J201" s="124">
        <f t="shared" si="63"/>
        <v>132695.5722222224</v>
      </c>
      <c r="K201" s="9"/>
      <c r="L201" s="11"/>
      <c r="M201" s="293"/>
      <c r="N201" s="97"/>
      <c r="O201" s="305"/>
      <c r="P201" s="304"/>
      <c r="Q201" s="307"/>
      <c r="S201" s="11"/>
      <c r="T201" s="293"/>
      <c r="U201" s="97"/>
      <c r="V201" s="305"/>
      <c r="W201" s="304"/>
      <c r="X201" s="307"/>
      <c r="Z201" s="11"/>
      <c r="AA201" s="293"/>
      <c r="AB201" s="97"/>
      <c r="AC201" s="305"/>
      <c r="AD201" s="304"/>
      <c r="AE201" s="307"/>
      <c r="AG201" s="11"/>
      <c r="AH201" s="293"/>
      <c r="AI201" s="97"/>
      <c r="AJ201" s="305"/>
      <c r="AK201" s="304"/>
      <c r="AL201" s="307"/>
      <c r="AN201" s="9"/>
      <c r="AO201" s="9"/>
      <c r="AP201" s="9"/>
      <c r="AQ201" s="9"/>
      <c r="AR201" s="9"/>
      <c r="AS201" s="9"/>
      <c r="AT201" s="123">
        <v>1</v>
      </c>
      <c r="AU201" s="123" t="s">
        <v>32</v>
      </c>
      <c r="AV201" s="124">
        <v>3692408.78</v>
      </c>
      <c r="AW201" s="291">
        <v>4.2500000000000003E-2</v>
      </c>
      <c r="AX201" s="123"/>
      <c r="AY201" s="140">
        <f t="shared" si="71"/>
        <v>429.93800863013701</v>
      </c>
      <c r="AZ201" s="140">
        <f t="shared" si="66"/>
        <v>178224.57435860939</v>
      </c>
      <c r="BA201" s="140">
        <f t="shared" si="64"/>
        <v>19.670366407914798</v>
      </c>
      <c r="BC201" s="122"/>
      <c r="BD201" s="122"/>
      <c r="BE201" s="122"/>
      <c r="BF201" s="122"/>
      <c r="BH201" s="122"/>
      <c r="BI201" s="122"/>
      <c r="BJ201" s="122"/>
      <c r="BK201" s="122"/>
      <c r="BM201" s="122"/>
      <c r="BN201" s="122"/>
      <c r="BO201" s="122"/>
      <c r="BP201" s="122"/>
      <c r="BR201" s="122"/>
      <c r="BS201" s="122"/>
      <c r="BT201" s="122"/>
      <c r="BU201" s="122"/>
      <c r="BV201" s="439"/>
      <c r="BW201" s="120">
        <f t="shared" si="67"/>
        <v>6152408.7799999993</v>
      </c>
      <c r="BX201" s="121">
        <v>4.2500000000000003E-2</v>
      </c>
      <c r="BY201" s="121">
        <f t="shared" si="68"/>
        <v>4.1500391518198183E-2</v>
      </c>
      <c r="BZ201" s="120">
        <f t="shared" si="69"/>
        <v>703.27134196347038</v>
      </c>
      <c r="CA201" s="120">
        <f t="shared" si="70"/>
        <v>19.670366407914798</v>
      </c>
    </row>
    <row r="202" spans="1:79" x14ac:dyDescent="0.25">
      <c r="B202" s="123" t="str">
        <f t="shared" si="60"/>
        <v>7 2025</v>
      </c>
      <c r="C202" s="122">
        <f t="shared" si="61"/>
        <v>45854</v>
      </c>
      <c r="D202" s="122">
        <f t="shared" si="65"/>
        <v>45855</v>
      </c>
      <c r="E202" s="123">
        <f t="shared" si="62"/>
        <v>1</v>
      </c>
      <c r="F202" s="123" t="s">
        <v>7</v>
      </c>
      <c r="G202" s="124">
        <f t="shared" si="72"/>
        <v>2460000</v>
      </c>
      <c r="H202" s="125">
        <f t="shared" si="72"/>
        <v>0.04</v>
      </c>
      <c r="I202" s="124">
        <f t="shared" si="59"/>
        <v>273.33333333333331</v>
      </c>
      <c r="J202" s="124">
        <f t="shared" si="63"/>
        <v>132968.90555555574</v>
      </c>
      <c r="K202" s="9"/>
      <c r="L202" s="11"/>
      <c r="M202" s="293"/>
      <c r="N202" s="97"/>
      <c r="O202" s="305"/>
      <c r="P202" s="304"/>
      <c r="Q202" s="307"/>
      <c r="S202" s="11"/>
      <c r="T202" s="293"/>
      <c r="U202" s="97"/>
      <c r="V202" s="305"/>
      <c r="W202" s="304"/>
      <c r="X202" s="307"/>
      <c r="Z202" s="11"/>
      <c r="AA202" s="293"/>
      <c r="AB202" s="97"/>
      <c r="AC202" s="305"/>
      <c r="AD202" s="304"/>
      <c r="AE202" s="307"/>
      <c r="AG202" s="11"/>
      <c r="AH202" s="293"/>
      <c r="AI202" s="97"/>
      <c r="AJ202" s="305"/>
      <c r="AK202" s="304"/>
      <c r="AL202" s="307"/>
      <c r="AN202" s="9"/>
      <c r="AO202" s="9"/>
      <c r="AP202" s="9"/>
      <c r="AQ202" s="9"/>
      <c r="AR202" s="9"/>
      <c r="AS202" s="9"/>
      <c r="AT202" s="123">
        <v>1</v>
      </c>
      <c r="AU202" s="123" t="s">
        <v>32</v>
      </c>
      <c r="AV202" s="124">
        <v>3692838.72</v>
      </c>
      <c r="AW202" s="291">
        <v>4.2500000000000003E-2</v>
      </c>
      <c r="AX202" s="123"/>
      <c r="AY202" s="140">
        <f t="shared" si="71"/>
        <v>429.98807013698632</v>
      </c>
      <c r="AZ202" s="140">
        <f t="shared" si="66"/>
        <v>178654.56242874637</v>
      </c>
      <c r="BA202" s="140">
        <f t="shared" si="64"/>
        <v>19.672656803652956</v>
      </c>
      <c r="BC202" s="122"/>
      <c r="BD202" s="122"/>
      <c r="BE202" s="122"/>
      <c r="BF202" s="122"/>
      <c r="BH202" s="122"/>
      <c r="BI202" s="122"/>
      <c r="BJ202" s="122"/>
      <c r="BK202" s="122"/>
      <c r="BM202" s="122"/>
      <c r="BN202" s="122"/>
      <c r="BO202" s="122"/>
      <c r="BP202" s="122"/>
      <c r="BR202" s="122"/>
      <c r="BS202" s="122"/>
      <c r="BT202" s="122"/>
      <c r="BU202" s="122"/>
      <c r="BV202" s="439"/>
      <c r="BW202" s="120">
        <f t="shared" si="67"/>
        <v>6152838.7200000007</v>
      </c>
      <c r="BX202" s="121">
        <v>4.2500000000000003E-2</v>
      </c>
      <c r="BY202" s="121">
        <f t="shared" si="68"/>
        <v>4.1500461367529551E-2</v>
      </c>
      <c r="BZ202" s="120">
        <f t="shared" si="69"/>
        <v>703.32140347031964</v>
      </c>
      <c r="CA202" s="120">
        <f t="shared" si="70"/>
        <v>19.672656803652956</v>
      </c>
    </row>
    <row r="203" spans="1:79" x14ac:dyDescent="0.25">
      <c r="B203" s="123" t="str">
        <f t="shared" si="60"/>
        <v>7 2025</v>
      </c>
      <c r="C203" s="122">
        <f t="shared" si="61"/>
        <v>45855</v>
      </c>
      <c r="D203" s="122">
        <f t="shared" si="65"/>
        <v>45856</v>
      </c>
      <c r="E203" s="123">
        <f t="shared" si="62"/>
        <v>1</v>
      </c>
      <c r="F203" s="123" t="s">
        <v>7</v>
      </c>
      <c r="G203" s="124">
        <f t="shared" si="72"/>
        <v>2460000</v>
      </c>
      <c r="H203" s="125">
        <f t="shared" si="72"/>
        <v>0.04</v>
      </c>
      <c r="I203" s="124">
        <f t="shared" si="59"/>
        <v>273.33333333333331</v>
      </c>
      <c r="J203" s="124">
        <f t="shared" si="63"/>
        <v>133242.23888888909</v>
      </c>
      <c r="K203" s="9"/>
      <c r="L203" s="11"/>
      <c r="M203" s="293"/>
      <c r="N203" s="97"/>
      <c r="O203" s="305"/>
      <c r="P203" s="304"/>
      <c r="Q203" s="307"/>
      <c r="S203" s="11"/>
      <c r="T203" s="293"/>
      <c r="U203" s="97"/>
      <c r="V203" s="305"/>
      <c r="W203" s="304"/>
      <c r="X203" s="307"/>
      <c r="Z203" s="11"/>
      <c r="AA203" s="293"/>
      <c r="AB203" s="97"/>
      <c r="AC203" s="305"/>
      <c r="AD203" s="304"/>
      <c r="AE203" s="307"/>
      <c r="AG203" s="11"/>
      <c r="AH203" s="293"/>
      <c r="AI203" s="97"/>
      <c r="AJ203" s="305"/>
      <c r="AK203" s="304"/>
      <c r="AL203" s="307"/>
      <c r="AN203" s="9"/>
      <c r="AO203" s="9"/>
      <c r="AP203" s="9"/>
      <c r="AQ203" s="9"/>
      <c r="AR203" s="9"/>
      <c r="AS203" s="9"/>
      <c r="AT203" s="123">
        <v>1</v>
      </c>
      <c r="AU203" s="123" t="s">
        <v>32</v>
      </c>
      <c r="AV203" s="124">
        <v>3662567.22</v>
      </c>
      <c r="AW203" s="291">
        <v>4.2500000000000003E-2</v>
      </c>
      <c r="AX203" s="123"/>
      <c r="AY203" s="140">
        <f t="shared" si="71"/>
        <v>426.4633064383562</v>
      </c>
      <c r="AZ203" s="140">
        <f t="shared" si="66"/>
        <v>179081.02573518472</v>
      </c>
      <c r="BA203" s="140">
        <f t="shared" si="64"/>
        <v>19.511393105022876</v>
      </c>
      <c r="BC203" s="122"/>
      <c r="BD203" s="122"/>
      <c r="BE203" s="122"/>
      <c r="BF203" s="122"/>
      <c r="BH203" s="122"/>
      <c r="BI203" s="122"/>
      <c r="BJ203" s="122"/>
      <c r="BK203" s="122"/>
      <c r="BM203" s="122"/>
      <c r="BN203" s="122"/>
      <c r="BO203" s="122"/>
      <c r="BP203" s="122"/>
      <c r="BR203" s="122"/>
      <c r="BS203" s="122"/>
      <c r="BT203" s="122"/>
      <c r="BU203" s="122"/>
      <c r="BV203" s="439"/>
      <c r="BW203" s="120">
        <f t="shared" si="67"/>
        <v>6122567.2200000007</v>
      </c>
      <c r="BX203" s="121">
        <v>4.2500000000000003E-2</v>
      </c>
      <c r="BY203" s="121">
        <f t="shared" si="68"/>
        <v>4.1495519399132048E-2</v>
      </c>
      <c r="BZ203" s="120">
        <f t="shared" si="69"/>
        <v>699.79663977168957</v>
      </c>
      <c r="CA203" s="120">
        <f t="shared" si="70"/>
        <v>19.511393105022876</v>
      </c>
    </row>
    <row r="204" spans="1:79" x14ac:dyDescent="0.25">
      <c r="B204" s="123" t="str">
        <f t="shared" si="60"/>
        <v>7 2025</v>
      </c>
      <c r="C204" s="122">
        <f t="shared" si="61"/>
        <v>45856</v>
      </c>
      <c r="D204" s="122">
        <f t="shared" si="65"/>
        <v>45857</v>
      </c>
      <c r="E204" s="123">
        <f t="shared" si="62"/>
        <v>1</v>
      </c>
      <c r="F204" s="123" t="s">
        <v>7</v>
      </c>
      <c r="G204" s="124">
        <f t="shared" si="72"/>
        <v>2460000</v>
      </c>
      <c r="H204" s="125">
        <f t="shared" si="72"/>
        <v>0.04</v>
      </c>
      <c r="I204" s="124">
        <f t="shared" si="59"/>
        <v>273.33333333333331</v>
      </c>
      <c r="J204" s="124">
        <f t="shared" si="63"/>
        <v>133515.57222222243</v>
      </c>
      <c r="K204" s="9"/>
      <c r="L204" s="11"/>
      <c r="M204" s="293"/>
      <c r="N204" s="97"/>
      <c r="O204" s="305"/>
      <c r="P204" s="304"/>
      <c r="Q204" s="307"/>
      <c r="S204" s="11"/>
      <c r="T204" s="293"/>
      <c r="U204" s="97"/>
      <c r="V204" s="305"/>
      <c r="W204" s="304"/>
      <c r="X204" s="307"/>
      <c r="Z204" s="11"/>
      <c r="AA204" s="293"/>
      <c r="AB204" s="97"/>
      <c r="AC204" s="305"/>
      <c r="AD204" s="304"/>
      <c r="AE204" s="307"/>
      <c r="AG204" s="11"/>
      <c r="AH204" s="293"/>
      <c r="AI204" s="97"/>
      <c r="AJ204" s="305"/>
      <c r="AK204" s="304"/>
      <c r="AL204" s="307"/>
      <c r="AN204" s="9"/>
      <c r="AO204" s="9"/>
      <c r="AP204" s="9"/>
      <c r="AQ204" s="9"/>
      <c r="AR204" s="9"/>
      <c r="AS204" s="9"/>
      <c r="AT204" s="123">
        <v>1</v>
      </c>
      <c r="AU204" s="123" t="s">
        <v>32</v>
      </c>
      <c r="AV204" s="124">
        <v>3662528.32</v>
      </c>
      <c r="AW204" s="291">
        <v>4.2500000000000003E-2</v>
      </c>
      <c r="AX204" s="123"/>
      <c r="AY204" s="140">
        <f t="shared" si="71"/>
        <v>426.45877698630142</v>
      </c>
      <c r="AZ204" s="140">
        <f t="shared" si="66"/>
        <v>179507.48451217104</v>
      </c>
      <c r="BA204" s="140">
        <f t="shared" si="64"/>
        <v>19.511185875190336</v>
      </c>
      <c r="BC204" s="122"/>
      <c r="BD204" s="122"/>
      <c r="BE204" s="122"/>
      <c r="BF204" s="122"/>
      <c r="BH204" s="122"/>
      <c r="BI204" s="122"/>
      <c r="BJ204" s="122"/>
      <c r="BK204" s="122"/>
      <c r="BM204" s="122"/>
      <c r="BN204" s="122"/>
      <c r="BO204" s="122"/>
      <c r="BP204" s="122"/>
      <c r="BR204" s="122"/>
      <c r="BS204" s="122"/>
      <c r="BT204" s="122"/>
      <c r="BU204" s="122"/>
      <c r="BV204" s="439"/>
      <c r="BW204" s="120">
        <f t="shared" si="67"/>
        <v>6122528.3200000003</v>
      </c>
      <c r="BX204" s="121">
        <v>4.2500000000000003E-2</v>
      </c>
      <c r="BY204" s="121">
        <f t="shared" si="68"/>
        <v>4.1495513017079842E-2</v>
      </c>
      <c r="BZ204" s="120">
        <f t="shared" si="69"/>
        <v>699.79211031963473</v>
      </c>
      <c r="CA204" s="120">
        <f t="shared" si="70"/>
        <v>19.511185875190336</v>
      </c>
    </row>
    <row r="205" spans="1:79" x14ac:dyDescent="0.25">
      <c r="B205" s="123" t="str">
        <f t="shared" si="60"/>
        <v>7 2025</v>
      </c>
      <c r="C205" s="122">
        <f t="shared" si="61"/>
        <v>45857</v>
      </c>
      <c r="D205" s="122">
        <f t="shared" si="65"/>
        <v>45858</v>
      </c>
      <c r="E205" s="123">
        <f t="shared" si="62"/>
        <v>1</v>
      </c>
      <c r="F205" s="123" t="s">
        <v>7</v>
      </c>
      <c r="G205" s="124">
        <f t="shared" si="72"/>
        <v>2460000</v>
      </c>
      <c r="H205" s="125">
        <f t="shared" si="72"/>
        <v>0.04</v>
      </c>
      <c r="I205" s="124">
        <f t="shared" si="59"/>
        <v>273.33333333333331</v>
      </c>
      <c r="J205" s="124">
        <f t="shared" si="63"/>
        <v>133788.90555555577</v>
      </c>
      <c r="K205" s="9"/>
      <c r="L205" s="11"/>
      <c r="M205" s="293"/>
      <c r="N205" s="97"/>
      <c r="O205" s="305"/>
      <c r="P205" s="304"/>
      <c r="Q205" s="307"/>
      <c r="S205" s="11"/>
      <c r="T205" s="293"/>
      <c r="U205" s="97"/>
      <c r="V205" s="305"/>
      <c r="W205" s="304"/>
      <c r="X205" s="307"/>
      <c r="Z205" s="11"/>
      <c r="AA205" s="293"/>
      <c r="AB205" s="97"/>
      <c r="AC205" s="305"/>
      <c r="AD205" s="304"/>
      <c r="AE205" s="307"/>
      <c r="AG205" s="11"/>
      <c r="AH205" s="293"/>
      <c r="AI205" s="97"/>
      <c r="AJ205" s="305"/>
      <c r="AK205" s="304"/>
      <c r="AL205" s="307"/>
      <c r="AN205" s="9"/>
      <c r="AO205" s="9"/>
      <c r="AP205" s="9"/>
      <c r="AQ205" s="9"/>
      <c r="AR205" s="9"/>
      <c r="AS205" s="9"/>
      <c r="AT205" s="123">
        <v>1</v>
      </c>
      <c r="AU205" s="123" t="s">
        <v>32</v>
      </c>
      <c r="AV205" s="124">
        <v>3662528.32</v>
      </c>
      <c r="AW205" s="291">
        <v>4.2500000000000003E-2</v>
      </c>
      <c r="AX205" s="123"/>
      <c r="AY205" s="140">
        <f t="shared" si="71"/>
        <v>426.45877698630142</v>
      </c>
      <c r="AZ205" s="140">
        <f t="shared" si="66"/>
        <v>179933.94328915735</v>
      </c>
      <c r="BA205" s="140">
        <f t="shared" si="64"/>
        <v>19.511185875190336</v>
      </c>
      <c r="BC205" s="122"/>
      <c r="BD205" s="122"/>
      <c r="BE205" s="122"/>
      <c r="BF205" s="122"/>
      <c r="BH205" s="122"/>
      <c r="BI205" s="122"/>
      <c r="BJ205" s="122"/>
      <c r="BK205" s="122"/>
      <c r="BM205" s="122"/>
      <c r="BN205" s="122"/>
      <c r="BO205" s="122"/>
      <c r="BP205" s="122"/>
      <c r="BR205" s="122"/>
      <c r="BS205" s="122"/>
      <c r="BT205" s="122"/>
      <c r="BU205" s="122"/>
      <c r="BV205" s="439"/>
      <c r="BW205" s="120">
        <f t="shared" si="67"/>
        <v>6122528.3200000003</v>
      </c>
      <c r="BX205" s="121">
        <v>4.2500000000000003E-2</v>
      </c>
      <c r="BY205" s="121">
        <f t="shared" si="68"/>
        <v>4.1495513017079842E-2</v>
      </c>
      <c r="BZ205" s="120">
        <f t="shared" si="69"/>
        <v>699.79211031963473</v>
      </c>
      <c r="CA205" s="120">
        <f t="shared" si="70"/>
        <v>19.511185875190336</v>
      </c>
    </row>
    <row r="206" spans="1:79" x14ac:dyDescent="0.25">
      <c r="B206" s="123" t="str">
        <f t="shared" si="60"/>
        <v>7 2025</v>
      </c>
      <c r="C206" s="122">
        <f t="shared" si="61"/>
        <v>45858</v>
      </c>
      <c r="D206" s="122">
        <f t="shared" si="65"/>
        <v>45859</v>
      </c>
      <c r="E206" s="123">
        <f t="shared" si="62"/>
        <v>1</v>
      </c>
      <c r="F206" s="123" t="s">
        <v>7</v>
      </c>
      <c r="G206" s="124">
        <f t="shared" si="72"/>
        <v>2460000</v>
      </c>
      <c r="H206" s="125">
        <f t="shared" si="72"/>
        <v>0.04</v>
      </c>
      <c r="I206" s="124">
        <f t="shared" si="59"/>
        <v>273.33333333333331</v>
      </c>
      <c r="J206" s="124">
        <f t="shared" si="63"/>
        <v>134062.23888888911</v>
      </c>
      <c r="K206" s="9"/>
      <c r="L206" s="11"/>
      <c r="M206" s="293"/>
      <c r="N206" s="97"/>
      <c r="O206" s="305"/>
      <c r="P206" s="304"/>
      <c r="Q206" s="307"/>
      <c r="S206" s="11"/>
      <c r="T206" s="293"/>
      <c r="U206" s="97"/>
      <c r="V206" s="305"/>
      <c r="W206" s="304"/>
      <c r="X206" s="307"/>
      <c r="Z206" s="11"/>
      <c r="AA206" s="293"/>
      <c r="AB206" s="97"/>
      <c r="AC206" s="305"/>
      <c r="AD206" s="304"/>
      <c r="AE206" s="307"/>
      <c r="AG206" s="11"/>
      <c r="AH206" s="293"/>
      <c r="AI206" s="97"/>
      <c r="AJ206" s="305"/>
      <c r="AK206" s="304"/>
      <c r="AL206" s="307"/>
      <c r="AN206" s="9"/>
      <c r="AO206" s="9"/>
      <c r="AP206" s="9"/>
      <c r="AQ206" s="9"/>
      <c r="AR206" s="9"/>
      <c r="AS206" s="9"/>
      <c r="AT206" s="123">
        <v>1</v>
      </c>
      <c r="AU206" s="123" t="s">
        <v>32</v>
      </c>
      <c r="AV206" s="124">
        <v>3662528.32</v>
      </c>
      <c r="AW206" s="291">
        <v>4.2500000000000003E-2</v>
      </c>
      <c r="AX206" s="123"/>
      <c r="AY206" s="140">
        <f t="shared" si="71"/>
        <v>426.45877698630142</v>
      </c>
      <c r="AZ206" s="140">
        <f t="shared" si="66"/>
        <v>180360.40206614367</v>
      </c>
      <c r="BA206" s="140">
        <f t="shared" si="64"/>
        <v>19.511185875190336</v>
      </c>
      <c r="BC206" s="122"/>
      <c r="BD206" s="122"/>
      <c r="BE206" s="122"/>
      <c r="BF206" s="122"/>
      <c r="BH206" s="122"/>
      <c r="BI206" s="122"/>
      <c r="BJ206" s="122"/>
      <c r="BK206" s="122"/>
      <c r="BM206" s="122"/>
      <c r="BN206" s="122"/>
      <c r="BO206" s="122"/>
      <c r="BP206" s="122"/>
      <c r="BR206" s="122"/>
      <c r="BS206" s="122"/>
      <c r="BT206" s="122"/>
      <c r="BU206" s="122"/>
      <c r="BV206" s="439"/>
      <c r="BW206" s="120">
        <f t="shared" si="67"/>
        <v>6122528.3200000003</v>
      </c>
      <c r="BX206" s="121">
        <v>4.2500000000000003E-2</v>
      </c>
      <c r="BY206" s="121">
        <f t="shared" si="68"/>
        <v>4.1495513017079842E-2</v>
      </c>
      <c r="BZ206" s="120">
        <f t="shared" si="69"/>
        <v>699.79211031963473</v>
      </c>
      <c r="CA206" s="120">
        <f t="shared" si="70"/>
        <v>19.511185875190336</v>
      </c>
    </row>
    <row r="207" spans="1:79" x14ac:dyDescent="0.25">
      <c r="B207" s="123" t="str">
        <f t="shared" si="60"/>
        <v>7 2025</v>
      </c>
      <c r="C207" s="122">
        <f t="shared" si="61"/>
        <v>45859</v>
      </c>
      <c r="D207" s="122">
        <f t="shared" si="65"/>
        <v>45860</v>
      </c>
      <c r="E207" s="123">
        <f t="shared" si="62"/>
        <v>1</v>
      </c>
      <c r="F207" s="123" t="s">
        <v>7</v>
      </c>
      <c r="G207" s="124">
        <f>G206</f>
        <v>2460000</v>
      </c>
      <c r="H207" s="125">
        <f t="shared" si="72"/>
        <v>0.04</v>
      </c>
      <c r="I207" s="124">
        <f t="shared" si="59"/>
        <v>273.33333333333331</v>
      </c>
      <c r="J207" s="124">
        <f t="shared" si="63"/>
        <v>134335.57222222246</v>
      </c>
      <c r="K207" s="9"/>
      <c r="L207" s="11"/>
      <c r="M207" s="293"/>
      <c r="N207" s="97"/>
      <c r="O207" s="305"/>
      <c r="P207" s="304"/>
      <c r="Q207" s="307"/>
      <c r="S207" s="11"/>
      <c r="T207" s="293"/>
      <c r="U207" s="97"/>
      <c r="V207" s="305"/>
      <c r="W207" s="304"/>
      <c r="X207" s="307"/>
      <c r="Z207" s="11"/>
      <c r="AA207" s="293"/>
      <c r="AB207" s="97"/>
      <c r="AC207" s="305"/>
      <c r="AD207" s="304"/>
      <c r="AE207" s="307"/>
      <c r="AG207" s="11"/>
      <c r="AH207" s="293"/>
      <c r="AI207" s="97"/>
      <c r="AJ207" s="305"/>
      <c r="AK207" s="304"/>
      <c r="AL207" s="307"/>
      <c r="AN207" s="9"/>
      <c r="AO207" s="9"/>
      <c r="AP207" s="9"/>
      <c r="AQ207" s="9"/>
      <c r="AR207" s="9"/>
      <c r="AS207" s="9"/>
      <c r="AT207" s="123">
        <v>1</v>
      </c>
      <c r="AU207" s="123" t="s">
        <v>32</v>
      </c>
      <c r="AV207" s="124">
        <v>3658907.61</v>
      </c>
      <c r="AW207" s="291">
        <v>4.2500000000000003E-2</v>
      </c>
      <c r="AX207" s="123"/>
      <c r="AY207" s="140">
        <f t="shared" si="71"/>
        <v>426.03718746575345</v>
      </c>
      <c r="AZ207" s="140">
        <f t="shared" si="66"/>
        <v>180786.43925360942</v>
      </c>
      <c r="BA207" s="140">
        <f t="shared" si="64"/>
        <v>19.491897465753482</v>
      </c>
      <c r="BC207" s="122"/>
      <c r="BD207" s="122"/>
      <c r="BE207" s="122"/>
      <c r="BF207" s="122"/>
      <c r="BH207" s="122"/>
      <c r="BI207" s="122"/>
      <c r="BJ207" s="122"/>
      <c r="BK207" s="122"/>
      <c r="BM207" s="122"/>
      <c r="BN207" s="122"/>
      <c r="BO207" s="122"/>
      <c r="BP207" s="122"/>
      <c r="BR207" s="122"/>
      <c r="BS207" s="122"/>
      <c r="BT207" s="122"/>
      <c r="BU207" s="122"/>
      <c r="BV207" s="439"/>
      <c r="BW207" s="120">
        <f t="shared" si="67"/>
        <v>6118907.6099999994</v>
      </c>
      <c r="BX207" s="121">
        <v>4.2500000000000003E-2</v>
      </c>
      <c r="BY207" s="121">
        <f t="shared" si="68"/>
        <v>4.1494918637119287E-2</v>
      </c>
      <c r="BZ207" s="120">
        <f t="shared" si="69"/>
        <v>699.37052079908676</v>
      </c>
      <c r="CA207" s="120">
        <f t="shared" si="70"/>
        <v>19.491897465753482</v>
      </c>
    </row>
    <row r="208" spans="1:79" x14ac:dyDescent="0.25">
      <c r="B208" s="123" t="str">
        <f t="shared" si="60"/>
        <v>7 2025</v>
      </c>
      <c r="C208" s="122">
        <f t="shared" si="61"/>
        <v>45860</v>
      </c>
      <c r="D208" s="122">
        <f t="shared" si="65"/>
        <v>45861</v>
      </c>
      <c r="E208" s="123">
        <f t="shared" si="62"/>
        <v>1</v>
      </c>
      <c r="F208" s="123" t="s">
        <v>7</v>
      </c>
      <c r="G208" s="136">
        <f>G207-1000000</f>
        <v>1460000</v>
      </c>
      <c r="H208" s="125">
        <f t="shared" si="72"/>
        <v>0.04</v>
      </c>
      <c r="I208" s="124">
        <f t="shared" si="59"/>
        <v>162.22222222222223</v>
      </c>
      <c r="J208" s="124">
        <f t="shared" si="63"/>
        <v>134497.79444444468</v>
      </c>
      <c r="K208" s="9"/>
      <c r="L208" s="11"/>
      <c r="M208" s="293"/>
      <c r="N208" s="97"/>
      <c r="O208" s="305"/>
      <c r="P208" s="304"/>
      <c r="Q208" s="307"/>
      <c r="S208" s="11"/>
      <c r="T208" s="293"/>
      <c r="U208" s="97"/>
      <c r="V208" s="305"/>
      <c r="W208" s="304"/>
      <c r="X208" s="307"/>
      <c r="Z208" s="11"/>
      <c r="AA208" s="293"/>
      <c r="AB208" s="97"/>
      <c r="AC208" s="305"/>
      <c r="AD208" s="304"/>
      <c r="AE208" s="307"/>
      <c r="AG208" s="11"/>
      <c r="AH208" s="293"/>
      <c r="AI208" s="97"/>
      <c r="AJ208" s="305"/>
      <c r="AK208" s="304"/>
      <c r="AL208" s="307"/>
      <c r="AN208" s="9"/>
      <c r="AO208" s="9"/>
      <c r="AP208" s="9"/>
      <c r="AQ208" s="9"/>
      <c r="AR208" s="9"/>
      <c r="AS208" s="9"/>
      <c r="AT208" s="123">
        <v>1</v>
      </c>
      <c r="AU208" s="123" t="s">
        <v>32</v>
      </c>
      <c r="AV208" s="124">
        <v>4659303.6500000004</v>
      </c>
      <c r="AW208" s="291">
        <v>4.2500000000000003E-2</v>
      </c>
      <c r="AX208" s="123"/>
      <c r="AY208" s="140">
        <f t="shared" si="71"/>
        <v>542.52165787671242</v>
      </c>
      <c r="AZ208" s="140">
        <f t="shared" si="66"/>
        <v>181328.96091148612</v>
      </c>
      <c r="BA208" s="140">
        <f t="shared" si="64"/>
        <v>24.821252321156862</v>
      </c>
      <c r="BC208" s="122"/>
      <c r="BD208" s="122"/>
      <c r="BE208" s="122"/>
      <c r="BF208" s="122"/>
      <c r="BH208" s="122"/>
      <c r="BI208" s="122"/>
      <c r="BJ208" s="122"/>
      <c r="BK208" s="122"/>
      <c r="BM208" s="122"/>
      <c r="BN208" s="122"/>
      <c r="BO208" s="122"/>
      <c r="BP208" s="122"/>
      <c r="BR208" s="122"/>
      <c r="BS208" s="122"/>
      <c r="BT208" s="122"/>
      <c r="BU208" s="122"/>
      <c r="BV208" s="439"/>
      <c r="BW208" s="120">
        <f t="shared" si="67"/>
        <v>6119303.6500000004</v>
      </c>
      <c r="BX208" s="121">
        <v>4.2500000000000003E-2</v>
      </c>
      <c r="BY208" s="121">
        <f t="shared" si="68"/>
        <v>4.1903526902934453E-2</v>
      </c>
      <c r="BZ208" s="120">
        <f t="shared" si="69"/>
        <v>704.7438800989346</v>
      </c>
      <c r="CA208" s="120">
        <f t="shared" si="70"/>
        <v>24.821252321156862</v>
      </c>
    </row>
    <row r="209" spans="2:79" x14ac:dyDescent="0.25">
      <c r="B209" s="123" t="str">
        <f t="shared" si="60"/>
        <v>7 2025</v>
      </c>
      <c r="C209" s="122">
        <f t="shared" si="61"/>
        <v>45861</v>
      </c>
      <c r="D209" s="122">
        <f t="shared" si="65"/>
        <v>45862</v>
      </c>
      <c r="E209" s="123">
        <f t="shared" si="62"/>
        <v>1</v>
      </c>
      <c r="F209" s="123" t="s">
        <v>7</v>
      </c>
      <c r="G209" s="126">
        <f>G208+1500000</f>
        <v>2960000</v>
      </c>
      <c r="H209" s="125">
        <f t="shared" si="72"/>
        <v>0.04</v>
      </c>
      <c r="I209" s="124">
        <f t="shared" si="59"/>
        <v>328.88888888888891</v>
      </c>
      <c r="J209" s="124">
        <f t="shared" si="63"/>
        <v>134826.68333333355</v>
      </c>
      <c r="K209" s="9"/>
      <c r="L209" s="11"/>
      <c r="M209" s="12"/>
      <c r="N209" s="97"/>
      <c r="O209" s="305"/>
      <c r="P209" s="304"/>
      <c r="Q209" s="307"/>
      <c r="S209" s="11"/>
      <c r="T209" s="12"/>
      <c r="U209" s="97"/>
      <c r="V209" s="305"/>
      <c r="W209" s="304"/>
      <c r="X209" s="307"/>
      <c r="Z209" s="11"/>
      <c r="AA209" s="12"/>
      <c r="AB209" s="97"/>
      <c r="AC209" s="305"/>
      <c r="AD209" s="304"/>
      <c r="AE209" s="307"/>
      <c r="AG209" s="11"/>
      <c r="AH209" s="12"/>
      <c r="AI209" s="97"/>
      <c r="AJ209" s="305"/>
      <c r="AK209" s="304"/>
      <c r="AL209" s="307"/>
      <c r="AN209" s="9"/>
      <c r="AO209" s="9"/>
      <c r="AP209" s="9"/>
      <c r="AQ209" s="9"/>
      <c r="AR209" s="9"/>
      <c r="AS209" s="9"/>
      <c r="AT209" s="123">
        <v>1</v>
      </c>
      <c r="AU209" s="123" t="s">
        <v>32</v>
      </c>
      <c r="AV209" s="124">
        <v>5844346.1699999999</v>
      </c>
      <c r="AW209" s="291">
        <v>4.2500000000000003E-2</v>
      </c>
      <c r="AX209" s="123"/>
      <c r="AY209" s="140">
        <f t="shared" si="71"/>
        <v>680.50606089041105</v>
      </c>
      <c r="AZ209" s="140">
        <f t="shared" si="66"/>
        <v>182009.46697237654</v>
      </c>
      <c r="BA209" s="140">
        <f t="shared" si="64"/>
        <v>31.134264223744367</v>
      </c>
      <c r="BC209" s="122"/>
      <c r="BD209" s="122"/>
      <c r="BE209" s="122"/>
      <c r="BF209" s="122"/>
      <c r="BH209" s="122"/>
      <c r="BI209" s="122"/>
      <c r="BJ209" s="122"/>
      <c r="BK209" s="122"/>
      <c r="BM209" s="122"/>
      <c r="BN209" s="122"/>
      <c r="BO209" s="122"/>
      <c r="BP209" s="122"/>
      <c r="BR209" s="122"/>
      <c r="BS209" s="122"/>
      <c r="BT209" s="122"/>
      <c r="BU209" s="122"/>
      <c r="BV209" s="439"/>
      <c r="BW209" s="120">
        <f t="shared" si="67"/>
        <v>8804346.1699999999</v>
      </c>
      <c r="BX209" s="121">
        <v>4.2500000000000003E-2</v>
      </c>
      <c r="BY209" s="121">
        <f t="shared" si="68"/>
        <v>4.1659506014743629E-2</v>
      </c>
      <c r="BZ209" s="120">
        <f t="shared" si="69"/>
        <v>1009.3949497793</v>
      </c>
      <c r="CA209" s="120">
        <f t="shared" si="70"/>
        <v>31.134264223744367</v>
      </c>
    </row>
    <row r="210" spans="2:79" x14ac:dyDescent="0.25">
      <c r="B210" s="123" t="str">
        <f t="shared" si="60"/>
        <v>7 2025</v>
      </c>
      <c r="C210" s="122">
        <f t="shared" si="61"/>
        <v>45862</v>
      </c>
      <c r="D210" s="122">
        <f t="shared" si="65"/>
        <v>45863</v>
      </c>
      <c r="E210" s="123">
        <f t="shared" si="62"/>
        <v>1</v>
      </c>
      <c r="F210" s="123" t="s">
        <v>7</v>
      </c>
      <c r="G210" s="124">
        <f t="shared" si="72"/>
        <v>2960000</v>
      </c>
      <c r="H210" s="125">
        <f t="shared" si="72"/>
        <v>0.04</v>
      </c>
      <c r="I210" s="124">
        <f t="shared" si="59"/>
        <v>328.88888888888891</v>
      </c>
      <c r="J210" s="124">
        <f t="shared" si="63"/>
        <v>135155.57222222243</v>
      </c>
      <c r="K210" s="9"/>
      <c r="L210" s="11"/>
      <c r="M210" s="12"/>
      <c r="N210" s="97"/>
      <c r="O210" s="305"/>
      <c r="P210" s="304"/>
      <c r="Q210" s="307"/>
      <c r="S210" s="11"/>
      <c r="T210" s="12"/>
      <c r="U210" s="97"/>
      <c r="V210" s="305"/>
      <c r="W210" s="304"/>
      <c r="X210" s="307"/>
      <c r="Z210" s="11"/>
      <c r="AA210" s="12"/>
      <c r="AB210" s="97"/>
      <c r="AC210" s="305"/>
      <c r="AD210" s="304"/>
      <c r="AE210" s="307"/>
      <c r="AG210" s="11"/>
      <c r="AH210" s="12"/>
      <c r="AI210" s="97"/>
      <c r="AJ210" s="305"/>
      <c r="AK210" s="304"/>
      <c r="AL210" s="307"/>
      <c r="AN210" s="9"/>
      <c r="AO210" s="9"/>
      <c r="AP210" s="9"/>
      <c r="AQ210" s="9"/>
      <c r="AR210" s="9"/>
      <c r="AS210" s="9"/>
      <c r="AT210" s="123">
        <v>1</v>
      </c>
      <c r="AU210" s="123" t="s">
        <v>32</v>
      </c>
      <c r="AV210" s="124">
        <v>5635614.2199999997</v>
      </c>
      <c r="AW210" s="291">
        <v>4.2500000000000003E-2</v>
      </c>
      <c r="AX210" s="123"/>
      <c r="AY210" s="140">
        <f t="shared" si="71"/>
        <v>656.20165575342469</v>
      </c>
      <c r="AZ210" s="140">
        <f t="shared" si="66"/>
        <v>182665.66862812996</v>
      </c>
      <c r="BA210" s="140">
        <f t="shared" si="64"/>
        <v>30.022297975646893</v>
      </c>
      <c r="BC210" s="122"/>
      <c r="BD210" s="122"/>
      <c r="BE210" s="122"/>
      <c r="BF210" s="122"/>
      <c r="BH210" s="122"/>
      <c r="BI210" s="122"/>
      <c r="BJ210" s="122"/>
      <c r="BK210" s="122"/>
      <c r="BM210" s="122"/>
      <c r="BN210" s="122"/>
      <c r="BO210" s="122"/>
      <c r="BP210" s="122"/>
      <c r="BR210" s="122"/>
      <c r="BS210" s="122"/>
      <c r="BT210" s="122"/>
      <c r="BU210" s="122"/>
      <c r="BV210" s="439"/>
      <c r="BW210" s="120">
        <f t="shared" si="67"/>
        <v>8595614.2199999988</v>
      </c>
      <c r="BX210" s="121">
        <v>4.2500000000000003E-2</v>
      </c>
      <c r="BY210" s="121">
        <f t="shared" si="68"/>
        <v>4.1639095844624829E-2</v>
      </c>
      <c r="BZ210" s="120">
        <f t="shared" si="69"/>
        <v>985.0905446423136</v>
      </c>
      <c r="CA210" s="120">
        <f t="shared" si="70"/>
        <v>30.022297975646893</v>
      </c>
    </row>
    <row r="211" spans="2:79" x14ac:dyDescent="0.25">
      <c r="B211" s="123" t="str">
        <f t="shared" si="60"/>
        <v>7 2025</v>
      </c>
      <c r="C211" s="122">
        <f t="shared" si="61"/>
        <v>45863</v>
      </c>
      <c r="D211" s="122">
        <f t="shared" si="65"/>
        <v>45864</v>
      </c>
      <c r="E211" s="123">
        <f t="shared" si="62"/>
        <v>1</v>
      </c>
      <c r="F211" s="123" t="s">
        <v>7</v>
      </c>
      <c r="G211" s="126">
        <f>G210-1400000</f>
        <v>1560000</v>
      </c>
      <c r="H211" s="125">
        <f t="shared" si="72"/>
        <v>0.04</v>
      </c>
      <c r="I211" s="124">
        <f t="shared" si="59"/>
        <v>173.33333333333334</v>
      </c>
      <c r="J211" s="124">
        <f t="shared" si="63"/>
        <v>135328.90555555577</v>
      </c>
      <c r="K211" s="9"/>
      <c r="L211" s="11"/>
      <c r="M211" s="12"/>
      <c r="N211" s="97"/>
      <c r="O211" s="305"/>
      <c r="P211" s="304"/>
      <c r="Q211" s="307"/>
      <c r="S211" s="11"/>
      <c r="T211" s="12"/>
      <c r="U211" s="97"/>
      <c r="V211" s="305"/>
      <c r="W211" s="304"/>
      <c r="X211" s="307"/>
      <c r="Z211" s="11"/>
      <c r="AA211" s="12"/>
      <c r="AB211" s="97"/>
      <c r="AC211" s="305"/>
      <c r="AD211" s="304"/>
      <c r="AE211" s="307"/>
      <c r="AG211" s="11"/>
      <c r="AH211" s="12"/>
      <c r="AI211" s="97"/>
      <c r="AJ211" s="305"/>
      <c r="AK211" s="304"/>
      <c r="AL211" s="307"/>
      <c r="AN211" s="9"/>
      <c r="AO211" s="9"/>
      <c r="AP211" s="9"/>
      <c r="AQ211" s="9"/>
      <c r="AR211" s="9"/>
      <c r="AS211" s="9"/>
      <c r="AT211" s="123">
        <v>1</v>
      </c>
      <c r="AU211" s="123" t="s">
        <v>32</v>
      </c>
      <c r="AV211" s="124">
        <v>5636270.4199999999</v>
      </c>
      <c r="AW211" s="291">
        <v>4.2500000000000003E-2</v>
      </c>
      <c r="AX211" s="123"/>
      <c r="AY211" s="140">
        <f t="shared" si="71"/>
        <v>656.27806260273974</v>
      </c>
      <c r="AZ211" s="140">
        <f t="shared" si="66"/>
        <v>183321.9466907327</v>
      </c>
      <c r="BA211" s="140">
        <f t="shared" si="64"/>
        <v>30.025793713850817</v>
      </c>
      <c r="BC211" s="122"/>
      <c r="BD211" s="122"/>
      <c r="BE211" s="122"/>
      <c r="BF211" s="122"/>
      <c r="BH211" s="122"/>
      <c r="BI211" s="122"/>
      <c r="BJ211" s="122"/>
      <c r="BK211" s="122"/>
      <c r="BM211" s="122"/>
      <c r="BN211" s="122"/>
      <c r="BO211" s="122"/>
      <c r="BP211" s="122"/>
      <c r="BR211" s="122"/>
      <c r="BS211" s="122"/>
      <c r="BT211" s="122"/>
      <c r="BU211" s="122"/>
      <c r="BV211" s="439"/>
      <c r="BW211" s="120">
        <f t="shared" si="67"/>
        <v>7196270.4199999999</v>
      </c>
      <c r="BX211" s="121">
        <v>4.2500000000000003E-2</v>
      </c>
      <c r="BY211" s="121">
        <f t="shared" si="68"/>
        <v>4.1958052606088703E-2</v>
      </c>
      <c r="BZ211" s="120">
        <f t="shared" si="69"/>
        <v>829.61139593607311</v>
      </c>
      <c r="CA211" s="120">
        <f t="shared" si="70"/>
        <v>30.025793713850817</v>
      </c>
    </row>
    <row r="212" spans="2:79" x14ac:dyDescent="0.25">
      <c r="B212" s="123" t="str">
        <f t="shared" si="60"/>
        <v>7 2025</v>
      </c>
      <c r="C212" s="122">
        <f t="shared" si="61"/>
        <v>45864</v>
      </c>
      <c r="D212" s="122">
        <f t="shared" si="65"/>
        <v>45865</v>
      </c>
      <c r="E212" s="123">
        <f t="shared" si="62"/>
        <v>1</v>
      </c>
      <c r="F212" s="123" t="s">
        <v>7</v>
      </c>
      <c r="G212" s="124">
        <f t="shared" si="72"/>
        <v>1560000</v>
      </c>
      <c r="H212" s="125">
        <f t="shared" si="72"/>
        <v>0.04</v>
      </c>
      <c r="I212" s="124">
        <f t="shared" si="59"/>
        <v>173.33333333333334</v>
      </c>
      <c r="J212" s="124">
        <f t="shared" si="63"/>
        <v>135502.23888888911</v>
      </c>
      <c r="K212" s="9"/>
      <c r="L212" s="11"/>
      <c r="M212" s="12"/>
      <c r="N212" s="97"/>
      <c r="O212" s="305"/>
      <c r="P212" s="304"/>
      <c r="Q212" s="307"/>
      <c r="S212" s="11"/>
      <c r="T212" s="12"/>
      <c r="U212" s="97"/>
      <c r="V212" s="305"/>
      <c r="W212" s="304"/>
      <c r="X212" s="307"/>
      <c r="Z212" s="11"/>
      <c r="AA212" s="12"/>
      <c r="AB212" s="97"/>
      <c r="AC212" s="305"/>
      <c r="AD212" s="304"/>
      <c r="AE212" s="307"/>
      <c r="AG212" s="11"/>
      <c r="AH212" s="12"/>
      <c r="AI212" s="97"/>
      <c r="AJ212" s="305"/>
      <c r="AK212" s="304"/>
      <c r="AL212" s="307"/>
      <c r="AN212" s="9"/>
      <c r="AO212" s="9"/>
      <c r="AP212" s="9"/>
      <c r="AQ212" s="9"/>
      <c r="AR212" s="9"/>
      <c r="AS212" s="9"/>
      <c r="AT212" s="123">
        <v>1</v>
      </c>
      <c r="AU212" s="123" t="s">
        <v>32</v>
      </c>
      <c r="AV212" s="124">
        <v>5636270.4199999999</v>
      </c>
      <c r="AW212" s="291">
        <v>4.2500000000000003E-2</v>
      </c>
      <c r="AX212" s="123"/>
      <c r="AY212" s="140">
        <f t="shared" si="71"/>
        <v>656.27806260273974</v>
      </c>
      <c r="AZ212" s="140">
        <f t="shared" si="66"/>
        <v>183978.22475333544</v>
      </c>
      <c r="BA212" s="140">
        <f t="shared" si="64"/>
        <v>30.025793713850817</v>
      </c>
      <c r="BC212" s="122"/>
      <c r="BD212" s="122"/>
      <c r="BE212" s="122"/>
      <c r="BF212" s="122"/>
      <c r="BH212" s="122"/>
      <c r="BI212" s="122"/>
      <c r="BJ212" s="122"/>
      <c r="BK212" s="122"/>
      <c r="BM212" s="122"/>
      <c r="BN212" s="122"/>
      <c r="BO212" s="122"/>
      <c r="BP212" s="122"/>
      <c r="BR212" s="122"/>
      <c r="BS212" s="122"/>
      <c r="BT212" s="122"/>
      <c r="BU212" s="122"/>
      <c r="BV212" s="439"/>
      <c r="BW212" s="120">
        <f t="shared" si="67"/>
        <v>7196270.4199999999</v>
      </c>
      <c r="BX212" s="121">
        <v>4.2500000000000003E-2</v>
      </c>
      <c r="BY212" s="121">
        <f t="shared" si="68"/>
        <v>4.1958052606088703E-2</v>
      </c>
      <c r="BZ212" s="120">
        <f t="shared" si="69"/>
        <v>829.61139593607311</v>
      </c>
      <c r="CA212" s="120">
        <f t="shared" si="70"/>
        <v>30.025793713850817</v>
      </c>
    </row>
    <row r="213" spans="2:79" x14ac:dyDescent="0.25">
      <c r="B213" s="123" t="str">
        <f t="shared" si="60"/>
        <v>7 2025</v>
      </c>
      <c r="C213" s="122">
        <f t="shared" si="61"/>
        <v>45865</v>
      </c>
      <c r="D213" s="122">
        <f t="shared" si="65"/>
        <v>45866</v>
      </c>
      <c r="E213" s="123">
        <f t="shared" si="62"/>
        <v>1</v>
      </c>
      <c r="F213" s="123" t="s">
        <v>7</v>
      </c>
      <c r="G213" s="124">
        <f t="shared" si="72"/>
        <v>1560000</v>
      </c>
      <c r="H213" s="125">
        <f t="shared" si="72"/>
        <v>0.04</v>
      </c>
      <c r="I213" s="124">
        <f t="shared" si="59"/>
        <v>173.33333333333334</v>
      </c>
      <c r="J213" s="124">
        <f t="shared" si="63"/>
        <v>135675.57222222246</v>
      </c>
      <c r="K213" s="9"/>
      <c r="L213" s="11"/>
      <c r="M213" s="12"/>
      <c r="N213" s="97"/>
      <c r="O213" s="305"/>
      <c r="P213" s="304"/>
      <c r="Q213" s="307"/>
      <c r="S213" s="11"/>
      <c r="T213" s="12"/>
      <c r="U213" s="97"/>
      <c r="V213" s="305"/>
      <c r="W213" s="304"/>
      <c r="X213" s="307"/>
      <c r="Z213" s="11"/>
      <c r="AA213" s="12"/>
      <c r="AB213" s="97"/>
      <c r="AC213" s="305"/>
      <c r="AD213" s="304"/>
      <c r="AE213" s="307"/>
      <c r="AG213" s="11"/>
      <c r="AH213" s="12"/>
      <c r="AI213" s="97"/>
      <c r="AJ213" s="305"/>
      <c r="AK213" s="304"/>
      <c r="AL213" s="307"/>
      <c r="AN213" s="9"/>
      <c r="AO213" s="9"/>
      <c r="AP213" s="9"/>
      <c r="AQ213" s="9"/>
      <c r="AR213" s="9"/>
      <c r="AS213" s="9"/>
      <c r="AT213" s="123">
        <v>1</v>
      </c>
      <c r="AU213" s="123" t="s">
        <v>32</v>
      </c>
      <c r="AV213" s="124">
        <v>5636270.4199999999</v>
      </c>
      <c r="AW213" s="291">
        <v>4.2500000000000003E-2</v>
      </c>
      <c r="AX213" s="123"/>
      <c r="AY213" s="140">
        <f t="shared" si="71"/>
        <v>656.27806260273974</v>
      </c>
      <c r="AZ213" s="140">
        <f t="shared" si="66"/>
        <v>184634.50281593818</v>
      </c>
      <c r="BA213" s="140">
        <f t="shared" si="64"/>
        <v>30.025793713850817</v>
      </c>
      <c r="BC213" s="122"/>
      <c r="BD213" s="122"/>
      <c r="BE213" s="122"/>
      <c r="BF213" s="122"/>
      <c r="BH213" s="122"/>
      <c r="BI213" s="122"/>
      <c r="BJ213" s="122"/>
      <c r="BK213" s="122"/>
      <c r="BM213" s="122"/>
      <c r="BN213" s="122"/>
      <c r="BO213" s="122"/>
      <c r="BP213" s="122"/>
      <c r="BR213" s="122"/>
      <c r="BS213" s="122"/>
      <c r="BT213" s="122"/>
      <c r="BU213" s="122"/>
      <c r="BV213" s="439"/>
      <c r="BW213" s="120">
        <f t="shared" si="67"/>
        <v>7196270.4199999999</v>
      </c>
      <c r="BX213" s="121">
        <v>4.2500000000000003E-2</v>
      </c>
      <c r="BY213" s="121">
        <f t="shared" si="68"/>
        <v>4.1958052606088703E-2</v>
      </c>
      <c r="BZ213" s="120">
        <f t="shared" si="69"/>
        <v>829.61139593607311</v>
      </c>
      <c r="CA213" s="120">
        <f t="shared" si="70"/>
        <v>30.025793713850817</v>
      </c>
    </row>
    <row r="214" spans="2:79" x14ac:dyDescent="0.25">
      <c r="B214" s="123" t="str">
        <f t="shared" si="60"/>
        <v>7 2025</v>
      </c>
      <c r="C214" s="122">
        <f t="shared" si="61"/>
        <v>45866</v>
      </c>
      <c r="D214" s="122">
        <f t="shared" si="65"/>
        <v>45867</v>
      </c>
      <c r="E214" s="123">
        <f t="shared" si="62"/>
        <v>1</v>
      </c>
      <c r="F214" s="123" t="s">
        <v>7</v>
      </c>
      <c r="G214" s="124">
        <f t="shared" si="72"/>
        <v>1560000</v>
      </c>
      <c r="H214" s="125">
        <f t="shared" si="72"/>
        <v>0.04</v>
      </c>
      <c r="I214" s="124">
        <f t="shared" si="59"/>
        <v>173.33333333333334</v>
      </c>
      <c r="J214" s="124">
        <f t="shared" si="63"/>
        <v>135848.9055555558</v>
      </c>
      <c r="K214" s="9"/>
      <c r="L214" s="11"/>
      <c r="M214" s="12"/>
      <c r="N214" s="97"/>
      <c r="O214" s="305"/>
      <c r="P214" s="304"/>
      <c r="Q214" s="307"/>
      <c r="S214" s="11"/>
      <c r="T214" s="12"/>
      <c r="U214" s="97"/>
      <c r="V214" s="305"/>
      <c r="W214" s="304"/>
      <c r="X214" s="307"/>
      <c r="Z214" s="11"/>
      <c r="AA214" s="12"/>
      <c r="AB214" s="97"/>
      <c r="AC214" s="305"/>
      <c r="AD214" s="304"/>
      <c r="AE214" s="307"/>
      <c r="AG214" s="11"/>
      <c r="AH214" s="12"/>
      <c r="AI214" s="97"/>
      <c r="AJ214" s="305"/>
      <c r="AK214" s="304"/>
      <c r="AL214" s="307"/>
      <c r="AN214" s="9"/>
      <c r="AO214" s="9"/>
      <c r="AP214" s="9"/>
      <c r="AQ214" s="9"/>
      <c r="AR214" s="9"/>
      <c r="AS214" s="9"/>
      <c r="AT214" s="123">
        <v>1</v>
      </c>
      <c r="AU214" s="123" t="s">
        <v>32</v>
      </c>
      <c r="AV214" s="124">
        <v>5638239.25</v>
      </c>
      <c r="AW214" s="291">
        <v>4.2500000000000003E-2</v>
      </c>
      <c r="AX214" s="123"/>
      <c r="AY214" s="140">
        <f t="shared" si="71"/>
        <v>656.50730993150694</v>
      </c>
      <c r="AZ214" s="140">
        <f t="shared" si="66"/>
        <v>185291.01012586968</v>
      </c>
      <c r="BA214" s="140">
        <f t="shared" si="64"/>
        <v>30.036282153729189</v>
      </c>
      <c r="BC214" s="122"/>
      <c r="BD214" s="122"/>
      <c r="BE214" s="122"/>
      <c r="BF214" s="122"/>
      <c r="BH214" s="122"/>
      <c r="BI214" s="122"/>
      <c r="BJ214" s="122"/>
      <c r="BK214" s="122"/>
      <c r="BM214" s="122"/>
      <c r="BN214" s="122"/>
      <c r="BO214" s="122"/>
      <c r="BP214" s="122"/>
      <c r="BR214" s="122"/>
      <c r="BS214" s="122"/>
      <c r="BT214" s="122"/>
      <c r="BU214" s="122"/>
      <c r="BV214" s="439"/>
      <c r="BW214" s="120">
        <f t="shared" si="67"/>
        <v>7198239.25</v>
      </c>
      <c r="BX214" s="121">
        <v>4.2500000000000003E-2</v>
      </c>
      <c r="BY214" s="121">
        <f t="shared" si="68"/>
        <v>4.195820083710055E-2</v>
      </c>
      <c r="BZ214" s="120">
        <f t="shared" si="69"/>
        <v>829.84064326484031</v>
      </c>
      <c r="CA214" s="120">
        <f t="shared" si="70"/>
        <v>30.036282153729189</v>
      </c>
    </row>
    <row r="215" spans="2:79" x14ac:dyDescent="0.25">
      <c r="B215" s="123" t="str">
        <f t="shared" si="60"/>
        <v>7 2025</v>
      </c>
      <c r="C215" s="122">
        <f t="shared" si="61"/>
        <v>45867</v>
      </c>
      <c r="D215" s="122">
        <f t="shared" si="65"/>
        <v>45868</v>
      </c>
      <c r="E215" s="123">
        <f t="shared" si="62"/>
        <v>1</v>
      </c>
      <c r="F215" s="123" t="s">
        <v>7</v>
      </c>
      <c r="G215" s="126">
        <f>G214+702640000</f>
        <v>704200000</v>
      </c>
      <c r="H215" s="125">
        <f t="shared" si="72"/>
        <v>0.04</v>
      </c>
      <c r="I215" s="124">
        <f t="shared" si="59"/>
        <v>78244.444444444438</v>
      </c>
      <c r="J215" s="124">
        <f t="shared" si="63"/>
        <v>214093.35000000024</v>
      </c>
      <c r="K215" s="9"/>
      <c r="L215" s="11"/>
      <c r="M215" s="12"/>
      <c r="N215" s="97"/>
      <c r="O215" s="305"/>
      <c r="P215" s="304"/>
      <c r="Q215" s="307"/>
      <c r="S215" s="11"/>
      <c r="T215" s="12"/>
      <c r="U215" s="97"/>
      <c r="V215" s="305"/>
      <c r="W215" s="304"/>
      <c r="X215" s="307"/>
      <c r="Z215" s="11"/>
      <c r="AA215" s="12"/>
      <c r="AB215" s="97"/>
      <c r="AC215" s="305"/>
      <c r="AD215" s="304"/>
      <c r="AE215" s="307"/>
      <c r="AG215" s="11"/>
      <c r="AH215" s="12"/>
      <c r="AI215" s="97"/>
      <c r="AJ215" s="305"/>
      <c r="AK215" s="304"/>
      <c r="AL215" s="307"/>
      <c r="AN215" s="9"/>
      <c r="AO215" s="9"/>
      <c r="AP215" s="9"/>
      <c r="AQ215" s="9"/>
      <c r="AR215" s="9"/>
      <c r="AS215" s="9"/>
      <c r="AT215" s="123">
        <v>1</v>
      </c>
      <c r="AU215" s="123" t="s">
        <v>32</v>
      </c>
      <c r="AV215" s="124">
        <v>5626001.2599999998</v>
      </c>
      <c r="AW215" s="291">
        <v>4.2500000000000003E-2</v>
      </c>
      <c r="AX215" s="123"/>
      <c r="AY215" s="140">
        <f t="shared" si="71"/>
        <v>655.0823384931507</v>
      </c>
      <c r="AZ215" s="140">
        <f t="shared" si="66"/>
        <v>185946.09246436282</v>
      </c>
      <c r="BA215" s="140">
        <f t="shared" si="64"/>
        <v>29.971087382039514</v>
      </c>
      <c r="BC215" s="122"/>
      <c r="BD215" s="122"/>
      <c r="BE215" s="122"/>
      <c r="BF215" s="122"/>
      <c r="BH215" s="122"/>
      <c r="BI215" s="122"/>
      <c r="BJ215" s="122"/>
      <c r="BK215" s="122"/>
      <c r="BM215" s="122"/>
      <c r="BN215" s="122"/>
      <c r="BO215" s="122"/>
      <c r="BP215" s="122"/>
      <c r="BR215" s="122"/>
      <c r="BS215" s="122"/>
      <c r="BT215" s="122"/>
      <c r="BU215" s="122"/>
      <c r="BV215" s="439"/>
      <c r="BW215" s="120">
        <f t="shared" si="67"/>
        <v>709826001.25999999</v>
      </c>
      <c r="BX215" s="121">
        <v>4.2500000000000003E-2</v>
      </c>
      <c r="BY215" s="121">
        <f t="shared" si="68"/>
        <v>4.0019814719558081E-2</v>
      </c>
      <c r="BZ215" s="120">
        <f t="shared" si="69"/>
        <v>78899.526782937595</v>
      </c>
      <c r="CA215" s="120">
        <f t="shared" si="70"/>
        <v>29.971087382039514</v>
      </c>
    </row>
    <row r="216" spans="2:79" x14ac:dyDescent="0.25">
      <c r="B216" s="148" t="str">
        <f t="shared" si="60"/>
        <v>7 2025</v>
      </c>
      <c r="C216" s="149">
        <f t="shared" si="61"/>
        <v>45868</v>
      </c>
      <c r="D216" s="149">
        <f t="shared" si="65"/>
        <v>45869</v>
      </c>
      <c r="E216" s="148">
        <f t="shared" si="62"/>
        <v>1</v>
      </c>
      <c r="F216" s="148" t="s">
        <v>7</v>
      </c>
      <c r="G216" s="150">
        <f t="shared" ref="G216:H231" si="73">G215</f>
        <v>704200000</v>
      </c>
      <c r="H216" s="151">
        <f t="shared" si="73"/>
        <v>0.04</v>
      </c>
      <c r="I216" s="150">
        <f t="shared" si="59"/>
        <v>78244.444444444438</v>
      </c>
      <c r="J216" s="150">
        <f t="shared" si="63"/>
        <v>292337.79444444471</v>
      </c>
      <c r="K216" s="9"/>
      <c r="L216" s="143"/>
      <c r="M216" s="419"/>
      <c r="N216" s="145"/>
      <c r="O216" s="420"/>
      <c r="P216" s="419"/>
      <c r="Q216" s="308"/>
      <c r="R216" s="17"/>
      <c r="S216" s="143"/>
      <c r="T216" s="419"/>
      <c r="U216" s="145"/>
      <c r="V216" s="420"/>
      <c r="W216" s="419"/>
      <c r="X216" s="308"/>
      <c r="Y216" s="17"/>
      <c r="Z216" s="143"/>
      <c r="AA216" s="419"/>
      <c r="AB216" s="145"/>
      <c r="AC216" s="420"/>
      <c r="AD216" s="419"/>
      <c r="AE216" s="308"/>
      <c r="AF216" s="17"/>
      <c r="AG216" s="143"/>
      <c r="AH216" s="419"/>
      <c r="AI216" s="145"/>
      <c r="AJ216" s="420"/>
      <c r="AK216" s="419"/>
      <c r="AL216" s="308"/>
      <c r="AM216" s="17"/>
      <c r="AN216" s="9"/>
      <c r="AO216" s="9"/>
      <c r="AP216" s="9"/>
      <c r="AQ216" s="9"/>
      <c r="AR216" s="9"/>
      <c r="AS216" s="9"/>
      <c r="AT216" s="148">
        <v>1</v>
      </c>
      <c r="AU216" s="148" t="s">
        <v>32</v>
      </c>
      <c r="AV216" s="150">
        <v>5626656.3399999999</v>
      </c>
      <c r="AW216" s="292">
        <v>4.2500000000000003E-2</v>
      </c>
      <c r="AX216" s="152"/>
      <c r="AY216" s="150">
        <f t="shared" si="71"/>
        <v>655.15861493150692</v>
      </c>
      <c r="AZ216" s="153">
        <f t="shared" si="66"/>
        <v>186601.25107929434</v>
      </c>
      <c r="BA216" s="153">
        <f t="shared" si="64"/>
        <v>29.974577153729115</v>
      </c>
      <c r="BC216" s="122"/>
      <c r="BD216" s="122"/>
      <c r="BE216" s="122"/>
      <c r="BF216" s="122"/>
      <c r="BH216" s="122"/>
      <c r="BI216" s="122"/>
      <c r="BJ216" s="122"/>
      <c r="BK216" s="122"/>
      <c r="BM216" s="122"/>
      <c r="BN216" s="122"/>
      <c r="BO216" s="122"/>
      <c r="BP216" s="122"/>
      <c r="BR216" s="122"/>
      <c r="BS216" s="122"/>
      <c r="BT216" s="122"/>
      <c r="BU216" s="122"/>
      <c r="BV216" s="439"/>
      <c r="BW216" s="120">
        <f t="shared" si="67"/>
        <v>709826656.34000003</v>
      </c>
      <c r="BX216" s="173">
        <v>4.2500000000000003E-2</v>
      </c>
      <c r="BY216" s="121">
        <f t="shared" si="68"/>
        <v>4.0019817008454611E-2</v>
      </c>
      <c r="BZ216" s="120">
        <f t="shared" si="69"/>
        <v>78899.60305937595</v>
      </c>
      <c r="CA216" s="120">
        <f t="shared" si="70"/>
        <v>29.974577153729115</v>
      </c>
    </row>
    <row r="217" spans="2:79" x14ac:dyDescent="0.25">
      <c r="B217" s="123" t="str">
        <f t="shared" si="60"/>
        <v>8 2025</v>
      </c>
      <c r="C217" s="122">
        <f t="shared" si="61"/>
        <v>45869</v>
      </c>
      <c r="D217" s="122">
        <f t="shared" si="65"/>
        <v>45870</v>
      </c>
      <c r="E217" s="123">
        <f t="shared" si="62"/>
        <v>1</v>
      </c>
      <c r="F217" s="123" t="s">
        <v>7</v>
      </c>
      <c r="G217" s="126">
        <f>G216+180000</f>
        <v>704380000</v>
      </c>
      <c r="H217" s="125">
        <f t="shared" si="73"/>
        <v>0.04</v>
      </c>
      <c r="I217" s="297">
        <f t="shared" si="59"/>
        <v>78264.444444444438</v>
      </c>
      <c r="J217" s="124">
        <f t="shared" si="63"/>
        <v>370602.23888888914</v>
      </c>
      <c r="K217" s="9"/>
      <c r="L217" s="11"/>
      <c r="M217" s="12"/>
      <c r="N217" s="97"/>
      <c r="O217" s="305"/>
      <c r="P217" s="304"/>
      <c r="Q217" s="307"/>
      <c r="S217" s="11"/>
      <c r="T217" s="12"/>
      <c r="U217" s="97"/>
      <c r="V217" s="305"/>
      <c r="W217" s="304"/>
      <c r="X217" s="307"/>
      <c r="Z217" s="11"/>
      <c r="AA217" s="12"/>
      <c r="AB217" s="97"/>
      <c r="AC217" s="305"/>
      <c r="AD217" s="304"/>
      <c r="AE217" s="307"/>
      <c r="AG217" s="11"/>
      <c r="AH217" s="12"/>
      <c r="AI217" s="97"/>
      <c r="AJ217" s="305"/>
      <c r="AK217" s="304"/>
      <c r="AL217" s="307"/>
      <c r="AN217" s="9"/>
      <c r="AO217" s="9"/>
      <c r="AP217" s="9"/>
      <c r="AQ217" s="9"/>
      <c r="AR217" s="9"/>
      <c r="AS217" s="9"/>
      <c r="AT217" s="123">
        <v>1</v>
      </c>
      <c r="AU217" s="123" t="s">
        <v>32</v>
      </c>
      <c r="AV217" s="124">
        <v>5118637.12</v>
      </c>
      <c r="AW217" s="291">
        <v>4.2500000000000003E-2</v>
      </c>
      <c r="AX217" s="123"/>
      <c r="AY217" s="301">
        <f t="shared" si="71"/>
        <v>596.00569205479462</v>
      </c>
      <c r="AZ217" s="140">
        <f t="shared" si="66"/>
        <v>187197.25677134914</v>
      </c>
      <c r="BA217" s="140">
        <f t="shared" si="64"/>
        <v>27.268234277016859</v>
      </c>
      <c r="BC217" s="122"/>
      <c r="BD217" s="122"/>
      <c r="BE217" s="122"/>
      <c r="BF217" s="122"/>
      <c r="BH217" s="122"/>
      <c r="BI217" s="122"/>
      <c r="BJ217" s="122"/>
      <c r="BK217" s="122"/>
      <c r="BM217" s="122"/>
      <c r="BN217" s="122"/>
      <c r="BO217" s="122"/>
      <c r="BP217" s="122"/>
      <c r="BR217" s="122"/>
      <c r="BS217" s="122"/>
      <c r="BT217" s="122"/>
      <c r="BU217" s="122"/>
      <c r="BV217" s="439"/>
      <c r="BW217" s="120">
        <f t="shared" si="67"/>
        <v>709498637.12</v>
      </c>
      <c r="BX217" s="121">
        <v>4.2500000000000003E-2</v>
      </c>
      <c r="BY217" s="121">
        <f t="shared" si="68"/>
        <v>4.0018036106245311E-2</v>
      </c>
      <c r="BZ217" s="120">
        <f t="shared" si="69"/>
        <v>78860.450136499232</v>
      </c>
      <c r="CA217" s="120">
        <f t="shared" si="70"/>
        <v>27.268234277016859</v>
      </c>
    </row>
    <row r="218" spans="2:79" x14ac:dyDescent="0.25">
      <c r="B218" s="123" t="str">
        <f t="shared" si="60"/>
        <v>8 2025</v>
      </c>
      <c r="C218" s="122">
        <f t="shared" si="61"/>
        <v>45870</v>
      </c>
      <c r="D218" s="122">
        <f t="shared" si="65"/>
        <v>45871</v>
      </c>
      <c r="E218" s="123">
        <f t="shared" si="62"/>
        <v>1</v>
      </c>
      <c r="F218" s="123" t="s">
        <v>7</v>
      </c>
      <c r="G218" s="126">
        <f>G217-250000000</f>
        <v>454380000</v>
      </c>
      <c r="H218" s="125">
        <f t="shared" si="73"/>
        <v>0.04</v>
      </c>
      <c r="I218" s="297">
        <f t="shared" si="59"/>
        <v>50486.666666666664</v>
      </c>
      <c r="J218" s="124">
        <f t="shared" si="63"/>
        <v>421088.90555555583</v>
      </c>
      <c r="K218" s="9"/>
      <c r="L218" s="11"/>
      <c r="M218" s="12"/>
      <c r="N218" s="97"/>
      <c r="O218" s="305"/>
      <c r="P218" s="304"/>
      <c r="Q218" s="307"/>
      <c r="S218" s="11"/>
      <c r="T218" s="12"/>
      <c r="U218" s="97"/>
      <c r="V218" s="305"/>
      <c r="W218" s="304"/>
      <c r="X218" s="307"/>
      <c r="Z218" s="11"/>
      <c r="AA218" s="12"/>
      <c r="AB218" s="97"/>
      <c r="AC218" s="305"/>
      <c r="AD218" s="304"/>
      <c r="AE218" s="307"/>
      <c r="AG218" s="11"/>
      <c r="AH218" s="12"/>
      <c r="AI218" s="97"/>
      <c r="AJ218" s="305"/>
      <c r="AK218" s="304"/>
      <c r="AL218" s="307"/>
      <c r="AN218" s="9"/>
      <c r="AO218" s="9"/>
      <c r="AP218" s="9"/>
      <c r="AQ218" s="9"/>
      <c r="AR218" s="9"/>
      <c r="AS218" s="9"/>
      <c r="AT218" s="123">
        <v>1</v>
      </c>
      <c r="AU218" s="123" t="s">
        <v>32</v>
      </c>
      <c r="AV218" s="124">
        <v>5073349.92</v>
      </c>
      <c r="AW218" s="125">
        <v>4.2500000000000003E-2</v>
      </c>
      <c r="AX218" s="123"/>
      <c r="AY218" s="301">
        <f t="shared" si="71"/>
        <v>590.73252493150687</v>
      </c>
      <c r="AZ218" s="140">
        <f t="shared" si="66"/>
        <v>187787.98929628066</v>
      </c>
      <c r="BA218" s="140">
        <f t="shared" si="64"/>
        <v>27.026978264840182</v>
      </c>
      <c r="BC218" s="122"/>
      <c r="BD218" s="122"/>
      <c r="BE218" s="122"/>
      <c r="BF218" s="122"/>
      <c r="BH218" s="122"/>
      <c r="BI218" s="122"/>
      <c r="BJ218" s="122"/>
      <c r="BK218" s="122"/>
      <c r="BM218" s="122"/>
      <c r="BN218" s="122"/>
      <c r="BO218" s="122"/>
      <c r="BP218" s="122"/>
      <c r="BR218" s="122"/>
      <c r="BS218" s="122"/>
      <c r="BT218" s="122"/>
      <c r="BU218" s="122"/>
      <c r="BV218" s="439"/>
      <c r="BW218" s="120">
        <f t="shared" si="67"/>
        <v>459453349.92000002</v>
      </c>
      <c r="BX218" s="121">
        <v>4.2500000000000003E-2</v>
      </c>
      <c r="BY218" s="121">
        <f t="shared" si="68"/>
        <v>4.002760535928665E-2</v>
      </c>
      <c r="BZ218" s="120">
        <f t="shared" si="69"/>
        <v>51077.399191598168</v>
      </c>
      <c r="CA218" s="120">
        <f t="shared" si="70"/>
        <v>27.026978264840182</v>
      </c>
    </row>
    <row r="219" spans="2:79" x14ac:dyDescent="0.25">
      <c r="B219" s="123" t="str">
        <f t="shared" si="60"/>
        <v>8 2025</v>
      </c>
      <c r="C219" s="122">
        <f t="shared" si="61"/>
        <v>45871</v>
      </c>
      <c r="D219" s="122">
        <f t="shared" si="65"/>
        <v>45872</v>
      </c>
      <c r="E219" s="123">
        <f t="shared" si="62"/>
        <v>1</v>
      </c>
      <c r="F219" s="123" t="s">
        <v>7</v>
      </c>
      <c r="G219" s="124">
        <f t="shared" si="73"/>
        <v>454380000</v>
      </c>
      <c r="H219" s="125">
        <f t="shared" si="73"/>
        <v>0.04</v>
      </c>
      <c r="I219" s="297">
        <f t="shared" si="59"/>
        <v>50486.666666666664</v>
      </c>
      <c r="J219" s="124">
        <f t="shared" si="63"/>
        <v>471575.57222222252</v>
      </c>
      <c r="K219" s="9"/>
      <c r="L219" s="11"/>
      <c r="M219" s="12"/>
      <c r="N219" s="97"/>
      <c r="O219" s="305"/>
      <c r="P219" s="304"/>
      <c r="Q219" s="307"/>
      <c r="S219" s="11"/>
      <c r="T219" s="12"/>
      <c r="U219" s="97"/>
      <c r="V219" s="305"/>
      <c r="W219" s="304"/>
      <c r="X219" s="307"/>
      <c r="Z219" s="11"/>
      <c r="AA219" s="12"/>
      <c r="AB219" s="97"/>
      <c r="AC219" s="305"/>
      <c r="AD219" s="304"/>
      <c r="AE219" s="307"/>
      <c r="AG219" s="11"/>
      <c r="AH219" s="12"/>
      <c r="AI219" s="97"/>
      <c r="AJ219" s="305"/>
      <c r="AK219" s="304"/>
      <c r="AL219" s="307"/>
      <c r="AN219" s="9"/>
      <c r="AO219" s="9"/>
      <c r="AP219" s="9"/>
      <c r="AQ219" s="9"/>
      <c r="AR219" s="9"/>
      <c r="AS219" s="9"/>
      <c r="AT219" s="123">
        <v>1</v>
      </c>
      <c r="AU219" s="123" t="s">
        <v>32</v>
      </c>
      <c r="AV219" s="124">
        <v>5073349.92</v>
      </c>
      <c r="AW219" s="125">
        <v>4.2500000000000003E-2</v>
      </c>
      <c r="AX219" s="123"/>
      <c r="AY219" s="301">
        <f t="shared" si="71"/>
        <v>590.73252493150687</v>
      </c>
      <c r="AZ219" s="140">
        <f t="shared" si="66"/>
        <v>188378.72182121218</v>
      </c>
      <c r="BA219" s="140">
        <f t="shared" si="64"/>
        <v>27.026978264840182</v>
      </c>
      <c r="BC219" s="122"/>
      <c r="BD219" s="122"/>
      <c r="BE219" s="122"/>
      <c r="BF219" s="122"/>
      <c r="BH219" s="122"/>
      <c r="BI219" s="122"/>
      <c r="BJ219" s="122"/>
      <c r="BK219" s="122"/>
      <c r="BM219" s="122"/>
      <c r="BN219" s="122"/>
      <c r="BO219" s="122"/>
      <c r="BP219" s="122"/>
      <c r="BR219" s="122"/>
      <c r="BS219" s="122"/>
      <c r="BT219" s="122"/>
      <c r="BU219" s="122"/>
      <c r="BV219" s="439"/>
      <c r="BW219" s="120">
        <f t="shared" si="67"/>
        <v>459453349.92000002</v>
      </c>
      <c r="BX219" s="121">
        <v>4.2500000000000003E-2</v>
      </c>
      <c r="BY219" s="121">
        <f t="shared" si="68"/>
        <v>4.002760535928665E-2</v>
      </c>
      <c r="BZ219" s="120">
        <f t="shared" si="69"/>
        <v>51077.399191598168</v>
      </c>
      <c r="CA219" s="120">
        <f t="shared" si="70"/>
        <v>27.026978264840182</v>
      </c>
    </row>
    <row r="220" spans="2:79" x14ac:dyDescent="0.25">
      <c r="B220" s="123" t="str">
        <f t="shared" si="60"/>
        <v>8 2025</v>
      </c>
      <c r="C220" s="122">
        <f t="shared" si="61"/>
        <v>45872</v>
      </c>
      <c r="D220" s="122">
        <f t="shared" si="65"/>
        <v>45873</v>
      </c>
      <c r="E220" s="123">
        <f t="shared" si="62"/>
        <v>1</v>
      </c>
      <c r="F220" s="123" t="s">
        <v>7</v>
      </c>
      <c r="G220" s="124">
        <f t="shared" si="73"/>
        <v>454380000</v>
      </c>
      <c r="H220" s="125">
        <f t="shared" si="73"/>
        <v>0.04</v>
      </c>
      <c r="I220" s="297">
        <f t="shared" si="59"/>
        <v>50486.666666666664</v>
      </c>
      <c r="J220" s="124">
        <f t="shared" si="63"/>
        <v>522062.2388888892</v>
      </c>
      <c r="K220" s="9"/>
      <c r="L220" s="11"/>
      <c r="M220" s="12"/>
      <c r="N220" s="97"/>
      <c r="O220" s="305"/>
      <c r="P220" s="304"/>
      <c r="Q220" s="307"/>
      <c r="S220" s="11"/>
      <c r="T220" s="12"/>
      <c r="U220" s="97"/>
      <c r="V220" s="305"/>
      <c r="W220" s="304"/>
      <c r="X220" s="307"/>
      <c r="Z220" s="11"/>
      <c r="AA220" s="12"/>
      <c r="AB220" s="97"/>
      <c r="AC220" s="305"/>
      <c r="AD220" s="304"/>
      <c r="AE220" s="307"/>
      <c r="AG220" s="11"/>
      <c r="AH220" s="12"/>
      <c r="AI220" s="97"/>
      <c r="AJ220" s="305"/>
      <c r="AK220" s="304"/>
      <c r="AL220" s="307"/>
      <c r="AN220" s="9"/>
      <c r="AO220" s="9"/>
      <c r="AP220" s="9"/>
      <c r="AQ220" s="9"/>
      <c r="AR220" s="9"/>
      <c r="AS220" s="9"/>
      <c r="AT220" s="123">
        <v>1</v>
      </c>
      <c r="AU220" s="123" t="s">
        <v>32</v>
      </c>
      <c r="AV220" s="124">
        <v>5073349.92</v>
      </c>
      <c r="AW220" s="125">
        <v>4.2500000000000003E-2</v>
      </c>
      <c r="AX220" s="123"/>
      <c r="AY220" s="301">
        <f t="shared" si="71"/>
        <v>590.73252493150687</v>
      </c>
      <c r="AZ220" s="140">
        <f t="shared" si="66"/>
        <v>188969.4543461437</v>
      </c>
      <c r="BA220" s="140">
        <f t="shared" si="64"/>
        <v>27.026978264840182</v>
      </c>
      <c r="BC220" s="122"/>
      <c r="BD220" s="122"/>
      <c r="BE220" s="122"/>
      <c r="BF220" s="122"/>
      <c r="BH220" s="122"/>
      <c r="BI220" s="122"/>
      <c r="BJ220" s="122"/>
      <c r="BK220" s="122"/>
      <c r="BM220" s="122"/>
      <c r="BN220" s="122"/>
      <c r="BO220" s="122"/>
      <c r="BP220" s="122"/>
      <c r="BR220" s="122"/>
      <c r="BS220" s="122"/>
      <c r="BT220" s="122"/>
      <c r="BU220" s="122"/>
      <c r="BV220" s="439"/>
      <c r="BW220" s="120">
        <f t="shared" si="67"/>
        <v>459453349.92000002</v>
      </c>
      <c r="BX220" s="121">
        <v>4.2500000000000003E-2</v>
      </c>
      <c r="BY220" s="121">
        <f t="shared" si="68"/>
        <v>4.002760535928665E-2</v>
      </c>
      <c r="BZ220" s="120">
        <f t="shared" si="69"/>
        <v>51077.399191598168</v>
      </c>
      <c r="CA220" s="120">
        <f t="shared" si="70"/>
        <v>27.026978264840182</v>
      </c>
    </row>
    <row r="221" spans="2:79" x14ac:dyDescent="0.25">
      <c r="B221" s="123" t="str">
        <f t="shared" si="60"/>
        <v>8 2025</v>
      </c>
      <c r="C221" s="122">
        <f t="shared" si="61"/>
        <v>45873</v>
      </c>
      <c r="D221" s="122">
        <f t="shared" si="65"/>
        <v>45874</v>
      </c>
      <c r="E221" s="123">
        <f t="shared" si="62"/>
        <v>1</v>
      </c>
      <c r="F221" s="123" t="s">
        <v>7</v>
      </c>
      <c r="G221" s="124">
        <f t="shared" si="73"/>
        <v>454380000</v>
      </c>
      <c r="H221" s="125">
        <f t="shared" si="73"/>
        <v>0.04</v>
      </c>
      <c r="I221" s="297">
        <f t="shared" si="59"/>
        <v>50486.666666666664</v>
      </c>
      <c r="J221" s="124">
        <f t="shared" si="63"/>
        <v>572548.90555555583</v>
      </c>
      <c r="K221" s="9"/>
      <c r="L221" s="11"/>
      <c r="M221" s="12"/>
      <c r="N221" s="97"/>
      <c r="O221" s="305"/>
      <c r="P221" s="304"/>
      <c r="Q221" s="307"/>
      <c r="S221" s="11"/>
      <c r="T221" s="12"/>
      <c r="U221" s="97"/>
      <c r="V221" s="305"/>
      <c r="W221" s="304"/>
      <c r="X221" s="307"/>
      <c r="Z221" s="11"/>
      <c r="AA221" s="12"/>
      <c r="AB221" s="97"/>
      <c r="AC221" s="305"/>
      <c r="AD221" s="304"/>
      <c r="AE221" s="307"/>
      <c r="AG221" s="11"/>
      <c r="AH221" s="12"/>
      <c r="AI221" s="97"/>
      <c r="AJ221" s="305"/>
      <c r="AK221" s="304"/>
      <c r="AL221" s="307"/>
      <c r="AN221" s="9"/>
      <c r="AO221" s="9"/>
      <c r="AP221" s="9"/>
      <c r="AQ221" s="9"/>
      <c r="AR221" s="9"/>
      <c r="AS221" s="9"/>
      <c r="AT221" s="123">
        <v>1</v>
      </c>
      <c r="AU221" s="123" t="s">
        <v>32</v>
      </c>
      <c r="AV221" s="124">
        <v>5046150.34</v>
      </c>
      <c r="AW221" s="125">
        <v>4.2500000000000003E-2</v>
      </c>
      <c r="AX221" s="123"/>
      <c r="AY221" s="301">
        <f t="shared" si="71"/>
        <v>587.56545054794526</v>
      </c>
      <c r="AZ221" s="140">
        <f t="shared" si="66"/>
        <v>189557.01979669163</v>
      </c>
      <c r="BA221" s="140">
        <f t="shared" si="64"/>
        <v>26.882079436834147</v>
      </c>
      <c r="BC221" s="122"/>
      <c r="BD221" s="122"/>
      <c r="BE221" s="122"/>
      <c r="BF221" s="122"/>
      <c r="BH221" s="122"/>
      <c r="BI221" s="122"/>
      <c r="BJ221" s="122"/>
      <c r="BK221" s="122"/>
      <c r="BM221" s="122"/>
      <c r="BN221" s="122"/>
      <c r="BO221" s="122"/>
      <c r="BP221" s="122"/>
      <c r="BR221" s="122"/>
      <c r="BS221" s="122"/>
      <c r="BT221" s="122"/>
      <c r="BU221" s="122"/>
      <c r="BV221" s="439"/>
      <c r="BW221" s="120">
        <f t="shared" si="67"/>
        <v>459426150.33999997</v>
      </c>
      <c r="BX221" s="121">
        <v>4.2500000000000003E-2</v>
      </c>
      <c r="BY221" s="121">
        <f t="shared" si="68"/>
        <v>4.0027458985172404E-2</v>
      </c>
      <c r="BZ221" s="120">
        <f t="shared" si="69"/>
        <v>51074.232117214611</v>
      </c>
      <c r="CA221" s="120">
        <f t="shared" si="70"/>
        <v>26.882079436834147</v>
      </c>
    </row>
    <row r="222" spans="2:79" x14ac:dyDescent="0.25">
      <c r="B222" s="123" t="str">
        <f t="shared" si="60"/>
        <v>8 2025</v>
      </c>
      <c r="C222" s="122">
        <f t="shared" si="61"/>
        <v>45874</v>
      </c>
      <c r="D222" s="122">
        <f t="shared" si="65"/>
        <v>45875</v>
      </c>
      <c r="E222" s="123">
        <f t="shared" si="62"/>
        <v>1</v>
      </c>
      <c r="F222" s="123" t="s">
        <v>7</v>
      </c>
      <c r="G222" s="124">
        <f t="shared" si="73"/>
        <v>454380000</v>
      </c>
      <c r="H222" s="125">
        <f t="shared" si="73"/>
        <v>0.04</v>
      </c>
      <c r="I222" s="297">
        <f t="shared" si="59"/>
        <v>50486.666666666664</v>
      </c>
      <c r="J222" s="124">
        <f t="shared" si="63"/>
        <v>623035.57222222246</v>
      </c>
      <c r="K222" s="9"/>
      <c r="L222" s="11"/>
      <c r="M222" s="12"/>
      <c r="N222" s="97"/>
      <c r="O222" s="305"/>
      <c r="P222" s="304"/>
      <c r="Q222" s="307"/>
      <c r="S222" s="11"/>
      <c r="T222" s="12"/>
      <c r="U222" s="97"/>
      <c r="V222" s="305"/>
      <c r="W222" s="304"/>
      <c r="X222" s="307"/>
      <c r="Z222" s="11"/>
      <c r="AA222" s="12"/>
      <c r="AB222" s="97"/>
      <c r="AC222" s="305"/>
      <c r="AD222" s="304"/>
      <c r="AE222" s="307"/>
      <c r="AG222" s="11"/>
      <c r="AH222" s="12"/>
      <c r="AI222" s="97"/>
      <c r="AJ222" s="305"/>
      <c r="AK222" s="304"/>
      <c r="AL222" s="307"/>
      <c r="AN222" s="9"/>
      <c r="AO222" s="9"/>
      <c r="AP222" s="9"/>
      <c r="AQ222" s="9"/>
      <c r="AR222" s="9"/>
      <c r="AS222" s="9"/>
      <c r="AT222" s="123">
        <v>1</v>
      </c>
      <c r="AU222" s="123" t="s">
        <v>32</v>
      </c>
      <c r="AV222" s="124">
        <v>5046737.91</v>
      </c>
      <c r="AW222" s="125">
        <v>4.2500000000000003E-2</v>
      </c>
      <c r="AX222" s="123"/>
      <c r="AY222" s="301">
        <f t="shared" si="71"/>
        <v>587.63386623287681</v>
      </c>
      <c r="AZ222" s="140">
        <f t="shared" si="66"/>
        <v>190144.65366292451</v>
      </c>
      <c r="BA222" s="140">
        <f t="shared" si="64"/>
        <v>26.885209566210051</v>
      </c>
      <c r="BC222" s="122"/>
      <c r="BD222" s="122"/>
      <c r="BE222" s="122"/>
      <c r="BF222" s="122"/>
      <c r="BH222" s="122"/>
      <c r="BI222" s="122"/>
      <c r="BJ222" s="122"/>
      <c r="BK222" s="122"/>
      <c r="BM222" s="122"/>
      <c r="BN222" s="122"/>
      <c r="BO222" s="122"/>
      <c r="BP222" s="122"/>
      <c r="BR222" s="122"/>
      <c r="BS222" s="122"/>
      <c r="BT222" s="122"/>
      <c r="BU222" s="122"/>
      <c r="BV222" s="439"/>
      <c r="BW222" s="120">
        <f t="shared" si="67"/>
        <v>459426737.91000003</v>
      </c>
      <c r="BX222" s="121">
        <v>4.2500000000000003E-2</v>
      </c>
      <c r="BY222" s="121">
        <f t="shared" si="68"/>
        <v>4.0027462147354323E-2</v>
      </c>
      <c r="BZ222" s="120">
        <f t="shared" si="69"/>
        <v>51074.300532899542</v>
      </c>
      <c r="CA222" s="120">
        <f t="shared" si="70"/>
        <v>26.885209566210051</v>
      </c>
    </row>
    <row r="223" spans="2:79" x14ac:dyDescent="0.25">
      <c r="B223" s="123" t="str">
        <f t="shared" si="60"/>
        <v>8 2025</v>
      </c>
      <c r="C223" s="122">
        <f t="shared" si="61"/>
        <v>45875</v>
      </c>
      <c r="D223" s="122">
        <f t="shared" si="65"/>
        <v>45876</v>
      </c>
      <c r="E223" s="123">
        <f t="shared" si="62"/>
        <v>1</v>
      </c>
      <c r="F223" s="123" t="s">
        <v>7</v>
      </c>
      <c r="G223" s="124">
        <f t="shared" si="73"/>
        <v>454380000</v>
      </c>
      <c r="H223" s="125">
        <f t="shared" si="73"/>
        <v>0.04</v>
      </c>
      <c r="I223" s="297">
        <f t="shared" si="59"/>
        <v>50486.666666666664</v>
      </c>
      <c r="J223" s="124">
        <f t="shared" si="63"/>
        <v>673522.23888888909</v>
      </c>
      <c r="K223" s="9"/>
      <c r="L223" s="11"/>
      <c r="M223" s="12"/>
      <c r="N223" s="97"/>
      <c r="O223" s="305"/>
      <c r="P223" s="304"/>
      <c r="Q223" s="307"/>
      <c r="S223" s="11"/>
      <c r="T223" s="12"/>
      <c r="U223" s="97"/>
      <c r="V223" s="305"/>
      <c r="W223" s="304"/>
      <c r="X223" s="307"/>
      <c r="Z223" s="11"/>
      <c r="AA223" s="12"/>
      <c r="AB223" s="97"/>
      <c r="AC223" s="305"/>
      <c r="AD223" s="304"/>
      <c r="AE223" s="307"/>
      <c r="AG223" s="11"/>
      <c r="AH223" s="12"/>
      <c r="AI223" s="97"/>
      <c r="AJ223" s="305"/>
      <c r="AK223" s="304"/>
      <c r="AL223" s="307"/>
      <c r="AN223" s="9"/>
      <c r="AO223" s="9"/>
      <c r="AP223" s="9"/>
      <c r="AQ223" s="9"/>
      <c r="AR223" s="9"/>
      <c r="AS223" s="9"/>
      <c r="AT223" s="123">
        <v>1</v>
      </c>
      <c r="AU223" s="123" t="s">
        <v>32</v>
      </c>
      <c r="AV223" s="124">
        <v>5020296.17</v>
      </c>
      <c r="AW223" s="125">
        <v>4.2500000000000003E-2</v>
      </c>
      <c r="AX223" s="123"/>
      <c r="AY223" s="301">
        <f t="shared" si="71"/>
        <v>584.55503349315075</v>
      </c>
      <c r="AZ223" s="140">
        <f t="shared" si="66"/>
        <v>190729.20869641766</v>
      </c>
      <c r="BA223" s="140">
        <f t="shared" si="64"/>
        <v>26.744347937595194</v>
      </c>
      <c r="BC223" s="122"/>
      <c r="BD223" s="122"/>
      <c r="BE223" s="122"/>
      <c r="BF223" s="122"/>
      <c r="BH223" s="122"/>
      <c r="BI223" s="122"/>
      <c r="BJ223" s="122"/>
      <c r="BK223" s="122"/>
      <c r="BM223" s="122"/>
      <c r="BN223" s="122"/>
      <c r="BO223" s="122"/>
      <c r="BP223" s="122"/>
      <c r="BR223" s="122"/>
      <c r="BS223" s="122"/>
      <c r="BT223" s="122"/>
      <c r="BU223" s="122"/>
      <c r="BV223" s="439"/>
      <c r="BW223" s="120">
        <f t="shared" si="67"/>
        <v>459400296.17000002</v>
      </c>
      <c r="BX223" s="121">
        <v>4.2500000000000003E-2</v>
      </c>
      <c r="BY223" s="121">
        <f t="shared" si="68"/>
        <v>4.0027319835293174E-2</v>
      </c>
      <c r="BZ223" s="120">
        <f t="shared" si="69"/>
        <v>51071.221700159818</v>
      </c>
      <c r="CA223" s="120">
        <f t="shared" si="70"/>
        <v>26.744347937595194</v>
      </c>
    </row>
    <row r="224" spans="2:79" x14ac:dyDescent="0.25">
      <c r="B224" s="123" t="str">
        <f t="shared" si="60"/>
        <v>8 2025</v>
      </c>
      <c r="C224" s="122">
        <f t="shared" si="61"/>
        <v>45876</v>
      </c>
      <c r="D224" s="122">
        <f t="shared" si="65"/>
        <v>45877</v>
      </c>
      <c r="E224" s="123">
        <f t="shared" si="62"/>
        <v>1</v>
      </c>
      <c r="F224" s="123" t="s">
        <v>7</v>
      </c>
      <c r="G224" s="124">
        <f t="shared" si="73"/>
        <v>454380000</v>
      </c>
      <c r="H224" s="125">
        <f t="shared" si="73"/>
        <v>0.04</v>
      </c>
      <c r="I224" s="297">
        <f t="shared" si="59"/>
        <v>50486.666666666664</v>
      </c>
      <c r="J224" s="124">
        <f t="shared" si="63"/>
        <v>724008.90555555571</v>
      </c>
      <c r="K224" s="9"/>
      <c r="L224" s="11"/>
      <c r="M224" s="12"/>
      <c r="N224" s="97"/>
      <c r="O224" s="305"/>
      <c r="P224" s="304"/>
      <c r="Q224" s="307"/>
      <c r="S224" s="11"/>
      <c r="T224" s="12"/>
      <c r="U224" s="97"/>
      <c r="V224" s="305"/>
      <c r="W224" s="304"/>
      <c r="X224" s="307"/>
      <c r="Z224" s="11"/>
      <c r="AA224" s="12"/>
      <c r="AB224" s="97"/>
      <c r="AC224" s="305"/>
      <c r="AD224" s="304"/>
      <c r="AE224" s="307"/>
      <c r="AG224" s="11"/>
      <c r="AH224" s="12"/>
      <c r="AI224" s="97"/>
      <c r="AJ224" s="305"/>
      <c r="AK224" s="304"/>
      <c r="AL224" s="307"/>
      <c r="AN224" s="9"/>
      <c r="AO224" s="9"/>
      <c r="AP224" s="9"/>
      <c r="AQ224" s="9"/>
      <c r="AR224" s="9"/>
      <c r="AS224" s="9"/>
      <c r="AT224" s="123">
        <v>1</v>
      </c>
      <c r="AU224" s="123" t="s">
        <v>32</v>
      </c>
      <c r="AV224" s="124">
        <v>5020880.7300000004</v>
      </c>
      <c r="AW224" s="125">
        <v>4.2500000000000003E-2</v>
      </c>
      <c r="AX224" s="123"/>
      <c r="AY224" s="301">
        <f t="shared" si="71"/>
        <v>584.6230986986302</v>
      </c>
      <c r="AZ224" s="140">
        <f t="shared" si="66"/>
        <v>191313.83179511628</v>
      </c>
      <c r="BA224" s="140">
        <f t="shared" si="64"/>
        <v>26.747462031963437</v>
      </c>
      <c r="BC224" s="122"/>
      <c r="BD224" s="122"/>
      <c r="BE224" s="122"/>
      <c r="BF224" s="122"/>
      <c r="BH224" s="122"/>
      <c r="BI224" s="122"/>
      <c r="BJ224" s="122"/>
      <c r="BK224" s="122"/>
      <c r="BM224" s="122"/>
      <c r="BN224" s="122"/>
      <c r="BO224" s="122"/>
      <c r="BP224" s="122"/>
      <c r="BR224" s="122"/>
      <c r="BS224" s="122"/>
      <c r="BT224" s="122"/>
      <c r="BU224" s="122"/>
      <c r="BV224" s="439"/>
      <c r="BW224" s="120">
        <f t="shared" si="67"/>
        <v>459400880.73000002</v>
      </c>
      <c r="BX224" s="121">
        <v>4.2500000000000003E-2</v>
      </c>
      <c r="BY224" s="121">
        <f t="shared" si="68"/>
        <v>4.0027322981630011E-2</v>
      </c>
      <c r="BZ224" s="120">
        <f t="shared" si="69"/>
        <v>51071.289765365291</v>
      </c>
      <c r="CA224" s="120">
        <f t="shared" si="70"/>
        <v>26.747462031963437</v>
      </c>
    </row>
    <row r="225" spans="2:79" x14ac:dyDescent="0.25">
      <c r="B225" s="123" t="str">
        <f t="shared" si="60"/>
        <v>8 2025</v>
      </c>
      <c r="C225" s="122">
        <f t="shared" si="61"/>
        <v>45877</v>
      </c>
      <c r="D225" s="122">
        <f t="shared" si="65"/>
        <v>45878</v>
      </c>
      <c r="E225" s="123">
        <f t="shared" si="62"/>
        <v>1</v>
      </c>
      <c r="F225" s="123" t="s">
        <v>7</v>
      </c>
      <c r="G225" s="126">
        <f>G224-220000</f>
        <v>454160000</v>
      </c>
      <c r="H225" s="125">
        <f t="shared" si="73"/>
        <v>0.04</v>
      </c>
      <c r="I225" s="297">
        <f t="shared" si="59"/>
        <v>50462.222222222219</v>
      </c>
      <c r="J225" s="124">
        <f t="shared" si="63"/>
        <v>774471.12777777796</v>
      </c>
      <c r="K225" s="9"/>
      <c r="L225" s="11"/>
      <c r="M225" s="12"/>
      <c r="N225" s="97"/>
      <c r="O225" s="305"/>
      <c r="P225" s="304"/>
      <c r="Q225" s="307"/>
      <c r="S225" s="11"/>
      <c r="T225" s="12"/>
      <c r="U225" s="97"/>
      <c r="V225" s="305"/>
      <c r="W225" s="304"/>
      <c r="X225" s="307"/>
      <c r="Z225" s="11"/>
      <c r="AA225" s="12"/>
      <c r="AB225" s="97"/>
      <c r="AC225" s="305"/>
      <c r="AD225" s="304"/>
      <c r="AE225" s="307"/>
      <c r="AG225" s="11"/>
      <c r="AH225" s="12"/>
      <c r="AI225" s="97"/>
      <c r="AJ225" s="305"/>
      <c r="AK225" s="304"/>
      <c r="AL225" s="307"/>
      <c r="AN225" s="9"/>
      <c r="AO225" s="9"/>
      <c r="AP225" s="9"/>
      <c r="AQ225" s="9"/>
      <c r="AR225" s="9"/>
      <c r="AS225" s="9"/>
      <c r="AT225" s="123">
        <v>1</v>
      </c>
      <c r="AU225" s="123" t="s">
        <v>32</v>
      </c>
      <c r="AV225" s="124">
        <v>5021465.3499999996</v>
      </c>
      <c r="AW225" s="125">
        <v>4.2500000000000003E-2</v>
      </c>
      <c r="AX225" s="123"/>
      <c r="AY225" s="301">
        <f t="shared" si="71"/>
        <v>584.69117089041094</v>
      </c>
      <c r="AZ225" s="140">
        <f t="shared" si="66"/>
        <v>191898.52296600668</v>
      </c>
      <c r="BA225" s="140">
        <f t="shared" si="64"/>
        <v>26.750576445966544</v>
      </c>
      <c r="BC225" s="122"/>
      <c r="BD225" s="122"/>
      <c r="BE225" s="122"/>
      <c r="BF225" s="122"/>
      <c r="BH225" s="122"/>
      <c r="BI225" s="122"/>
      <c r="BJ225" s="122"/>
      <c r="BK225" s="122"/>
      <c r="BM225" s="122"/>
      <c r="BN225" s="122"/>
      <c r="BO225" s="122"/>
      <c r="BP225" s="122"/>
      <c r="BR225" s="122"/>
      <c r="BS225" s="122"/>
      <c r="BT225" s="122"/>
      <c r="BU225" s="122"/>
      <c r="BV225" s="439"/>
      <c r="BW225" s="120">
        <f t="shared" si="67"/>
        <v>459181465.35000002</v>
      </c>
      <c r="BX225" s="121">
        <v>4.2500000000000003E-2</v>
      </c>
      <c r="BY225" s="121">
        <f t="shared" si="68"/>
        <v>4.0027339220596439E-2</v>
      </c>
      <c r="BZ225" s="120">
        <f t="shared" si="69"/>
        <v>51046.913393112627</v>
      </c>
      <c r="CA225" s="120">
        <f t="shared" si="70"/>
        <v>26.750576445966544</v>
      </c>
    </row>
    <row r="226" spans="2:79" x14ac:dyDescent="0.25">
      <c r="B226" s="123" t="str">
        <f t="shared" si="60"/>
        <v>8 2025</v>
      </c>
      <c r="C226" s="122">
        <f t="shared" si="61"/>
        <v>45878</v>
      </c>
      <c r="D226" s="122">
        <f t="shared" si="65"/>
        <v>45879</v>
      </c>
      <c r="E226" s="123">
        <f t="shared" si="62"/>
        <v>1</v>
      </c>
      <c r="F226" s="123" t="s">
        <v>7</v>
      </c>
      <c r="G226" s="124">
        <f t="shared" si="73"/>
        <v>454160000</v>
      </c>
      <c r="H226" s="125">
        <f t="shared" si="73"/>
        <v>0.04</v>
      </c>
      <c r="I226" s="297">
        <f t="shared" si="59"/>
        <v>50462.222222222219</v>
      </c>
      <c r="J226" s="124">
        <f t="shared" si="63"/>
        <v>824933.35000000021</v>
      </c>
      <c r="K226" s="9"/>
      <c r="L226" s="11"/>
      <c r="M226" s="12"/>
      <c r="N226" s="97"/>
      <c r="O226" s="305"/>
      <c r="P226" s="304"/>
      <c r="Q226" s="307"/>
      <c r="S226" s="11"/>
      <c r="T226" s="12"/>
      <c r="U226" s="97"/>
      <c r="V226" s="305"/>
      <c r="W226" s="304"/>
      <c r="X226" s="307"/>
      <c r="Z226" s="11"/>
      <c r="AA226" s="12"/>
      <c r="AB226" s="97"/>
      <c r="AC226" s="305"/>
      <c r="AD226" s="304"/>
      <c r="AE226" s="307"/>
      <c r="AG226" s="11"/>
      <c r="AH226" s="12"/>
      <c r="AI226" s="97"/>
      <c r="AJ226" s="305"/>
      <c r="AK226" s="304"/>
      <c r="AL226" s="307"/>
      <c r="AN226" s="9"/>
      <c r="AO226" s="9"/>
      <c r="AP226" s="9"/>
      <c r="AQ226" s="9"/>
      <c r="AR226" s="9"/>
      <c r="AS226" s="9"/>
      <c r="AT226" s="123">
        <v>1</v>
      </c>
      <c r="AU226" s="123" t="s">
        <v>32</v>
      </c>
      <c r="AV226" s="124">
        <v>5021465.3499999996</v>
      </c>
      <c r="AW226" s="125">
        <v>4.2500000000000003E-2</v>
      </c>
      <c r="AX226" s="123"/>
      <c r="AY226" s="301">
        <f t="shared" si="71"/>
        <v>584.69117089041094</v>
      </c>
      <c r="AZ226" s="140">
        <f t="shared" si="66"/>
        <v>192483.21413689709</v>
      </c>
      <c r="BA226" s="140">
        <f t="shared" si="64"/>
        <v>26.750576445966544</v>
      </c>
      <c r="BC226" s="122"/>
      <c r="BD226" s="122"/>
      <c r="BE226" s="122"/>
      <c r="BF226" s="122"/>
      <c r="BH226" s="122"/>
      <c r="BI226" s="122"/>
      <c r="BJ226" s="122"/>
      <c r="BK226" s="122"/>
      <c r="BM226" s="122"/>
      <c r="BN226" s="122"/>
      <c r="BO226" s="122"/>
      <c r="BP226" s="122"/>
      <c r="BR226" s="122"/>
      <c r="BS226" s="122"/>
      <c r="BT226" s="122"/>
      <c r="BU226" s="122"/>
      <c r="BV226" s="439"/>
      <c r="BW226" s="120">
        <f t="shared" si="67"/>
        <v>459181465.35000002</v>
      </c>
      <c r="BX226" s="121">
        <v>4.2500000000000003E-2</v>
      </c>
      <c r="BY226" s="121">
        <f t="shared" si="68"/>
        <v>4.0027339220596439E-2</v>
      </c>
      <c r="BZ226" s="120">
        <f t="shared" si="69"/>
        <v>51046.913393112627</v>
      </c>
      <c r="CA226" s="120">
        <f t="shared" si="70"/>
        <v>26.750576445966544</v>
      </c>
    </row>
    <row r="227" spans="2:79" x14ac:dyDescent="0.25">
      <c r="B227" s="123" t="str">
        <f t="shared" si="60"/>
        <v>8 2025</v>
      </c>
      <c r="C227" s="122">
        <f t="shared" si="61"/>
        <v>45879</v>
      </c>
      <c r="D227" s="122">
        <f t="shared" si="65"/>
        <v>45880</v>
      </c>
      <c r="E227" s="123">
        <f t="shared" si="62"/>
        <v>1</v>
      </c>
      <c r="F227" s="123" t="s">
        <v>7</v>
      </c>
      <c r="G227" s="124">
        <f t="shared" si="73"/>
        <v>454160000</v>
      </c>
      <c r="H227" s="125">
        <f t="shared" si="73"/>
        <v>0.04</v>
      </c>
      <c r="I227" s="297">
        <f t="shared" si="59"/>
        <v>50462.222222222219</v>
      </c>
      <c r="J227" s="124">
        <f t="shared" si="63"/>
        <v>875395.57222222246</v>
      </c>
      <c r="K227" s="9"/>
      <c r="L227" s="11"/>
      <c r="M227" s="12"/>
      <c r="N227" s="97"/>
      <c r="O227" s="305"/>
      <c r="P227" s="304"/>
      <c r="Q227" s="307"/>
      <c r="S227" s="11"/>
      <c r="T227" s="12"/>
      <c r="U227" s="97"/>
      <c r="V227" s="305"/>
      <c r="W227" s="304"/>
      <c r="X227" s="307"/>
      <c r="Z227" s="11"/>
      <c r="AA227" s="12"/>
      <c r="AB227" s="97"/>
      <c r="AC227" s="305"/>
      <c r="AD227" s="304"/>
      <c r="AE227" s="307"/>
      <c r="AG227" s="11"/>
      <c r="AH227" s="12"/>
      <c r="AI227" s="97"/>
      <c r="AJ227" s="305"/>
      <c r="AK227" s="304"/>
      <c r="AL227" s="307"/>
      <c r="AN227" s="9"/>
      <c r="AO227" s="9"/>
      <c r="AP227" s="9"/>
      <c r="AQ227" s="9"/>
      <c r="AR227" s="9"/>
      <c r="AS227" s="9"/>
      <c r="AT227" s="123">
        <v>1</v>
      </c>
      <c r="AU227" s="123" t="s">
        <v>32</v>
      </c>
      <c r="AV227" s="124">
        <v>5021465.3499999996</v>
      </c>
      <c r="AW227" s="125">
        <v>4.2500000000000003E-2</v>
      </c>
      <c r="AX227" s="123"/>
      <c r="AY227" s="301">
        <f t="shared" si="71"/>
        <v>584.69117089041094</v>
      </c>
      <c r="AZ227" s="140">
        <f t="shared" si="66"/>
        <v>193067.9053077875</v>
      </c>
      <c r="BA227" s="140">
        <f t="shared" si="64"/>
        <v>26.750576445966544</v>
      </c>
      <c r="BC227" s="122"/>
      <c r="BD227" s="122"/>
      <c r="BE227" s="122"/>
      <c r="BF227" s="122"/>
      <c r="BH227" s="122"/>
      <c r="BI227" s="122"/>
      <c r="BJ227" s="122"/>
      <c r="BK227" s="122"/>
      <c r="BM227" s="122"/>
      <c r="BN227" s="122"/>
      <c r="BO227" s="122"/>
      <c r="BP227" s="122"/>
      <c r="BR227" s="122"/>
      <c r="BS227" s="122"/>
      <c r="BT227" s="122"/>
      <c r="BU227" s="122"/>
      <c r="BV227" s="439"/>
      <c r="BW227" s="120">
        <f t="shared" si="67"/>
        <v>459181465.35000002</v>
      </c>
      <c r="BX227" s="121">
        <v>4.2500000000000003E-2</v>
      </c>
      <c r="BY227" s="121">
        <f t="shared" si="68"/>
        <v>4.0027339220596439E-2</v>
      </c>
      <c r="BZ227" s="120">
        <f t="shared" si="69"/>
        <v>51046.913393112627</v>
      </c>
      <c r="CA227" s="120">
        <f t="shared" si="70"/>
        <v>26.750576445966544</v>
      </c>
    </row>
    <row r="228" spans="2:79" x14ac:dyDescent="0.25">
      <c r="B228" s="123" t="str">
        <f t="shared" si="60"/>
        <v>8 2025</v>
      </c>
      <c r="C228" s="122">
        <f t="shared" si="61"/>
        <v>45880</v>
      </c>
      <c r="D228" s="122">
        <f t="shared" si="65"/>
        <v>45881</v>
      </c>
      <c r="E228" s="123">
        <f t="shared" si="62"/>
        <v>1</v>
      </c>
      <c r="F228" s="123" t="s">
        <v>7</v>
      </c>
      <c r="G228" s="126">
        <f>G227-440000000</f>
        <v>14160000</v>
      </c>
      <c r="H228" s="125">
        <f t="shared" si="73"/>
        <v>0.04</v>
      </c>
      <c r="I228" s="297">
        <f t="shared" si="59"/>
        <v>1573.3333333333333</v>
      </c>
      <c r="J228" s="124">
        <f t="shared" si="63"/>
        <v>876968.90555555583</v>
      </c>
      <c r="K228" s="9"/>
      <c r="L228" s="11"/>
      <c r="M228" s="306"/>
      <c r="N228" s="97"/>
      <c r="O228" s="305"/>
      <c r="P228" s="304"/>
      <c r="Q228" s="307"/>
      <c r="S228" s="11"/>
      <c r="T228" s="306"/>
      <c r="U228" s="97"/>
      <c r="V228" s="305"/>
      <c r="W228" s="304"/>
      <c r="X228" s="307"/>
      <c r="Z228" s="11"/>
      <c r="AA228" s="306"/>
      <c r="AB228" s="97"/>
      <c r="AC228" s="305"/>
      <c r="AD228" s="304"/>
      <c r="AE228" s="307"/>
      <c r="AG228" s="11"/>
      <c r="AH228" s="306"/>
      <c r="AI228" s="97"/>
      <c r="AJ228" s="305"/>
      <c r="AK228" s="304"/>
      <c r="AL228" s="307"/>
      <c r="AN228" s="9"/>
      <c r="AO228" s="9"/>
      <c r="AP228" s="9"/>
      <c r="AQ228" s="9"/>
      <c r="AR228" s="9"/>
      <c r="AS228" s="9"/>
      <c r="AT228" s="123">
        <v>1</v>
      </c>
      <c r="AU228" s="123" t="s">
        <v>32</v>
      </c>
      <c r="AV228" s="124">
        <v>4982394.0599999996</v>
      </c>
      <c r="AW228" s="125">
        <v>4.2500000000000003E-2</v>
      </c>
      <c r="AX228" s="123"/>
      <c r="AY228" s="301">
        <f t="shared" si="71"/>
        <v>580.14177410958905</v>
      </c>
      <c r="AZ228" s="140">
        <f t="shared" si="66"/>
        <v>193648.04708189709</v>
      </c>
      <c r="BA228" s="140">
        <f t="shared" si="64"/>
        <v>26.542434109589067</v>
      </c>
      <c r="BC228" s="122"/>
      <c r="BD228" s="122"/>
      <c r="BE228" s="122"/>
      <c r="BF228" s="122"/>
      <c r="BH228" s="122"/>
      <c r="BI228" s="122"/>
      <c r="BJ228" s="122"/>
      <c r="BK228" s="122"/>
      <c r="BM228" s="122"/>
      <c r="BN228" s="122"/>
      <c r="BO228" s="122"/>
      <c r="BP228" s="122"/>
      <c r="BR228" s="122"/>
      <c r="BS228" s="122"/>
      <c r="BT228" s="122"/>
      <c r="BU228" s="122"/>
      <c r="BV228" s="439"/>
      <c r="BW228" s="120">
        <f t="shared" si="67"/>
        <v>19142394.059999999</v>
      </c>
      <c r="BX228" s="121">
        <v>4.2500000000000003E-2</v>
      </c>
      <c r="BY228" s="121">
        <f t="shared" si="68"/>
        <v>4.0650701532470697E-2</v>
      </c>
      <c r="BZ228" s="120">
        <f t="shared" si="69"/>
        <v>2153.4751074429223</v>
      </c>
      <c r="CA228" s="120">
        <f t="shared" si="70"/>
        <v>26.542434109589067</v>
      </c>
    </row>
    <row r="229" spans="2:79" x14ac:dyDescent="0.25">
      <c r="B229" s="123" t="str">
        <f t="shared" si="60"/>
        <v>8 2025</v>
      </c>
      <c r="C229" s="122">
        <f t="shared" si="61"/>
        <v>45881</v>
      </c>
      <c r="D229" s="122">
        <f t="shared" si="65"/>
        <v>45882</v>
      </c>
      <c r="E229" s="123">
        <f t="shared" si="62"/>
        <v>1</v>
      </c>
      <c r="F229" s="123" t="s">
        <v>7</v>
      </c>
      <c r="G229" s="124">
        <f t="shared" si="73"/>
        <v>14160000</v>
      </c>
      <c r="H229" s="125">
        <f t="shared" si="73"/>
        <v>0.04</v>
      </c>
      <c r="I229" s="297">
        <f t="shared" si="59"/>
        <v>1573.3333333333333</v>
      </c>
      <c r="J229" s="124">
        <f t="shared" si="63"/>
        <v>878542.2388888892</v>
      </c>
      <c r="K229" s="9"/>
      <c r="L229" s="11"/>
      <c r="M229" s="306"/>
      <c r="N229" s="97"/>
      <c r="O229" s="305"/>
      <c r="P229" s="304"/>
      <c r="Q229" s="307"/>
      <c r="S229" s="11"/>
      <c r="T229" s="306"/>
      <c r="U229" s="97"/>
      <c r="V229" s="305"/>
      <c r="W229" s="304"/>
      <c r="X229" s="307"/>
      <c r="Z229" s="11"/>
      <c r="AA229" s="306"/>
      <c r="AB229" s="97"/>
      <c r="AC229" s="305"/>
      <c r="AD229" s="304"/>
      <c r="AE229" s="307"/>
      <c r="AG229" s="11"/>
      <c r="AH229" s="306"/>
      <c r="AI229" s="97"/>
      <c r="AJ229" s="305"/>
      <c r="AK229" s="304"/>
      <c r="AL229" s="307"/>
      <c r="AN229" s="9"/>
      <c r="AO229" s="9"/>
      <c r="AP229" s="9"/>
      <c r="AQ229" s="9"/>
      <c r="AR229" s="9"/>
      <c r="AS229" s="9"/>
      <c r="AT229" s="123">
        <v>1</v>
      </c>
      <c r="AU229" s="123" t="s">
        <v>32</v>
      </c>
      <c r="AV229" s="124">
        <v>4979837.33</v>
      </c>
      <c r="AW229" s="125">
        <v>4.2500000000000003E-2</v>
      </c>
      <c r="AX229" s="123"/>
      <c r="AY229" s="301">
        <f t="shared" si="71"/>
        <v>579.84407267123288</v>
      </c>
      <c r="AZ229" s="140">
        <f t="shared" si="66"/>
        <v>194227.89115456832</v>
      </c>
      <c r="BA229" s="140">
        <f t="shared" si="64"/>
        <v>26.528813782343946</v>
      </c>
      <c r="BC229" s="122"/>
      <c r="BD229" s="122"/>
      <c r="BE229" s="122"/>
      <c r="BF229" s="122"/>
      <c r="BH229" s="122"/>
      <c r="BI229" s="122"/>
      <c r="BJ229" s="122"/>
      <c r="BK229" s="122"/>
      <c r="BM229" s="122"/>
      <c r="BN229" s="122"/>
      <c r="BO229" s="122"/>
      <c r="BP229" s="122"/>
      <c r="BR229" s="122"/>
      <c r="BS229" s="122"/>
      <c r="BT229" s="122"/>
      <c r="BU229" s="122"/>
      <c r="BV229" s="439"/>
      <c r="BW229" s="120">
        <f t="shared" si="67"/>
        <v>19139837.329999998</v>
      </c>
      <c r="BX229" s="121">
        <v>4.2500000000000003E-2</v>
      </c>
      <c r="BY229" s="121">
        <f t="shared" si="68"/>
        <v>4.0650454500231643E-2</v>
      </c>
      <c r="BZ229" s="120">
        <f t="shared" si="69"/>
        <v>2153.1774060045664</v>
      </c>
      <c r="CA229" s="120">
        <f t="shared" si="70"/>
        <v>26.528813782343946</v>
      </c>
    </row>
    <row r="230" spans="2:79" x14ac:dyDescent="0.25">
      <c r="B230" s="123" t="str">
        <f t="shared" si="60"/>
        <v>8 2025</v>
      </c>
      <c r="C230" s="122">
        <f t="shared" si="61"/>
        <v>45882</v>
      </c>
      <c r="D230" s="122">
        <f t="shared" si="65"/>
        <v>45883</v>
      </c>
      <c r="E230" s="123">
        <f t="shared" si="62"/>
        <v>1</v>
      </c>
      <c r="F230" s="123" t="s">
        <v>7</v>
      </c>
      <c r="G230" s="124">
        <f t="shared" si="73"/>
        <v>14160000</v>
      </c>
      <c r="H230" s="125">
        <f t="shared" si="73"/>
        <v>0.04</v>
      </c>
      <c r="I230" s="297">
        <f t="shared" si="59"/>
        <v>1573.3333333333333</v>
      </c>
      <c r="J230" s="124">
        <f t="shared" si="63"/>
        <v>880115.57222222257</v>
      </c>
      <c r="K230" s="9"/>
      <c r="L230" s="11"/>
      <c r="M230" s="306"/>
      <c r="N230" s="97"/>
      <c r="O230" s="305"/>
      <c r="P230" s="304"/>
      <c r="Q230" s="307"/>
      <c r="S230" s="11"/>
      <c r="T230" s="306"/>
      <c r="U230" s="97"/>
      <c r="V230" s="305"/>
      <c r="W230" s="304"/>
      <c r="X230" s="307"/>
      <c r="Z230" s="11"/>
      <c r="AA230" s="306"/>
      <c r="AB230" s="97"/>
      <c r="AC230" s="305"/>
      <c r="AD230" s="304"/>
      <c r="AE230" s="307"/>
      <c r="AG230" s="11"/>
      <c r="AH230" s="306"/>
      <c r="AI230" s="97"/>
      <c r="AJ230" s="305"/>
      <c r="AK230" s="304"/>
      <c r="AL230" s="307"/>
      <c r="AN230" s="9"/>
      <c r="AO230" s="9"/>
      <c r="AP230" s="9"/>
      <c r="AQ230" s="9"/>
      <c r="AR230" s="9"/>
      <c r="AS230" s="9"/>
      <c r="AT230" s="123">
        <v>1</v>
      </c>
      <c r="AU230" s="123" t="s">
        <v>32</v>
      </c>
      <c r="AV230" s="124">
        <v>4980417.17</v>
      </c>
      <c r="AW230" s="125">
        <v>4.2500000000000003E-2</v>
      </c>
      <c r="AX230" s="123"/>
      <c r="AY230" s="301">
        <f t="shared" si="71"/>
        <v>579.91158828767129</v>
      </c>
      <c r="AZ230" s="140">
        <f t="shared" si="66"/>
        <v>194807.802742856</v>
      </c>
      <c r="BA230" s="140">
        <f t="shared" si="64"/>
        <v>26.531902732115782</v>
      </c>
      <c r="BC230" s="122"/>
      <c r="BD230" s="122"/>
      <c r="BE230" s="122"/>
      <c r="BF230" s="122"/>
      <c r="BH230" s="122"/>
      <c r="BI230" s="122"/>
      <c r="BJ230" s="122"/>
      <c r="BK230" s="122"/>
      <c r="BM230" s="122"/>
      <c r="BN230" s="122"/>
      <c r="BO230" s="122"/>
      <c r="BP230" s="122"/>
      <c r="BR230" s="122"/>
      <c r="BS230" s="122"/>
      <c r="BT230" s="122"/>
      <c r="BU230" s="122"/>
      <c r="BV230" s="439"/>
      <c r="BW230" s="120">
        <f t="shared" si="67"/>
        <v>19140417.170000002</v>
      </c>
      <c r="BX230" s="121">
        <v>4.2500000000000003E-2</v>
      </c>
      <c r="BY230" s="121">
        <f t="shared" si="68"/>
        <v>4.0650510530382544E-2</v>
      </c>
      <c r="BZ230" s="120">
        <f t="shared" si="69"/>
        <v>2153.2449216210043</v>
      </c>
      <c r="CA230" s="120">
        <f t="shared" si="70"/>
        <v>26.531902732115782</v>
      </c>
    </row>
    <row r="231" spans="2:79" x14ac:dyDescent="0.25">
      <c r="B231" s="123" t="str">
        <f t="shared" si="60"/>
        <v>8 2025</v>
      </c>
      <c r="C231" s="122">
        <f t="shared" si="61"/>
        <v>45883</v>
      </c>
      <c r="D231" s="122">
        <f t="shared" si="65"/>
        <v>45884</v>
      </c>
      <c r="E231" s="123">
        <f t="shared" si="62"/>
        <v>1</v>
      </c>
      <c r="F231" s="123" t="s">
        <v>7</v>
      </c>
      <c r="G231" s="124">
        <f t="shared" si="73"/>
        <v>14160000</v>
      </c>
      <c r="H231" s="125">
        <f t="shared" si="73"/>
        <v>0.04</v>
      </c>
      <c r="I231" s="297">
        <f t="shared" si="59"/>
        <v>1573.3333333333333</v>
      </c>
      <c r="J231" s="124">
        <f t="shared" si="63"/>
        <v>881688.90555555595</v>
      </c>
      <c r="K231" s="9"/>
      <c r="L231" s="11"/>
      <c r="M231" s="306"/>
      <c r="N231" s="97"/>
      <c r="O231" s="305"/>
      <c r="P231" s="304"/>
      <c r="Q231" s="307"/>
      <c r="S231" s="11"/>
      <c r="T231" s="306"/>
      <c r="U231" s="97"/>
      <c r="V231" s="305"/>
      <c r="W231" s="304"/>
      <c r="X231" s="307"/>
      <c r="Z231" s="11"/>
      <c r="AA231" s="306"/>
      <c r="AB231" s="97"/>
      <c r="AC231" s="305"/>
      <c r="AD231" s="304"/>
      <c r="AE231" s="307"/>
      <c r="AG231" s="11"/>
      <c r="AH231" s="306"/>
      <c r="AI231" s="97"/>
      <c r="AJ231" s="305"/>
      <c r="AK231" s="304"/>
      <c r="AL231" s="307"/>
      <c r="AN231" s="9"/>
      <c r="AO231" s="9"/>
      <c r="AP231" s="9"/>
      <c r="AQ231" s="9"/>
      <c r="AR231" s="9"/>
      <c r="AS231" s="9"/>
      <c r="AT231" s="123">
        <v>1</v>
      </c>
      <c r="AU231" s="123" t="s">
        <v>32</v>
      </c>
      <c r="AV231" s="124">
        <v>4980997.08</v>
      </c>
      <c r="AW231" s="125">
        <v>4.2500000000000003E-2</v>
      </c>
      <c r="AX231" s="123"/>
      <c r="AY231" s="301">
        <f t="shared" si="71"/>
        <v>579.97911205479454</v>
      </c>
      <c r="AZ231" s="140">
        <f t="shared" si="66"/>
        <v>195387.78185491081</v>
      </c>
      <c r="BA231" s="140">
        <f t="shared" si="64"/>
        <v>26.534992054794543</v>
      </c>
      <c r="BC231" s="122"/>
      <c r="BD231" s="122"/>
      <c r="BE231" s="122"/>
      <c r="BF231" s="122"/>
      <c r="BH231" s="122"/>
      <c r="BI231" s="122"/>
      <c r="BJ231" s="122"/>
      <c r="BK231" s="122"/>
      <c r="BM231" s="122"/>
      <c r="BN231" s="122"/>
      <c r="BO231" s="122"/>
      <c r="BP231" s="122"/>
      <c r="BR231" s="122"/>
      <c r="BS231" s="122"/>
      <c r="BT231" s="122"/>
      <c r="BU231" s="122"/>
      <c r="BV231" s="439"/>
      <c r="BW231" s="120">
        <f t="shared" si="67"/>
        <v>19140997.079999998</v>
      </c>
      <c r="BX231" s="121">
        <v>4.2500000000000003E-2</v>
      </c>
      <c r="BY231" s="121">
        <f t="shared" si="68"/>
        <v>4.0650566563902327E-2</v>
      </c>
      <c r="BZ231" s="120">
        <f t="shared" si="69"/>
        <v>2153.3124453881278</v>
      </c>
      <c r="CA231" s="120">
        <f t="shared" si="70"/>
        <v>26.534992054794543</v>
      </c>
    </row>
    <row r="232" spans="2:79" x14ac:dyDescent="0.25">
      <c r="B232" s="123" t="str">
        <f t="shared" si="60"/>
        <v>8 2025</v>
      </c>
      <c r="C232" s="122">
        <f t="shared" si="61"/>
        <v>45884</v>
      </c>
      <c r="D232" s="122">
        <f t="shared" si="65"/>
        <v>45885</v>
      </c>
      <c r="E232" s="123">
        <f t="shared" si="62"/>
        <v>1</v>
      </c>
      <c r="F232" s="123" t="s">
        <v>7</v>
      </c>
      <c r="G232" s="124">
        <f t="shared" ref="G232:H247" si="74">G231</f>
        <v>14160000</v>
      </c>
      <c r="H232" s="125">
        <f t="shared" si="74"/>
        <v>0.04</v>
      </c>
      <c r="I232" s="297">
        <f t="shared" si="59"/>
        <v>1573.3333333333333</v>
      </c>
      <c r="J232" s="124">
        <f t="shared" si="63"/>
        <v>883262.23888888932</v>
      </c>
      <c r="K232" s="9"/>
      <c r="L232" s="11"/>
      <c r="M232" s="306"/>
      <c r="N232" s="97"/>
      <c r="O232" s="305"/>
      <c r="P232" s="304"/>
      <c r="Q232" s="307"/>
      <c r="S232" s="11"/>
      <c r="T232" s="306"/>
      <c r="U232" s="97"/>
      <c r="V232" s="305"/>
      <c r="W232" s="304"/>
      <c r="X232" s="307"/>
      <c r="Z232" s="11"/>
      <c r="AA232" s="306"/>
      <c r="AB232" s="97"/>
      <c r="AC232" s="305"/>
      <c r="AD232" s="304"/>
      <c r="AE232" s="307"/>
      <c r="AG232" s="11"/>
      <c r="AH232" s="306"/>
      <c r="AI232" s="97"/>
      <c r="AJ232" s="305"/>
      <c r="AK232" s="304"/>
      <c r="AL232" s="307"/>
      <c r="AN232" s="9"/>
      <c r="AO232" s="9"/>
      <c r="AP232" s="9"/>
      <c r="AQ232" s="9"/>
      <c r="AR232" s="9"/>
      <c r="AS232" s="9"/>
      <c r="AT232" s="123">
        <v>1</v>
      </c>
      <c r="AU232" s="123" t="s">
        <v>32</v>
      </c>
      <c r="AV232" s="124">
        <v>4670898.96</v>
      </c>
      <c r="AW232" s="125">
        <v>4.2500000000000003E-2</v>
      </c>
      <c r="AX232" s="123"/>
      <c r="AY232" s="301">
        <f t="shared" si="71"/>
        <v>543.87179671232889</v>
      </c>
      <c r="AZ232" s="140">
        <f t="shared" si="66"/>
        <v>195931.65365162314</v>
      </c>
      <c r="BA232" s="140">
        <f t="shared" si="64"/>
        <v>24.883023378995517</v>
      </c>
      <c r="BC232" s="122"/>
      <c r="BD232" s="122"/>
      <c r="BE232" s="122"/>
      <c r="BF232" s="122"/>
      <c r="BH232" s="122"/>
      <c r="BI232" s="122"/>
      <c r="BJ232" s="122"/>
      <c r="BK232" s="122"/>
      <c r="BM232" s="122"/>
      <c r="BN232" s="122"/>
      <c r="BO232" s="122"/>
      <c r="BP232" s="122"/>
      <c r="BR232" s="122"/>
      <c r="BS232" s="122"/>
      <c r="BT232" s="122"/>
      <c r="BU232" s="122"/>
      <c r="BV232" s="439"/>
      <c r="BW232" s="120">
        <f t="shared" si="67"/>
        <v>18830898.960000001</v>
      </c>
      <c r="BX232" s="121">
        <v>4.2500000000000003E-2</v>
      </c>
      <c r="BY232" s="121">
        <f t="shared" si="68"/>
        <v>4.0620110990176539E-2</v>
      </c>
      <c r="BZ232" s="120">
        <f t="shared" si="69"/>
        <v>2117.2051300456624</v>
      </c>
      <c r="CA232" s="120">
        <f t="shared" si="70"/>
        <v>24.883023378995517</v>
      </c>
    </row>
    <row r="233" spans="2:79" x14ac:dyDescent="0.25">
      <c r="B233" s="123" t="str">
        <f t="shared" si="60"/>
        <v>8 2025</v>
      </c>
      <c r="C233" s="122">
        <f t="shared" si="61"/>
        <v>45885</v>
      </c>
      <c r="D233" s="122">
        <f t="shared" si="65"/>
        <v>45886</v>
      </c>
      <c r="E233" s="123">
        <f t="shared" si="62"/>
        <v>1</v>
      </c>
      <c r="F233" s="123" t="s">
        <v>7</v>
      </c>
      <c r="G233" s="124">
        <f t="shared" si="74"/>
        <v>14160000</v>
      </c>
      <c r="H233" s="125">
        <f t="shared" si="74"/>
        <v>0.04</v>
      </c>
      <c r="I233" s="297">
        <f t="shared" si="59"/>
        <v>1573.3333333333333</v>
      </c>
      <c r="J233" s="124">
        <f t="shared" si="63"/>
        <v>884835.57222222269</v>
      </c>
      <c r="K233" s="9"/>
      <c r="L233" s="11"/>
      <c r="M233" s="306"/>
      <c r="N233" s="97"/>
      <c r="O233" s="305"/>
      <c r="P233" s="304"/>
      <c r="Q233" s="307"/>
      <c r="S233" s="11"/>
      <c r="T233" s="306"/>
      <c r="U233" s="97"/>
      <c r="V233" s="305"/>
      <c r="W233" s="304"/>
      <c r="X233" s="307"/>
      <c r="Z233" s="11"/>
      <c r="AA233" s="306"/>
      <c r="AB233" s="97"/>
      <c r="AC233" s="305"/>
      <c r="AD233" s="304"/>
      <c r="AE233" s="307"/>
      <c r="AG233" s="11"/>
      <c r="AH233" s="306"/>
      <c r="AI233" s="97"/>
      <c r="AJ233" s="305"/>
      <c r="AK233" s="304"/>
      <c r="AL233" s="307"/>
      <c r="AN233" s="9"/>
      <c r="AO233" s="9"/>
      <c r="AP233" s="9"/>
      <c r="AQ233" s="9"/>
      <c r="AR233" s="9"/>
      <c r="AS233" s="9"/>
      <c r="AT233" s="123">
        <v>1</v>
      </c>
      <c r="AU233" s="123" t="s">
        <v>32</v>
      </c>
      <c r="AV233" s="124">
        <v>4670898.96</v>
      </c>
      <c r="AW233" s="125">
        <v>4.2500000000000003E-2</v>
      </c>
      <c r="AX233" s="123"/>
      <c r="AY233" s="301">
        <f t="shared" si="71"/>
        <v>543.87179671232889</v>
      </c>
      <c r="AZ233" s="140">
        <f t="shared" si="66"/>
        <v>196475.52544833548</v>
      </c>
      <c r="BA233" s="140">
        <f t="shared" si="64"/>
        <v>24.883023378995517</v>
      </c>
      <c r="BC233" s="122"/>
      <c r="BD233" s="122"/>
      <c r="BE233" s="122"/>
      <c r="BF233" s="122"/>
      <c r="BH233" s="122"/>
      <c r="BI233" s="122"/>
      <c r="BJ233" s="122"/>
      <c r="BK233" s="122"/>
      <c r="BM233" s="122"/>
      <c r="BN233" s="122"/>
      <c r="BO233" s="122"/>
      <c r="BP233" s="122"/>
      <c r="BR233" s="122"/>
      <c r="BS233" s="122"/>
      <c r="BT233" s="122"/>
      <c r="BU233" s="122"/>
      <c r="BV233" s="439"/>
      <c r="BW233" s="120">
        <f t="shared" si="67"/>
        <v>18830898.960000001</v>
      </c>
      <c r="BX233" s="121">
        <v>4.2500000000000003E-2</v>
      </c>
      <c r="BY233" s="121">
        <f t="shared" si="68"/>
        <v>4.0620110990176539E-2</v>
      </c>
      <c r="BZ233" s="120">
        <f t="shared" si="69"/>
        <v>2117.2051300456624</v>
      </c>
      <c r="CA233" s="120">
        <f t="shared" si="70"/>
        <v>24.883023378995517</v>
      </c>
    </row>
    <row r="234" spans="2:79" x14ac:dyDescent="0.25">
      <c r="B234" s="123" t="str">
        <f t="shared" si="60"/>
        <v>8 2025</v>
      </c>
      <c r="C234" s="122">
        <f t="shared" si="61"/>
        <v>45886</v>
      </c>
      <c r="D234" s="122">
        <f t="shared" si="65"/>
        <v>45887</v>
      </c>
      <c r="E234" s="123">
        <f t="shared" si="62"/>
        <v>1</v>
      </c>
      <c r="F234" s="123" t="s">
        <v>7</v>
      </c>
      <c r="G234" s="124">
        <f t="shared" si="74"/>
        <v>14160000</v>
      </c>
      <c r="H234" s="125">
        <f t="shared" si="74"/>
        <v>0.04</v>
      </c>
      <c r="I234" s="297">
        <f t="shared" si="59"/>
        <v>1573.3333333333333</v>
      </c>
      <c r="J234" s="124">
        <f t="shared" si="63"/>
        <v>886408.90555555606</v>
      </c>
      <c r="K234" s="9"/>
      <c r="L234" s="11"/>
      <c r="M234" s="306"/>
      <c r="N234" s="97"/>
      <c r="O234" s="305"/>
      <c r="P234" s="304"/>
      <c r="Q234" s="307"/>
      <c r="S234" s="11"/>
      <c r="T234" s="306"/>
      <c r="U234" s="97"/>
      <c r="V234" s="305"/>
      <c r="W234" s="304"/>
      <c r="X234" s="307"/>
      <c r="Z234" s="11"/>
      <c r="AA234" s="306"/>
      <c r="AB234" s="97"/>
      <c r="AC234" s="305"/>
      <c r="AD234" s="304"/>
      <c r="AE234" s="307"/>
      <c r="AG234" s="11"/>
      <c r="AH234" s="306"/>
      <c r="AI234" s="97"/>
      <c r="AJ234" s="305"/>
      <c r="AK234" s="304"/>
      <c r="AL234" s="307"/>
      <c r="AN234" s="9"/>
      <c r="AO234" s="9"/>
      <c r="AP234" s="9"/>
      <c r="AQ234" s="9"/>
      <c r="AR234" s="9"/>
      <c r="AS234" s="9"/>
      <c r="AT234" s="123">
        <v>1</v>
      </c>
      <c r="AU234" s="123" t="s">
        <v>32</v>
      </c>
      <c r="AV234" s="124">
        <v>4670898.96</v>
      </c>
      <c r="AW234" s="125">
        <v>4.2500000000000003E-2</v>
      </c>
      <c r="AX234" s="123"/>
      <c r="AY234" s="301">
        <f t="shared" si="71"/>
        <v>543.87179671232889</v>
      </c>
      <c r="AZ234" s="140">
        <f t="shared" si="66"/>
        <v>197019.39724504782</v>
      </c>
      <c r="BA234" s="140">
        <f t="shared" si="64"/>
        <v>24.883023378995517</v>
      </c>
      <c r="BC234" s="122"/>
      <c r="BD234" s="122"/>
      <c r="BE234" s="122"/>
      <c r="BF234" s="122"/>
      <c r="BH234" s="122"/>
      <c r="BI234" s="122"/>
      <c r="BJ234" s="122"/>
      <c r="BK234" s="122"/>
      <c r="BM234" s="122"/>
      <c r="BN234" s="122"/>
      <c r="BO234" s="122"/>
      <c r="BP234" s="122"/>
      <c r="BR234" s="122"/>
      <c r="BS234" s="122"/>
      <c r="BT234" s="122"/>
      <c r="BU234" s="122"/>
      <c r="BV234" s="439"/>
      <c r="BW234" s="120">
        <f t="shared" si="67"/>
        <v>18830898.960000001</v>
      </c>
      <c r="BX234" s="121">
        <v>4.2500000000000003E-2</v>
      </c>
      <c r="BY234" s="121">
        <f t="shared" si="68"/>
        <v>4.0620110990176539E-2</v>
      </c>
      <c r="BZ234" s="120">
        <f t="shared" si="69"/>
        <v>2117.2051300456624</v>
      </c>
      <c r="CA234" s="120">
        <f t="shared" si="70"/>
        <v>24.883023378995517</v>
      </c>
    </row>
    <row r="235" spans="2:79" x14ac:dyDescent="0.25">
      <c r="B235" s="123" t="str">
        <f t="shared" si="60"/>
        <v>8 2025</v>
      </c>
      <c r="C235" s="122">
        <f t="shared" si="61"/>
        <v>45887</v>
      </c>
      <c r="D235" s="122">
        <f t="shared" si="65"/>
        <v>45888</v>
      </c>
      <c r="E235" s="123">
        <f t="shared" si="62"/>
        <v>1</v>
      </c>
      <c r="F235" s="123" t="s">
        <v>7</v>
      </c>
      <c r="G235" s="124">
        <f t="shared" si="74"/>
        <v>14160000</v>
      </c>
      <c r="H235" s="125">
        <f t="shared" si="74"/>
        <v>0.04</v>
      </c>
      <c r="I235" s="297">
        <f t="shared" si="59"/>
        <v>1573.3333333333333</v>
      </c>
      <c r="J235" s="124">
        <f t="shared" si="63"/>
        <v>887982.23888888943</v>
      </c>
      <c r="K235" s="9"/>
      <c r="L235" s="11"/>
      <c r="M235" s="306"/>
      <c r="N235" s="97"/>
      <c r="O235" s="305"/>
      <c r="P235" s="304"/>
      <c r="Q235" s="307"/>
      <c r="S235" s="11"/>
      <c r="T235" s="306"/>
      <c r="U235" s="97"/>
      <c r="V235" s="305"/>
      <c r="W235" s="304"/>
      <c r="X235" s="307"/>
      <c r="Z235" s="11"/>
      <c r="AA235" s="306"/>
      <c r="AB235" s="97"/>
      <c r="AC235" s="305"/>
      <c r="AD235" s="304"/>
      <c r="AE235" s="307"/>
      <c r="AG235" s="11"/>
      <c r="AH235" s="306"/>
      <c r="AI235" s="97"/>
      <c r="AJ235" s="305"/>
      <c r="AK235" s="304"/>
      <c r="AL235" s="307"/>
      <c r="AN235" s="9"/>
      <c r="AO235" s="9"/>
      <c r="AP235" s="9"/>
      <c r="AQ235" s="9"/>
      <c r="AR235" s="9"/>
      <c r="AS235" s="9"/>
      <c r="AT235" s="123">
        <v>1</v>
      </c>
      <c r="AU235" s="123" t="s">
        <v>32</v>
      </c>
      <c r="AV235" s="124">
        <v>4672065.22</v>
      </c>
      <c r="AW235" s="125">
        <v>4.2500000000000003E-2</v>
      </c>
      <c r="AX235" s="123"/>
      <c r="AY235" s="301">
        <f t="shared" si="71"/>
        <v>544.00759410958904</v>
      </c>
      <c r="AZ235" s="140">
        <f t="shared" si="66"/>
        <v>197563.40483915742</v>
      </c>
      <c r="BA235" s="140">
        <f t="shared" si="64"/>
        <v>24.889236331811276</v>
      </c>
      <c r="BC235" s="122"/>
      <c r="BD235" s="122"/>
      <c r="BE235" s="122"/>
      <c r="BF235" s="122"/>
      <c r="BH235" s="122"/>
      <c r="BI235" s="122"/>
      <c r="BJ235" s="122"/>
      <c r="BK235" s="122"/>
      <c r="BM235" s="122"/>
      <c r="BN235" s="122"/>
      <c r="BO235" s="122"/>
      <c r="BP235" s="122"/>
      <c r="BR235" s="122"/>
      <c r="BS235" s="122"/>
      <c r="BT235" s="122"/>
      <c r="BU235" s="122"/>
      <c r="BV235" s="439"/>
      <c r="BW235" s="120">
        <f t="shared" si="67"/>
        <v>18832065.219999999</v>
      </c>
      <c r="BX235" s="121">
        <v>4.2500000000000003E-2</v>
      </c>
      <c r="BY235" s="121">
        <f t="shared" si="68"/>
        <v>4.0620227410724741E-2</v>
      </c>
      <c r="BZ235" s="120">
        <f t="shared" si="69"/>
        <v>2117.3409274429223</v>
      </c>
      <c r="CA235" s="120">
        <f t="shared" si="70"/>
        <v>24.889236331811276</v>
      </c>
    </row>
    <row r="236" spans="2:79" x14ac:dyDescent="0.25">
      <c r="B236" s="123" t="str">
        <f t="shared" si="60"/>
        <v>8 2025</v>
      </c>
      <c r="C236" s="122">
        <f t="shared" si="61"/>
        <v>45888</v>
      </c>
      <c r="D236" s="122">
        <f t="shared" si="65"/>
        <v>45889</v>
      </c>
      <c r="E236" s="123">
        <f t="shared" si="62"/>
        <v>1</v>
      </c>
      <c r="F236" s="123" t="s">
        <v>7</v>
      </c>
      <c r="G236" s="124">
        <f t="shared" si="74"/>
        <v>14160000</v>
      </c>
      <c r="H236" s="125">
        <f t="shared" si="74"/>
        <v>0.04</v>
      </c>
      <c r="I236" s="297">
        <f t="shared" si="59"/>
        <v>1573.3333333333333</v>
      </c>
      <c r="J236" s="124">
        <f t="shared" si="63"/>
        <v>889555.57222222281</v>
      </c>
      <c r="K236" s="9"/>
      <c r="L236" s="11"/>
      <c r="M236" s="306"/>
      <c r="N236" s="97"/>
      <c r="O236" s="305"/>
      <c r="P236" s="304"/>
      <c r="Q236" s="307"/>
      <c r="S236" s="11"/>
      <c r="T236" s="306"/>
      <c r="U236" s="97"/>
      <c r="V236" s="305"/>
      <c r="W236" s="304"/>
      <c r="X236" s="307"/>
      <c r="Z236" s="11"/>
      <c r="AA236" s="306"/>
      <c r="AB236" s="97"/>
      <c r="AC236" s="305"/>
      <c r="AD236" s="304"/>
      <c r="AE236" s="307"/>
      <c r="AG236" s="11"/>
      <c r="AH236" s="306"/>
      <c r="AI236" s="97"/>
      <c r="AJ236" s="305"/>
      <c r="AK236" s="304"/>
      <c r="AL236" s="307"/>
      <c r="AN236" s="9"/>
      <c r="AO236" s="9"/>
      <c r="AP236" s="9"/>
      <c r="AQ236" s="9"/>
      <c r="AR236" s="9"/>
      <c r="AS236" s="9"/>
      <c r="AT236" s="123">
        <v>1</v>
      </c>
      <c r="AU236" s="123" t="s">
        <v>32</v>
      </c>
      <c r="AV236" s="124">
        <v>4643877.0999999996</v>
      </c>
      <c r="AW236" s="125">
        <v>4.2500000000000003E-2</v>
      </c>
      <c r="AX236" s="123"/>
      <c r="AY236" s="301">
        <f t="shared" si="71"/>
        <v>540.72541575342461</v>
      </c>
      <c r="AZ236" s="140">
        <f t="shared" si="66"/>
        <v>198104.13025491085</v>
      </c>
      <c r="BA236" s="140">
        <f t="shared" si="64"/>
        <v>24.739071308980215</v>
      </c>
      <c r="BC236" s="122"/>
      <c r="BD236" s="122"/>
      <c r="BE236" s="122"/>
      <c r="BF236" s="122"/>
      <c r="BH236" s="122"/>
      <c r="BI236" s="122"/>
      <c r="BJ236" s="122"/>
      <c r="BK236" s="122"/>
      <c r="BM236" s="122"/>
      <c r="BN236" s="122"/>
      <c r="BO236" s="122"/>
      <c r="BP236" s="122"/>
      <c r="BR236" s="122"/>
      <c r="BS236" s="122"/>
      <c r="BT236" s="122"/>
      <c r="BU236" s="122"/>
      <c r="BV236" s="439"/>
      <c r="BW236" s="120">
        <f t="shared" si="67"/>
        <v>18803877.100000001</v>
      </c>
      <c r="BX236" s="121">
        <v>4.2500000000000003E-2</v>
      </c>
      <c r="BY236" s="121">
        <f t="shared" si="68"/>
        <v>4.0617409520826951E-2</v>
      </c>
      <c r="BZ236" s="120">
        <f t="shared" si="69"/>
        <v>2114.0587490867579</v>
      </c>
      <c r="CA236" s="120">
        <f t="shared" si="70"/>
        <v>24.739071308980215</v>
      </c>
    </row>
    <row r="237" spans="2:79" x14ac:dyDescent="0.25">
      <c r="B237" s="123" t="str">
        <f t="shared" si="60"/>
        <v>8 2025</v>
      </c>
      <c r="C237" s="122">
        <f t="shared" si="61"/>
        <v>45889</v>
      </c>
      <c r="D237" s="122">
        <f t="shared" si="65"/>
        <v>45890</v>
      </c>
      <c r="E237" s="123">
        <f t="shared" si="62"/>
        <v>1</v>
      </c>
      <c r="F237" s="123" t="s">
        <v>7</v>
      </c>
      <c r="G237" s="124">
        <f t="shared" si="74"/>
        <v>14160000</v>
      </c>
      <c r="H237" s="125">
        <f t="shared" si="74"/>
        <v>0.04</v>
      </c>
      <c r="I237" s="297">
        <f t="shared" si="59"/>
        <v>1573.3333333333333</v>
      </c>
      <c r="J237" s="124">
        <f t="shared" si="63"/>
        <v>891128.90555555618</v>
      </c>
      <c r="K237" s="9"/>
      <c r="L237" s="11"/>
      <c r="M237" s="306"/>
      <c r="N237" s="97"/>
      <c r="O237" s="305"/>
      <c r="P237" s="304"/>
      <c r="Q237" s="307"/>
      <c r="S237" s="11"/>
      <c r="T237" s="306"/>
      <c r="U237" s="97"/>
      <c r="V237" s="305"/>
      <c r="W237" s="304"/>
      <c r="X237" s="307"/>
      <c r="Z237" s="11"/>
      <c r="AA237" s="306"/>
      <c r="AB237" s="97"/>
      <c r="AC237" s="305"/>
      <c r="AD237" s="304"/>
      <c r="AE237" s="307"/>
      <c r="AG237" s="11"/>
      <c r="AH237" s="306"/>
      <c r="AI237" s="97"/>
      <c r="AJ237" s="305"/>
      <c r="AK237" s="304"/>
      <c r="AL237" s="307"/>
      <c r="AN237" s="9"/>
      <c r="AO237" s="9"/>
      <c r="AP237" s="9"/>
      <c r="AQ237" s="9"/>
      <c r="AR237" s="9"/>
      <c r="AS237" s="9"/>
      <c r="AT237" s="123">
        <v>1</v>
      </c>
      <c r="AU237" s="123" t="s">
        <v>32</v>
      </c>
      <c r="AV237" s="124">
        <v>4644417.83</v>
      </c>
      <c r="AW237" s="125">
        <v>4.2500000000000003E-2</v>
      </c>
      <c r="AX237" s="123"/>
      <c r="AY237" s="301">
        <f t="shared" si="71"/>
        <v>540.78837746575346</v>
      </c>
      <c r="AZ237" s="140">
        <f t="shared" si="66"/>
        <v>198644.91863237662</v>
      </c>
      <c r="BA237" s="140">
        <f t="shared" si="64"/>
        <v>24.74195191019794</v>
      </c>
      <c r="BC237" s="122"/>
      <c r="BD237" s="122"/>
      <c r="BE237" s="122"/>
      <c r="BF237" s="122"/>
      <c r="BH237" s="122"/>
      <c r="BI237" s="122"/>
      <c r="BJ237" s="122"/>
      <c r="BK237" s="122"/>
      <c r="BM237" s="122"/>
      <c r="BN237" s="122"/>
      <c r="BO237" s="122"/>
      <c r="BP237" s="122"/>
      <c r="BR237" s="122"/>
      <c r="BS237" s="122"/>
      <c r="BT237" s="122"/>
      <c r="BU237" s="122"/>
      <c r="BV237" s="439"/>
      <c r="BW237" s="120">
        <f t="shared" si="67"/>
        <v>18804417.829999998</v>
      </c>
      <c r="BX237" s="121">
        <v>4.2500000000000003E-2</v>
      </c>
      <c r="BY237" s="121">
        <f t="shared" si="68"/>
        <v>4.061746365561375E-2</v>
      </c>
      <c r="BZ237" s="120">
        <f t="shared" si="69"/>
        <v>2114.1217107990869</v>
      </c>
      <c r="CA237" s="120">
        <f t="shared" si="70"/>
        <v>24.74195191019794</v>
      </c>
    </row>
    <row r="238" spans="2:79" x14ac:dyDescent="0.25">
      <c r="B238" s="123" t="str">
        <f t="shared" si="60"/>
        <v>8 2025</v>
      </c>
      <c r="C238" s="122">
        <f t="shared" si="61"/>
        <v>45890</v>
      </c>
      <c r="D238" s="122">
        <f t="shared" si="65"/>
        <v>45891</v>
      </c>
      <c r="E238" s="123">
        <f t="shared" si="62"/>
        <v>1</v>
      </c>
      <c r="F238" s="123" t="s">
        <v>7</v>
      </c>
      <c r="G238" s="124">
        <f t="shared" si="74"/>
        <v>14160000</v>
      </c>
      <c r="H238" s="125">
        <f t="shared" si="74"/>
        <v>0.04</v>
      </c>
      <c r="I238" s="297">
        <f t="shared" si="59"/>
        <v>1573.3333333333333</v>
      </c>
      <c r="J238" s="124">
        <f t="shared" si="63"/>
        <v>892702.23888888955</v>
      </c>
      <c r="K238" s="9"/>
      <c r="L238" s="11"/>
      <c r="M238" s="306"/>
      <c r="N238" s="97"/>
      <c r="O238" s="305"/>
      <c r="P238" s="304"/>
      <c r="Q238" s="307"/>
      <c r="S238" s="11"/>
      <c r="T238" s="306"/>
      <c r="U238" s="97"/>
      <c r="V238" s="305"/>
      <c r="W238" s="304"/>
      <c r="X238" s="307"/>
      <c r="Z238" s="11"/>
      <c r="AA238" s="306"/>
      <c r="AB238" s="97"/>
      <c r="AC238" s="305"/>
      <c r="AD238" s="304"/>
      <c r="AE238" s="307"/>
      <c r="AG238" s="11"/>
      <c r="AH238" s="306"/>
      <c r="AI238" s="97"/>
      <c r="AJ238" s="305"/>
      <c r="AK238" s="304"/>
      <c r="AL238" s="307"/>
      <c r="AN238" s="9"/>
      <c r="AO238" s="9"/>
      <c r="AP238" s="9"/>
      <c r="AQ238" s="9"/>
      <c r="AR238" s="9"/>
      <c r="AS238" s="9"/>
      <c r="AT238" s="123">
        <v>1</v>
      </c>
      <c r="AU238" s="123" t="s">
        <v>32</v>
      </c>
      <c r="AV238" s="124">
        <v>4644958.62</v>
      </c>
      <c r="AW238" s="125">
        <v>4.2500000000000003E-2</v>
      </c>
      <c r="AX238" s="123"/>
      <c r="AY238" s="301">
        <f t="shared" si="71"/>
        <v>540.85134616438359</v>
      </c>
      <c r="AZ238" s="140">
        <f t="shared" si="66"/>
        <v>199185.76997854101</v>
      </c>
      <c r="BA238" s="140">
        <f t="shared" si="64"/>
        <v>24.744832831050189</v>
      </c>
      <c r="BC238" s="122"/>
      <c r="BD238" s="122"/>
      <c r="BE238" s="122"/>
      <c r="BF238" s="122"/>
      <c r="BH238" s="122"/>
      <c r="BI238" s="122"/>
      <c r="BJ238" s="122"/>
      <c r="BK238" s="122"/>
      <c r="BM238" s="122"/>
      <c r="BN238" s="122"/>
      <c r="BO238" s="122"/>
      <c r="BP238" s="122"/>
      <c r="BR238" s="122"/>
      <c r="BS238" s="122"/>
      <c r="BT238" s="122"/>
      <c r="BU238" s="122"/>
      <c r="BV238" s="439"/>
      <c r="BW238" s="120">
        <f t="shared" si="67"/>
        <v>18804958.620000001</v>
      </c>
      <c r="BX238" s="121">
        <v>4.2500000000000003E-2</v>
      </c>
      <c r="BY238" s="121">
        <f t="shared" si="68"/>
        <v>4.0617517793293603E-2</v>
      </c>
      <c r="BZ238" s="120">
        <f t="shared" si="69"/>
        <v>2114.1846794977168</v>
      </c>
      <c r="CA238" s="120">
        <f t="shared" si="70"/>
        <v>24.744832831050189</v>
      </c>
    </row>
    <row r="239" spans="2:79" x14ac:dyDescent="0.25">
      <c r="B239" s="123" t="str">
        <f t="shared" si="60"/>
        <v>8 2025</v>
      </c>
      <c r="C239" s="122">
        <f t="shared" si="61"/>
        <v>45891</v>
      </c>
      <c r="D239" s="122">
        <f t="shared" si="65"/>
        <v>45892</v>
      </c>
      <c r="E239" s="123">
        <f t="shared" si="62"/>
        <v>1</v>
      </c>
      <c r="F239" s="123" t="s">
        <v>7</v>
      </c>
      <c r="G239" s="124">
        <f t="shared" si="74"/>
        <v>14160000</v>
      </c>
      <c r="H239" s="125">
        <f t="shared" si="74"/>
        <v>0.04</v>
      </c>
      <c r="I239" s="297">
        <f t="shared" si="59"/>
        <v>1573.3333333333333</v>
      </c>
      <c r="J239" s="124">
        <f t="shared" si="63"/>
        <v>894275.57222222292</v>
      </c>
      <c r="K239" s="9"/>
      <c r="L239" s="11"/>
      <c r="M239" s="306"/>
      <c r="N239" s="97"/>
      <c r="O239" s="305"/>
      <c r="P239" s="304"/>
      <c r="Q239" s="307"/>
      <c r="S239" s="11"/>
      <c r="T239" s="306"/>
      <c r="U239" s="97"/>
      <c r="V239" s="305"/>
      <c r="W239" s="304"/>
      <c r="X239" s="307"/>
      <c r="Z239" s="11"/>
      <c r="AA239" s="306"/>
      <c r="AB239" s="97"/>
      <c r="AC239" s="305"/>
      <c r="AD239" s="304"/>
      <c r="AE239" s="307"/>
      <c r="AG239" s="11"/>
      <c r="AH239" s="306"/>
      <c r="AI239" s="97"/>
      <c r="AJ239" s="305"/>
      <c r="AK239" s="304"/>
      <c r="AL239" s="307"/>
      <c r="AN239" s="9"/>
      <c r="AO239" s="9"/>
      <c r="AP239" s="9"/>
      <c r="AQ239" s="9"/>
      <c r="AR239" s="9"/>
      <c r="AS239" s="9"/>
      <c r="AT239" s="123">
        <v>1</v>
      </c>
      <c r="AU239" s="123" t="s">
        <v>32</v>
      </c>
      <c r="AV239" s="124">
        <v>4645499.47</v>
      </c>
      <c r="AW239" s="125">
        <v>4.2500000000000003E-2</v>
      </c>
      <c r="AX239" s="123"/>
      <c r="AY239" s="301">
        <f t="shared" si="71"/>
        <v>540.914321849315</v>
      </c>
      <c r="AZ239" s="140">
        <f t="shared" si="66"/>
        <v>199726.68430039033</v>
      </c>
      <c r="BA239" s="140">
        <f t="shared" si="64"/>
        <v>24.747714071537303</v>
      </c>
      <c r="BC239" s="122"/>
      <c r="BD239" s="122"/>
      <c r="BE239" s="122"/>
      <c r="BF239" s="122"/>
      <c r="BH239" s="122"/>
      <c r="BI239" s="122"/>
      <c r="BJ239" s="122"/>
      <c r="BK239" s="122"/>
      <c r="BM239" s="122"/>
      <c r="BN239" s="122"/>
      <c r="BO239" s="122"/>
      <c r="BP239" s="122"/>
      <c r="BR239" s="122"/>
      <c r="BS239" s="122"/>
      <c r="BT239" s="122"/>
      <c r="BU239" s="122"/>
      <c r="BV239" s="439"/>
      <c r="BW239" s="120">
        <f t="shared" si="67"/>
        <v>18805499.469999999</v>
      </c>
      <c r="BX239" s="121">
        <v>4.2500000000000003E-2</v>
      </c>
      <c r="BY239" s="121">
        <f t="shared" si="68"/>
        <v>4.0617571933865788E-2</v>
      </c>
      <c r="BZ239" s="120">
        <f t="shared" si="69"/>
        <v>2114.2476551826485</v>
      </c>
      <c r="CA239" s="120">
        <f t="shared" si="70"/>
        <v>24.747714071537303</v>
      </c>
    </row>
    <row r="240" spans="2:79" x14ac:dyDescent="0.25">
      <c r="B240" s="123" t="str">
        <f t="shared" si="60"/>
        <v>8 2025</v>
      </c>
      <c r="C240" s="122">
        <f t="shared" si="61"/>
        <v>45892</v>
      </c>
      <c r="D240" s="122">
        <f t="shared" si="65"/>
        <v>45893</v>
      </c>
      <c r="E240" s="123">
        <f t="shared" si="62"/>
        <v>1</v>
      </c>
      <c r="F240" s="123" t="s">
        <v>7</v>
      </c>
      <c r="G240" s="124">
        <f t="shared" si="74"/>
        <v>14160000</v>
      </c>
      <c r="H240" s="125">
        <f t="shared" si="74"/>
        <v>0.04</v>
      </c>
      <c r="I240" s="297">
        <f t="shared" si="59"/>
        <v>1573.3333333333333</v>
      </c>
      <c r="J240" s="124">
        <f t="shared" si="63"/>
        <v>895848.9055555563</v>
      </c>
      <c r="K240" s="9"/>
      <c r="L240" s="11"/>
      <c r="M240" s="306"/>
      <c r="N240" s="97"/>
      <c r="O240" s="305"/>
      <c r="P240" s="304"/>
      <c r="Q240" s="307"/>
      <c r="S240" s="11"/>
      <c r="T240" s="306"/>
      <c r="U240" s="97"/>
      <c r="V240" s="305"/>
      <c r="W240" s="304"/>
      <c r="X240" s="307"/>
      <c r="Z240" s="11"/>
      <c r="AA240" s="306"/>
      <c r="AB240" s="97"/>
      <c r="AC240" s="305"/>
      <c r="AD240" s="304"/>
      <c r="AE240" s="307"/>
      <c r="AG240" s="11"/>
      <c r="AH240" s="306"/>
      <c r="AI240" s="97"/>
      <c r="AJ240" s="305"/>
      <c r="AK240" s="304"/>
      <c r="AL240" s="307"/>
      <c r="AN240" s="9"/>
      <c r="AO240" s="9"/>
      <c r="AP240" s="9"/>
      <c r="AQ240" s="9"/>
      <c r="AR240" s="9"/>
      <c r="AS240" s="9"/>
      <c r="AT240" s="123">
        <v>1</v>
      </c>
      <c r="AU240" s="123" t="s">
        <v>32</v>
      </c>
      <c r="AV240" s="124">
        <v>4645499.47</v>
      </c>
      <c r="AW240" s="125">
        <v>4.2500000000000003E-2</v>
      </c>
      <c r="AX240" s="123"/>
      <c r="AY240" s="301">
        <f t="shared" si="71"/>
        <v>540.914321849315</v>
      </c>
      <c r="AZ240" s="140">
        <f t="shared" si="66"/>
        <v>200267.59862223966</v>
      </c>
      <c r="BA240" s="140">
        <f t="shared" si="64"/>
        <v>24.747714071537303</v>
      </c>
      <c r="BC240" s="122"/>
      <c r="BD240" s="122"/>
      <c r="BE240" s="122"/>
      <c r="BF240" s="122"/>
      <c r="BH240" s="122"/>
      <c r="BI240" s="122"/>
      <c r="BJ240" s="122"/>
      <c r="BK240" s="122"/>
      <c r="BM240" s="122"/>
      <c r="BN240" s="122"/>
      <c r="BO240" s="122"/>
      <c r="BP240" s="122"/>
      <c r="BR240" s="122"/>
      <c r="BS240" s="122"/>
      <c r="BT240" s="122"/>
      <c r="BU240" s="122"/>
      <c r="BV240" s="439"/>
      <c r="BW240" s="120">
        <f t="shared" si="67"/>
        <v>18805499.469999999</v>
      </c>
      <c r="BX240" s="121">
        <v>4.2500000000000003E-2</v>
      </c>
      <c r="BY240" s="121">
        <f t="shared" si="68"/>
        <v>4.0617571933865788E-2</v>
      </c>
      <c r="BZ240" s="120">
        <f t="shared" si="69"/>
        <v>2114.2476551826485</v>
      </c>
      <c r="CA240" s="120">
        <f t="shared" si="70"/>
        <v>24.747714071537303</v>
      </c>
    </row>
    <row r="241" spans="2:79" x14ac:dyDescent="0.25">
      <c r="B241" s="123" t="str">
        <f t="shared" si="60"/>
        <v>8 2025</v>
      </c>
      <c r="C241" s="122">
        <f t="shared" si="61"/>
        <v>45893</v>
      </c>
      <c r="D241" s="122">
        <f t="shared" si="65"/>
        <v>45894</v>
      </c>
      <c r="E241" s="123">
        <f t="shared" si="62"/>
        <v>1</v>
      </c>
      <c r="F241" s="123" t="s">
        <v>7</v>
      </c>
      <c r="G241" s="124">
        <f t="shared" si="74"/>
        <v>14160000</v>
      </c>
      <c r="H241" s="125">
        <f t="shared" si="74"/>
        <v>0.04</v>
      </c>
      <c r="I241" s="297">
        <f t="shared" si="59"/>
        <v>1573.3333333333333</v>
      </c>
      <c r="J241" s="124">
        <f t="shared" si="63"/>
        <v>897422.23888888967</v>
      </c>
      <c r="K241" s="9"/>
      <c r="L241" s="11"/>
      <c r="M241" s="306"/>
      <c r="N241" s="97"/>
      <c r="O241" s="305"/>
      <c r="P241" s="304"/>
      <c r="Q241" s="307"/>
      <c r="S241" s="11"/>
      <c r="T241" s="306"/>
      <c r="U241" s="97"/>
      <c r="V241" s="305"/>
      <c r="W241" s="304"/>
      <c r="X241" s="307"/>
      <c r="Z241" s="11"/>
      <c r="AA241" s="306"/>
      <c r="AB241" s="97"/>
      <c r="AC241" s="305"/>
      <c r="AD241" s="304"/>
      <c r="AE241" s="307"/>
      <c r="AG241" s="11"/>
      <c r="AH241" s="306"/>
      <c r="AI241" s="97"/>
      <c r="AJ241" s="305"/>
      <c r="AK241" s="304"/>
      <c r="AL241" s="307"/>
      <c r="AN241" s="9"/>
      <c r="AO241" s="9"/>
      <c r="AP241" s="9"/>
      <c r="AQ241" s="9"/>
      <c r="AR241" s="9"/>
      <c r="AS241" s="9"/>
      <c r="AT241" s="123">
        <v>1</v>
      </c>
      <c r="AU241" s="123" t="s">
        <v>32</v>
      </c>
      <c r="AV241" s="124">
        <v>4645499.47</v>
      </c>
      <c r="AW241" s="125">
        <v>4.2500000000000003E-2</v>
      </c>
      <c r="AX241" s="123"/>
      <c r="AY241" s="301">
        <f t="shared" si="71"/>
        <v>540.914321849315</v>
      </c>
      <c r="AZ241" s="140">
        <f t="shared" si="66"/>
        <v>200808.51294408899</v>
      </c>
      <c r="BA241" s="140">
        <f t="shared" si="64"/>
        <v>24.747714071537303</v>
      </c>
      <c r="BC241" s="122"/>
      <c r="BD241" s="122"/>
      <c r="BE241" s="122"/>
      <c r="BF241" s="122"/>
      <c r="BH241" s="122"/>
      <c r="BI241" s="122"/>
      <c r="BJ241" s="122"/>
      <c r="BK241" s="122"/>
      <c r="BM241" s="122"/>
      <c r="BN241" s="122"/>
      <c r="BO241" s="122"/>
      <c r="BP241" s="122"/>
      <c r="BR241" s="122"/>
      <c r="BS241" s="122"/>
      <c r="BT241" s="122"/>
      <c r="BU241" s="122"/>
      <c r="BV241" s="439"/>
      <c r="BW241" s="120">
        <f t="shared" si="67"/>
        <v>18805499.469999999</v>
      </c>
      <c r="BX241" s="121">
        <v>4.2500000000000003E-2</v>
      </c>
      <c r="BY241" s="121">
        <f t="shared" si="68"/>
        <v>4.0617571933865788E-2</v>
      </c>
      <c r="BZ241" s="120">
        <f t="shared" si="69"/>
        <v>2114.2476551826485</v>
      </c>
      <c r="CA241" s="120">
        <f t="shared" si="70"/>
        <v>24.747714071537303</v>
      </c>
    </row>
    <row r="242" spans="2:79" x14ac:dyDescent="0.25">
      <c r="B242" s="123" t="str">
        <f t="shared" si="60"/>
        <v>8 2025</v>
      </c>
      <c r="C242" s="122">
        <f t="shared" si="61"/>
        <v>45894</v>
      </c>
      <c r="D242" s="122">
        <f t="shared" si="65"/>
        <v>45895</v>
      </c>
      <c r="E242" s="123">
        <f t="shared" si="62"/>
        <v>1</v>
      </c>
      <c r="F242" s="123" t="s">
        <v>7</v>
      </c>
      <c r="G242" s="124">
        <f t="shared" si="74"/>
        <v>14160000</v>
      </c>
      <c r="H242" s="125">
        <f t="shared" si="74"/>
        <v>0.04</v>
      </c>
      <c r="I242" s="297">
        <f t="shared" si="59"/>
        <v>1573.3333333333333</v>
      </c>
      <c r="J242" s="124">
        <f t="shared" si="63"/>
        <v>898995.57222222304</v>
      </c>
      <c r="K242" s="9"/>
      <c r="L242" s="11"/>
      <c r="M242" s="306"/>
      <c r="N242" s="97"/>
      <c r="O242" s="305"/>
      <c r="P242" s="304"/>
      <c r="Q242" s="307"/>
      <c r="S242" s="11"/>
      <c r="T242" s="306"/>
      <c r="U242" s="97"/>
      <c r="V242" s="305"/>
      <c r="W242" s="304"/>
      <c r="X242" s="307"/>
      <c r="Z242" s="11"/>
      <c r="AA242" s="306"/>
      <c r="AB242" s="97"/>
      <c r="AC242" s="305"/>
      <c r="AD242" s="304"/>
      <c r="AE242" s="307"/>
      <c r="AG242" s="11"/>
      <c r="AH242" s="306"/>
      <c r="AI242" s="97"/>
      <c r="AJ242" s="305"/>
      <c r="AK242" s="304"/>
      <c r="AL242" s="307"/>
      <c r="AN242" s="9"/>
      <c r="AO242" s="9"/>
      <c r="AP242" s="9"/>
      <c r="AQ242" s="9"/>
      <c r="AR242" s="9"/>
      <c r="AS242" s="9"/>
      <c r="AT242" s="123">
        <v>1</v>
      </c>
      <c r="AU242" s="123" t="s">
        <v>32</v>
      </c>
      <c r="AV242" s="124">
        <v>4610435.04</v>
      </c>
      <c r="AW242" s="125">
        <v>4.2500000000000003E-2</v>
      </c>
      <c r="AX242" s="123"/>
      <c r="AY242" s="301">
        <f t="shared" si="71"/>
        <v>536.83147726027403</v>
      </c>
      <c r="AZ242" s="140">
        <f t="shared" si="66"/>
        <v>201345.34442134926</v>
      </c>
      <c r="BA242" s="140">
        <f t="shared" si="64"/>
        <v>24.560917260273982</v>
      </c>
      <c r="BC242" s="122"/>
      <c r="BD242" s="122"/>
      <c r="BE242" s="122"/>
      <c r="BF242" s="122"/>
      <c r="BH242" s="122"/>
      <c r="BI242" s="122"/>
      <c r="BJ242" s="122"/>
      <c r="BK242" s="122"/>
      <c r="BM242" s="122"/>
      <c r="BN242" s="122"/>
      <c r="BO242" s="122"/>
      <c r="BP242" s="122"/>
      <c r="BR242" s="122"/>
      <c r="BS242" s="122"/>
      <c r="BT242" s="122"/>
      <c r="BU242" s="122"/>
      <c r="BV242" s="439"/>
      <c r="BW242" s="120">
        <f t="shared" si="67"/>
        <v>18770435.039999999</v>
      </c>
      <c r="BX242" s="121">
        <v>4.2500000000000003E-2</v>
      </c>
      <c r="BY242" s="121">
        <f t="shared" si="68"/>
        <v>4.0614055432143033E-2</v>
      </c>
      <c r="BZ242" s="120">
        <f t="shared" si="69"/>
        <v>2110.1648105936074</v>
      </c>
      <c r="CA242" s="120">
        <f t="shared" si="70"/>
        <v>24.560917260273982</v>
      </c>
    </row>
    <row r="243" spans="2:79" x14ac:dyDescent="0.25">
      <c r="B243" s="123" t="str">
        <f t="shared" si="60"/>
        <v>8 2025</v>
      </c>
      <c r="C243" s="122">
        <f t="shared" si="61"/>
        <v>45895</v>
      </c>
      <c r="D243" s="122">
        <f t="shared" si="65"/>
        <v>45896</v>
      </c>
      <c r="E243" s="123">
        <f t="shared" si="62"/>
        <v>1</v>
      </c>
      <c r="F243" s="123" t="s">
        <v>7</v>
      </c>
      <c r="G243" s="126">
        <f>G242-430000</f>
        <v>13730000</v>
      </c>
      <c r="H243" s="125">
        <f t="shared" si="74"/>
        <v>0.04</v>
      </c>
      <c r="I243" s="297">
        <f t="shared" si="59"/>
        <v>1525.5555555555557</v>
      </c>
      <c r="J243" s="124">
        <f t="shared" si="63"/>
        <v>900521.12777777854</v>
      </c>
      <c r="K243" s="9"/>
      <c r="L243" s="11"/>
      <c r="M243" s="306"/>
      <c r="N243" s="97"/>
      <c r="O243" s="305"/>
      <c r="P243" s="304"/>
      <c r="Q243" s="307"/>
      <c r="S243" s="11"/>
      <c r="T243" s="306"/>
      <c r="U243" s="97"/>
      <c r="V243" s="305"/>
      <c r="W243" s="304"/>
      <c r="X243" s="307"/>
      <c r="Z243" s="11"/>
      <c r="AA243" s="306"/>
      <c r="AB243" s="97"/>
      <c r="AC243" s="305"/>
      <c r="AD243" s="304"/>
      <c r="AE243" s="307"/>
      <c r="AG243" s="11"/>
      <c r="AH243" s="306"/>
      <c r="AI243" s="97"/>
      <c r="AJ243" s="305"/>
      <c r="AK243" s="304"/>
      <c r="AL243" s="307"/>
      <c r="AN243" s="9"/>
      <c r="AO243" s="9"/>
      <c r="AP243" s="9"/>
      <c r="AQ243" s="9"/>
      <c r="AR243" s="9"/>
      <c r="AS243" s="9"/>
      <c r="AT243" s="123">
        <v>1</v>
      </c>
      <c r="AU243" s="123" t="s">
        <v>32</v>
      </c>
      <c r="AV243" s="124">
        <v>4570057.4800000004</v>
      </c>
      <c r="AW243" s="125">
        <v>4.2500000000000003E-2</v>
      </c>
      <c r="AX243" s="123"/>
      <c r="AY243" s="301">
        <f t="shared" si="71"/>
        <v>532.12998054794525</v>
      </c>
      <c r="AZ243" s="140">
        <f t="shared" si="66"/>
        <v>201877.4744018972</v>
      </c>
      <c r="BA243" s="140">
        <f t="shared" si="64"/>
        <v>24.345816103500795</v>
      </c>
      <c r="BC243" s="122"/>
      <c r="BD243" s="122"/>
      <c r="BE243" s="122"/>
      <c r="BF243" s="122"/>
      <c r="BH243" s="122"/>
      <c r="BI243" s="122"/>
      <c r="BJ243" s="122"/>
      <c r="BK243" s="122"/>
      <c r="BM243" s="122"/>
      <c r="BN243" s="122"/>
      <c r="BO243" s="122"/>
      <c r="BP243" s="122"/>
      <c r="BR243" s="122"/>
      <c r="BS243" s="122"/>
      <c r="BT243" s="122"/>
      <c r="BU243" s="122"/>
      <c r="BV243" s="439"/>
      <c r="BW243" s="120">
        <f t="shared" si="67"/>
        <v>18300057.48</v>
      </c>
      <c r="BX243" s="121">
        <v>4.2500000000000003E-2</v>
      </c>
      <c r="BY243" s="121">
        <f t="shared" si="68"/>
        <v>4.0624322831361949E-2</v>
      </c>
      <c r="BZ243" s="120">
        <f t="shared" si="69"/>
        <v>2057.6855361035009</v>
      </c>
      <c r="CA243" s="120">
        <f t="shared" si="70"/>
        <v>24.345816103500795</v>
      </c>
    </row>
    <row r="244" spans="2:79" x14ac:dyDescent="0.25">
      <c r="B244" s="123" t="str">
        <f t="shared" si="60"/>
        <v>8 2025</v>
      </c>
      <c r="C244" s="122">
        <f t="shared" si="61"/>
        <v>45896</v>
      </c>
      <c r="D244" s="122">
        <f t="shared" si="65"/>
        <v>45897</v>
      </c>
      <c r="E244" s="123">
        <f t="shared" si="62"/>
        <v>1</v>
      </c>
      <c r="F244" s="123" t="s">
        <v>7</v>
      </c>
      <c r="G244" s="124">
        <f t="shared" si="74"/>
        <v>13730000</v>
      </c>
      <c r="H244" s="125">
        <f t="shared" si="74"/>
        <v>0.04</v>
      </c>
      <c r="I244" s="297">
        <f t="shared" si="59"/>
        <v>1525.5555555555557</v>
      </c>
      <c r="J244" s="124">
        <f t="shared" si="63"/>
        <v>902046.68333333405</v>
      </c>
      <c r="K244" s="9"/>
      <c r="L244" s="11"/>
      <c r="M244" s="306"/>
      <c r="N244" s="97"/>
      <c r="O244" s="305"/>
      <c r="P244" s="304"/>
      <c r="Q244" s="307"/>
      <c r="S244" s="11"/>
      <c r="T244" s="306"/>
      <c r="U244" s="97"/>
      <c r="V244" s="305"/>
      <c r="W244" s="304"/>
      <c r="X244" s="307"/>
      <c r="Z244" s="11"/>
      <c r="AA244" s="306"/>
      <c r="AB244" s="97"/>
      <c r="AC244" s="305"/>
      <c r="AD244" s="304"/>
      <c r="AE244" s="307"/>
      <c r="AG244" s="11"/>
      <c r="AH244" s="306"/>
      <c r="AI244" s="97"/>
      <c r="AJ244" s="305"/>
      <c r="AK244" s="304"/>
      <c r="AL244" s="307"/>
      <c r="AN244" s="9"/>
      <c r="AO244" s="9"/>
      <c r="AP244" s="9"/>
      <c r="AQ244" s="9"/>
      <c r="AR244" s="9"/>
      <c r="AS244" s="9"/>
      <c r="AT244" s="123">
        <v>1</v>
      </c>
      <c r="AU244" s="123" t="s">
        <v>32</v>
      </c>
      <c r="AV244" s="124">
        <v>4526104.87</v>
      </c>
      <c r="AW244" s="125">
        <v>4.2500000000000003E-2</v>
      </c>
      <c r="AX244" s="123"/>
      <c r="AY244" s="301">
        <f t="shared" si="71"/>
        <v>527.01221089041098</v>
      </c>
      <c r="AZ244" s="140">
        <f t="shared" si="66"/>
        <v>202404.48661278762</v>
      </c>
      <c r="BA244" s="140">
        <f t="shared" si="64"/>
        <v>24.111669779299859</v>
      </c>
      <c r="BC244" s="122"/>
      <c r="BD244" s="122"/>
      <c r="BE244" s="122"/>
      <c r="BF244" s="122"/>
      <c r="BH244" s="122"/>
      <c r="BI244" s="122"/>
      <c r="BJ244" s="122"/>
      <c r="BK244" s="122"/>
      <c r="BM244" s="122"/>
      <c r="BN244" s="122"/>
      <c r="BO244" s="122"/>
      <c r="BP244" s="122"/>
      <c r="BR244" s="122"/>
      <c r="BS244" s="122"/>
      <c r="BT244" s="122"/>
      <c r="BU244" s="122"/>
      <c r="BV244" s="439"/>
      <c r="BW244" s="120">
        <f t="shared" si="67"/>
        <v>18256104.870000001</v>
      </c>
      <c r="BX244" s="121">
        <v>4.2500000000000003E-2</v>
      </c>
      <c r="BY244" s="121">
        <f t="shared" si="68"/>
        <v>4.0619807031980523E-2</v>
      </c>
      <c r="BZ244" s="120">
        <f t="shared" si="69"/>
        <v>2052.5677664459668</v>
      </c>
      <c r="CA244" s="120">
        <f t="shared" si="70"/>
        <v>24.111669779299859</v>
      </c>
    </row>
    <row r="245" spans="2:79" x14ac:dyDescent="0.25">
      <c r="B245" s="123" t="str">
        <f t="shared" si="60"/>
        <v>8 2025</v>
      </c>
      <c r="C245" s="122">
        <f t="shared" si="61"/>
        <v>45897</v>
      </c>
      <c r="D245" s="122">
        <f t="shared" si="65"/>
        <v>45898</v>
      </c>
      <c r="E245" s="123">
        <f t="shared" si="62"/>
        <v>1</v>
      </c>
      <c r="F245" s="123" t="s">
        <v>7</v>
      </c>
      <c r="G245" s="124">
        <f t="shared" si="74"/>
        <v>13730000</v>
      </c>
      <c r="H245" s="125">
        <f t="shared" si="74"/>
        <v>0.04</v>
      </c>
      <c r="I245" s="297">
        <f t="shared" si="59"/>
        <v>1525.5555555555557</v>
      </c>
      <c r="J245" s="124">
        <f t="shared" si="63"/>
        <v>903572.23888888955</v>
      </c>
      <c r="K245" s="9"/>
      <c r="L245" s="11"/>
      <c r="M245" s="306"/>
      <c r="N245" s="97"/>
      <c r="O245" s="305"/>
      <c r="P245" s="304"/>
      <c r="Q245" s="307"/>
      <c r="S245" s="11"/>
      <c r="T245" s="306"/>
      <c r="U245" s="97"/>
      <c r="V245" s="305"/>
      <c r="W245" s="304"/>
      <c r="X245" s="307"/>
      <c r="Z245" s="11"/>
      <c r="AA245" s="306"/>
      <c r="AB245" s="97"/>
      <c r="AC245" s="305"/>
      <c r="AD245" s="304"/>
      <c r="AE245" s="307"/>
      <c r="AG245" s="11"/>
      <c r="AH245" s="306"/>
      <c r="AI245" s="97"/>
      <c r="AJ245" s="305"/>
      <c r="AK245" s="304"/>
      <c r="AL245" s="307"/>
      <c r="AN245" s="9"/>
      <c r="AO245" s="9"/>
      <c r="AP245" s="9"/>
      <c r="AQ245" s="9"/>
      <c r="AR245" s="9"/>
      <c r="AS245" s="9"/>
      <c r="AT245" s="123">
        <v>1</v>
      </c>
      <c r="AU245" s="123" t="s">
        <v>32</v>
      </c>
      <c r="AV245" s="124">
        <v>4512939.92</v>
      </c>
      <c r="AW245" s="125">
        <v>4.2500000000000003E-2</v>
      </c>
      <c r="AX245" s="123"/>
      <c r="AY245" s="301">
        <f t="shared" si="71"/>
        <v>525.47930575342468</v>
      </c>
      <c r="AZ245" s="140">
        <f t="shared" si="66"/>
        <v>202929.96591854104</v>
      </c>
      <c r="BA245" s="140">
        <f t="shared" si="64"/>
        <v>24.041536864535772</v>
      </c>
      <c r="BC245" s="122"/>
      <c r="BD245" s="122"/>
      <c r="BE245" s="122"/>
      <c r="BF245" s="122"/>
      <c r="BH245" s="122"/>
      <c r="BI245" s="122"/>
      <c r="BJ245" s="122"/>
      <c r="BK245" s="122"/>
      <c r="BM245" s="122"/>
      <c r="BN245" s="122"/>
      <c r="BO245" s="122"/>
      <c r="BP245" s="122"/>
      <c r="BR245" s="122"/>
      <c r="BS245" s="122"/>
      <c r="BT245" s="122"/>
      <c r="BU245" s="122"/>
      <c r="BV245" s="439"/>
      <c r="BW245" s="120">
        <f t="shared" si="67"/>
        <v>18242939.920000002</v>
      </c>
      <c r="BX245" s="121">
        <v>4.2500000000000003E-2</v>
      </c>
      <c r="BY245" s="121">
        <f t="shared" si="68"/>
        <v>4.06184501976916E-2</v>
      </c>
      <c r="BZ245" s="120">
        <f t="shared" si="69"/>
        <v>2051.0348613089805</v>
      </c>
      <c r="CA245" s="120">
        <f t="shared" si="70"/>
        <v>24.041536864535772</v>
      </c>
    </row>
    <row r="246" spans="2:79" x14ac:dyDescent="0.25">
      <c r="B246" s="123" t="str">
        <f t="shared" si="60"/>
        <v>8 2025</v>
      </c>
      <c r="C246" s="122">
        <f t="shared" si="61"/>
        <v>45898</v>
      </c>
      <c r="D246" s="122">
        <f t="shared" si="65"/>
        <v>45899</v>
      </c>
      <c r="E246" s="123">
        <f t="shared" si="62"/>
        <v>1</v>
      </c>
      <c r="F246" s="123" t="s">
        <v>7</v>
      </c>
      <c r="G246" s="126">
        <f>G245+610000</f>
        <v>14340000</v>
      </c>
      <c r="H246" s="125">
        <f t="shared" si="74"/>
        <v>0.04</v>
      </c>
      <c r="I246" s="322">
        <f t="shared" si="59"/>
        <v>1593.3333333333333</v>
      </c>
      <c r="J246" s="124">
        <f t="shared" si="63"/>
        <v>905165.57222222292</v>
      </c>
      <c r="K246" s="9"/>
      <c r="L246" s="11"/>
      <c r="M246" s="306"/>
      <c r="N246" s="97"/>
      <c r="O246" s="305"/>
      <c r="P246" s="304"/>
      <c r="Q246" s="307"/>
      <c r="S246" s="11"/>
      <c r="T246" s="306"/>
      <c r="U246" s="97"/>
      <c r="V246" s="305"/>
      <c r="W246" s="304"/>
      <c r="X246" s="307"/>
      <c r="Z246" s="11"/>
      <c r="AA246" s="306"/>
      <c r="AB246" s="97"/>
      <c r="AC246" s="305"/>
      <c r="AD246" s="304"/>
      <c r="AE246" s="307"/>
      <c r="AG246" s="11"/>
      <c r="AH246" s="306"/>
      <c r="AI246" s="97"/>
      <c r="AJ246" s="305"/>
      <c r="AK246" s="304"/>
      <c r="AL246" s="307"/>
      <c r="AN246" s="9"/>
      <c r="AO246" s="9"/>
      <c r="AP246" s="9"/>
      <c r="AQ246" s="9"/>
      <c r="AR246" s="9"/>
      <c r="AS246" s="9"/>
      <c r="AT246" s="123">
        <v>1</v>
      </c>
      <c r="AU246" s="123" t="s">
        <v>32</v>
      </c>
      <c r="AV246" s="124">
        <v>4199113.07</v>
      </c>
      <c r="AW246" s="125">
        <v>4.2500000000000003E-2</v>
      </c>
      <c r="AX246" s="123"/>
      <c r="AY246" s="348">
        <f t="shared" si="71"/>
        <v>488.93782321917814</v>
      </c>
      <c r="AZ246" s="140">
        <f t="shared" si="66"/>
        <v>203418.90374176021</v>
      </c>
      <c r="BA246" s="140">
        <f t="shared" si="64"/>
        <v>22.36970433028921</v>
      </c>
      <c r="BC246" s="122"/>
      <c r="BD246" s="122"/>
      <c r="BE246" s="122"/>
      <c r="BF246" s="122"/>
      <c r="BH246" s="122"/>
      <c r="BI246" s="122"/>
      <c r="BJ246" s="122"/>
      <c r="BK246" s="122"/>
      <c r="BM246" s="122"/>
      <c r="BN246" s="122"/>
      <c r="BO246" s="122"/>
      <c r="BP246" s="122"/>
      <c r="BR246" s="122"/>
      <c r="BS246" s="122"/>
      <c r="BT246" s="122"/>
      <c r="BU246" s="122"/>
      <c r="BV246" s="439"/>
      <c r="BW246" s="120">
        <f t="shared" si="67"/>
        <v>18539113.07</v>
      </c>
      <c r="BX246" s="121">
        <v>4.2500000000000003E-2</v>
      </c>
      <c r="BY246" s="121">
        <f t="shared" si="68"/>
        <v>4.0566250533958258E-2</v>
      </c>
      <c r="BZ246" s="120">
        <f t="shared" si="69"/>
        <v>2082.2711565525115</v>
      </c>
      <c r="CA246" s="120">
        <f t="shared" si="70"/>
        <v>22.36970433028921</v>
      </c>
    </row>
    <row r="247" spans="2:79" x14ac:dyDescent="0.25">
      <c r="B247" s="148" t="str">
        <f t="shared" si="60"/>
        <v>8 2025</v>
      </c>
      <c r="C247" s="149">
        <f t="shared" si="61"/>
        <v>45899</v>
      </c>
      <c r="D247" s="149">
        <f t="shared" si="65"/>
        <v>45900</v>
      </c>
      <c r="E247" s="148">
        <f t="shared" si="62"/>
        <v>1</v>
      </c>
      <c r="F247" s="148" t="s">
        <v>7</v>
      </c>
      <c r="G247" s="150">
        <f t="shared" si="74"/>
        <v>14340000</v>
      </c>
      <c r="H247" s="151">
        <f t="shared" si="74"/>
        <v>0.04</v>
      </c>
      <c r="I247" s="323">
        <f t="shared" si="59"/>
        <v>1593.3333333333333</v>
      </c>
      <c r="J247" s="150">
        <f t="shared" si="63"/>
        <v>906758.9055555563</v>
      </c>
      <c r="K247" s="9"/>
      <c r="L247" s="143"/>
      <c r="M247" s="420"/>
      <c r="N247" s="145"/>
      <c r="O247" s="420"/>
      <c r="P247" s="419"/>
      <c r="Q247" s="308"/>
      <c r="R247" s="17"/>
      <c r="S247" s="143"/>
      <c r="T247" s="420"/>
      <c r="U247" s="145"/>
      <c r="V247" s="420"/>
      <c r="W247" s="419"/>
      <c r="X247" s="308"/>
      <c r="Y247" s="17"/>
      <c r="Z247" s="143"/>
      <c r="AA247" s="420"/>
      <c r="AB247" s="145"/>
      <c r="AC247" s="420"/>
      <c r="AD247" s="419"/>
      <c r="AE247" s="308"/>
      <c r="AF247" s="17"/>
      <c r="AG247" s="143"/>
      <c r="AH247" s="420"/>
      <c r="AI247" s="145"/>
      <c r="AJ247" s="420"/>
      <c r="AK247" s="419"/>
      <c r="AL247" s="308"/>
      <c r="AM247" s="17"/>
      <c r="AN247" s="9"/>
      <c r="AO247" s="9"/>
      <c r="AP247" s="9"/>
      <c r="AQ247" s="9"/>
      <c r="AR247" s="9"/>
      <c r="AS247" s="9"/>
      <c r="AT247" s="148">
        <v>1</v>
      </c>
      <c r="AU247" s="148" t="s">
        <v>32</v>
      </c>
      <c r="AV247" s="150">
        <v>4199113.07</v>
      </c>
      <c r="AW247" s="151">
        <v>4.2500000000000003E-2</v>
      </c>
      <c r="AX247" s="152"/>
      <c r="AY247" s="349">
        <f t="shared" si="71"/>
        <v>488.93782321917814</v>
      </c>
      <c r="AZ247" s="153">
        <f t="shared" si="66"/>
        <v>203907.84156497938</v>
      </c>
      <c r="BA247" s="153">
        <f t="shared" si="64"/>
        <v>22.36970433028921</v>
      </c>
      <c r="BC247" s="122"/>
      <c r="BD247" s="122"/>
      <c r="BE247" s="122"/>
      <c r="BF247" s="122"/>
      <c r="BH247" s="122"/>
      <c r="BI247" s="122"/>
      <c r="BJ247" s="122"/>
      <c r="BK247" s="122"/>
      <c r="BM247" s="122"/>
      <c r="BN247" s="122"/>
      <c r="BO247" s="122"/>
      <c r="BP247" s="122"/>
      <c r="BR247" s="122"/>
      <c r="BS247" s="122"/>
      <c r="BT247" s="122"/>
      <c r="BU247" s="122"/>
      <c r="BV247" s="439"/>
      <c r="BW247" s="120">
        <f t="shared" si="67"/>
        <v>18539113.07</v>
      </c>
      <c r="BX247" s="173">
        <v>4.2500000000000003E-2</v>
      </c>
      <c r="BY247" s="121">
        <f t="shared" si="68"/>
        <v>4.0566250533958258E-2</v>
      </c>
      <c r="BZ247" s="120">
        <f t="shared" si="69"/>
        <v>2082.2711565525115</v>
      </c>
      <c r="CA247" s="120">
        <f t="shared" si="70"/>
        <v>22.36970433028921</v>
      </c>
    </row>
    <row r="248" spans="2:79" x14ac:dyDescent="0.25">
      <c r="B248" s="123" t="str">
        <f t="shared" si="60"/>
        <v>9 2025</v>
      </c>
      <c r="C248" s="122">
        <f t="shared" si="61"/>
        <v>45900</v>
      </c>
      <c r="D248" s="122">
        <f t="shared" si="65"/>
        <v>45901</v>
      </c>
      <c r="E248" s="123">
        <f t="shared" si="62"/>
        <v>1</v>
      </c>
      <c r="F248" s="123" t="s">
        <v>7</v>
      </c>
      <c r="G248" s="124">
        <f t="shared" ref="G248:H263" si="75">G247</f>
        <v>14340000</v>
      </c>
      <c r="H248" s="125">
        <f t="shared" si="75"/>
        <v>0.04</v>
      </c>
      <c r="I248" s="322">
        <f t="shared" si="59"/>
        <v>1593.3333333333333</v>
      </c>
      <c r="J248" s="124">
        <f t="shared" si="63"/>
        <v>908352.23888888967</v>
      </c>
      <c r="K248" s="9"/>
      <c r="L248" s="11"/>
      <c r="M248" s="306"/>
      <c r="N248" s="97"/>
      <c r="O248" s="305"/>
      <c r="P248" s="304"/>
      <c r="Q248" s="307"/>
      <c r="S248" s="11"/>
      <c r="T248" s="306"/>
      <c r="U248" s="97"/>
      <c r="V248" s="305"/>
      <c r="W248" s="304"/>
      <c r="X248" s="307"/>
      <c r="Z248" s="11"/>
      <c r="AA248" s="306"/>
      <c r="AB248" s="97"/>
      <c r="AC248" s="305"/>
      <c r="AD248" s="304"/>
      <c r="AE248" s="307"/>
      <c r="AG248" s="11"/>
      <c r="AH248" s="306"/>
      <c r="AI248" s="97"/>
      <c r="AJ248" s="305"/>
      <c r="AK248" s="304"/>
      <c r="AL248" s="307"/>
      <c r="AN248" s="9"/>
      <c r="AO248" s="9"/>
      <c r="AP248" s="9"/>
      <c r="AQ248" s="9"/>
      <c r="AR248" s="9"/>
      <c r="AS248" s="9"/>
      <c r="AT248" s="123">
        <v>1</v>
      </c>
      <c r="AU248" s="123" t="s">
        <v>32</v>
      </c>
      <c r="AV248" s="124">
        <v>4199113.07</v>
      </c>
      <c r="AW248" s="125">
        <v>4.2500000000000003E-2</v>
      </c>
      <c r="AX248" s="123"/>
      <c r="AY248" s="348">
        <f t="shared" si="71"/>
        <v>488.93782321917814</v>
      </c>
      <c r="AZ248" s="140">
        <f t="shared" si="66"/>
        <v>204396.77938819854</v>
      </c>
      <c r="BA248" s="140">
        <f t="shared" si="64"/>
        <v>22.36970433028921</v>
      </c>
      <c r="BC248" s="122"/>
      <c r="BD248" s="122"/>
      <c r="BE248" s="122"/>
      <c r="BF248" s="122"/>
      <c r="BH248" s="122"/>
      <c r="BI248" s="122"/>
      <c r="BJ248" s="122"/>
      <c r="BK248" s="122"/>
      <c r="BM248" s="122"/>
      <c r="BN248" s="122"/>
      <c r="BO248" s="122"/>
      <c r="BP248" s="122"/>
      <c r="BR248" s="122"/>
      <c r="BS248" s="122"/>
      <c r="BT248" s="122"/>
      <c r="BU248" s="122"/>
      <c r="BV248" s="439"/>
      <c r="BW248" s="120">
        <f t="shared" si="67"/>
        <v>18539113.07</v>
      </c>
      <c r="BX248" s="121">
        <v>4.2500000000000003E-2</v>
      </c>
      <c r="BY248" s="121">
        <f t="shared" si="68"/>
        <v>4.0566250533958258E-2</v>
      </c>
      <c r="BZ248" s="120">
        <f t="shared" si="69"/>
        <v>2082.2711565525115</v>
      </c>
      <c r="CA248" s="120">
        <f t="shared" si="70"/>
        <v>22.36970433028921</v>
      </c>
    </row>
    <row r="249" spans="2:79" x14ac:dyDescent="0.25">
      <c r="B249" s="123" t="str">
        <f t="shared" si="60"/>
        <v>9 2025</v>
      </c>
      <c r="C249" s="122">
        <f t="shared" si="61"/>
        <v>45901</v>
      </c>
      <c r="D249" s="122">
        <f t="shared" si="65"/>
        <v>45902</v>
      </c>
      <c r="E249" s="123">
        <f t="shared" si="62"/>
        <v>1</v>
      </c>
      <c r="F249" s="123" t="s">
        <v>7</v>
      </c>
      <c r="G249" s="124">
        <f t="shared" si="75"/>
        <v>14340000</v>
      </c>
      <c r="H249" s="125">
        <f t="shared" si="75"/>
        <v>0.04</v>
      </c>
      <c r="I249" s="322">
        <f t="shared" si="59"/>
        <v>1593.3333333333333</v>
      </c>
      <c r="J249" s="124">
        <f t="shared" si="63"/>
        <v>909945.57222222304</v>
      </c>
      <c r="K249" s="9"/>
      <c r="L249" s="11"/>
      <c r="M249" s="306"/>
      <c r="N249" s="97"/>
      <c r="O249" s="305"/>
      <c r="P249" s="304"/>
      <c r="Q249" s="307"/>
      <c r="S249" s="11"/>
      <c r="T249" s="306"/>
      <c r="U249" s="97"/>
      <c r="V249" s="305"/>
      <c r="W249" s="304"/>
      <c r="X249" s="307"/>
      <c r="Z249" s="11"/>
      <c r="AA249" s="306"/>
      <c r="AB249" s="97"/>
      <c r="AC249" s="305"/>
      <c r="AD249" s="304"/>
      <c r="AE249" s="307"/>
      <c r="AG249" s="11"/>
      <c r="AH249" s="306"/>
      <c r="AI249" s="97"/>
      <c r="AJ249" s="305"/>
      <c r="AK249" s="304"/>
      <c r="AL249" s="307"/>
      <c r="AN249" s="9"/>
      <c r="AO249" s="9"/>
      <c r="AP249" s="9"/>
      <c r="AQ249" s="9"/>
      <c r="AR249" s="9"/>
      <c r="AS249" s="9"/>
      <c r="AT249" s="123">
        <v>1</v>
      </c>
      <c r="AU249" s="123" t="s">
        <v>32</v>
      </c>
      <c r="AV249" s="124">
        <v>4199113.07</v>
      </c>
      <c r="AW249" s="125">
        <v>4.2500000000000003E-2</v>
      </c>
      <c r="AX249" s="123"/>
      <c r="AY249" s="348">
        <f t="shared" si="71"/>
        <v>488.93782321917814</v>
      </c>
      <c r="AZ249" s="140">
        <f t="shared" si="66"/>
        <v>204885.71721141771</v>
      </c>
      <c r="BA249" s="140">
        <f t="shared" si="64"/>
        <v>22.36970433028921</v>
      </c>
      <c r="BC249" s="122"/>
      <c r="BD249" s="122"/>
      <c r="BE249" s="122"/>
      <c r="BF249" s="122"/>
      <c r="BH249" s="122"/>
      <c r="BI249" s="122"/>
      <c r="BJ249" s="122"/>
      <c r="BK249" s="122"/>
      <c r="BM249" s="122"/>
      <c r="BN249" s="122"/>
      <c r="BO249" s="122"/>
      <c r="BP249" s="122"/>
      <c r="BR249" s="122"/>
      <c r="BS249" s="122"/>
      <c r="BT249" s="122"/>
      <c r="BU249" s="122"/>
      <c r="BV249" s="439"/>
      <c r="BW249" s="120">
        <f t="shared" si="67"/>
        <v>18539113.07</v>
      </c>
      <c r="BX249" s="121">
        <v>4.2500000000000003E-2</v>
      </c>
      <c r="BY249" s="121">
        <f t="shared" si="68"/>
        <v>4.0566250533958258E-2</v>
      </c>
      <c r="BZ249" s="120">
        <f t="shared" si="69"/>
        <v>2082.2711565525115</v>
      </c>
      <c r="CA249" s="120">
        <f t="shared" si="70"/>
        <v>22.36970433028921</v>
      </c>
    </row>
    <row r="250" spans="2:79" x14ac:dyDescent="0.25">
      <c r="B250" s="123" t="str">
        <f t="shared" si="60"/>
        <v>9 2025</v>
      </c>
      <c r="C250" s="122">
        <f t="shared" si="61"/>
        <v>45902</v>
      </c>
      <c r="D250" s="122">
        <f t="shared" si="65"/>
        <v>45903</v>
      </c>
      <c r="E250" s="123">
        <f t="shared" si="62"/>
        <v>1</v>
      </c>
      <c r="F250" s="123" t="s">
        <v>7</v>
      </c>
      <c r="G250" s="124">
        <f t="shared" si="75"/>
        <v>14340000</v>
      </c>
      <c r="H250" s="125">
        <f t="shared" si="75"/>
        <v>0.04</v>
      </c>
      <c r="I250" s="322">
        <f t="shared" si="59"/>
        <v>1593.3333333333333</v>
      </c>
      <c r="J250" s="124">
        <f t="shared" si="63"/>
        <v>911538.90555555641</v>
      </c>
      <c r="K250" s="9"/>
      <c r="L250" s="11"/>
      <c r="M250" s="306"/>
      <c r="N250" s="97"/>
      <c r="O250" s="305"/>
      <c r="P250" s="304"/>
      <c r="Q250" s="307"/>
      <c r="S250" s="11"/>
      <c r="T250" s="306"/>
      <c r="U250" s="97"/>
      <c r="V250" s="305"/>
      <c r="W250" s="304"/>
      <c r="X250" s="307"/>
      <c r="Z250" s="11"/>
      <c r="AA250" s="306"/>
      <c r="AB250" s="97"/>
      <c r="AC250" s="305"/>
      <c r="AD250" s="304"/>
      <c r="AE250" s="307"/>
      <c r="AG250" s="11"/>
      <c r="AH250" s="306"/>
      <c r="AI250" s="97"/>
      <c r="AJ250" s="305"/>
      <c r="AK250" s="304"/>
      <c r="AL250" s="307"/>
      <c r="AN250" s="9"/>
      <c r="AO250" s="9"/>
      <c r="AP250" s="9"/>
      <c r="AQ250" s="9"/>
      <c r="AR250" s="9"/>
      <c r="AS250" s="9"/>
      <c r="AT250" s="123">
        <v>1</v>
      </c>
      <c r="AU250" s="123" t="s">
        <v>32</v>
      </c>
      <c r="AV250" s="124">
        <v>4156427.22</v>
      </c>
      <c r="AW250" s="125">
        <v>4.2500000000000003E-2</v>
      </c>
      <c r="AX250" s="123"/>
      <c r="AY250" s="348">
        <f t="shared" si="71"/>
        <v>483.9675530136987</v>
      </c>
      <c r="AZ250" s="140">
        <f t="shared" ref="AZ250:AZ308" si="76">AZ249+AY250</f>
        <v>205369.68476443141</v>
      </c>
      <c r="BA250" s="140">
        <f t="shared" si="64"/>
        <v>22.142306347032047</v>
      </c>
      <c r="BC250" s="122"/>
      <c r="BD250" s="122"/>
      <c r="BE250" s="122"/>
      <c r="BF250" s="122"/>
      <c r="BH250" s="122"/>
      <c r="BI250" s="122"/>
      <c r="BJ250" s="122"/>
      <c r="BK250" s="122"/>
      <c r="BM250" s="122"/>
      <c r="BN250" s="122"/>
      <c r="BO250" s="122"/>
      <c r="BP250" s="122"/>
      <c r="BR250" s="122"/>
      <c r="BS250" s="122"/>
      <c r="BT250" s="122"/>
      <c r="BU250" s="122"/>
      <c r="BV250" s="439"/>
      <c r="BW250" s="120">
        <f t="shared" si="67"/>
        <v>18496427.219999999</v>
      </c>
      <c r="BX250" s="121">
        <v>4.2500000000000003E-2</v>
      </c>
      <c r="BY250" s="121">
        <f t="shared" si="68"/>
        <v>4.0561787848345347E-2</v>
      </c>
      <c r="BZ250" s="120">
        <f t="shared" si="69"/>
        <v>2077.3008863470318</v>
      </c>
      <c r="CA250" s="120">
        <f t="shared" si="70"/>
        <v>22.142306347032047</v>
      </c>
    </row>
    <row r="251" spans="2:79" x14ac:dyDescent="0.25">
      <c r="B251" s="123" t="str">
        <f t="shared" si="60"/>
        <v>9 2025</v>
      </c>
      <c r="C251" s="122">
        <f t="shared" si="61"/>
        <v>45903</v>
      </c>
      <c r="D251" s="122">
        <f t="shared" si="65"/>
        <v>45904</v>
      </c>
      <c r="E251" s="123">
        <f t="shared" si="62"/>
        <v>1</v>
      </c>
      <c r="F251" s="123" t="s">
        <v>7</v>
      </c>
      <c r="G251" s="124">
        <f t="shared" si="75"/>
        <v>14340000</v>
      </c>
      <c r="H251" s="125">
        <f t="shared" si="75"/>
        <v>0.04</v>
      </c>
      <c r="I251" s="322">
        <f t="shared" si="59"/>
        <v>1593.3333333333333</v>
      </c>
      <c r="J251" s="124">
        <f t="shared" si="63"/>
        <v>913132.23888888978</v>
      </c>
      <c r="K251" s="9"/>
      <c r="L251" s="11"/>
      <c r="M251" s="306"/>
      <c r="N251" s="97"/>
      <c r="O251" s="305"/>
      <c r="P251" s="304"/>
      <c r="Q251" s="307"/>
      <c r="S251" s="11"/>
      <c r="T251" s="306"/>
      <c r="U251" s="97"/>
      <c r="V251" s="305"/>
      <c r="W251" s="304"/>
      <c r="X251" s="307"/>
      <c r="Z251" s="11"/>
      <c r="AA251" s="306"/>
      <c r="AB251" s="97"/>
      <c r="AC251" s="305"/>
      <c r="AD251" s="304"/>
      <c r="AE251" s="307"/>
      <c r="AG251" s="11"/>
      <c r="AH251" s="306"/>
      <c r="AI251" s="97"/>
      <c r="AJ251" s="305"/>
      <c r="AK251" s="304"/>
      <c r="AL251" s="307"/>
      <c r="AN251" s="9"/>
      <c r="AO251" s="9"/>
      <c r="AP251" s="9"/>
      <c r="AQ251" s="9"/>
      <c r="AR251" s="9"/>
      <c r="AS251" s="9"/>
      <c r="AT251" s="123">
        <v>1</v>
      </c>
      <c r="AU251" s="123" t="s">
        <v>32</v>
      </c>
      <c r="AV251" s="124">
        <v>4131100.65</v>
      </c>
      <c r="AW251" s="125">
        <v>4.2500000000000003E-2</v>
      </c>
      <c r="AX251" s="123"/>
      <c r="AY251" s="348">
        <f t="shared" si="71"/>
        <v>481.01856883561646</v>
      </c>
      <c r="AZ251" s="140">
        <f t="shared" si="76"/>
        <v>205850.70333326704</v>
      </c>
      <c r="BA251" s="140">
        <f t="shared" si="64"/>
        <v>22.007385502283114</v>
      </c>
      <c r="BC251" s="122"/>
      <c r="BD251" s="122"/>
      <c r="BE251" s="122"/>
      <c r="BF251" s="122"/>
      <c r="BH251" s="122"/>
      <c r="BI251" s="122"/>
      <c r="BJ251" s="122"/>
      <c r="BK251" s="122"/>
      <c r="BM251" s="122"/>
      <c r="BN251" s="122"/>
      <c r="BO251" s="122"/>
      <c r="BP251" s="122"/>
      <c r="BR251" s="122"/>
      <c r="BS251" s="122"/>
      <c r="BT251" s="122"/>
      <c r="BU251" s="122"/>
      <c r="BV251" s="439"/>
      <c r="BW251" s="120">
        <f t="shared" si="67"/>
        <v>18471100.649999999</v>
      </c>
      <c r="BX251" s="121">
        <v>4.2500000000000003E-2</v>
      </c>
      <c r="BY251" s="121">
        <f t="shared" si="68"/>
        <v>4.0559130277112103E-2</v>
      </c>
      <c r="BZ251" s="120">
        <f t="shared" si="69"/>
        <v>2074.3519021689499</v>
      </c>
      <c r="CA251" s="120">
        <f t="shared" si="70"/>
        <v>22.007385502283114</v>
      </c>
    </row>
    <row r="252" spans="2:79" x14ac:dyDescent="0.25">
      <c r="B252" s="123" t="str">
        <f t="shared" si="60"/>
        <v>9 2025</v>
      </c>
      <c r="C252" s="122">
        <f t="shared" si="61"/>
        <v>45904</v>
      </c>
      <c r="D252" s="122">
        <f t="shared" si="65"/>
        <v>45905</v>
      </c>
      <c r="E252" s="123">
        <f t="shared" si="62"/>
        <v>1</v>
      </c>
      <c r="F252" s="123" t="s">
        <v>7</v>
      </c>
      <c r="G252" s="124">
        <f t="shared" si="75"/>
        <v>14340000</v>
      </c>
      <c r="H252" s="125">
        <f t="shared" si="75"/>
        <v>0.04</v>
      </c>
      <c r="I252" s="322">
        <f t="shared" si="59"/>
        <v>1593.3333333333333</v>
      </c>
      <c r="J252" s="124">
        <f t="shared" si="63"/>
        <v>914725.57222222316</v>
      </c>
      <c r="K252" s="9"/>
      <c r="L252" s="11"/>
      <c r="M252" s="306"/>
      <c r="N252" s="97"/>
      <c r="O252" s="305"/>
      <c r="P252" s="304"/>
      <c r="Q252" s="307"/>
      <c r="S252" s="11"/>
      <c r="T252" s="306"/>
      <c r="U252" s="97"/>
      <c r="V252" s="305"/>
      <c r="W252" s="304"/>
      <c r="X252" s="307"/>
      <c r="Z252" s="11"/>
      <c r="AA252" s="306"/>
      <c r="AB252" s="97"/>
      <c r="AC252" s="305"/>
      <c r="AD252" s="304"/>
      <c r="AE252" s="307"/>
      <c r="AG252" s="11"/>
      <c r="AH252" s="306"/>
      <c r="AI252" s="97"/>
      <c r="AJ252" s="305"/>
      <c r="AK252" s="304"/>
      <c r="AL252" s="307"/>
      <c r="AN252" s="9"/>
      <c r="AO252" s="9"/>
      <c r="AP252" s="9"/>
      <c r="AQ252" s="9"/>
      <c r="AR252" s="9"/>
      <c r="AS252" s="9"/>
      <c r="AT252" s="123">
        <v>1</v>
      </c>
      <c r="AU252" s="123" t="s">
        <v>32</v>
      </c>
      <c r="AV252" s="124">
        <v>4131581.67</v>
      </c>
      <c r="AW252" s="125">
        <v>4.2500000000000003E-2</v>
      </c>
      <c r="AX252" s="123"/>
      <c r="AY252" s="348">
        <f t="shared" si="71"/>
        <v>481.07457801369861</v>
      </c>
      <c r="AZ252" s="140">
        <f t="shared" si="76"/>
        <v>206331.77791128075</v>
      </c>
      <c r="BA252" s="140">
        <f t="shared" si="64"/>
        <v>22.00994801369859</v>
      </c>
      <c r="BC252" s="122"/>
      <c r="BD252" s="122"/>
      <c r="BE252" s="122"/>
      <c r="BF252" s="122"/>
      <c r="BH252" s="122"/>
      <c r="BI252" s="122"/>
      <c r="BJ252" s="122"/>
      <c r="BK252" s="122"/>
      <c r="BM252" s="122"/>
      <c r="BN252" s="122"/>
      <c r="BO252" s="122"/>
      <c r="BP252" s="122"/>
      <c r="BR252" s="122"/>
      <c r="BS252" s="122"/>
      <c r="BT252" s="122"/>
      <c r="BU252" s="122"/>
      <c r="BV252" s="439"/>
      <c r="BW252" s="120">
        <f t="shared" si="67"/>
        <v>18471581.670000002</v>
      </c>
      <c r="BX252" s="121">
        <v>4.2500000000000003E-2</v>
      </c>
      <c r="BY252" s="121">
        <f t="shared" si="68"/>
        <v>4.055918081946254E-2</v>
      </c>
      <c r="BZ252" s="120">
        <f t="shared" si="69"/>
        <v>2074.407911347032</v>
      </c>
      <c r="CA252" s="120">
        <f t="shared" si="70"/>
        <v>22.00994801369859</v>
      </c>
    </row>
    <row r="253" spans="2:79" x14ac:dyDescent="0.25">
      <c r="B253" s="123" t="str">
        <f t="shared" si="60"/>
        <v>9 2025</v>
      </c>
      <c r="C253" s="122">
        <f t="shared" si="61"/>
        <v>45905</v>
      </c>
      <c r="D253" s="122">
        <f t="shared" si="65"/>
        <v>45906</v>
      </c>
      <c r="E253" s="123">
        <f t="shared" si="62"/>
        <v>1</v>
      </c>
      <c r="F253" s="123" t="s">
        <v>7</v>
      </c>
      <c r="G253" s="124">
        <f t="shared" si="75"/>
        <v>14340000</v>
      </c>
      <c r="H253" s="125">
        <f t="shared" si="75"/>
        <v>0.04</v>
      </c>
      <c r="I253" s="322">
        <f t="shared" si="59"/>
        <v>1593.3333333333333</v>
      </c>
      <c r="J253" s="124">
        <f t="shared" si="63"/>
        <v>916318.90555555653</v>
      </c>
      <c r="K253" s="9"/>
      <c r="L253" s="11"/>
      <c r="M253" s="306"/>
      <c r="N253" s="97"/>
      <c r="O253" s="305"/>
      <c r="P253" s="304"/>
      <c r="Q253" s="307"/>
      <c r="S253" s="11"/>
      <c r="T253" s="306"/>
      <c r="U253" s="97"/>
      <c r="V253" s="305"/>
      <c r="W253" s="304"/>
      <c r="X253" s="307"/>
      <c r="Z253" s="11"/>
      <c r="AA253" s="306"/>
      <c r="AB253" s="97"/>
      <c r="AC253" s="305"/>
      <c r="AD253" s="304"/>
      <c r="AE253" s="307"/>
      <c r="AG253" s="11"/>
      <c r="AH253" s="306"/>
      <c r="AI253" s="97"/>
      <c r="AJ253" s="305"/>
      <c r="AK253" s="304"/>
      <c r="AL253" s="307"/>
      <c r="AN253" s="9"/>
      <c r="AO253" s="9"/>
      <c r="AP253" s="9"/>
      <c r="AQ253" s="9"/>
      <c r="AR253" s="9"/>
      <c r="AS253" s="9"/>
      <c r="AT253" s="123">
        <v>1</v>
      </c>
      <c r="AU253" s="123" t="s">
        <v>32</v>
      </c>
      <c r="AV253" s="124">
        <v>4130855.1</v>
      </c>
      <c r="AW253" s="125">
        <v>4.2500000000000003E-2</v>
      </c>
      <c r="AX253" s="123"/>
      <c r="AY253" s="348">
        <f t="shared" si="71"/>
        <v>480.9899773972603</v>
      </c>
      <c r="AZ253" s="140">
        <f t="shared" si="76"/>
        <v>206812.767888678</v>
      </c>
      <c r="BA253" s="140">
        <f t="shared" si="64"/>
        <v>22.006077397260299</v>
      </c>
      <c r="BC253" s="122"/>
      <c r="BD253" s="122"/>
      <c r="BE253" s="122"/>
      <c r="BF253" s="122"/>
      <c r="BH253" s="122"/>
      <c r="BI253" s="122"/>
      <c r="BJ253" s="122"/>
      <c r="BK253" s="122"/>
      <c r="BM253" s="122"/>
      <c r="BN253" s="122"/>
      <c r="BO253" s="122"/>
      <c r="BP253" s="122"/>
      <c r="BR253" s="122"/>
      <c r="BS253" s="122"/>
      <c r="BT253" s="122"/>
      <c r="BU253" s="122"/>
      <c r="BV253" s="439"/>
      <c r="BW253" s="120">
        <f t="shared" si="67"/>
        <v>18470855.100000001</v>
      </c>
      <c r="BX253" s="121">
        <v>4.2500000000000003E-2</v>
      </c>
      <c r="BY253" s="121">
        <f t="shared" si="68"/>
        <v>4.0559104475352631E-2</v>
      </c>
      <c r="BZ253" s="120">
        <f t="shared" si="69"/>
        <v>2074.3233107305937</v>
      </c>
      <c r="CA253" s="120">
        <f t="shared" si="70"/>
        <v>22.006077397260299</v>
      </c>
    </row>
    <row r="254" spans="2:79" x14ac:dyDescent="0.25">
      <c r="B254" s="123" t="str">
        <f t="shared" si="60"/>
        <v>9 2025</v>
      </c>
      <c r="C254" s="122">
        <f t="shared" si="61"/>
        <v>45906</v>
      </c>
      <c r="D254" s="122">
        <f t="shared" si="65"/>
        <v>45907</v>
      </c>
      <c r="E254" s="123">
        <f t="shared" si="62"/>
        <v>1</v>
      </c>
      <c r="F254" s="123" t="s">
        <v>7</v>
      </c>
      <c r="G254" s="124">
        <f t="shared" si="75"/>
        <v>14340000</v>
      </c>
      <c r="H254" s="125">
        <f t="shared" si="75"/>
        <v>0.04</v>
      </c>
      <c r="I254" s="322">
        <f t="shared" ref="I254:I317" si="77">G254*H254*E254/360</f>
        <v>1593.3333333333333</v>
      </c>
      <c r="J254" s="124">
        <f t="shared" si="63"/>
        <v>917912.2388888899</v>
      </c>
      <c r="K254" s="9"/>
      <c r="L254" s="11"/>
      <c r="M254" s="306"/>
      <c r="N254" s="97"/>
      <c r="O254" s="305"/>
      <c r="P254" s="304"/>
      <c r="Q254" s="307"/>
      <c r="S254" s="11"/>
      <c r="T254" s="306"/>
      <c r="U254" s="97"/>
      <c r="V254" s="305"/>
      <c r="W254" s="304"/>
      <c r="X254" s="307"/>
      <c r="Z254" s="11"/>
      <c r="AA254" s="306"/>
      <c r="AB254" s="97"/>
      <c r="AC254" s="305"/>
      <c r="AD254" s="304"/>
      <c r="AE254" s="307"/>
      <c r="AG254" s="11"/>
      <c r="AH254" s="306"/>
      <c r="AI254" s="97"/>
      <c r="AJ254" s="305"/>
      <c r="AK254" s="304"/>
      <c r="AL254" s="307"/>
      <c r="AN254" s="9"/>
      <c r="AO254" s="9"/>
      <c r="AP254" s="9"/>
      <c r="AQ254" s="9"/>
      <c r="AR254" s="9"/>
      <c r="AS254" s="9"/>
      <c r="AT254" s="123">
        <v>1</v>
      </c>
      <c r="AU254" s="123" t="s">
        <v>32</v>
      </c>
      <c r="AV254" s="124">
        <v>4130855.1</v>
      </c>
      <c r="AW254" s="125">
        <v>4.2500000000000003E-2</v>
      </c>
      <c r="AX254" s="123"/>
      <c r="AY254" s="348">
        <f t="shared" si="71"/>
        <v>480.9899773972603</v>
      </c>
      <c r="AZ254" s="140">
        <f t="shared" si="76"/>
        <v>207293.75786607526</v>
      </c>
      <c r="BA254" s="140">
        <f t="shared" si="64"/>
        <v>22.006077397260299</v>
      </c>
      <c r="BC254" s="122"/>
      <c r="BD254" s="122"/>
      <c r="BE254" s="122"/>
      <c r="BF254" s="122"/>
      <c r="BH254" s="122"/>
      <c r="BI254" s="122"/>
      <c r="BJ254" s="122"/>
      <c r="BK254" s="122"/>
      <c r="BM254" s="122"/>
      <c r="BN254" s="122"/>
      <c r="BO254" s="122"/>
      <c r="BP254" s="122"/>
      <c r="BR254" s="122"/>
      <c r="BS254" s="122"/>
      <c r="BT254" s="122"/>
      <c r="BU254" s="122"/>
      <c r="BV254" s="439"/>
      <c r="BW254" s="120">
        <f t="shared" si="67"/>
        <v>18470855.100000001</v>
      </c>
      <c r="BX254" s="121">
        <v>4.2500000000000003E-2</v>
      </c>
      <c r="BY254" s="121">
        <f t="shared" si="68"/>
        <v>4.0559104475352631E-2</v>
      </c>
      <c r="BZ254" s="120">
        <f t="shared" si="69"/>
        <v>2074.3233107305937</v>
      </c>
      <c r="CA254" s="120">
        <f t="shared" si="70"/>
        <v>22.006077397260299</v>
      </c>
    </row>
    <row r="255" spans="2:79" x14ac:dyDescent="0.25">
      <c r="B255" s="123" t="str">
        <f t="shared" ref="B255:B318" si="78">CONCATENATE(MONTH(D255)," ",YEAR(D255))</f>
        <v>9 2025</v>
      </c>
      <c r="C255" s="122">
        <f t="shared" ref="C255:C318" si="79">D254</f>
        <v>45907</v>
      </c>
      <c r="D255" s="122">
        <f t="shared" si="65"/>
        <v>45908</v>
      </c>
      <c r="E255" s="123">
        <f t="shared" ref="E255:E318" si="80">D255-C255</f>
        <v>1</v>
      </c>
      <c r="F255" s="123" t="s">
        <v>7</v>
      </c>
      <c r="G255" s="124">
        <f t="shared" si="75"/>
        <v>14340000</v>
      </c>
      <c r="H255" s="125">
        <f t="shared" si="75"/>
        <v>0.04</v>
      </c>
      <c r="I255" s="322">
        <f t="shared" si="77"/>
        <v>1593.3333333333333</v>
      </c>
      <c r="J255" s="124">
        <f t="shared" ref="J255:J318" si="81">J254+I255</f>
        <v>919505.57222222327</v>
      </c>
      <c r="K255" s="9"/>
      <c r="L255" s="11"/>
      <c r="M255" s="306"/>
      <c r="N255" s="97"/>
      <c r="O255" s="305"/>
      <c r="P255" s="304"/>
      <c r="Q255" s="307"/>
      <c r="S255" s="11"/>
      <c r="T255" s="306"/>
      <c r="U255" s="97"/>
      <c r="V255" s="305"/>
      <c r="W255" s="304"/>
      <c r="X255" s="307"/>
      <c r="Z255" s="11"/>
      <c r="AA255" s="306"/>
      <c r="AB255" s="97"/>
      <c r="AC255" s="305"/>
      <c r="AD255" s="304"/>
      <c r="AE255" s="307"/>
      <c r="AG255" s="11"/>
      <c r="AH255" s="306"/>
      <c r="AI255" s="97"/>
      <c r="AJ255" s="305"/>
      <c r="AK255" s="304"/>
      <c r="AL255" s="307"/>
      <c r="AN255" s="9"/>
      <c r="AO255" s="9"/>
      <c r="AP255" s="9"/>
      <c r="AQ255" s="9"/>
      <c r="AR255" s="9"/>
      <c r="AS255" s="9"/>
      <c r="AT255" s="123">
        <v>1</v>
      </c>
      <c r="AU255" s="123" t="s">
        <v>32</v>
      </c>
      <c r="AV255" s="124">
        <v>4130855.1</v>
      </c>
      <c r="AW255" s="125">
        <v>4.2500000000000003E-2</v>
      </c>
      <c r="AX255" s="123"/>
      <c r="AY255" s="348">
        <f t="shared" si="71"/>
        <v>480.9899773972603</v>
      </c>
      <c r="AZ255" s="140">
        <f t="shared" si="76"/>
        <v>207774.74784347252</v>
      </c>
      <c r="BA255" s="140">
        <f t="shared" si="64"/>
        <v>22.006077397260299</v>
      </c>
      <c r="BC255" s="122"/>
      <c r="BD255" s="122"/>
      <c r="BE255" s="122"/>
      <c r="BF255" s="122"/>
      <c r="BH255" s="122"/>
      <c r="BI255" s="122"/>
      <c r="BJ255" s="122"/>
      <c r="BK255" s="122"/>
      <c r="BM255" s="122"/>
      <c r="BN255" s="122"/>
      <c r="BO255" s="122"/>
      <c r="BP255" s="122"/>
      <c r="BR255" s="122"/>
      <c r="BS255" s="122"/>
      <c r="BT255" s="122"/>
      <c r="BU255" s="122"/>
      <c r="BV255" s="439"/>
      <c r="BW255" s="120">
        <f t="shared" si="67"/>
        <v>18470855.100000001</v>
      </c>
      <c r="BX255" s="121">
        <v>4.2500000000000003E-2</v>
      </c>
      <c r="BY255" s="121">
        <f t="shared" si="68"/>
        <v>4.0559104475352631E-2</v>
      </c>
      <c r="BZ255" s="120">
        <f t="shared" si="69"/>
        <v>2074.3233107305937</v>
      </c>
      <c r="CA255" s="120">
        <f t="shared" si="70"/>
        <v>22.006077397260299</v>
      </c>
    </row>
    <row r="256" spans="2:79" x14ac:dyDescent="0.25">
      <c r="B256" s="123" t="str">
        <f t="shared" si="78"/>
        <v>9 2025</v>
      </c>
      <c r="C256" s="122">
        <f t="shared" si="79"/>
        <v>45908</v>
      </c>
      <c r="D256" s="122">
        <f t="shared" si="65"/>
        <v>45909</v>
      </c>
      <c r="E256" s="123">
        <f t="shared" si="80"/>
        <v>1</v>
      </c>
      <c r="F256" s="123" t="s">
        <v>7</v>
      </c>
      <c r="G256" s="126">
        <f>G255-4500000-40000</f>
        <v>9800000</v>
      </c>
      <c r="H256" s="125">
        <f t="shared" si="75"/>
        <v>0.04</v>
      </c>
      <c r="I256" s="322">
        <f t="shared" si="77"/>
        <v>1088.8888888888889</v>
      </c>
      <c r="J256" s="124">
        <f t="shared" si="81"/>
        <v>920594.46111111215</v>
      </c>
      <c r="K256" s="9"/>
      <c r="L256" s="11"/>
      <c r="M256" s="306"/>
      <c r="N256" s="97"/>
      <c r="O256" s="305"/>
      <c r="P256" s="304"/>
      <c r="Q256" s="307"/>
      <c r="S256" s="11"/>
      <c r="T256" s="306"/>
      <c r="U256" s="97"/>
      <c r="V256" s="305"/>
      <c r="W256" s="304"/>
      <c r="X256" s="307"/>
      <c r="Z256" s="11"/>
      <c r="AA256" s="306"/>
      <c r="AB256" s="97"/>
      <c r="AC256" s="305"/>
      <c r="AD256" s="304"/>
      <c r="AE256" s="307"/>
      <c r="AG256" s="11"/>
      <c r="AH256" s="306"/>
      <c r="AI256" s="97"/>
      <c r="AJ256" s="305"/>
      <c r="AK256" s="304"/>
      <c r="AL256" s="307"/>
      <c r="AN256" s="9"/>
      <c r="AO256" s="9"/>
      <c r="AP256" s="9"/>
      <c r="AQ256" s="9"/>
      <c r="AR256" s="9"/>
      <c r="AS256" s="9"/>
      <c r="AT256" s="123">
        <v>1</v>
      </c>
      <c r="AU256" s="123" t="s">
        <v>32</v>
      </c>
      <c r="AV256" s="124">
        <v>4124154.71</v>
      </c>
      <c r="AW256" s="125">
        <v>4.2500000000000003E-2</v>
      </c>
      <c r="AX256" s="123"/>
      <c r="AY256" s="348">
        <f t="shared" si="71"/>
        <v>480.20979500000004</v>
      </c>
      <c r="AZ256" s="140">
        <f t="shared" si="76"/>
        <v>208254.95763847252</v>
      </c>
      <c r="BA256" s="140">
        <f t="shared" si="64"/>
        <v>21.970382777777786</v>
      </c>
      <c r="BC256" s="122"/>
      <c r="BD256" s="122"/>
      <c r="BE256" s="122"/>
      <c r="BF256" s="122"/>
      <c r="BH256" s="122"/>
      <c r="BI256" s="122"/>
      <c r="BJ256" s="122"/>
      <c r="BK256" s="122"/>
      <c r="BM256" s="122"/>
      <c r="BN256" s="122"/>
      <c r="BO256" s="122"/>
      <c r="BP256" s="122"/>
      <c r="BR256" s="122"/>
      <c r="BS256" s="122"/>
      <c r="BT256" s="122"/>
      <c r="BU256" s="122"/>
      <c r="BV256" s="439"/>
      <c r="BW256" s="120">
        <f t="shared" si="67"/>
        <v>13924154.710000001</v>
      </c>
      <c r="BX256" s="121">
        <v>4.2500000000000003E-2</v>
      </c>
      <c r="BY256" s="121">
        <f t="shared" si="68"/>
        <v>4.0740467697302683E-2</v>
      </c>
      <c r="BZ256" s="120">
        <f t="shared" si="69"/>
        <v>1569.0986838888889</v>
      </c>
      <c r="CA256" s="120">
        <f t="shared" si="70"/>
        <v>21.970382777777786</v>
      </c>
    </row>
    <row r="257" spans="2:79" x14ac:dyDescent="0.25">
      <c r="B257" s="123" t="str">
        <f t="shared" si="78"/>
        <v>9 2025</v>
      </c>
      <c r="C257" s="122">
        <f t="shared" si="79"/>
        <v>45909</v>
      </c>
      <c r="D257" s="122">
        <f t="shared" si="65"/>
        <v>45910</v>
      </c>
      <c r="E257" s="123">
        <f t="shared" si="80"/>
        <v>1</v>
      </c>
      <c r="F257" s="123" t="s">
        <v>7</v>
      </c>
      <c r="G257" s="124">
        <f t="shared" si="75"/>
        <v>9800000</v>
      </c>
      <c r="H257" s="125">
        <f t="shared" si="75"/>
        <v>0.04</v>
      </c>
      <c r="I257" s="322">
        <f t="shared" si="77"/>
        <v>1088.8888888888889</v>
      </c>
      <c r="J257" s="124">
        <f t="shared" si="81"/>
        <v>921683.35000000102</v>
      </c>
      <c r="K257" s="9"/>
      <c r="L257" s="11"/>
      <c r="M257" s="306"/>
      <c r="N257" s="97"/>
      <c r="O257" s="305"/>
      <c r="P257" s="304"/>
      <c r="Q257" s="307"/>
      <c r="S257" s="11"/>
      <c r="T257" s="306"/>
      <c r="U257" s="97"/>
      <c r="V257" s="305"/>
      <c r="W257" s="304"/>
      <c r="X257" s="307"/>
      <c r="Z257" s="11"/>
      <c r="AA257" s="306"/>
      <c r="AB257" s="97"/>
      <c r="AC257" s="305"/>
      <c r="AD257" s="304"/>
      <c r="AE257" s="307"/>
      <c r="AG257" s="11"/>
      <c r="AH257" s="306"/>
      <c r="AI257" s="97"/>
      <c r="AJ257" s="305"/>
      <c r="AK257" s="304"/>
      <c r="AL257" s="307"/>
      <c r="AN257" s="9"/>
      <c r="AO257" s="9"/>
      <c r="AP257" s="9"/>
      <c r="AQ257" s="9"/>
      <c r="AR257" s="9"/>
      <c r="AS257" s="9"/>
      <c r="AT257" s="123">
        <v>1</v>
      </c>
      <c r="AU257" s="123" t="s">
        <v>32</v>
      </c>
      <c r="AV257" s="124">
        <v>4124634.92</v>
      </c>
      <c r="AW257" s="125">
        <v>4.2500000000000003E-2</v>
      </c>
      <c r="AX257" s="123"/>
      <c r="AY257" s="348">
        <f t="shared" si="71"/>
        <v>480.26570986301368</v>
      </c>
      <c r="AZ257" s="140">
        <f t="shared" si="76"/>
        <v>208735.22334833554</v>
      </c>
      <c r="BA257" s="140">
        <f t="shared" si="64"/>
        <v>21.972940974124811</v>
      </c>
      <c r="BC257" s="122"/>
      <c r="BD257" s="122"/>
      <c r="BE257" s="122"/>
      <c r="BF257" s="122"/>
      <c r="BH257" s="122"/>
      <c r="BI257" s="122"/>
      <c r="BJ257" s="122"/>
      <c r="BK257" s="122"/>
      <c r="BM257" s="122"/>
      <c r="BN257" s="122"/>
      <c r="BO257" s="122"/>
      <c r="BP257" s="122"/>
      <c r="BR257" s="122"/>
      <c r="BS257" s="122"/>
      <c r="BT257" s="122"/>
      <c r="BU257" s="122"/>
      <c r="BV257" s="439"/>
      <c r="BW257" s="120">
        <f t="shared" si="67"/>
        <v>13924634.92</v>
      </c>
      <c r="BX257" s="121">
        <v>4.2500000000000003E-2</v>
      </c>
      <c r="BY257" s="121">
        <f t="shared" si="68"/>
        <v>4.074052837717055E-2</v>
      </c>
      <c r="BZ257" s="120">
        <f t="shared" si="69"/>
        <v>1569.1545987519025</v>
      </c>
      <c r="CA257" s="120">
        <f t="shared" si="70"/>
        <v>21.972940974124811</v>
      </c>
    </row>
    <row r="258" spans="2:79" x14ac:dyDescent="0.25">
      <c r="B258" s="123" t="str">
        <f t="shared" si="78"/>
        <v>9 2025</v>
      </c>
      <c r="C258" s="122">
        <f t="shared" si="79"/>
        <v>45910</v>
      </c>
      <c r="D258" s="122">
        <f t="shared" si="65"/>
        <v>45911</v>
      </c>
      <c r="E258" s="123">
        <f t="shared" si="80"/>
        <v>1</v>
      </c>
      <c r="F258" s="123" t="s">
        <v>7</v>
      </c>
      <c r="G258" s="126">
        <f>G257-1010000</f>
        <v>8790000</v>
      </c>
      <c r="H258" s="125">
        <f t="shared" si="75"/>
        <v>0.04</v>
      </c>
      <c r="I258" s="322">
        <f t="shared" si="77"/>
        <v>976.66666666666663</v>
      </c>
      <c r="J258" s="124">
        <f t="shared" si="81"/>
        <v>922660.01666666765</v>
      </c>
      <c r="K258" s="9"/>
      <c r="L258" s="11"/>
      <c r="M258" s="306"/>
      <c r="N258" s="97"/>
      <c r="O258" s="305"/>
      <c r="P258" s="304"/>
      <c r="Q258" s="307"/>
      <c r="S258" s="11"/>
      <c r="T258" s="306"/>
      <c r="U258" s="97"/>
      <c r="V258" s="305"/>
      <c r="W258" s="304"/>
      <c r="X258" s="307"/>
      <c r="Z258" s="11"/>
      <c r="AA258" s="306"/>
      <c r="AB258" s="97"/>
      <c r="AC258" s="305"/>
      <c r="AD258" s="304"/>
      <c r="AE258" s="307"/>
      <c r="AG258" s="11"/>
      <c r="AH258" s="306"/>
      <c r="AI258" s="97"/>
      <c r="AJ258" s="305"/>
      <c r="AK258" s="304"/>
      <c r="AL258" s="307"/>
      <c r="AN258" s="9"/>
      <c r="AO258" s="9"/>
      <c r="AP258" s="9"/>
      <c r="AQ258" s="9"/>
      <c r="AR258" s="9"/>
      <c r="AS258" s="9"/>
      <c r="AT258" s="123">
        <v>1</v>
      </c>
      <c r="AU258" s="123" t="s">
        <v>32</v>
      </c>
      <c r="AV258" s="124">
        <v>4085158.99</v>
      </c>
      <c r="AW258" s="125">
        <v>4.2500000000000003E-2</v>
      </c>
      <c r="AX258" s="123"/>
      <c r="AY258" s="348">
        <f t="shared" si="71"/>
        <v>475.66919746575348</v>
      </c>
      <c r="AZ258" s="140">
        <f t="shared" si="76"/>
        <v>209210.8925458013</v>
      </c>
      <c r="BA258" s="140">
        <f t="shared" si="64"/>
        <v>21.762643021308975</v>
      </c>
      <c r="BC258" s="122"/>
      <c r="BD258" s="122"/>
      <c r="BE258" s="122"/>
      <c r="BF258" s="122"/>
      <c r="BH258" s="122"/>
      <c r="BI258" s="122"/>
      <c r="BJ258" s="122"/>
      <c r="BK258" s="122"/>
      <c r="BM258" s="122"/>
      <c r="BN258" s="122"/>
      <c r="BO258" s="122"/>
      <c r="BP258" s="122"/>
      <c r="BR258" s="122"/>
      <c r="BS258" s="122"/>
      <c r="BT258" s="122"/>
      <c r="BU258" s="122"/>
      <c r="BV258" s="439"/>
      <c r="BW258" s="120">
        <f t="shared" si="67"/>
        <v>12875158.99</v>
      </c>
      <c r="BX258" s="121">
        <v>4.2500000000000003E-2</v>
      </c>
      <c r="BY258" s="121">
        <f t="shared" si="68"/>
        <v>4.0793224960012711E-2</v>
      </c>
      <c r="BZ258" s="120">
        <f t="shared" si="69"/>
        <v>1452.3358641324201</v>
      </c>
      <c r="CA258" s="120">
        <f t="shared" si="70"/>
        <v>21.762643021308975</v>
      </c>
    </row>
    <row r="259" spans="2:79" x14ac:dyDescent="0.25">
      <c r="B259" s="123" t="str">
        <f t="shared" si="78"/>
        <v>9 2025</v>
      </c>
      <c r="C259" s="122">
        <f t="shared" si="79"/>
        <v>45911</v>
      </c>
      <c r="D259" s="122">
        <f t="shared" si="65"/>
        <v>45912</v>
      </c>
      <c r="E259" s="123">
        <f t="shared" si="80"/>
        <v>1</v>
      </c>
      <c r="F259" s="123" t="s">
        <v>7</v>
      </c>
      <c r="G259" s="124">
        <f t="shared" si="75"/>
        <v>8790000</v>
      </c>
      <c r="H259" s="125">
        <f t="shared" si="75"/>
        <v>0.04</v>
      </c>
      <c r="I259" s="322">
        <f t="shared" si="77"/>
        <v>976.66666666666663</v>
      </c>
      <c r="J259" s="124">
        <f t="shared" si="81"/>
        <v>923636.68333333428</v>
      </c>
      <c r="K259" s="9"/>
      <c r="L259" s="11"/>
      <c r="M259" s="306"/>
      <c r="N259" s="97"/>
      <c r="O259" s="305"/>
      <c r="P259" s="304"/>
      <c r="Q259" s="307"/>
      <c r="S259" s="11"/>
      <c r="T259" s="306"/>
      <c r="U259" s="97"/>
      <c r="V259" s="305"/>
      <c r="W259" s="304"/>
      <c r="X259" s="307"/>
      <c r="Z259" s="11"/>
      <c r="AA259" s="306"/>
      <c r="AB259" s="97"/>
      <c r="AC259" s="305"/>
      <c r="AD259" s="304"/>
      <c r="AE259" s="307"/>
      <c r="AG259" s="11"/>
      <c r="AH259" s="306"/>
      <c r="AI259" s="97"/>
      <c r="AJ259" s="305"/>
      <c r="AK259" s="304"/>
      <c r="AL259" s="307"/>
      <c r="AN259" s="9"/>
      <c r="AO259" s="9"/>
      <c r="AP259" s="9"/>
      <c r="AQ259" s="9"/>
      <c r="AR259" s="9"/>
      <c r="AS259" s="9"/>
      <c r="AT259" s="123">
        <v>1</v>
      </c>
      <c r="AU259" s="123" t="s">
        <v>32</v>
      </c>
      <c r="AV259" s="124">
        <v>4084864.52</v>
      </c>
      <c r="AW259" s="125">
        <v>4.2500000000000003E-2</v>
      </c>
      <c r="AX259" s="123"/>
      <c r="AY259" s="348">
        <f t="shared" si="71"/>
        <v>475.63490986301372</v>
      </c>
      <c r="AZ259" s="140">
        <f t="shared" si="76"/>
        <v>209686.5274556643</v>
      </c>
      <c r="BA259" s="140">
        <f t="shared" si="64"/>
        <v>21.761074307458159</v>
      </c>
      <c r="BC259" s="122"/>
      <c r="BD259" s="122"/>
      <c r="BE259" s="122"/>
      <c r="BF259" s="122"/>
      <c r="BH259" s="122"/>
      <c r="BI259" s="122"/>
      <c r="BJ259" s="122"/>
      <c r="BK259" s="122"/>
      <c r="BM259" s="122"/>
      <c r="BN259" s="122"/>
      <c r="BO259" s="122"/>
      <c r="BP259" s="122"/>
      <c r="BR259" s="122"/>
      <c r="BS259" s="122"/>
      <c r="BT259" s="122"/>
      <c r="BU259" s="122"/>
      <c r="BV259" s="439"/>
      <c r="BW259" s="120">
        <f t="shared" si="67"/>
        <v>12874864.52</v>
      </c>
      <c r="BX259" s="121">
        <v>4.2500000000000003E-2</v>
      </c>
      <c r="BY259" s="121">
        <f t="shared" si="68"/>
        <v>4.0793185923171181E-2</v>
      </c>
      <c r="BZ259" s="120">
        <f t="shared" si="69"/>
        <v>1452.3015765296805</v>
      </c>
      <c r="CA259" s="120">
        <f t="shared" si="70"/>
        <v>21.761074307458159</v>
      </c>
    </row>
    <row r="260" spans="2:79" x14ac:dyDescent="0.25">
      <c r="B260" s="123" t="str">
        <f t="shared" si="78"/>
        <v>9 2025</v>
      </c>
      <c r="C260" s="122">
        <f t="shared" si="79"/>
        <v>45912</v>
      </c>
      <c r="D260" s="122">
        <f t="shared" si="65"/>
        <v>45913</v>
      </c>
      <c r="E260" s="123">
        <f t="shared" si="80"/>
        <v>1</v>
      </c>
      <c r="F260" s="123" t="s">
        <v>7</v>
      </c>
      <c r="G260" s="124">
        <f t="shared" si="75"/>
        <v>8790000</v>
      </c>
      <c r="H260" s="125">
        <f t="shared" si="75"/>
        <v>0.04</v>
      </c>
      <c r="I260" s="322">
        <f t="shared" si="77"/>
        <v>976.66666666666663</v>
      </c>
      <c r="J260" s="124">
        <f t="shared" si="81"/>
        <v>924613.35000000091</v>
      </c>
      <c r="K260" s="9"/>
      <c r="L260" s="11"/>
      <c r="M260" s="306"/>
      <c r="N260" s="97"/>
      <c r="O260" s="305"/>
      <c r="P260" s="304"/>
      <c r="Q260" s="307"/>
      <c r="S260" s="11"/>
      <c r="T260" s="306"/>
      <c r="U260" s="97"/>
      <c r="V260" s="305"/>
      <c r="W260" s="304"/>
      <c r="X260" s="307"/>
      <c r="Z260" s="11"/>
      <c r="AA260" s="306"/>
      <c r="AB260" s="97"/>
      <c r="AC260" s="305"/>
      <c r="AD260" s="304"/>
      <c r="AE260" s="307"/>
      <c r="AG260" s="11"/>
      <c r="AH260" s="306"/>
      <c r="AI260" s="97"/>
      <c r="AJ260" s="305"/>
      <c r="AK260" s="304"/>
      <c r="AL260" s="307"/>
      <c r="AN260" s="9"/>
      <c r="AO260" s="9"/>
      <c r="AP260" s="9"/>
      <c r="AQ260" s="9"/>
      <c r="AR260" s="9"/>
      <c r="AS260" s="9"/>
      <c r="AT260" s="123">
        <v>1</v>
      </c>
      <c r="AU260" s="123" t="s">
        <v>32</v>
      </c>
      <c r="AV260" s="124">
        <v>4085340.15</v>
      </c>
      <c r="AW260" s="125">
        <v>4.2500000000000003E-2</v>
      </c>
      <c r="AX260" s="123"/>
      <c r="AY260" s="348">
        <f t="shared" si="71"/>
        <v>475.69029143835621</v>
      </c>
      <c r="AZ260" s="140">
        <f t="shared" si="76"/>
        <v>210162.21774710267</v>
      </c>
      <c r="BA260" s="140">
        <f t="shared" si="64"/>
        <v>21.763608105022854</v>
      </c>
      <c r="BC260" s="122"/>
      <c r="BD260" s="122"/>
      <c r="BE260" s="122"/>
      <c r="BF260" s="122"/>
      <c r="BH260" s="122"/>
      <c r="BI260" s="122"/>
      <c r="BJ260" s="122"/>
      <c r="BK260" s="122"/>
      <c r="BM260" s="122"/>
      <c r="BN260" s="122"/>
      <c r="BO260" s="122"/>
      <c r="BP260" s="122"/>
      <c r="BR260" s="122"/>
      <c r="BS260" s="122"/>
      <c r="BT260" s="122"/>
      <c r="BU260" s="122"/>
      <c r="BV260" s="439"/>
      <c r="BW260" s="120">
        <f t="shared" si="67"/>
        <v>12875340.15</v>
      </c>
      <c r="BX260" s="121">
        <v>4.2500000000000003E-2</v>
      </c>
      <c r="BY260" s="121">
        <f t="shared" si="68"/>
        <v>4.0793248974863007E-2</v>
      </c>
      <c r="BZ260" s="120">
        <f t="shared" si="69"/>
        <v>1452.3569581050228</v>
      </c>
      <c r="CA260" s="120">
        <f t="shared" si="70"/>
        <v>21.763608105022854</v>
      </c>
    </row>
    <row r="261" spans="2:79" x14ac:dyDescent="0.25">
      <c r="B261" s="123" t="str">
        <f t="shared" si="78"/>
        <v>9 2025</v>
      </c>
      <c r="C261" s="122">
        <f t="shared" si="79"/>
        <v>45913</v>
      </c>
      <c r="D261" s="122">
        <f t="shared" si="65"/>
        <v>45914</v>
      </c>
      <c r="E261" s="123">
        <f t="shared" si="80"/>
        <v>1</v>
      </c>
      <c r="F261" s="123" t="s">
        <v>7</v>
      </c>
      <c r="G261" s="124">
        <f t="shared" si="75"/>
        <v>8790000</v>
      </c>
      <c r="H261" s="125">
        <f t="shared" si="75"/>
        <v>0.04</v>
      </c>
      <c r="I261" s="322">
        <f t="shared" si="77"/>
        <v>976.66666666666663</v>
      </c>
      <c r="J261" s="124">
        <f t="shared" si="81"/>
        <v>925590.01666666754</v>
      </c>
      <c r="K261" s="9"/>
      <c r="L261" s="11"/>
      <c r="M261" s="306"/>
      <c r="N261" s="97"/>
      <c r="O261" s="305"/>
      <c r="P261" s="304"/>
      <c r="Q261" s="307"/>
      <c r="S261" s="11"/>
      <c r="T261" s="306"/>
      <c r="U261" s="97"/>
      <c r="V261" s="305"/>
      <c r="W261" s="304"/>
      <c r="X261" s="307"/>
      <c r="Z261" s="11"/>
      <c r="AA261" s="306"/>
      <c r="AB261" s="97"/>
      <c r="AC261" s="305"/>
      <c r="AD261" s="304"/>
      <c r="AE261" s="307"/>
      <c r="AG261" s="11"/>
      <c r="AH261" s="306"/>
      <c r="AI261" s="97"/>
      <c r="AJ261" s="305"/>
      <c r="AK261" s="304"/>
      <c r="AL261" s="307"/>
      <c r="AN261" s="9"/>
      <c r="AO261" s="9"/>
      <c r="AP261" s="9"/>
      <c r="AQ261" s="9"/>
      <c r="AR261" s="9"/>
      <c r="AS261" s="9"/>
      <c r="AT261" s="123">
        <v>1</v>
      </c>
      <c r="AU261" s="123" t="s">
        <v>32</v>
      </c>
      <c r="AV261" s="124">
        <v>4085340.15</v>
      </c>
      <c r="AW261" s="125">
        <v>4.2500000000000003E-2</v>
      </c>
      <c r="AX261" s="123"/>
      <c r="AY261" s="348">
        <f t="shared" si="71"/>
        <v>475.69029143835621</v>
      </c>
      <c r="AZ261" s="140">
        <f t="shared" si="76"/>
        <v>210637.90803854103</v>
      </c>
      <c r="BA261" s="140">
        <f t="shared" ref="BA261:BA324" si="82">AY261-AV261*H261*AT261/360</f>
        <v>21.763608105022854</v>
      </c>
      <c r="BC261" s="122"/>
      <c r="BD261" s="122"/>
      <c r="BE261" s="122"/>
      <c r="BF261" s="122"/>
      <c r="BH261" s="122"/>
      <c r="BI261" s="122"/>
      <c r="BJ261" s="122"/>
      <c r="BK261" s="122"/>
      <c r="BM261" s="122"/>
      <c r="BN261" s="122"/>
      <c r="BO261" s="122"/>
      <c r="BP261" s="122"/>
      <c r="BR261" s="122"/>
      <c r="BS261" s="122"/>
      <c r="BT261" s="122"/>
      <c r="BU261" s="122"/>
      <c r="BV261" s="439"/>
      <c r="BW261" s="120">
        <f t="shared" si="67"/>
        <v>12875340.15</v>
      </c>
      <c r="BX261" s="121">
        <v>4.2500000000000003E-2</v>
      </c>
      <c r="BY261" s="121">
        <f t="shared" si="68"/>
        <v>4.0793248974863007E-2</v>
      </c>
      <c r="BZ261" s="120">
        <f t="shared" si="69"/>
        <v>1452.3569581050228</v>
      </c>
      <c r="CA261" s="120">
        <f t="shared" si="70"/>
        <v>21.763608105022854</v>
      </c>
    </row>
    <row r="262" spans="2:79" x14ac:dyDescent="0.25">
      <c r="B262" s="123" t="str">
        <f t="shared" si="78"/>
        <v>9 2025</v>
      </c>
      <c r="C262" s="122">
        <f t="shared" si="79"/>
        <v>45914</v>
      </c>
      <c r="D262" s="122">
        <f t="shared" ref="D262:D325" si="83">D261+1</f>
        <v>45915</v>
      </c>
      <c r="E262" s="123">
        <f t="shared" si="80"/>
        <v>1</v>
      </c>
      <c r="F262" s="123" t="s">
        <v>7</v>
      </c>
      <c r="G262" s="124">
        <f t="shared" si="75"/>
        <v>8790000</v>
      </c>
      <c r="H262" s="125">
        <f t="shared" si="75"/>
        <v>0.04</v>
      </c>
      <c r="I262" s="322">
        <f t="shared" si="77"/>
        <v>976.66666666666663</v>
      </c>
      <c r="J262" s="124">
        <f t="shared" si="81"/>
        <v>926566.68333333416</v>
      </c>
      <c r="K262" s="9"/>
      <c r="L262" s="11"/>
      <c r="M262" s="306"/>
      <c r="N262" s="97"/>
      <c r="O262" s="305"/>
      <c r="P262" s="304"/>
      <c r="Q262" s="307"/>
      <c r="S262" s="11"/>
      <c r="T262" s="306"/>
      <c r="U262" s="97"/>
      <c r="V262" s="305"/>
      <c r="W262" s="304"/>
      <c r="X262" s="307"/>
      <c r="Z262" s="11"/>
      <c r="AA262" s="306"/>
      <c r="AB262" s="97"/>
      <c r="AC262" s="305"/>
      <c r="AD262" s="304"/>
      <c r="AE262" s="307"/>
      <c r="AG262" s="11"/>
      <c r="AH262" s="306"/>
      <c r="AI262" s="97"/>
      <c r="AJ262" s="305"/>
      <c r="AK262" s="304"/>
      <c r="AL262" s="307"/>
      <c r="AN262" s="9"/>
      <c r="AO262" s="9"/>
      <c r="AP262" s="9"/>
      <c r="AQ262" s="9"/>
      <c r="AR262" s="9"/>
      <c r="AS262" s="9"/>
      <c r="AT262" s="123">
        <v>1</v>
      </c>
      <c r="AU262" s="123" t="s">
        <v>32</v>
      </c>
      <c r="AV262" s="124">
        <v>4085340.15</v>
      </c>
      <c r="AW262" s="125">
        <v>4.2500000000000003E-2</v>
      </c>
      <c r="AX262" s="123"/>
      <c r="AY262" s="348">
        <f t="shared" si="71"/>
        <v>475.69029143835621</v>
      </c>
      <c r="AZ262" s="140">
        <f t="shared" si="76"/>
        <v>211113.5983299794</v>
      </c>
      <c r="BA262" s="140">
        <f t="shared" si="82"/>
        <v>21.763608105022854</v>
      </c>
      <c r="BC262" s="122"/>
      <c r="BD262" s="122"/>
      <c r="BE262" s="122"/>
      <c r="BF262" s="122"/>
      <c r="BH262" s="122"/>
      <c r="BI262" s="122"/>
      <c r="BJ262" s="122"/>
      <c r="BK262" s="122"/>
      <c r="BM262" s="122"/>
      <c r="BN262" s="122"/>
      <c r="BO262" s="122"/>
      <c r="BP262" s="122"/>
      <c r="BR262" s="122"/>
      <c r="BS262" s="122"/>
      <c r="BT262" s="122"/>
      <c r="BU262" s="122"/>
      <c r="BV262" s="439"/>
      <c r="BW262" s="120">
        <f t="shared" ref="BW262:BW325" si="84">AV262+G262+M262+T262+AA262+AH262+AN262+BC262+BH262+BM262+BR262</f>
        <v>12875340.15</v>
      </c>
      <c r="BX262" s="121">
        <v>4.2500000000000003E-2</v>
      </c>
      <c r="BY262" s="121">
        <f t="shared" ref="BY262:BY325" si="85">(SUM((AW262*AV262),(H262*G262),(M262*N262),(T262*U262),(AA262*AB262),(AH262*AI262),(AN262*AO262),(BC262*BD262),(BH262*BI262),(BM262*BN262),(BR262*BS262))/BW262)</f>
        <v>4.0793248974863007E-2</v>
      </c>
      <c r="BZ262" s="120">
        <f t="shared" ref="BZ262:BZ325" si="86">AY262+I262+O262+V262+AC262+AJ262+AP262+BE262+BJ262+BO262+BT262</f>
        <v>1452.3569581050228</v>
      </c>
      <c r="CA262" s="120">
        <f t="shared" ref="CA262:CA325" si="87">BA262+Q262+X262+AE262+AL262+AQ262+BF262+BK262+BP262+BU262</f>
        <v>21.763608105022854</v>
      </c>
    </row>
    <row r="263" spans="2:79" x14ac:dyDescent="0.25">
      <c r="B263" s="123" t="str">
        <f t="shared" si="78"/>
        <v>9 2025</v>
      </c>
      <c r="C263" s="122">
        <f t="shared" si="79"/>
        <v>45915</v>
      </c>
      <c r="D263" s="122">
        <f t="shared" si="83"/>
        <v>45916</v>
      </c>
      <c r="E263" s="123">
        <f t="shared" si="80"/>
        <v>1</v>
      </c>
      <c r="F263" s="123" t="s">
        <v>7</v>
      </c>
      <c r="G263" s="124">
        <f t="shared" si="75"/>
        <v>8790000</v>
      </c>
      <c r="H263" s="125">
        <f t="shared" si="75"/>
        <v>0.04</v>
      </c>
      <c r="I263" s="322">
        <f t="shared" si="77"/>
        <v>976.66666666666663</v>
      </c>
      <c r="J263" s="124">
        <f t="shared" si="81"/>
        <v>927543.35000000079</v>
      </c>
      <c r="K263" s="9"/>
      <c r="L263" s="11"/>
      <c r="M263" s="306"/>
      <c r="N263" s="97"/>
      <c r="O263" s="305"/>
      <c r="P263" s="304"/>
      <c r="Q263" s="307"/>
      <c r="S263" s="11"/>
      <c r="T263" s="306"/>
      <c r="U263" s="97"/>
      <c r="V263" s="305"/>
      <c r="W263" s="304"/>
      <c r="X263" s="307"/>
      <c r="Z263" s="11"/>
      <c r="AA263" s="306"/>
      <c r="AB263" s="97"/>
      <c r="AC263" s="305"/>
      <c r="AD263" s="304"/>
      <c r="AE263" s="307"/>
      <c r="AG263" s="11"/>
      <c r="AH263" s="306"/>
      <c r="AI263" s="97"/>
      <c r="AJ263" s="305"/>
      <c r="AK263" s="304"/>
      <c r="AL263" s="307"/>
      <c r="AN263" s="9"/>
      <c r="AO263" s="9"/>
      <c r="AP263" s="9"/>
      <c r="AQ263" s="9"/>
      <c r="AR263" s="9"/>
      <c r="AS263" s="9"/>
      <c r="AT263" s="123">
        <v>1</v>
      </c>
      <c r="AU263" s="123" t="s">
        <v>32</v>
      </c>
      <c r="AV263" s="124">
        <v>3772466.22</v>
      </c>
      <c r="AW263" s="125">
        <v>4.2500000000000003E-2</v>
      </c>
      <c r="AX263" s="123"/>
      <c r="AY263" s="348">
        <f t="shared" ref="AY263:AY326" si="88">AV263*AW263*AT263/365</f>
        <v>439.25976534246581</v>
      </c>
      <c r="AZ263" s="140">
        <f t="shared" si="76"/>
        <v>211552.85809532186</v>
      </c>
      <c r="BA263" s="140">
        <f t="shared" si="82"/>
        <v>20.096852009132419</v>
      </c>
      <c r="BC263" s="122"/>
      <c r="BD263" s="122"/>
      <c r="BE263" s="122"/>
      <c r="BF263" s="122"/>
      <c r="BH263" s="122"/>
      <c r="BI263" s="122"/>
      <c r="BJ263" s="122"/>
      <c r="BK263" s="122"/>
      <c r="BM263" s="122"/>
      <c r="BN263" s="122"/>
      <c r="BO263" s="122"/>
      <c r="BP263" s="122"/>
      <c r="BR263" s="122"/>
      <c r="BS263" s="122"/>
      <c r="BT263" s="122"/>
      <c r="BU263" s="122"/>
      <c r="BV263" s="439"/>
      <c r="BW263" s="120">
        <f t="shared" si="84"/>
        <v>12562466.220000001</v>
      </c>
      <c r="BX263" s="121">
        <v>4.2500000000000003E-2</v>
      </c>
      <c r="BY263" s="121">
        <f t="shared" si="85"/>
        <v>4.0750741564979105E-2</v>
      </c>
      <c r="BZ263" s="120">
        <f t="shared" si="86"/>
        <v>1415.9264320091324</v>
      </c>
      <c r="CA263" s="120">
        <f t="shared" si="87"/>
        <v>20.096852009132419</v>
      </c>
    </row>
    <row r="264" spans="2:79" x14ac:dyDescent="0.25">
      <c r="B264" s="123" t="str">
        <f t="shared" si="78"/>
        <v>9 2025</v>
      </c>
      <c r="C264" s="122">
        <f t="shared" si="79"/>
        <v>45916</v>
      </c>
      <c r="D264" s="122">
        <f t="shared" si="83"/>
        <v>45917</v>
      </c>
      <c r="E264" s="123">
        <f t="shared" si="80"/>
        <v>1</v>
      </c>
      <c r="F264" s="123" t="s">
        <v>7</v>
      </c>
      <c r="G264" s="124">
        <f t="shared" ref="G264:H279" si="89">G263</f>
        <v>8790000</v>
      </c>
      <c r="H264" s="125">
        <f t="shared" si="89"/>
        <v>0.04</v>
      </c>
      <c r="I264" s="322">
        <f t="shared" si="77"/>
        <v>976.66666666666663</v>
      </c>
      <c r="J264" s="124">
        <f t="shared" si="81"/>
        <v>928520.01666666742</v>
      </c>
      <c r="K264" s="9"/>
      <c r="L264" s="11"/>
      <c r="M264" s="306"/>
      <c r="N264" s="97"/>
      <c r="O264" s="305"/>
      <c r="P264" s="304"/>
      <c r="Q264" s="307"/>
      <c r="S264" s="11"/>
      <c r="T264" s="306"/>
      <c r="U264" s="97"/>
      <c r="V264" s="305"/>
      <c r="W264" s="304"/>
      <c r="X264" s="307"/>
      <c r="Z264" s="11"/>
      <c r="AA264" s="306"/>
      <c r="AB264" s="97"/>
      <c r="AC264" s="305"/>
      <c r="AD264" s="304"/>
      <c r="AE264" s="307"/>
      <c r="AG264" s="11"/>
      <c r="AH264" s="306"/>
      <c r="AI264" s="97"/>
      <c r="AJ264" s="305"/>
      <c r="AK264" s="304"/>
      <c r="AL264" s="307"/>
      <c r="AN264" s="9"/>
      <c r="AO264" s="9"/>
      <c r="AP264" s="9"/>
      <c r="AQ264" s="9"/>
      <c r="AR264" s="9"/>
      <c r="AS264" s="9"/>
      <c r="AT264" s="123">
        <v>1</v>
      </c>
      <c r="AU264" s="123" t="s">
        <v>32</v>
      </c>
      <c r="AV264" s="124">
        <v>3772905.48</v>
      </c>
      <c r="AW264" s="125">
        <v>4.2500000000000003E-2</v>
      </c>
      <c r="AX264" s="123"/>
      <c r="AY264" s="348">
        <f t="shared" si="88"/>
        <v>439.31091205479453</v>
      </c>
      <c r="AZ264" s="140">
        <f t="shared" si="76"/>
        <v>211992.16900737665</v>
      </c>
      <c r="BA264" s="140">
        <f t="shared" si="82"/>
        <v>20.099192054794571</v>
      </c>
      <c r="BC264" s="122"/>
      <c r="BD264" s="122"/>
      <c r="BE264" s="122"/>
      <c r="BF264" s="122"/>
      <c r="BH264" s="122"/>
      <c r="BI264" s="122"/>
      <c r="BJ264" s="122"/>
      <c r="BK264" s="122"/>
      <c r="BM264" s="122"/>
      <c r="BN264" s="122"/>
      <c r="BO264" s="122"/>
      <c r="BP264" s="122"/>
      <c r="BR264" s="122"/>
      <c r="BS264" s="122"/>
      <c r="BT264" s="122"/>
      <c r="BU264" s="122"/>
      <c r="BV264" s="439"/>
      <c r="BW264" s="120">
        <f t="shared" si="84"/>
        <v>12562905.48</v>
      </c>
      <c r="BX264" s="121">
        <v>4.2500000000000003E-2</v>
      </c>
      <c r="BY264" s="121">
        <f t="shared" si="85"/>
        <v>4.0750802727523183E-2</v>
      </c>
      <c r="BZ264" s="120">
        <f t="shared" si="86"/>
        <v>1415.9775787214612</v>
      </c>
      <c r="CA264" s="120">
        <f t="shared" si="87"/>
        <v>20.099192054794571</v>
      </c>
    </row>
    <row r="265" spans="2:79" x14ac:dyDescent="0.25">
      <c r="B265" s="123" t="str">
        <f t="shared" si="78"/>
        <v>9 2025</v>
      </c>
      <c r="C265" s="122">
        <f t="shared" si="79"/>
        <v>45917</v>
      </c>
      <c r="D265" s="122">
        <f t="shared" si="83"/>
        <v>45918</v>
      </c>
      <c r="E265" s="123">
        <f t="shared" si="80"/>
        <v>1</v>
      </c>
      <c r="F265" s="123" t="s">
        <v>7</v>
      </c>
      <c r="G265" s="126">
        <f>G264+223220000</f>
        <v>232010000</v>
      </c>
      <c r="H265" s="125">
        <f t="shared" si="89"/>
        <v>0.04</v>
      </c>
      <c r="I265" s="322">
        <f t="shared" si="77"/>
        <v>25778.888888888891</v>
      </c>
      <c r="J265" s="124">
        <f t="shared" si="81"/>
        <v>954298.9055555563</v>
      </c>
      <c r="K265" s="9"/>
      <c r="L265" s="11"/>
      <c r="M265" s="306"/>
      <c r="N265" s="97"/>
      <c r="O265" s="305"/>
      <c r="P265" s="304"/>
      <c r="Q265" s="307"/>
      <c r="S265" s="11"/>
      <c r="T265" s="306"/>
      <c r="U265" s="97"/>
      <c r="V265" s="305"/>
      <c r="W265" s="304"/>
      <c r="X265" s="307"/>
      <c r="Z265" s="11"/>
      <c r="AA265" s="306"/>
      <c r="AB265" s="97"/>
      <c r="AC265" s="305"/>
      <c r="AD265" s="304"/>
      <c r="AE265" s="307"/>
      <c r="AG265" s="11"/>
      <c r="AH265" s="306"/>
      <c r="AI265" s="97"/>
      <c r="AJ265" s="305"/>
      <c r="AK265" s="304"/>
      <c r="AL265" s="307"/>
      <c r="AN265" s="9"/>
      <c r="AO265" s="9"/>
      <c r="AP265" s="9"/>
      <c r="AQ265" s="9"/>
      <c r="AR265" s="9"/>
      <c r="AS265" s="9"/>
      <c r="AT265" s="123">
        <v>1</v>
      </c>
      <c r="AU265" s="123" t="s">
        <v>32</v>
      </c>
      <c r="AV265" s="124">
        <v>3748608.2</v>
      </c>
      <c r="AW265" s="125">
        <v>0.04</v>
      </c>
      <c r="AX265" s="123"/>
      <c r="AY265" s="348">
        <f t="shared" si="88"/>
        <v>410.80637808219183</v>
      </c>
      <c r="AZ265" s="140">
        <f t="shared" si="76"/>
        <v>212402.97538545885</v>
      </c>
      <c r="BA265" s="140">
        <f t="shared" si="82"/>
        <v>-5.7056441400304152</v>
      </c>
      <c r="BC265" s="122"/>
      <c r="BD265" s="122"/>
      <c r="BE265" s="122"/>
      <c r="BF265" s="122"/>
      <c r="BH265" s="122"/>
      <c r="BI265" s="122"/>
      <c r="BJ265" s="122"/>
      <c r="BK265" s="122"/>
      <c r="BM265" s="122"/>
      <c r="BN265" s="122"/>
      <c r="BO265" s="122"/>
      <c r="BP265" s="122"/>
      <c r="BR265" s="122"/>
      <c r="BS265" s="122"/>
      <c r="BT265" s="122"/>
      <c r="BU265" s="122"/>
      <c r="BV265" s="439"/>
      <c r="BW265" s="120">
        <f t="shared" si="84"/>
        <v>235758608.19999999</v>
      </c>
      <c r="BX265" s="121">
        <v>4.2500000000000003E-2</v>
      </c>
      <c r="BY265" s="121">
        <f t="shared" si="85"/>
        <v>0.04</v>
      </c>
      <c r="BZ265" s="120">
        <f t="shared" si="86"/>
        <v>26189.695266971081</v>
      </c>
      <c r="CA265" s="120">
        <f t="shared" si="87"/>
        <v>-5.7056441400304152</v>
      </c>
    </row>
    <row r="266" spans="2:79" x14ac:dyDescent="0.25">
      <c r="B266" s="123" t="str">
        <f t="shared" si="78"/>
        <v>9 2025</v>
      </c>
      <c r="C266" s="122">
        <f t="shared" si="79"/>
        <v>45918</v>
      </c>
      <c r="D266" s="122">
        <f t="shared" si="83"/>
        <v>45919</v>
      </c>
      <c r="E266" s="123">
        <f t="shared" si="80"/>
        <v>1</v>
      </c>
      <c r="F266" s="123" t="s">
        <v>7</v>
      </c>
      <c r="G266" s="124">
        <f t="shared" si="89"/>
        <v>232010000</v>
      </c>
      <c r="H266" s="318">
        <v>3.6499999999999998E-2</v>
      </c>
      <c r="I266" s="322">
        <f t="shared" si="77"/>
        <v>23523.236111111109</v>
      </c>
      <c r="J266" s="124">
        <f t="shared" si="81"/>
        <v>977822.14166666742</v>
      </c>
      <c r="K266" s="9"/>
      <c r="L266" s="11"/>
      <c r="M266" s="306"/>
      <c r="N266" s="97"/>
      <c r="O266" s="305"/>
      <c r="P266" s="304"/>
      <c r="Q266" s="307"/>
      <c r="S266" s="11"/>
      <c r="T266" s="306"/>
      <c r="U266" s="97"/>
      <c r="V266" s="305"/>
      <c r="W266" s="304"/>
      <c r="X266" s="307"/>
      <c r="Z266" s="11"/>
      <c r="AA266" s="306"/>
      <c r="AB266" s="97"/>
      <c r="AC266" s="305"/>
      <c r="AD266" s="304"/>
      <c r="AE266" s="307"/>
      <c r="AG266" s="11"/>
      <c r="AH266" s="306"/>
      <c r="AI266" s="97"/>
      <c r="AJ266" s="305"/>
      <c r="AK266" s="304"/>
      <c r="AL266" s="307"/>
      <c r="AN266" s="9"/>
      <c r="AO266" s="9"/>
      <c r="AP266" s="9"/>
      <c r="AQ266" s="9"/>
      <c r="AR266" s="9"/>
      <c r="AS266" s="9"/>
      <c r="AT266" s="123">
        <v>1</v>
      </c>
      <c r="AU266" s="123" t="s">
        <v>32</v>
      </c>
      <c r="AV266" s="124">
        <v>3748553.65</v>
      </c>
      <c r="AW266" s="125">
        <v>3.7499999999999999E-2</v>
      </c>
      <c r="AX266" s="123"/>
      <c r="AY266" s="348">
        <f t="shared" si="88"/>
        <v>385.12537499999996</v>
      </c>
      <c r="AZ266" s="140">
        <f t="shared" si="76"/>
        <v>212788.10076045885</v>
      </c>
      <c r="BA266" s="140">
        <f t="shared" si="82"/>
        <v>5.063685486111126</v>
      </c>
      <c r="BC266" s="122"/>
      <c r="BD266" s="122"/>
      <c r="BE266" s="122"/>
      <c r="BF266" s="122"/>
      <c r="BH266" s="122"/>
      <c r="BI266" s="122"/>
      <c r="BJ266" s="122"/>
      <c r="BK266" s="122"/>
      <c r="BM266" s="122"/>
      <c r="BN266" s="122"/>
      <c r="BO266" s="122"/>
      <c r="BP266" s="122"/>
      <c r="BR266" s="122"/>
      <c r="BS266" s="122"/>
      <c r="BT266" s="122"/>
      <c r="BU266" s="122"/>
      <c r="BV266" s="439"/>
      <c r="BW266" s="120">
        <f t="shared" si="84"/>
        <v>235758553.65000001</v>
      </c>
      <c r="BX266" s="121">
        <v>0.04</v>
      </c>
      <c r="BY266" s="121">
        <f t="shared" si="85"/>
        <v>3.6515899968811161E-2</v>
      </c>
      <c r="BZ266" s="120">
        <f t="shared" si="86"/>
        <v>23908.361486111109</v>
      </c>
      <c r="CA266" s="120">
        <f t="shared" si="87"/>
        <v>5.063685486111126</v>
      </c>
    </row>
    <row r="267" spans="2:79" x14ac:dyDescent="0.25">
      <c r="B267" s="123" t="str">
        <f t="shared" si="78"/>
        <v>9 2025</v>
      </c>
      <c r="C267" s="122">
        <f t="shared" si="79"/>
        <v>45919</v>
      </c>
      <c r="D267" s="122">
        <f t="shared" si="83"/>
        <v>45920</v>
      </c>
      <c r="E267" s="123">
        <f t="shared" si="80"/>
        <v>1</v>
      </c>
      <c r="F267" s="123" t="s">
        <v>7</v>
      </c>
      <c r="G267" s="136">
        <f>G266-223050000</f>
        <v>8960000</v>
      </c>
      <c r="H267" s="125">
        <f t="shared" si="89"/>
        <v>3.6499999999999998E-2</v>
      </c>
      <c r="I267" s="322">
        <f t="shared" si="77"/>
        <v>908.44444444444446</v>
      </c>
      <c r="J267" s="124">
        <f t="shared" si="81"/>
        <v>978730.58611111192</v>
      </c>
      <c r="K267" s="9"/>
      <c r="L267" s="11"/>
      <c r="M267" s="306"/>
      <c r="N267" s="97"/>
      <c r="O267" s="305"/>
      <c r="P267" s="304"/>
      <c r="Q267" s="307"/>
      <c r="S267" s="11"/>
      <c r="T267" s="306"/>
      <c r="U267" s="97"/>
      <c r="V267" s="305"/>
      <c r="W267" s="304"/>
      <c r="X267" s="307"/>
      <c r="Z267" s="11"/>
      <c r="AA267" s="306"/>
      <c r="AB267" s="97"/>
      <c r="AC267" s="305"/>
      <c r="AD267" s="304"/>
      <c r="AE267" s="307"/>
      <c r="AG267" s="11"/>
      <c r="AH267" s="306"/>
      <c r="AI267" s="97"/>
      <c r="AJ267" s="305"/>
      <c r="AK267" s="304"/>
      <c r="AL267" s="307"/>
      <c r="AN267" s="304">
        <f>'codeis $'!AB268</f>
        <v>223045786.59999999</v>
      </c>
      <c r="AO267" s="340">
        <f>'codeis $'!AH268</f>
        <v>4.3087365241119807E-2</v>
      </c>
      <c r="AP267" s="304">
        <f>'codeis $'!AE268</f>
        <v>-0.40000000596046448</v>
      </c>
      <c r="AQ267" s="304">
        <f>'codeis $'!AK268</f>
        <v>0</v>
      </c>
      <c r="AR267" s="9"/>
      <c r="AS267" s="9"/>
      <c r="AT267" s="123">
        <v>1</v>
      </c>
      <c r="AU267" s="123" t="s">
        <v>32</v>
      </c>
      <c r="AV267" s="124">
        <v>3748938.78</v>
      </c>
      <c r="AW267" s="125">
        <v>3.7499999999999999E-2</v>
      </c>
      <c r="AX267" s="123"/>
      <c r="AY267" s="348">
        <f t="shared" si="88"/>
        <v>385.16494315068491</v>
      </c>
      <c r="AZ267" s="140">
        <f t="shared" si="76"/>
        <v>213173.26570360953</v>
      </c>
      <c r="BA267" s="140">
        <f t="shared" si="82"/>
        <v>5.0642057340182873</v>
      </c>
      <c r="BC267" s="122"/>
      <c r="BD267" s="122"/>
      <c r="BE267" s="122"/>
      <c r="BF267" s="122"/>
      <c r="BH267" s="122"/>
      <c r="BI267" s="122"/>
      <c r="BJ267" s="122"/>
      <c r="BK267" s="122"/>
      <c r="BM267" s="122"/>
      <c r="BN267" s="122"/>
      <c r="BO267" s="122"/>
      <c r="BP267" s="122"/>
      <c r="BR267" s="122"/>
      <c r="BS267" s="122"/>
      <c r="BT267" s="122"/>
      <c r="BU267" s="122"/>
      <c r="BV267" s="439"/>
      <c r="BW267" s="120">
        <f t="shared" si="84"/>
        <v>235754725.38</v>
      </c>
      <c r="BX267" s="121">
        <f>BX266</f>
        <v>0.04</v>
      </c>
      <c r="BY267" s="121">
        <f t="shared" si="85"/>
        <v>4.2748158963654991E-2</v>
      </c>
      <c r="BZ267" s="120">
        <f t="shared" si="86"/>
        <v>1293.209387589169</v>
      </c>
      <c r="CA267" s="120">
        <f t="shared" si="87"/>
        <v>5.0642057340182873</v>
      </c>
    </row>
    <row r="268" spans="2:79" x14ac:dyDescent="0.25">
      <c r="B268" s="123" t="str">
        <f t="shared" si="78"/>
        <v>9 2025</v>
      </c>
      <c r="C268" s="122">
        <f t="shared" si="79"/>
        <v>45920</v>
      </c>
      <c r="D268" s="122">
        <f t="shared" si="83"/>
        <v>45921</v>
      </c>
      <c r="E268" s="123">
        <f t="shared" si="80"/>
        <v>1</v>
      </c>
      <c r="F268" s="123" t="s">
        <v>7</v>
      </c>
      <c r="G268" s="124">
        <f t="shared" si="89"/>
        <v>8960000</v>
      </c>
      <c r="H268" s="125">
        <f t="shared" si="89"/>
        <v>3.6499999999999998E-2</v>
      </c>
      <c r="I268" s="322">
        <f t="shared" si="77"/>
        <v>908.44444444444446</v>
      </c>
      <c r="J268" s="124">
        <f t="shared" si="81"/>
        <v>979639.03055555641</v>
      </c>
      <c r="K268" s="9"/>
      <c r="L268" s="11"/>
      <c r="M268" s="306"/>
      <c r="N268" s="97"/>
      <c r="O268" s="305"/>
      <c r="P268" s="304"/>
      <c r="Q268" s="307"/>
      <c r="S268" s="11"/>
      <c r="T268" s="306"/>
      <c r="U268" s="97"/>
      <c r="V268" s="305"/>
      <c r="W268" s="304"/>
      <c r="X268" s="307"/>
      <c r="Z268" s="11"/>
      <c r="AA268" s="306"/>
      <c r="AB268" s="97"/>
      <c r="AC268" s="305"/>
      <c r="AD268" s="304"/>
      <c r="AE268" s="307"/>
      <c r="AG268" s="11"/>
      <c r="AH268" s="306"/>
      <c r="AI268" s="97"/>
      <c r="AJ268" s="305"/>
      <c r="AK268" s="304"/>
      <c r="AL268" s="307"/>
      <c r="AN268" s="304">
        <f>'codeis $'!AB269</f>
        <v>223045786.59999999</v>
      </c>
      <c r="AO268" s="340">
        <f>'codeis $'!AH269</f>
        <v>4.3087365241119807E-2</v>
      </c>
      <c r="AP268" s="304">
        <f>'codeis $'!AE269</f>
        <v>0</v>
      </c>
      <c r="AQ268" s="304">
        <f>'codeis $'!AK269</f>
        <v>-22614.364515277775</v>
      </c>
      <c r="AR268" s="9"/>
      <c r="AS268" s="9"/>
      <c r="AT268" s="123">
        <v>1</v>
      </c>
      <c r="AU268" s="123" t="s">
        <v>32</v>
      </c>
      <c r="AV268" s="124">
        <v>3748938.78</v>
      </c>
      <c r="AW268" s="125">
        <v>3.7499999999999999E-2</v>
      </c>
      <c r="AX268" s="123"/>
      <c r="AY268" s="348">
        <f t="shared" si="88"/>
        <v>385.16494315068491</v>
      </c>
      <c r="AZ268" s="140">
        <f t="shared" si="76"/>
        <v>213558.43064676021</v>
      </c>
      <c r="BA268" s="140">
        <f t="shared" si="82"/>
        <v>5.0642057340182873</v>
      </c>
      <c r="BC268" s="122"/>
      <c r="BD268" s="122"/>
      <c r="BE268" s="122"/>
      <c r="BF268" s="122"/>
      <c r="BH268" s="122"/>
      <c r="BI268" s="122"/>
      <c r="BJ268" s="122"/>
      <c r="BK268" s="122"/>
      <c r="BM268" s="122"/>
      <c r="BN268" s="122"/>
      <c r="BO268" s="122"/>
      <c r="BP268" s="122"/>
      <c r="BR268" s="122"/>
      <c r="BS268" s="122"/>
      <c r="BT268" s="122"/>
      <c r="BU268" s="122"/>
      <c r="BV268" s="439"/>
      <c r="BW268" s="120">
        <f t="shared" si="84"/>
        <v>235754725.38</v>
      </c>
      <c r="BX268" s="121">
        <f t="shared" ref="BX268:BX331" si="90">BX267</f>
        <v>0.04</v>
      </c>
      <c r="BY268" s="121">
        <f t="shared" si="85"/>
        <v>4.2748158963654991E-2</v>
      </c>
      <c r="BZ268" s="120">
        <f t="shared" si="86"/>
        <v>1293.6093875951294</v>
      </c>
      <c r="CA268" s="120">
        <f t="shared" si="87"/>
        <v>-22609.300309543756</v>
      </c>
    </row>
    <row r="269" spans="2:79" x14ac:dyDescent="0.25">
      <c r="B269" s="123" t="str">
        <f t="shared" si="78"/>
        <v>9 2025</v>
      </c>
      <c r="C269" s="122">
        <f t="shared" si="79"/>
        <v>45921</v>
      </c>
      <c r="D269" s="122">
        <f t="shared" si="83"/>
        <v>45922</v>
      </c>
      <c r="E269" s="123">
        <f t="shared" si="80"/>
        <v>1</v>
      </c>
      <c r="F269" s="123" t="s">
        <v>7</v>
      </c>
      <c r="G269" s="124">
        <f t="shared" si="89"/>
        <v>8960000</v>
      </c>
      <c r="H269" s="125">
        <f t="shared" si="89"/>
        <v>3.6499999999999998E-2</v>
      </c>
      <c r="I269" s="322">
        <f t="shared" si="77"/>
        <v>908.44444444444446</v>
      </c>
      <c r="J269" s="124">
        <f t="shared" si="81"/>
        <v>980547.47500000091</v>
      </c>
      <c r="K269" s="9"/>
      <c r="L269" s="11"/>
      <c r="M269" s="306"/>
      <c r="N269" s="97"/>
      <c r="O269" s="305"/>
      <c r="P269" s="304"/>
      <c r="Q269" s="307"/>
      <c r="S269" s="11"/>
      <c r="T269" s="306"/>
      <c r="U269" s="97"/>
      <c r="V269" s="305"/>
      <c r="W269" s="304"/>
      <c r="X269" s="307"/>
      <c r="Z269" s="11"/>
      <c r="AA269" s="306"/>
      <c r="AB269" s="97"/>
      <c r="AC269" s="305"/>
      <c r="AD269" s="304"/>
      <c r="AE269" s="307"/>
      <c r="AG269" s="11"/>
      <c r="AH269" s="306"/>
      <c r="AI269" s="97"/>
      <c r="AJ269" s="305"/>
      <c r="AK269" s="304"/>
      <c r="AL269" s="307"/>
      <c r="AN269" s="304">
        <f>'codeis $'!AB270</f>
        <v>223045786.59999999</v>
      </c>
      <c r="AO269" s="340">
        <f>'codeis $'!AH270</f>
        <v>4.3087365241119807E-2</v>
      </c>
      <c r="AP269" s="304">
        <f>'codeis $'!AE270</f>
        <v>0</v>
      </c>
      <c r="AQ269" s="304">
        <f>'codeis $'!AK270</f>
        <v>-22614.364515277775</v>
      </c>
      <c r="AR269" s="9"/>
      <c r="AS269" s="9"/>
      <c r="AT269" s="123">
        <v>1</v>
      </c>
      <c r="AU269" s="123" t="s">
        <v>32</v>
      </c>
      <c r="AV269" s="124">
        <v>3748938.78</v>
      </c>
      <c r="AW269" s="125">
        <v>3.7499999999999999E-2</v>
      </c>
      <c r="AX269" s="123"/>
      <c r="AY269" s="348">
        <f t="shared" si="88"/>
        <v>385.16494315068491</v>
      </c>
      <c r="AZ269" s="140">
        <f t="shared" si="76"/>
        <v>213943.5955899109</v>
      </c>
      <c r="BA269" s="140">
        <f t="shared" si="82"/>
        <v>5.0642057340182873</v>
      </c>
      <c r="BC269" s="122"/>
      <c r="BD269" s="122"/>
      <c r="BE269" s="122"/>
      <c r="BF269" s="122"/>
      <c r="BH269" s="122"/>
      <c r="BI269" s="122"/>
      <c r="BJ269" s="122"/>
      <c r="BK269" s="122"/>
      <c r="BM269" s="122"/>
      <c r="BN269" s="122"/>
      <c r="BO269" s="122"/>
      <c r="BP269" s="122"/>
      <c r="BR269" s="122"/>
      <c r="BS269" s="122"/>
      <c r="BT269" s="122"/>
      <c r="BU269" s="122"/>
      <c r="BV269" s="439"/>
      <c r="BW269" s="120">
        <f t="shared" si="84"/>
        <v>235754725.38</v>
      </c>
      <c r="BX269" s="121">
        <f t="shared" si="90"/>
        <v>0.04</v>
      </c>
      <c r="BY269" s="121">
        <f t="shared" si="85"/>
        <v>4.2748158963654991E-2</v>
      </c>
      <c r="BZ269" s="120">
        <f t="shared" si="86"/>
        <v>1293.6093875951294</v>
      </c>
      <c r="CA269" s="120">
        <f t="shared" si="87"/>
        <v>-22609.300309543756</v>
      </c>
    </row>
    <row r="270" spans="2:79" x14ac:dyDescent="0.25">
      <c r="B270" s="123" t="str">
        <f t="shared" si="78"/>
        <v>9 2025</v>
      </c>
      <c r="C270" s="122">
        <f t="shared" si="79"/>
        <v>45922</v>
      </c>
      <c r="D270" s="122">
        <f t="shared" si="83"/>
        <v>45923</v>
      </c>
      <c r="E270" s="123">
        <f t="shared" si="80"/>
        <v>1</v>
      </c>
      <c r="F270" s="123" t="s">
        <v>7</v>
      </c>
      <c r="G270" s="124">
        <f t="shared" si="89"/>
        <v>8960000</v>
      </c>
      <c r="H270" s="125">
        <f t="shared" si="89"/>
        <v>3.6499999999999998E-2</v>
      </c>
      <c r="I270" s="322">
        <f t="shared" si="77"/>
        <v>908.44444444444446</v>
      </c>
      <c r="J270" s="124">
        <f t="shared" si="81"/>
        <v>981455.9194444454</v>
      </c>
      <c r="K270" s="9"/>
      <c r="L270" s="11"/>
      <c r="M270" s="306"/>
      <c r="N270" s="97"/>
      <c r="O270" s="305"/>
      <c r="P270" s="304"/>
      <c r="Q270" s="307"/>
      <c r="S270" s="11"/>
      <c r="T270" s="306"/>
      <c r="U270" s="97"/>
      <c r="V270" s="305"/>
      <c r="W270" s="304"/>
      <c r="X270" s="307"/>
      <c r="Z270" s="11"/>
      <c r="AA270" s="306"/>
      <c r="AB270" s="97"/>
      <c r="AC270" s="305"/>
      <c r="AD270" s="304"/>
      <c r="AE270" s="307"/>
      <c r="AG270" s="11"/>
      <c r="AH270" s="306"/>
      <c r="AI270" s="97"/>
      <c r="AJ270" s="305"/>
      <c r="AK270" s="304"/>
      <c r="AL270" s="307"/>
      <c r="AN270" s="304">
        <f>'codeis $'!AB271</f>
        <v>223129090.80000001</v>
      </c>
      <c r="AO270" s="340">
        <f>'codeis $'!AH271</f>
        <v>4.3087365241119807E-2</v>
      </c>
      <c r="AP270" s="304">
        <f>'codeis $'!AE271</f>
        <v>83304.200000017881</v>
      </c>
      <c r="AQ270" s="304">
        <f>'codeis $'!AK271</f>
        <v>60689.835484740106</v>
      </c>
      <c r="AR270" s="9"/>
      <c r="AS270" s="9"/>
      <c r="AT270" s="123">
        <v>1</v>
      </c>
      <c r="AU270" s="123" t="s">
        <v>32</v>
      </c>
      <c r="AV270" s="124">
        <v>3724203.41</v>
      </c>
      <c r="AW270" s="125">
        <v>3.7499999999999999E-2</v>
      </c>
      <c r="AX270" s="123"/>
      <c r="AY270" s="348">
        <f t="shared" si="88"/>
        <v>382.62363801369867</v>
      </c>
      <c r="AZ270" s="140">
        <f t="shared" si="76"/>
        <v>214326.21922792459</v>
      </c>
      <c r="BA270" s="140">
        <f t="shared" si="82"/>
        <v>5.0307922775875795</v>
      </c>
      <c r="BC270" s="122"/>
      <c r="BD270" s="122"/>
      <c r="BE270" s="122"/>
      <c r="BF270" s="122"/>
      <c r="BH270" s="122"/>
      <c r="BI270" s="122"/>
      <c r="BJ270" s="122"/>
      <c r="BK270" s="122"/>
      <c r="BM270" s="122"/>
      <c r="BN270" s="122"/>
      <c r="BO270" s="122"/>
      <c r="BP270" s="122"/>
      <c r="BR270" s="122"/>
      <c r="BS270" s="122"/>
      <c r="BT270" s="122"/>
      <c r="BU270" s="122"/>
      <c r="BV270" s="439"/>
      <c r="BW270" s="120">
        <f t="shared" si="84"/>
        <v>235813294.21000001</v>
      </c>
      <c r="BX270" s="121">
        <f t="shared" si="90"/>
        <v>0.04</v>
      </c>
      <c r="BY270" s="121">
        <f t="shared" si="85"/>
        <v>4.2748829292534846E-2</v>
      </c>
      <c r="BZ270" s="120">
        <f t="shared" si="86"/>
        <v>84595.268082476017</v>
      </c>
      <c r="CA270" s="120">
        <f t="shared" si="87"/>
        <v>60694.866277017696</v>
      </c>
    </row>
    <row r="271" spans="2:79" x14ac:dyDescent="0.25">
      <c r="B271" s="123" t="str">
        <f t="shared" si="78"/>
        <v>9 2025</v>
      </c>
      <c r="C271" s="122">
        <f t="shared" si="79"/>
        <v>45923</v>
      </c>
      <c r="D271" s="122">
        <f t="shared" si="83"/>
        <v>45924</v>
      </c>
      <c r="E271" s="123">
        <f t="shared" si="80"/>
        <v>1</v>
      </c>
      <c r="F271" s="123" t="s">
        <v>7</v>
      </c>
      <c r="G271" s="126">
        <f>G270-4500000</f>
        <v>4460000</v>
      </c>
      <c r="H271" s="125">
        <f t="shared" si="89"/>
        <v>3.6499999999999998E-2</v>
      </c>
      <c r="I271" s="322">
        <f t="shared" si="77"/>
        <v>452.19444444444446</v>
      </c>
      <c r="J271" s="124">
        <f t="shared" si="81"/>
        <v>981908.1138888899</v>
      </c>
      <c r="K271" s="9"/>
      <c r="L271" s="11"/>
      <c r="M271" s="306"/>
      <c r="N271" s="97"/>
      <c r="O271" s="305"/>
      <c r="P271" s="304"/>
      <c r="Q271" s="307"/>
      <c r="S271" s="11"/>
      <c r="T271" s="306"/>
      <c r="U271" s="97"/>
      <c r="V271" s="305"/>
      <c r="W271" s="304"/>
      <c r="X271" s="307"/>
      <c r="Z271" s="11"/>
      <c r="AA271" s="306"/>
      <c r="AB271" s="97"/>
      <c r="AC271" s="305"/>
      <c r="AD271" s="304"/>
      <c r="AE271" s="307"/>
      <c r="AG271" s="11"/>
      <c r="AH271" s="306"/>
      <c r="AI271" s="97"/>
      <c r="AJ271" s="305"/>
      <c r="AK271" s="304"/>
      <c r="AL271" s="307"/>
      <c r="AN271" s="304">
        <f>'codeis $'!AB272</f>
        <v>223155466.80000001</v>
      </c>
      <c r="AO271" s="340">
        <f>'codeis $'!AH272</f>
        <v>4.3087365241119807E-2</v>
      </c>
      <c r="AP271" s="304">
        <f>'codeis $'!AE272</f>
        <v>26376</v>
      </c>
      <c r="AQ271" s="304">
        <f>'codeis $'!AK272</f>
        <v>3761.6354847222246</v>
      </c>
      <c r="AR271" s="9"/>
      <c r="AS271" s="9"/>
      <c r="AT271" s="123">
        <v>1</v>
      </c>
      <c r="AU271" s="123" t="s">
        <v>32</v>
      </c>
      <c r="AV271" s="124">
        <v>8618700.2300000004</v>
      </c>
      <c r="AW271" s="125">
        <v>3.7499999999999999E-2</v>
      </c>
      <c r="AX271" s="123"/>
      <c r="AY271" s="348">
        <f t="shared" si="88"/>
        <v>885.48290034246577</v>
      </c>
      <c r="AZ271" s="140">
        <f t="shared" si="76"/>
        <v>215211.70212826706</v>
      </c>
      <c r="BA271" s="140">
        <f t="shared" si="82"/>
        <v>11.642460356354604</v>
      </c>
      <c r="BC271" s="122"/>
      <c r="BD271" s="122"/>
      <c r="BE271" s="122"/>
      <c r="BF271" s="122"/>
      <c r="BH271" s="122"/>
      <c r="BI271" s="122"/>
      <c r="BJ271" s="122"/>
      <c r="BK271" s="122"/>
      <c r="BM271" s="122"/>
      <c r="BN271" s="122"/>
      <c r="BO271" s="122"/>
      <c r="BP271" s="122"/>
      <c r="BR271" s="122"/>
      <c r="BS271" s="122"/>
      <c r="BT271" s="122"/>
      <c r="BU271" s="122"/>
      <c r="BV271" s="439"/>
      <c r="BW271" s="120">
        <f t="shared" si="84"/>
        <v>236234167.03</v>
      </c>
      <c r="BX271" s="121">
        <f t="shared" si="90"/>
        <v>0.04</v>
      </c>
      <c r="BY271" s="121">
        <f t="shared" si="85"/>
        <v>4.2759150757842798E-2</v>
      </c>
      <c r="BZ271" s="120">
        <f t="shared" si="86"/>
        <v>27713.677344786909</v>
      </c>
      <c r="CA271" s="120">
        <f t="shared" si="87"/>
        <v>3773.2779450785793</v>
      </c>
    </row>
    <row r="272" spans="2:79" x14ac:dyDescent="0.25">
      <c r="B272" s="123" t="str">
        <f t="shared" si="78"/>
        <v>9 2025</v>
      </c>
      <c r="C272" s="122">
        <f t="shared" si="79"/>
        <v>45924</v>
      </c>
      <c r="D272" s="122">
        <f t="shared" si="83"/>
        <v>45925</v>
      </c>
      <c r="E272" s="123">
        <f t="shared" si="80"/>
        <v>1</v>
      </c>
      <c r="F272" s="123" t="s">
        <v>7</v>
      </c>
      <c r="G272" s="124">
        <f t="shared" si="89"/>
        <v>4460000</v>
      </c>
      <c r="H272" s="125">
        <f t="shared" si="89"/>
        <v>3.6499999999999998E-2</v>
      </c>
      <c r="I272" s="322">
        <f t="shared" si="77"/>
        <v>452.19444444444446</v>
      </c>
      <c r="J272" s="124">
        <f t="shared" si="81"/>
        <v>982360.3083333344</v>
      </c>
      <c r="K272" s="9"/>
      <c r="L272" s="11"/>
      <c r="M272" s="306"/>
      <c r="N272" s="97"/>
      <c r="O272" s="305"/>
      <c r="P272" s="304"/>
      <c r="Q272" s="307"/>
      <c r="S272" s="11"/>
      <c r="T272" s="306"/>
      <c r="U272" s="97"/>
      <c r="V272" s="305"/>
      <c r="W272" s="304"/>
      <c r="X272" s="307"/>
      <c r="Z272" s="11"/>
      <c r="AA272" s="306"/>
      <c r="AB272" s="97"/>
      <c r="AC272" s="305"/>
      <c r="AD272" s="304"/>
      <c r="AE272" s="307"/>
      <c r="AG272" s="11"/>
      <c r="AH272" s="306"/>
      <c r="AI272" s="97"/>
      <c r="AJ272" s="305"/>
      <c r="AK272" s="304"/>
      <c r="AL272" s="307"/>
      <c r="AN272" s="304">
        <f>'codeis $'!AB273</f>
        <v>223181623</v>
      </c>
      <c r="AO272" s="340">
        <f>'codeis $'!AH273</f>
        <v>4.3087365241119807E-2</v>
      </c>
      <c r="AP272" s="304">
        <f>'codeis $'!AE273</f>
        <v>26156.199999988079</v>
      </c>
      <c r="AQ272" s="304">
        <f>'codeis $'!AK273</f>
        <v>3541.8354847103037</v>
      </c>
      <c r="AR272" s="9"/>
      <c r="AS272" s="9"/>
      <c r="AT272" s="123">
        <v>1</v>
      </c>
      <c r="AU272" s="123" t="s">
        <v>32</v>
      </c>
      <c r="AV272" s="124">
        <v>8340635.4100000001</v>
      </c>
      <c r="AW272" s="125">
        <v>3.7499999999999999E-2</v>
      </c>
      <c r="AX272" s="123"/>
      <c r="AY272" s="348">
        <f t="shared" si="88"/>
        <v>856.91459691780824</v>
      </c>
      <c r="AZ272" s="140">
        <f t="shared" si="76"/>
        <v>216068.61672518487</v>
      </c>
      <c r="BA272" s="140">
        <f t="shared" si="82"/>
        <v>11.266840070586113</v>
      </c>
      <c r="BC272" s="122"/>
      <c r="BD272" s="122"/>
      <c r="BE272" s="122"/>
      <c r="BF272" s="122"/>
      <c r="BH272" s="122"/>
      <c r="BI272" s="122"/>
      <c r="BJ272" s="122"/>
      <c r="BK272" s="122"/>
      <c r="BM272" s="122"/>
      <c r="BN272" s="122"/>
      <c r="BO272" s="122"/>
      <c r="BP272" s="122"/>
      <c r="BR272" s="122"/>
      <c r="BS272" s="122"/>
      <c r="BT272" s="122"/>
      <c r="BU272" s="122"/>
      <c r="BV272" s="439"/>
      <c r="BW272" s="120">
        <f t="shared" si="84"/>
        <v>235982258.41</v>
      </c>
      <c r="BX272" s="121">
        <f t="shared" si="90"/>
        <v>0.04</v>
      </c>
      <c r="BY272" s="121">
        <f t="shared" si="85"/>
        <v>4.2765384148701964E-2</v>
      </c>
      <c r="BZ272" s="120">
        <f t="shared" si="86"/>
        <v>27465.309041350331</v>
      </c>
      <c r="CA272" s="120">
        <f t="shared" si="87"/>
        <v>3553.1023247808898</v>
      </c>
    </row>
    <row r="273" spans="2:79" x14ac:dyDescent="0.25">
      <c r="B273" s="123" t="str">
        <f t="shared" si="78"/>
        <v>9 2025</v>
      </c>
      <c r="C273" s="122">
        <f t="shared" si="79"/>
        <v>45925</v>
      </c>
      <c r="D273" s="122">
        <f t="shared" si="83"/>
        <v>45926</v>
      </c>
      <c r="E273" s="123">
        <f t="shared" si="80"/>
        <v>1</v>
      </c>
      <c r="F273" s="123" t="s">
        <v>7</v>
      </c>
      <c r="G273" s="136">
        <f>G272-1290000</f>
        <v>3170000</v>
      </c>
      <c r="H273" s="125">
        <f t="shared" si="89"/>
        <v>3.6499999999999998E-2</v>
      </c>
      <c r="I273" s="322">
        <f t="shared" si="77"/>
        <v>321.40277777777777</v>
      </c>
      <c r="J273" s="124">
        <f t="shared" si="81"/>
        <v>982681.71111111215</v>
      </c>
      <c r="K273" s="9"/>
      <c r="L273" s="11"/>
      <c r="M273" s="306"/>
      <c r="N273" s="97"/>
      <c r="O273" s="305"/>
      <c r="P273" s="304"/>
      <c r="Q273" s="307"/>
      <c r="S273" s="11"/>
      <c r="T273" s="306"/>
      <c r="U273" s="97"/>
      <c r="V273" s="305"/>
      <c r="W273" s="304"/>
      <c r="X273" s="307"/>
      <c r="Z273" s="11"/>
      <c r="AA273" s="306"/>
      <c r="AB273" s="97"/>
      <c r="AC273" s="305"/>
      <c r="AD273" s="304"/>
      <c r="AE273" s="307"/>
      <c r="AG273" s="11"/>
      <c r="AH273" s="306"/>
      <c r="AI273" s="97"/>
      <c r="AJ273" s="305"/>
      <c r="AK273" s="304"/>
      <c r="AL273" s="307"/>
      <c r="AN273" s="304">
        <f>'codeis $'!AB274</f>
        <v>223207999.00000003</v>
      </c>
      <c r="AO273" s="340">
        <f>'codeis $'!AH274</f>
        <v>4.3087365241119807E-2</v>
      </c>
      <c r="AP273" s="304">
        <f>'codeis $'!AE274</f>
        <v>26376.000000029802</v>
      </c>
      <c r="AQ273" s="304">
        <f>'codeis $'!AK274</f>
        <v>3761.635484752027</v>
      </c>
      <c r="AR273" s="9"/>
      <c r="AS273" s="9"/>
      <c r="AT273" s="123">
        <v>1</v>
      </c>
      <c r="AU273" s="123" t="s">
        <v>32</v>
      </c>
      <c r="AV273" s="124">
        <v>1286269.0900000001</v>
      </c>
      <c r="AW273" s="125">
        <v>3.7499999999999999E-2</v>
      </c>
      <c r="AX273" s="123"/>
      <c r="AY273" s="348">
        <f t="shared" si="88"/>
        <v>132.15093390410959</v>
      </c>
      <c r="AZ273" s="140">
        <f t="shared" si="76"/>
        <v>216200.76765908898</v>
      </c>
      <c r="BA273" s="140">
        <f t="shared" si="82"/>
        <v>1.7375400568873829</v>
      </c>
      <c r="BC273" s="122"/>
      <c r="BD273" s="122"/>
      <c r="BE273" s="122"/>
      <c r="BF273" s="122"/>
      <c r="BH273" s="122"/>
      <c r="BI273" s="122"/>
      <c r="BJ273" s="122"/>
      <c r="BK273" s="122"/>
      <c r="BM273" s="122"/>
      <c r="BN273" s="122"/>
      <c r="BO273" s="122"/>
      <c r="BP273" s="122"/>
      <c r="BR273" s="122"/>
      <c r="BS273" s="122"/>
      <c r="BT273" s="122"/>
      <c r="BU273" s="122"/>
      <c r="BV273" s="439"/>
      <c r="BW273" s="120">
        <f t="shared" si="84"/>
        <v>227664268.09000003</v>
      </c>
      <c r="BX273" s="121">
        <f t="shared" si="90"/>
        <v>0.04</v>
      </c>
      <c r="BY273" s="121">
        <f t="shared" si="85"/>
        <v>4.2964074909905219E-2</v>
      </c>
      <c r="BZ273" s="120">
        <f t="shared" si="86"/>
        <v>26829.553711711691</v>
      </c>
      <c r="CA273" s="120">
        <f t="shared" si="87"/>
        <v>3763.3730248089141</v>
      </c>
    </row>
    <row r="274" spans="2:79" x14ac:dyDescent="0.25">
      <c r="B274" s="123" t="str">
        <f t="shared" si="78"/>
        <v>9 2025</v>
      </c>
      <c r="C274" s="122">
        <f t="shared" si="79"/>
        <v>45926</v>
      </c>
      <c r="D274" s="122">
        <f t="shared" si="83"/>
        <v>45927</v>
      </c>
      <c r="E274" s="123">
        <f t="shared" si="80"/>
        <v>1</v>
      </c>
      <c r="F274" s="123" t="s">
        <v>7</v>
      </c>
      <c r="G274" s="124">
        <f t="shared" si="89"/>
        <v>3170000</v>
      </c>
      <c r="H274" s="125">
        <f t="shared" si="89"/>
        <v>3.6499999999999998E-2</v>
      </c>
      <c r="I274" s="322">
        <f t="shared" si="77"/>
        <v>321.40277777777777</v>
      </c>
      <c r="J274" s="124">
        <f t="shared" si="81"/>
        <v>983003.1138888899</v>
      </c>
      <c r="K274" s="9"/>
      <c r="L274" s="11"/>
      <c r="M274" s="306"/>
      <c r="N274" s="97"/>
      <c r="O274" s="305"/>
      <c r="P274" s="304"/>
      <c r="Q274" s="307"/>
      <c r="S274" s="11"/>
      <c r="T274" s="306"/>
      <c r="U274" s="97"/>
      <c r="V274" s="305"/>
      <c r="W274" s="304"/>
      <c r="X274" s="307"/>
      <c r="Z274" s="11"/>
      <c r="AA274" s="306"/>
      <c r="AB274" s="97"/>
      <c r="AC274" s="305"/>
      <c r="AD274" s="304"/>
      <c r="AE274" s="307"/>
      <c r="AG274" s="11"/>
      <c r="AH274" s="306"/>
      <c r="AI274" s="97"/>
      <c r="AJ274" s="305"/>
      <c r="AK274" s="304"/>
      <c r="AL274" s="307"/>
      <c r="AN274" s="304">
        <f>'codeis $'!AB275</f>
        <v>223234155.19999996</v>
      </c>
      <c r="AO274" s="340">
        <f>'codeis $'!AH275</f>
        <v>4.3087365241119807E-2</v>
      </c>
      <c r="AP274" s="304">
        <f>'codeis $'!AE275</f>
        <v>26156.199999928474</v>
      </c>
      <c r="AQ274" s="304">
        <f>'codeis $'!AK275</f>
        <v>3541.8354846506991</v>
      </c>
      <c r="AR274" s="9"/>
      <c r="AS274" s="9"/>
      <c r="AT274" s="123">
        <v>1</v>
      </c>
      <c r="AU274" s="123" t="s">
        <v>32</v>
      </c>
      <c r="AV274" s="124">
        <v>1263506.74</v>
      </c>
      <c r="AW274" s="125">
        <v>3.7499999999999999E-2</v>
      </c>
      <c r="AX274" s="123"/>
      <c r="AY274" s="348">
        <f t="shared" si="88"/>
        <v>129.81233630136987</v>
      </c>
      <c r="AZ274" s="140">
        <f t="shared" si="76"/>
        <v>216330.57999539035</v>
      </c>
      <c r="BA274" s="140">
        <f t="shared" si="82"/>
        <v>1.7067918291476474</v>
      </c>
      <c r="BC274" s="122"/>
      <c r="BD274" s="122"/>
      <c r="BE274" s="122"/>
      <c r="BF274" s="122"/>
      <c r="BH274" s="122"/>
      <c r="BI274" s="122"/>
      <c r="BJ274" s="122"/>
      <c r="BK274" s="122"/>
      <c r="BM274" s="122"/>
      <c r="BN274" s="122"/>
      <c r="BO274" s="122"/>
      <c r="BP274" s="122"/>
      <c r="BR274" s="122"/>
      <c r="BS274" s="122"/>
      <c r="BT274" s="122"/>
      <c r="BU274" s="122"/>
      <c r="BV274" s="439"/>
      <c r="BW274" s="120">
        <f t="shared" si="84"/>
        <v>227667661.93999997</v>
      </c>
      <c r="BX274" s="121">
        <f t="shared" si="90"/>
        <v>0.04</v>
      </c>
      <c r="BY274" s="121">
        <f t="shared" si="85"/>
        <v>4.296463537594155E-2</v>
      </c>
      <c r="BZ274" s="120">
        <f t="shared" si="86"/>
        <v>26607.415114007621</v>
      </c>
      <c r="CA274" s="120">
        <f t="shared" si="87"/>
        <v>3543.5422764798468</v>
      </c>
    </row>
    <row r="275" spans="2:79" x14ac:dyDescent="0.25">
      <c r="B275" s="123" t="str">
        <f t="shared" si="78"/>
        <v>9 2025</v>
      </c>
      <c r="C275" s="122">
        <f t="shared" si="79"/>
        <v>45927</v>
      </c>
      <c r="D275" s="122">
        <f t="shared" si="83"/>
        <v>45928</v>
      </c>
      <c r="E275" s="123">
        <f t="shared" si="80"/>
        <v>1</v>
      </c>
      <c r="F275" s="123" t="s">
        <v>7</v>
      </c>
      <c r="G275" s="124">
        <f t="shared" si="89"/>
        <v>3170000</v>
      </c>
      <c r="H275" s="125">
        <f t="shared" si="89"/>
        <v>3.6499999999999998E-2</v>
      </c>
      <c r="I275" s="322">
        <f t="shared" si="77"/>
        <v>321.40277777777777</v>
      </c>
      <c r="J275" s="124">
        <f t="shared" si="81"/>
        <v>983324.51666666765</v>
      </c>
      <c r="K275" s="9"/>
      <c r="L275" s="11"/>
      <c r="M275" s="306"/>
      <c r="N275" s="97"/>
      <c r="O275" s="305"/>
      <c r="P275" s="304"/>
      <c r="Q275" s="307"/>
      <c r="S275" s="11"/>
      <c r="T275" s="306"/>
      <c r="U275" s="97"/>
      <c r="V275" s="305"/>
      <c r="W275" s="304"/>
      <c r="X275" s="307"/>
      <c r="Z275" s="11"/>
      <c r="AA275" s="306"/>
      <c r="AB275" s="97"/>
      <c r="AC275" s="305"/>
      <c r="AD275" s="304"/>
      <c r="AE275" s="307"/>
      <c r="AG275" s="11"/>
      <c r="AH275" s="306"/>
      <c r="AI275" s="97"/>
      <c r="AJ275" s="305"/>
      <c r="AK275" s="304"/>
      <c r="AL275" s="307"/>
      <c r="AN275" s="304">
        <f>'codeis $'!AB276</f>
        <v>223234155.19999996</v>
      </c>
      <c r="AO275" s="340">
        <f>'codeis $'!AH276</f>
        <v>4.3087365241119807E-2</v>
      </c>
      <c r="AP275" s="304">
        <f>'codeis $'!AE276</f>
        <v>0</v>
      </c>
      <c r="AQ275" s="304">
        <f>'codeis $'!AK276</f>
        <v>-22614.364515277775</v>
      </c>
      <c r="AR275" s="9"/>
      <c r="AS275" s="9"/>
      <c r="AT275" s="123">
        <v>1</v>
      </c>
      <c r="AU275" s="123" t="s">
        <v>32</v>
      </c>
      <c r="AV275" s="124">
        <v>1263506.74</v>
      </c>
      <c r="AW275" s="125">
        <v>3.7499999999999999E-2</v>
      </c>
      <c r="AX275" s="123"/>
      <c r="AY275" s="348">
        <f t="shared" si="88"/>
        <v>129.81233630136987</v>
      </c>
      <c r="AZ275" s="140">
        <f t="shared" si="76"/>
        <v>216460.39233169172</v>
      </c>
      <c r="BA275" s="140">
        <f t="shared" si="82"/>
        <v>1.7067918291476474</v>
      </c>
      <c r="BC275" s="122"/>
      <c r="BD275" s="122"/>
      <c r="BE275" s="122"/>
      <c r="BF275" s="122"/>
      <c r="BH275" s="122"/>
      <c r="BI275" s="122"/>
      <c r="BJ275" s="122"/>
      <c r="BK275" s="122"/>
      <c r="BM275" s="122"/>
      <c r="BN275" s="122"/>
      <c r="BO275" s="122"/>
      <c r="BP275" s="122"/>
      <c r="BR275" s="122"/>
      <c r="BS275" s="122"/>
      <c r="BT275" s="122"/>
      <c r="BU275" s="122"/>
      <c r="BV275" s="439"/>
      <c r="BW275" s="120">
        <f t="shared" si="84"/>
        <v>227667661.93999997</v>
      </c>
      <c r="BX275" s="121">
        <f t="shared" si="90"/>
        <v>0.04</v>
      </c>
      <c r="BY275" s="121">
        <f t="shared" si="85"/>
        <v>4.296463537594155E-2</v>
      </c>
      <c r="BZ275" s="120">
        <f t="shared" si="86"/>
        <v>451.21511407914761</v>
      </c>
      <c r="CA275" s="120">
        <f t="shared" si="87"/>
        <v>-22612.657723448629</v>
      </c>
    </row>
    <row r="276" spans="2:79" x14ac:dyDescent="0.25">
      <c r="B276" s="123" t="str">
        <f t="shared" si="78"/>
        <v>9 2025</v>
      </c>
      <c r="C276" s="122">
        <f t="shared" si="79"/>
        <v>45928</v>
      </c>
      <c r="D276" s="122">
        <f t="shared" si="83"/>
        <v>45929</v>
      </c>
      <c r="E276" s="123">
        <f t="shared" si="80"/>
        <v>1</v>
      </c>
      <c r="F276" s="123" t="s">
        <v>7</v>
      </c>
      <c r="G276" s="124">
        <f t="shared" si="89"/>
        <v>3170000</v>
      </c>
      <c r="H276" s="125">
        <f t="shared" si="89"/>
        <v>3.6499999999999998E-2</v>
      </c>
      <c r="I276" s="322">
        <f t="shared" si="77"/>
        <v>321.40277777777777</v>
      </c>
      <c r="J276" s="124">
        <f t="shared" si="81"/>
        <v>983645.9194444454</v>
      </c>
      <c r="K276" s="9"/>
      <c r="L276" s="11"/>
      <c r="M276" s="306"/>
      <c r="N276" s="97"/>
      <c r="O276" s="305"/>
      <c r="P276" s="304"/>
      <c r="Q276" s="307"/>
      <c r="S276" s="11"/>
      <c r="T276" s="306"/>
      <c r="U276" s="97"/>
      <c r="V276" s="305"/>
      <c r="W276" s="304"/>
      <c r="X276" s="307"/>
      <c r="Z276" s="11"/>
      <c r="AA276" s="306"/>
      <c r="AB276" s="97"/>
      <c r="AC276" s="305"/>
      <c r="AD276" s="304"/>
      <c r="AE276" s="307"/>
      <c r="AG276" s="11"/>
      <c r="AH276" s="306"/>
      <c r="AI276" s="97"/>
      <c r="AJ276" s="305"/>
      <c r="AK276" s="304"/>
      <c r="AL276" s="307"/>
      <c r="AN276" s="304">
        <f>'codeis $'!AB277</f>
        <v>223234155.19999996</v>
      </c>
      <c r="AO276" s="340">
        <f>'codeis $'!AH277</f>
        <v>4.3087365241119807E-2</v>
      </c>
      <c r="AP276" s="304">
        <f>'codeis $'!AE277</f>
        <v>0</v>
      </c>
      <c r="AQ276" s="304">
        <f>'codeis $'!AK277</f>
        <v>-22614.364515277775</v>
      </c>
      <c r="AR276" s="9"/>
      <c r="AS276" s="9"/>
      <c r="AT276" s="123">
        <v>1</v>
      </c>
      <c r="AU276" s="123" t="s">
        <v>32</v>
      </c>
      <c r="AV276" s="124">
        <v>1263506.74</v>
      </c>
      <c r="AW276" s="125">
        <v>3.7499999999999999E-2</v>
      </c>
      <c r="AX276" s="123"/>
      <c r="AY276" s="348">
        <f t="shared" si="88"/>
        <v>129.81233630136987</v>
      </c>
      <c r="AZ276" s="140">
        <f t="shared" si="76"/>
        <v>216590.20466799309</v>
      </c>
      <c r="BA276" s="140">
        <f t="shared" si="82"/>
        <v>1.7067918291476474</v>
      </c>
      <c r="BC276" s="122"/>
      <c r="BD276" s="122"/>
      <c r="BE276" s="122"/>
      <c r="BF276" s="122"/>
      <c r="BH276" s="122"/>
      <c r="BI276" s="122"/>
      <c r="BJ276" s="122"/>
      <c r="BK276" s="122"/>
      <c r="BM276" s="122"/>
      <c r="BN276" s="122"/>
      <c r="BO276" s="122"/>
      <c r="BP276" s="122"/>
      <c r="BR276" s="122"/>
      <c r="BS276" s="122"/>
      <c r="BT276" s="122"/>
      <c r="BU276" s="122"/>
      <c r="BV276" s="439"/>
      <c r="BW276" s="120">
        <f t="shared" si="84"/>
        <v>227667661.93999997</v>
      </c>
      <c r="BX276" s="121">
        <f t="shared" si="90"/>
        <v>0.04</v>
      </c>
      <c r="BY276" s="121">
        <f t="shared" si="85"/>
        <v>4.296463537594155E-2</v>
      </c>
      <c r="BZ276" s="120">
        <f t="shared" si="86"/>
        <v>451.21511407914761</v>
      </c>
      <c r="CA276" s="120">
        <f t="shared" si="87"/>
        <v>-22612.657723448629</v>
      </c>
    </row>
    <row r="277" spans="2:79" x14ac:dyDescent="0.25">
      <c r="B277" s="148" t="str">
        <f t="shared" si="78"/>
        <v>9 2025</v>
      </c>
      <c r="C277" s="149">
        <f t="shared" si="79"/>
        <v>45929</v>
      </c>
      <c r="D277" s="149">
        <f t="shared" si="83"/>
        <v>45930</v>
      </c>
      <c r="E277" s="148">
        <f t="shared" si="80"/>
        <v>1</v>
      </c>
      <c r="F277" s="148" t="s">
        <v>7</v>
      </c>
      <c r="G277" s="324">
        <f>G276+3470000</f>
        <v>6640000</v>
      </c>
      <c r="H277" s="151">
        <f t="shared" si="89"/>
        <v>3.6499999999999998E-2</v>
      </c>
      <c r="I277" s="323">
        <f t="shared" si="77"/>
        <v>673.22222222222217</v>
      </c>
      <c r="J277" s="150">
        <f t="shared" si="81"/>
        <v>984319.14166666765</v>
      </c>
      <c r="K277" s="9"/>
      <c r="L277" s="143"/>
      <c r="M277" s="420"/>
      <c r="N277" s="145"/>
      <c r="O277" s="420"/>
      <c r="P277" s="419"/>
      <c r="Q277" s="308"/>
      <c r="R277" s="17"/>
      <c r="S277" s="143"/>
      <c r="T277" s="420"/>
      <c r="U277" s="145"/>
      <c r="V277" s="420"/>
      <c r="W277" s="419"/>
      <c r="X277" s="308"/>
      <c r="Y277" s="17"/>
      <c r="Z277" s="143"/>
      <c r="AA277" s="420"/>
      <c r="AB277" s="145"/>
      <c r="AC277" s="420"/>
      <c r="AD277" s="419"/>
      <c r="AE277" s="308"/>
      <c r="AF277" s="17"/>
      <c r="AG277" s="143"/>
      <c r="AH277" s="420"/>
      <c r="AI277" s="145"/>
      <c r="AJ277" s="420"/>
      <c r="AK277" s="419"/>
      <c r="AL277" s="308"/>
      <c r="AM277" s="17"/>
      <c r="AN277" s="339">
        <f>'codeis $'!AB278</f>
        <v>443374544.80000007</v>
      </c>
      <c r="AO277" s="341">
        <f>'codeis $'!AH278</f>
        <v>4.3087365241119807E-2</v>
      </c>
      <c r="AP277" s="339">
        <f>'codeis $'!AE278</f>
        <v>78688.600000113249</v>
      </c>
      <c r="AQ277" s="339">
        <f>'codeis $'!AK278</f>
        <v>56074.235484835473</v>
      </c>
      <c r="AR277" s="9"/>
      <c r="AS277" s="9"/>
      <c r="AT277" s="148">
        <v>1</v>
      </c>
      <c r="AU277" s="148" t="s">
        <v>32</v>
      </c>
      <c r="AV277" s="150">
        <v>1263098.72</v>
      </c>
      <c r="AW277" s="151">
        <v>3.7499999999999999E-2</v>
      </c>
      <c r="AX277" s="152"/>
      <c r="AY277" s="349">
        <f t="shared" si="88"/>
        <v>129.77041643835616</v>
      </c>
      <c r="AZ277" s="153">
        <f t="shared" si="76"/>
        <v>216719.97508443144</v>
      </c>
      <c r="BA277" s="153">
        <f t="shared" si="82"/>
        <v>1.706240660578402</v>
      </c>
      <c r="BC277" s="122"/>
      <c r="BD277" s="122"/>
      <c r="BE277" s="122"/>
      <c r="BF277" s="122"/>
      <c r="BH277" s="122"/>
      <c r="BI277" s="122"/>
      <c r="BJ277" s="122"/>
      <c r="BK277" s="122"/>
      <c r="BM277" s="122"/>
      <c r="BN277" s="122"/>
      <c r="BO277" s="122"/>
      <c r="BP277" s="122"/>
      <c r="BR277" s="122"/>
      <c r="BS277" s="122"/>
      <c r="BT277" s="122"/>
      <c r="BU277" s="122"/>
      <c r="BV277" s="439"/>
      <c r="BW277" s="120">
        <f t="shared" si="84"/>
        <v>451277643.5200001</v>
      </c>
      <c r="BX277" s="173">
        <f t="shared" si="90"/>
        <v>0.04</v>
      </c>
      <c r="BY277" s="121">
        <f t="shared" si="85"/>
        <v>4.2974801501668762E-2</v>
      </c>
      <c r="BZ277" s="120">
        <f t="shared" si="86"/>
        <v>79491.592638773829</v>
      </c>
      <c r="CA277" s="120">
        <f t="shared" si="87"/>
        <v>56075.94172549605</v>
      </c>
    </row>
    <row r="278" spans="2:79" x14ac:dyDescent="0.25">
      <c r="B278" s="123" t="str">
        <f t="shared" si="78"/>
        <v>10 2025</v>
      </c>
      <c r="C278" s="122">
        <f t="shared" si="79"/>
        <v>45930</v>
      </c>
      <c r="D278" s="122">
        <f t="shared" si="83"/>
        <v>45931</v>
      </c>
      <c r="E278" s="123">
        <f t="shared" si="80"/>
        <v>1</v>
      </c>
      <c r="F278" s="123" t="s">
        <v>7</v>
      </c>
      <c r="G278" s="338">
        <f>G277+80000</f>
        <v>6720000</v>
      </c>
      <c r="H278" s="125">
        <f t="shared" si="89"/>
        <v>3.6499999999999998E-2</v>
      </c>
      <c r="I278" s="416">
        <f t="shared" si="77"/>
        <v>681.33333333333326</v>
      </c>
      <c r="J278" s="124">
        <f t="shared" si="81"/>
        <v>985000.47500000102</v>
      </c>
      <c r="K278" s="9"/>
      <c r="L278" s="11"/>
      <c r="M278" s="306"/>
      <c r="N278" s="97"/>
      <c r="O278" s="305"/>
      <c r="P278" s="304"/>
      <c r="Q278" s="307"/>
      <c r="S278" s="11"/>
      <c r="T278" s="306"/>
      <c r="U278" s="97"/>
      <c r="V278" s="305"/>
      <c r="W278" s="304"/>
      <c r="X278" s="307"/>
      <c r="Z278" s="11"/>
      <c r="AA278" s="306"/>
      <c r="AB278" s="97"/>
      <c r="AC278" s="305"/>
      <c r="AD278" s="304"/>
      <c r="AE278" s="307"/>
      <c r="AG278" s="11"/>
      <c r="AH278" s="306"/>
      <c r="AI278" s="97"/>
      <c r="AJ278" s="305"/>
      <c r="AK278" s="304"/>
      <c r="AL278" s="307"/>
      <c r="AN278" s="304">
        <f>'codeis $'!AB279</f>
        <v>443427349.19999999</v>
      </c>
      <c r="AO278" s="340">
        <f>'codeis $'!AH279</f>
        <v>4.3087365241119807E-2</v>
      </c>
      <c r="AP278" s="304">
        <f>'codeis $'!AE279</f>
        <v>52804.399999916553</v>
      </c>
      <c r="AQ278" s="304">
        <f>'codeis $'!AK279</f>
        <v>7878.2241332498888</v>
      </c>
      <c r="AR278" s="9"/>
      <c r="AS278" s="9"/>
      <c r="AT278" s="123">
        <v>1</v>
      </c>
      <c r="AU278" s="123" t="s">
        <v>32</v>
      </c>
      <c r="AV278" s="124">
        <v>1050538.8500000001</v>
      </c>
      <c r="AW278" s="125">
        <v>3.7499999999999999E-2</v>
      </c>
      <c r="AX278" s="123"/>
      <c r="AY278" s="301">
        <f t="shared" si="88"/>
        <v>107.932073630137</v>
      </c>
      <c r="AZ278" s="140">
        <f t="shared" si="76"/>
        <v>216827.90715806157</v>
      </c>
      <c r="BA278" s="140">
        <f t="shared" si="82"/>
        <v>1.4191068940258873</v>
      </c>
      <c r="BC278" s="122"/>
      <c r="BD278" s="122"/>
      <c r="BE278" s="122"/>
      <c r="BF278" s="122"/>
      <c r="BH278" s="122"/>
      <c r="BI278" s="122"/>
      <c r="BJ278" s="122"/>
      <c r="BK278" s="122"/>
      <c r="BM278" s="122"/>
      <c r="BN278" s="122"/>
      <c r="BO278" s="122"/>
      <c r="BP278" s="122"/>
      <c r="BR278" s="122"/>
      <c r="BS278" s="122"/>
      <c r="BT278" s="122"/>
      <c r="BU278" s="122"/>
      <c r="BV278" s="439"/>
      <c r="BW278" s="120">
        <f t="shared" si="84"/>
        <v>451197888.05000001</v>
      </c>
      <c r="BX278" s="121">
        <f t="shared" si="90"/>
        <v>0.04</v>
      </c>
      <c r="BY278" s="121">
        <f t="shared" si="85"/>
        <v>4.2976245840956072E-2</v>
      </c>
      <c r="BZ278" s="120">
        <f t="shared" si="86"/>
        <v>53593.665406880027</v>
      </c>
      <c r="CA278" s="120">
        <f t="shared" si="87"/>
        <v>7879.6432401439151</v>
      </c>
    </row>
    <row r="279" spans="2:79" x14ac:dyDescent="0.25">
      <c r="B279" s="123" t="str">
        <f t="shared" si="78"/>
        <v>10 2025</v>
      </c>
      <c r="C279" s="122">
        <f t="shared" si="79"/>
        <v>45931</v>
      </c>
      <c r="D279" s="122">
        <f t="shared" si="83"/>
        <v>45932</v>
      </c>
      <c r="E279" s="123">
        <f t="shared" si="80"/>
        <v>1</v>
      </c>
      <c r="F279" s="123" t="s">
        <v>7</v>
      </c>
      <c r="G279" s="124">
        <f t="shared" si="89"/>
        <v>6720000</v>
      </c>
      <c r="H279" s="125">
        <f t="shared" si="89"/>
        <v>3.6499999999999998E-2</v>
      </c>
      <c r="I279" s="416">
        <f t="shared" si="77"/>
        <v>681.33333333333326</v>
      </c>
      <c r="J279" s="124">
        <f t="shared" si="81"/>
        <v>985681.8083333344</v>
      </c>
      <c r="K279" s="9"/>
      <c r="L279" s="11"/>
      <c r="M279" s="306"/>
      <c r="N279" s="97"/>
      <c r="O279" s="305"/>
      <c r="P279" s="304"/>
      <c r="Q279" s="307"/>
      <c r="S279" s="11"/>
      <c r="T279" s="306"/>
      <c r="U279" s="97"/>
      <c r="V279" s="305"/>
      <c r="W279" s="304"/>
      <c r="X279" s="307"/>
      <c r="Z279" s="11"/>
      <c r="AA279" s="306"/>
      <c r="AB279" s="97"/>
      <c r="AC279" s="305"/>
      <c r="AD279" s="304"/>
      <c r="AE279" s="307"/>
      <c r="AG279" s="11"/>
      <c r="AH279" s="306"/>
      <c r="AI279" s="97"/>
      <c r="AJ279" s="305"/>
      <c r="AK279" s="304"/>
      <c r="AL279" s="307"/>
      <c r="AN279" s="304">
        <f>'codeis $'!AB280</f>
        <v>443479717.19999993</v>
      </c>
      <c r="AO279" s="340">
        <f>'codeis $'!AH280</f>
        <v>4.3075389264736093E-2</v>
      </c>
      <c r="AP279" s="304">
        <f>'codeis $'!AE280</f>
        <v>52367.999999940395</v>
      </c>
      <c r="AQ279" s="304">
        <f>'codeis $'!AK280</f>
        <v>7441.8241332737307</v>
      </c>
      <c r="AR279" s="9"/>
      <c r="AS279" s="9"/>
      <c r="AT279" s="123">
        <v>1</v>
      </c>
      <c r="AU279" s="123" t="s">
        <v>32</v>
      </c>
      <c r="AV279" s="124">
        <v>1050968.5</v>
      </c>
      <c r="AW279" s="125">
        <v>3.7499999999999999E-2</v>
      </c>
      <c r="AX279" s="123"/>
      <c r="AY279" s="301">
        <f t="shared" si="88"/>
        <v>107.97621575342465</v>
      </c>
      <c r="AZ279" s="140">
        <f t="shared" si="76"/>
        <v>216935.88337381498</v>
      </c>
      <c r="BA279" s="140">
        <f t="shared" si="82"/>
        <v>1.4196872812024424</v>
      </c>
      <c r="BC279" s="122"/>
      <c r="BD279" s="122"/>
      <c r="BE279" s="122"/>
      <c r="BF279" s="122"/>
      <c r="BH279" s="122"/>
      <c r="BI279" s="122"/>
      <c r="BJ279" s="122"/>
      <c r="BK279" s="122"/>
      <c r="BM279" s="122"/>
      <c r="BN279" s="122"/>
      <c r="BO279" s="122"/>
      <c r="BP279" s="122"/>
      <c r="BR279" s="122"/>
      <c r="BS279" s="122"/>
      <c r="BT279" s="122"/>
      <c r="BU279" s="122"/>
      <c r="BV279" s="439"/>
      <c r="BW279" s="120">
        <f t="shared" si="84"/>
        <v>451250685.69999993</v>
      </c>
      <c r="BX279" s="121">
        <f t="shared" si="90"/>
        <v>0.04</v>
      </c>
      <c r="BY279" s="121">
        <f t="shared" si="85"/>
        <v>4.2964483783730856E-2</v>
      </c>
      <c r="BZ279" s="120">
        <f t="shared" si="86"/>
        <v>53157.309549027152</v>
      </c>
      <c r="CA279" s="120">
        <f t="shared" si="87"/>
        <v>7443.2438205549333</v>
      </c>
    </row>
    <row r="280" spans="2:79" x14ac:dyDescent="0.25">
      <c r="B280" s="123" t="str">
        <f t="shared" si="78"/>
        <v>10 2025</v>
      </c>
      <c r="C280" s="122">
        <f t="shared" si="79"/>
        <v>45932</v>
      </c>
      <c r="D280" s="122">
        <f t="shared" si="83"/>
        <v>45933</v>
      </c>
      <c r="E280" s="123">
        <f t="shared" si="80"/>
        <v>1</v>
      </c>
      <c r="F280" s="123" t="s">
        <v>7</v>
      </c>
      <c r="G280" s="124">
        <f t="shared" ref="G280:H295" si="91">G279</f>
        <v>6720000</v>
      </c>
      <c r="H280" s="125">
        <f t="shared" si="91"/>
        <v>3.6499999999999998E-2</v>
      </c>
      <c r="I280" s="416">
        <f t="shared" si="77"/>
        <v>681.33333333333326</v>
      </c>
      <c r="J280" s="124">
        <f t="shared" si="81"/>
        <v>986363.14166666777</v>
      </c>
      <c r="K280" s="9"/>
      <c r="L280" s="11"/>
      <c r="M280" s="306"/>
      <c r="N280" s="97"/>
      <c r="O280" s="305"/>
      <c r="P280" s="304"/>
      <c r="Q280" s="307"/>
      <c r="S280" s="11"/>
      <c r="T280" s="306"/>
      <c r="U280" s="97"/>
      <c r="V280" s="305"/>
      <c r="W280" s="304"/>
      <c r="X280" s="307"/>
      <c r="Z280" s="11"/>
      <c r="AA280" s="306"/>
      <c r="AB280" s="97"/>
      <c r="AC280" s="305"/>
      <c r="AD280" s="304"/>
      <c r="AE280" s="307"/>
      <c r="AG280" s="11"/>
      <c r="AH280" s="306"/>
      <c r="AI280" s="97"/>
      <c r="AJ280" s="305"/>
      <c r="AK280" s="304"/>
      <c r="AL280" s="307"/>
      <c r="AN280" s="304">
        <f>'codeis $'!AB281</f>
        <v>443531648.80000001</v>
      </c>
      <c r="AO280" s="340">
        <f>'codeis $'!AH281</f>
        <v>4.3075389264736093E-2</v>
      </c>
      <c r="AP280" s="304">
        <f>'codeis $'!AE281</f>
        <v>51931.600000083447</v>
      </c>
      <c r="AQ280" s="304">
        <f>'codeis $'!AK281</f>
        <v>7005.4241334167818</v>
      </c>
      <c r="AR280" s="9"/>
      <c r="AS280" s="9"/>
      <c r="AT280" s="123">
        <v>1</v>
      </c>
      <c r="AU280" s="123" t="s">
        <v>32</v>
      </c>
      <c r="AV280" s="124">
        <v>1029116.34</v>
      </c>
      <c r="AW280" s="125">
        <v>3.7499999999999999E-2</v>
      </c>
      <c r="AX280" s="123"/>
      <c r="AY280" s="301">
        <f t="shared" si="88"/>
        <v>105.73113082191782</v>
      </c>
      <c r="AZ280" s="140">
        <f t="shared" si="76"/>
        <v>217041.61450463691</v>
      </c>
      <c r="BA280" s="140">
        <f t="shared" si="82"/>
        <v>1.3901685719178118</v>
      </c>
      <c r="BC280" s="122"/>
      <c r="BD280" s="122"/>
      <c r="BE280" s="122"/>
      <c r="BF280" s="122"/>
      <c r="BH280" s="122"/>
      <c r="BI280" s="122"/>
      <c r="BJ280" s="122"/>
      <c r="BK280" s="122"/>
      <c r="BM280" s="122"/>
      <c r="BN280" s="122"/>
      <c r="BO280" s="122"/>
      <c r="BP280" s="122"/>
      <c r="BR280" s="122"/>
      <c r="BS280" s="122"/>
      <c r="BT280" s="122"/>
      <c r="BU280" s="122"/>
      <c r="BV280" s="439"/>
      <c r="BW280" s="120">
        <f t="shared" si="84"/>
        <v>451280765.13999999</v>
      </c>
      <c r="BX280" s="121">
        <f t="shared" si="90"/>
        <v>0.04</v>
      </c>
      <c r="BY280" s="121">
        <f t="shared" si="85"/>
        <v>4.2964761150467282E-2</v>
      </c>
      <c r="BZ280" s="120">
        <f t="shared" si="86"/>
        <v>52718.664464238696</v>
      </c>
      <c r="CA280" s="120">
        <f t="shared" si="87"/>
        <v>7006.8143019886993</v>
      </c>
    </row>
    <row r="281" spans="2:79" x14ac:dyDescent="0.25">
      <c r="B281" s="123" t="str">
        <f t="shared" si="78"/>
        <v>10 2025</v>
      </c>
      <c r="C281" s="122">
        <f t="shared" si="79"/>
        <v>45933</v>
      </c>
      <c r="D281" s="122">
        <f t="shared" si="83"/>
        <v>45934</v>
      </c>
      <c r="E281" s="123">
        <f t="shared" si="80"/>
        <v>1</v>
      </c>
      <c r="F281" s="123" t="s">
        <v>7</v>
      </c>
      <c r="G281" s="124">
        <f t="shared" si="91"/>
        <v>6720000</v>
      </c>
      <c r="H281" s="125">
        <f t="shared" si="91"/>
        <v>3.6499999999999998E-2</v>
      </c>
      <c r="I281" s="416">
        <f t="shared" si="77"/>
        <v>681.33333333333326</v>
      </c>
      <c r="J281" s="124">
        <f t="shared" si="81"/>
        <v>987044.47500000114</v>
      </c>
      <c r="K281" s="9"/>
      <c r="L281" s="11"/>
      <c r="M281" s="306"/>
      <c r="N281" s="97"/>
      <c r="O281" s="305"/>
      <c r="P281" s="304"/>
      <c r="Q281" s="307"/>
      <c r="S281" s="11"/>
      <c r="T281" s="306"/>
      <c r="U281" s="97"/>
      <c r="V281" s="305"/>
      <c r="W281" s="304"/>
      <c r="X281" s="307"/>
      <c r="Z281" s="11"/>
      <c r="AA281" s="306"/>
      <c r="AB281" s="97"/>
      <c r="AC281" s="305"/>
      <c r="AD281" s="304"/>
      <c r="AE281" s="307"/>
      <c r="AG281" s="11"/>
      <c r="AH281" s="306"/>
      <c r="AI281" s="97"/>
      <c r="AJ281" s="305"/>
      <c r="AK281" s="304"/>
      <c r="AL281" s="307"/>
      <c r="AN281" s="304">
        <f>'codeis $'!AB282</f>
        <v>443585326</v>
      </c>
      <c r="AO281" s="340">
        <f>'codeis $'!AH282</f>
        <v>4.3075389264736093E-2</v>
      </c>
      <c r="AP281" s="304">
        <f>'codeis $'!AE282</f>
        <v>53677.199999988079</v>
      </c>
      <c r="AQ281" s="304">
        <f>'codeis $'!AK282</f>
        <v>8751.0241333214144</v>
      </c>
      <c r="AR281" s="9"/>
      <c r="AS281" s="9"/>
      <c r="AT281" s="123">
        <v>1</v>
      </c>
      <c r="AU281" s="123" t="s">
        <v>32</v>
      </c>
      <c r="AV281" s="124">
        <v>1028051.04</v>
      </c>
      <c r="AW281" s="125">
        <v>3.7499999999999999E-2</v>
      </c>
      <c r="AX281" s="123"/>
      <c r="AY281" s="301">
        <f t="shared" si="88"/>
        <v>105.62168219178082</v>
      </c>
      <c r="AZ281" s="140">
        <f t="shared" si="76"/>
        <v>217147.2361868287</v>
      </c>
      <c r="BA281" s="140">
        <f t="shared" si="82"/>
        <v>1.388729525114158</v>
      </c>
      <c r="BC281" s="122"/>
      <c r="BD281" s="122"/>
      <c r="BE281" s="122"/>
      <c r="BF281" s="122"/>
      <c r="BH281" s="122"/>
      <c r="BI281" s="122"/>
      <c r="BJ281" s="122"/>
      <c r="BK281" s="122"/>
      <c r="BM281" s="122"/>
      <c r="BN281" s="122"/>
      <c r="BO281" s="122"/>
      <c r="BP281" s="122"/>
      <c r="BR281" s="122"/>
      <c r="BS281" s="122"/>
      <c r="BT281" s="122"/>
      <c r="BU281" s="122"/>
      <c r="BV281" s="439"/>
      <c r="BW281" s="120">
        <f t="shared" si="84"/>
        <v>451333377.04000002</v>
      </c>
      <c r="BX281" s="121">
        <f t="shared" si="90"/>
        <v>0.04</v>
      </c>
      <c r="BY281" s="121">
        <f t="shared" si="85"/>
        <v>4.2964787206190305E-2</v>
      </c>
      <c r="BZ281" s="120">
        <f t="shared" si="86"/>
        <v>54464.155015513192</v>
      </c>
      <c r="CA281" s="120">
        <f t="shared" si="87"/>
        <v>8752.4128628465278</v>
      </c>
    </row>
    <row r="282" spans="2:79" x14ac:dyDescent="0.25">
      <c r="B282" s="123" t="str">
        <f t="shared" si="78"/>
        <v>10 2025</v>
      </c>
      <c r="C282" s="122">
        <f t="shared" si="79"/>
        <v>45934</v>
      </c>
      <c r="D282" s="122">
        <f t="shared" si="83"/>
        <v>45935</v>
      </c>
      <c r="E282" s="123">
        <f t="shared" si="80"/>
        <v>1</v>
      </c>
      <c r="F282" s="123" t="s">
        <v>7</v>
      </c>
      <c r="G282" s="124">
        <f t="shared" si="91"/>
        <v>6720000</v>
      </c>
      <c r="H282" s="125">
        <f t="shared" si="91"/>
        <v>3.6499999999999998E-2</v>
      </c>
      <c r="I282" s="416">
        <f t="shared" si="77"/>
        <v>681.33333333333326</v>
      </c>
      <c r="J282" s="124">
        <f t="shared" si="81"/>
        <v>987725.80833333451</v>
      </c>
      <c r="K282" s="9"/>
      <c r="L282" s="11"/>
      <c r="M282" s="306"/>
      <c r="N282" s="97"/>
      <c r="O282" s="305"/>
      <c r="P282" s="304"/>
      <c r="Q282" s="307"/>
      <c r="S282" s="11"/>
      <c r="T282" s="306"/>
      <c r="U282" s="97"/>
      <c r="V282" s="305"/>
      <c r="W282" s="304"/>
      <c r="X282" s="307"/>
      <c r="Z282" s="11"/>
      <c r="AA282" s="306"/>
      <c r="AB282" s="97"/>
      <c r="AC282" s="305"/>
      <c r="AD282" s="304"/>
      <c r="AE282" s="307"/>
      <c r="AG282" s="11"/>
      <c r="AH282" s="306"/>
      <c r="AI282" s="97"/>
      <c r="AJ282" s="305"/>
      <c r="AK282" s="304"/>
      <c r="AL282" s="307"/>
      <c r="AN282" s="304">
        <f>'codeis $'!AB283</f>
        <v>443585326</v>
      </c>
      <c r="AO282" s="340">
        <f>'codeis $'!AH283</f>
        <v>4.3075389264736093E-2</v>
      </c>
      <c r="AP282" s="304">
        <f>'codeis $'!AE283</f>
        <v>0</v>
      </c>
      <c r="AQ282" s="304">
        <f>'codeis $'!AK283</f>
        <v>-44926.175866666665</v>
      </c>
      <c r="AR282" s="9"/>
      <c r="AS282" s="9"/>
      <c r="AT282" s="123">
        <v>1</v>
      </c>
      <c r="AU282" s="123" t="s">
        <v>32</v>
      </c>
      <c r="AV282" s="124">
        <v>1028051.04</v>
      </c>
      <c r="AW282" s="125">
        <v>3.7499999999999999E-2</v>
      </c>
      <c r="AX282" s="123"/>
      <c r="AY282" s="301">
        <f t="shared" si="88"/>
        <v>105.62168219178082</v>
      </c>
      <c r="AZ282" s="140">
        <f t="shared" si="76"/>
        <v>217252.85786902049</v>
      </c>
      <c r="BA282" s="140">
        <f t="shared" si="82"/>
        <v>1.388729525114158</v>
      </c>
      <c r="BC282" s="122"/>
      <c r="BD282" s="122"/>
      <c r="BE282" s="122"/>
      <c r="BF282" s="122"/>
      <c r="BH282" s="122"/>
      <c r="BI282" s="122"/>
      <c r="BJ282" s="122"/>
      <c r="BK282" s="122"/>
      <c r="BM282" s="122"/>
      <c r="BN282" s="122"/>
      <c r="BO282" s="122"/>
      <c r="BP282" s="122"/>
      <c r="BR282" s="122"/>
      <c r="BS282" s="122"/>
      <c r="BT282" s="122"/>
      <c r="BU282" s="122"/>
      <c r="BV282" s="439"/>
      <c r="BW282" s="120">
        <f t="shared" si="84"/>
        <v>451333377.04000002</v>
      </c>
      <c r="BX282" s="121">
        <f t="shared" si="90"/>
        <v>0.04</v>
      </c>
      <c r="BY282" s="121">
        <f t="shared" si="85"/>
        <v>4.2964787206190305E-2</v>
      </c>
      <c r="BZ282" s="120">
        <f t="shared" si="86"/>
        <v>786.95501552511405</v>
      </c>
      <c r="CA282" s="120">
        <f t="shared" si="87"/>
        <v>-44924.787137141553</v>
      </c>
    </row>
    <row r="283" spans="2:79" x14ac:dyDescent="0.25">
      <c r="B283" s="123" t="str">
        <f t="shared" si="78"/>
        <v>10 2025</v>
      </c>
      <c r="C283" s="122">
        <f t="shared" si="79"/>
        <v>45935</v>
      </c>
      <c r="D283" s="122">
        <f t="shared" si="83"/>
        <v>45936</v>
      </c>
      <c r="E283" s="123">
        <f t="shared" si="80"/>
        <v>1</v>
      </c>
      <c r="F283" s="123" t="s">
        <v>7</v>
      </c>
      <c r="G283" s="124">
        <f t="shared" si="91"/>
        <v>6720000</v>
      </c>
      <c r="H283" s="125">
        <f t="shared" si="91"/>
        <v>3.6499999999999998E-2</v>
      </c>
      <c r="I283" s="416">
        <f t="shared" si="77"/>
        <v>681.33333333333326</v>
      </c>
      <c r="J283" s="124">
        <f t="shared" si="81"/>
        <v>988407.14166666789</v>
      </c>
      <c r="K283" s="9"/>
      <c r="L283" s="11"/>
      <c r="M283" s="306"/>
      <c r="N283" s="97"/>
      <c r="O283" s="305"/>
      <c r="P283" s="304"/>
      <c r="Q283" s="307"/>
      <c r="S283" s="11"/>
      <c r="T283" s="306"/>
      <c r="U283" s="97"/>
      <c r="V283" s="305"/>
      <c r="W283" s="304"/>
      <c r="X283" s="307"/>
      <c r="Z283" s="11"/>
      <c r="AA283" s="306"/>
      <c r="AB283" s="97"/>
      <c r="AC283" s="305"/>
      <c r="AD283" s="304"/>
      <c r="AE283" s="307"/>
      <c r="AG283" s="11"/>
      <c r="AH283" s="306"/>
      <c r="AI283" s="97"/>
      <c r="AJ283" s="305"/>
      <c r="AK283" s="304"/>
      <c r="AL283" s="307"/>
      <c r="AN283" s="304">
        <f>'codeis $'!AB284</f>
        <v>443585326</v>
      </c>
      <c r="AO283" s="340">
        <f>'codeis $'!AH284</f>
        <v>4.3075389264736093E-2</v>
      </c>
      <c r="AP283" s="304">
        <f>'codeis $'!AE284</f>
        <v>0</v>
      </c>
      <c r="AQ283" s="304">
        <f>'codeis $'!AK284</f>
        <v>-44926.175866666665</v>
      </c>
      <c r="AR283" s="9"/>
      <c r="AS283" s="9"/>
      <c r="AT283" s="123">
        <v>1</v>
      </c>
      <c r="AU283" s="123" t="s">
        <v>32</v>
      </c>
      <c r="AV283" s="124">
        <v>1028051.04</v>
      </c>
      <c r="AW283" s="125">
        <v>3.7499999999999999E-2</v>
      </c>
      <c r="AX283" s="123"/>
      <c r="AY283" s="301">
        <f t="shared" si="88"/>
        <v>105.62168219178082</v>
      </c>
      <c r="AZ283" s="140">
        <f t="shared" si="76"/>
        <v>217358.47955121228</v>
      </c>
      <c r="BA283" s="140">
        <f t="shared" si="82"/>
        <v>1.388729525114158</v>
      </c>
      <c r="BC283" s="122"/>
      <c r="BD283" s="122"/>
      <c r="BE283" s="122"/>
      <c r="BF283" s="122"/>
      <c r="BH283" s="122"/>
      <c r="BI283" s="122"/>
      <c r="BJ283" s="122"/>
      <c r="BK283" s="122"/>
      <c r="BM283" s="122"/>
      <c r="BN283" s="122"/>
      <c r="BO283" s="122"/>
      <c r="BP283" s="122"/>
      <c r="BR283" s="122"/>
      <c r="BS283" s="122"/>
      <c r="BT283" s="122"/>
      <c r="BU283" s="122"/>
      <c r="BV283" s="439"/>
      <c r="BW283" s="120">
        <f t="shared" si="84"/>
        <v>451333377.04000002</v>
      </c>
      <c r="BX283" s="121">
        <f t="shared" si="90"/>
        <v>0.04</v>
      </c>
      <c r="BY283" s="121">
        <f t="shared" si="85"/>
        <v>4.2964787206190305E-2</v>
      </c>
      <c r="BZ283" s="120">
        <f t="shared" si="86"/>
        <v>786.95501552511405</v>
      </c>
      <c r="CA283" s="120">
        <f t="shared" si="87"/>
        <v>-44924.787137141553</v>
      </c>
    </row>
    <row r="284" spans="2:79" x14ac:dyDescent="0.25">
      <c r="B284" s="123" t="str">
        <f t="shared" si="78"/>
        <v>10 2025</v>
      </c>
      <c r="C284" s="122">
        <f t="shared" si="79"/>
        <v>45936</v>
      </c>
      <c r="D284" s="122">
        <f t="shared" si="83"/>
        <v>45937</v>
      </c>
      <c r="E284" s="123">
        <f t="shared" si="80"/>
        <v>1</v>
      </c>
      <c r="F284" s="123" t="s">
        <v>7</v>
      </c>
      <c r="G284" s="126">
        <f>G283+50000</f>
        <v>6770000</v>
      </c>
      <c r="H284" s="125">
        <f t="shared" si="91"/>
        <v>3.6499999999999998E-2</v>
      </c>
      <c r="I284" s="416">
        <f t="shared" si="77"/>
        <v>686.40277777777771</v>
      </c>
      <c r="J284" s="124">
        <f t="shared" si="81"/>
        <v>989093.54444444564</v>
      </c>
      <c r="K284" s="9"/>
      <c r="L284" s="11"/>
      <c r="M284" s="306"/>
      <c r="N284" s="97"/>
      <c r="O284" s="305"/>
      <c r="P284" s="304"/>
      <c r="Q284" s="307"/>
      <c r="S284" s="11"/>
      <c r="T284" s="306"/>
      <c r="U284" s="97"/>
      <c r="V284" s="305"/>
      <c r="W284" s="304"/>
      <c r="X284" s="307"/>
      <c r="Z284" s="11"/>
      <c r="AA284" s="306"/>
      <c r="AB284" s="97"/>
      <c r="AC284" s="305"/>
      <c r="AD284" s="304"/>
      <c r="AE284" s="307"/>
      <c r="AG284" s="11"/>
      <c r="AH284" s="306"/>
      <c r="AI284" s="97"/>
      <c r="AJ284" s="305"/>
      <c r="AK284" s="304"/>
      <c r="AL284" s="307"/>
      <c r="AN284" s="304">
        <f>'codeis $'!AB285</f>
        <v>443744175.59999996</v>
      </c>
      <c r="AO284" s="340">
        <f>'codeis $'!AH285</f>
        <v>4.3075389264736093E-2</v>
      </c>
      <c r="AP284" s="304">
        <f>'codeis $'!AE285</f>
        <v>158849.59999996424</v>
      </c>
      <c r="AQ284" s="304">
        <f>'codeis $'!AK285</f>
        <v>113923.42413329758</v>
      </c>
      <c r="AR284" s="9"/>
      <c r="AS284" s="9"/>
      <c r="AT284" s="123">
        <v>1</v>
      </c>
      <c r="AU284" s="123" t="s">
        <v>32</v>
      </c>
      <c r="AV284" s="124">
        <v>7419069.8399999999</v>
      </c>
      <c r="AW284" s="125">
        <v>3.7499999999999999E-2</v>
      </c>
      <c r="AX284" s="123"/>
      <c r="AY284" s="301">
        <f t="shared" si="88"/>
        <v>762.23320273972604</v>
      </c>
      <c r="AZ284" s="140">
        <f t="shared" si="76"/>
        <v>218120.71275395202</v>
      </c>
      <c r="BA284" s="140">
        <f t="shared" si="82"/>
        <v>10.021955073059416</v>
      </c>
      <c r="BC284" s="122"/>
      <c r="BD284" s="122"/>
      <c r="BE284" s="122"/>
      <c r="BF284" s="122"/>
      <c r="BH284" s="122"/>
      <c r="BI284" s="122"/>
      <c r="BJ284" s="122"/>
      <c r="BK284" s="122"/>
      <c r="BM284" s="122"/>
      <c r="BN284" s="122"/>
      <c r="BO284" s="122"/>
      <c r="BP284" s="122"/>
      <c r="BR284" s="122"/>
      <c r="BS284" s="122"/>
      <c r="BT284" s="122"/>
      <c r="BU284" s="122"/>
      <c r="BV284" s="439"/>
      <c r="BW284" s="120">
        <f t="shared" si="84"/>
        <v>457933245.43999994</v>
      </c>
      <c r="BX284" s="121">
        <f t="shared" si="90"/>
        <v>0.04</v>
      </c>
      <c r="BY284" s="121">
        <f t="shared" si="85"/>
        <v>4.2887851914002781E-2</v>
      </c>
      <c r="BZ284" s="120">
        <f t="shared" si="86"/>
        <v>160298.23598048175</v>
      </c>
      <c r="CA284" s="120">
        <f t="shared" si="87"/>
        <v>113933.44608837063</v>
      </c>
    </row>
    <row r="285" spans="2:79" x14ac:dyDescent="0.25">
      <c r="B285" s="123" t="str">
        <f t="shared" si="78"/>
        <v>10 2025</v>
      </c>
      <c r="C285" s="122">
        <f t="shared" si="79"/>
        <v>45937</v>
      </c>
      <c r="D285" s="122">
        <f t="shared" si="83"/>
        <v>45938</v>
      </c>
      <c r="E285" s="123">
        <f t="shared" si="80"/>
        <v>1</v>
      </c>
      <c r="F285" s="123" t="s">
        <v>7</v>
      </c>
      <c r="G285" s="124">
        <f t="shared" si="91"/>
        <v>6770000</v>
      </c>
      <c r="H285" s="125">
        <f t="shared" si="91"/>
        <v>3.6499999999999998E-2</v>
      </c>
      <c r="I285" s="416">
        <f t="shared" si="77"/>
        <v>686.40277777777771</v>
      </c>
      <c r="J285" s="124">
        <f t="shared" si="81"/>
        <v>989779.94722222339</v>
      </c>
      <c r="K285" s="9"/>
      <c r="L285" s="11"/>
      <c r="M285" s="306"/>
      <c r="N285" s="97"/>
      <c r="O285" s="305"/>
      <c r="P285" s="304"/>
      <c r="Q285" s="307"/>
      <c r="S285" s="11"/>
      <c r="T285" s="306"/>
      <c r="U285" s="97"/>
      <c r="V285" s="305"/>
      <c r="W285" s="304"/>
      <c r="X285" s="307"/>
      <c r="Z285" s="11"/>
      <c r="AA285" s="306"/>
      <c r="AB285" s="97"/>
      <c r="AC285" s="305"/>
      <c r="AD285" s="304"/>
      <c r="AE285" s="307"/>
      <c r="AG285" s="11"/>
      <c r="AH285" s="306"/>
      <c r="AI285" s="97"/>
      <c r="AJ285" s="305"/>
      <c r="AK285" s="304"/>
      <c r="AL285" s="307"/>
      <c r="AN285" s="304">
        <f>'codeis $'!AB286</f>
        <v>443797416.39999998</v>
      </c>
      <c r="AO285" s="340">
        <f>'codeis $'!AH286</f>
        <v>4.3075389264736093E-2</v>
      </c>
      <c r="AP285" s="304">
        <f>'codeis $'!AE286</f>
        <v>53240.800000011921</v>
      </c>
      <c r="AQ285" s="304">
        <f>'codeis $'!AK286</f>
        <v>8314.6241333452563</v>
      </c>
      <c r="AR285" s="9"/>
      <c r="AS285" s="9"/>
      <c r="AT285" s="123">
        <v>1</v>
      </c>
      <c r="AU285" s="123" t="s">
        <v>32</v>
      </c>
      <c r="AV285" s="124">
        <v>7419832.0700000003</v>
      </c>
      <c r="AW285" s="125">
        <v>3.7499999999999999E-2</v>
      </c>
      <c r="AX285" s="123"/>
      <c r="AY285" s="301">
        <f t="shared" si="88"/>
        <v>762.31151404109585</v>
      </c>
      <c r="AZ285" s="140">
        <f t="shared" si="76"/>
        <v>218883.02426799311</v>
      </c>
      <c r="BA285" s="140">
        <f t="shared" si="82"/>
        <v>10.022984721651483</v>
      </c>
      <c r="BC285" s="122"/>
      <c r="BD285" s="122"/>
      <c r="BE285" s="122"/>
      <c r="BF285" s="122"/>
      <c r="BH285" s="122"/>
      <c r="BI285" s="122"/>
      <c r="BJ285" s="122"/>
      <c r="BK285" s="122"/>
      <c r="BM285" s="122"/>
      <c r="BN285" s="122"/>
      <c r="BO285" s="122"/>
      <c r="BP285" s="122"/>
      <c r="BR285" s="122"/>
      <c r="BS285" s="122"/>
      <c r="BT285" s="122"/>
      <c r="BU285" s="122"/>
      <c r="BV285" s="439"/>
      <c r="BW285" s="120">
        <f t="shared" si="84"/>
        <v>457987248.46999997</v>
      </c>
      <c r="BX285" s="121">
        <f t="shared" si="90"/>
        <v>0.04</v>
      </c>
      <c r="BY285" s="121">
        <f t="shared" si="85"/>
        <v>4.2887864748107296E-2</v>
      </c>
      <c r="BZ285" s="120">
        <f t="shared" si="86"/>
        <v>54689.514291830797</v>
      </c>
      <c r="CA285" s="120">
        <f t="shared" si="87"/>
        <v>8324.6471180669068</v>
      </c>
    </row>
    <row r="286" spans="2:79" x14ac:dyDescent="0.25">
      <c r="B286" s="123" t="str">
        <f t="shared" si="78"/>
        <v>10 2025</v>
      </c>
      <c r="C286" s="122">
        <f t="shared" si="79"/>
        <v>45938</v>
      </c>
      <c r="D286" s="122">
        <f t="shared" si="83"/>
        <v>45939</v>
      </c>
      <c r="E286" s="123">
        <f t="shared" si="80"/>
        <v>1</v>
      </c>
      <c r="F286" s="123" t="s">
        <v>7</v>
      </c>
      <c r="G286" s="124">
        <f t="shared" si="91"/>
        <v>6770000</v>
      </c>
      <c r="H286" s="125">
        <f t="shared" si="91"/>
        <v>3.6499999999999998E-2</v>
      </c>
      <c r="I286" s="416">
        <f t="shared" si="77"/>
        <v>686.40277777777771</v>
      </c>
      <c r="J286" s="124">
        <f t="shared" si="81"/>
        <v>990466.35000000114</v>
      </c>
      <c r="K286" s="9"/>
      <c r="L286" s="11"/>
      <c r="M286" s="306"/>
      <c r="N286" s="97"/>
      <c r="O286" s="305"/>
      <c r="P286" s="304"/>
      <c r="Q286" s="307"/>
      <c r="S286" s="11"/>
      <c r="T286" s="306"/>
      <c r="U286" s="97"/>
      <c r="V286" s="305"/>
      <c r="W286" s="304"/>
      <c r="X286" s="307"/>
      <c r="Z286" s="11"/>
      <c r="AA286" s="306"/>
      <c r="AB286" s="97"/>
      <c r="AC286" s="305"/>
      <c r="AD286" s="304"/>
      <c r="AE286" s="307"/>
      <c r="AG286" s="11"/>
      <c r="AH286" s="306"/>
      <c r="AI286" s="97"/>
      <c r="AJ286" s="305"/>
      <c r="AK286" s="304"/>
      <c r="AL286" s="307"/>
      <c r="AN286" s="304">
        <f>'codeis $'!AB287</f>
        <v>443849784.40000004</v>
      </c>
      <c r="AO286" s="340">
        <f>'codeis $'!AH287</f>
        <v>4.3075389264736093E-2</v>
      </c>
      <c r="AP286" s="304">
        <f>'codeis $'!AE287</f>
        <v>52368.000000059605</v>
      </c>
      <c r="AQ286" s="304">
        <f>'codeis $'!AK287</f>
        <v>7441.82413339294</v>
      </c>
      <c r="AR286" s="9"/>
      <c r="AS286" s="9"/>
      <c r="AT286" s="123">
        <v>1</v>
      </c>
      <c r="AU286" s="123" t="s">
        <v>32</v>
      </c>
      <c r="AV286" s="124">
        <v>7420594.3799999999</v>
      </c>
      <c r="AW286" s="125">
        <v>3.7499999999999999E-2</v>
      </c>
      <c r="AX286" s="123"/>
      <c r="AY286" s="301">
        <f t="shared" si="88"/>
        <v>762.38983356164374</v>
      </c>
      <c r="AZ286" s="140">
        <f t="shared" si="76"/>
        <v>219645.41410155475</v>
      </c>
      <c r="BA286" s="140">
        <f t="shared" si="82"/>
        <v>10.024014478310391</v>
      </c>
      <c r="BC286" s="122"/>
      <c r="BD286" s="122"/>
      <c r="BE286" s="122"/>
      <c r="BF286" s="122"/>
      <c r="BH286" s="122"/>
      <c r="BI286" s="122"/>
      <c r="BJ286" s="122"/>
      <c r="BK286" s="122"/>
      <c r="BM286" s="122"/>
      <c r="BN286" s="122"/>
      <c r="BO286" s="122"/>
      <c r="BP286" s="122"/>
      <c r="BR286" s="122"/>
      <c r="BS286" s="122"/>
      <c r="BT286" s="122"/>
      <c r="BU286" s="122"/>
      <c r="BV286" s="439"/>
      <c r="BW286" s="120">
        <f t="shared" si="84"/>
        <v>458040378.78000003</v>
      </c>
      <c r="BX286" s="121">
        <f t="shared" si="90"/>
        <v>0.04</v>
      </c>
      <c r="BY286" s="121">
        <f t="shared" si="85"/>
        <v>4.2887877220939348E-2</v>
      </c>
      <c r="BZ286" s="120">
        <f t="shared" si="86"/>
        <v>53816.792611399025</v>
      </c>
      <c r="CA286" s="120">
        <f t="shared" si="87"/>
        <v>7451.8481478712501</v>
      </c>
    </row>
    <row r="287" spans="2:79" x14ac:dyDescent="0.25">
      <c r="B287" s="123" t="str">
        <f t="shared" si="78"/>
        <v>10 2025</v>
      </c>
      <c r="C287" s="122">
        <f t="shared" si="79"/>
        <v>45939</v>
      </c>
      <c r="D287" s="122">
        <f t="shared" si="83"/>
        <v>45940</v>
      </c>
      <c r="E287" s="123">
        <f t="shared" si="80"/>
        <v>1</v>
      </c>
      <c r="F287" s="123" t="s">
        <v>7</v>
      </c>
      <c r="G287" s="124">
        <f t="shared" si="91"/>
        <v>6770000</v>
      </c>
      <c r="H287" s="125">
        <f t="shared" si="91"/>
        <v>3.6499999999999998E-2</v>
      </c>
      <c r="I287" s="416">
        <f t="shared" si="77"/>
        <v>686.40277777777771</v>
      </c>
      <c r="J287" s="124">
        <f t="shared" si="81"/>
        <v>991152.75277777889</v>
      </c>
      <c r="K287" s="9"/>
      <c r="L287" s="11"/>
      <c r="M287" s="306"/>
      <c r="N287" s="97"/>
      <c r="O287" s="305"/>
      <c r="P287" s="304"/>
      <c r="Q287" s="307"/>
      <c r="S287" s="11"/>
      <c r="T287" s="306"/>
      <c r="U287" s="97"/>
      <c r="V287" s="305"/>
      <c r="W287" s="304"/>
      <c r="X287" s="307"/>
      <c r="Z287" s="11"/>
      <c r="AA287" s="306"/>
      <c r="AB287" s="97"/>
      <c r="AC287" s="305"/>
      <c r="AD287" s="304"/>
      <c r="AE287" s="307"/>
      <c r="AG287" s="11"/>
      <c r="AH287" s="306"/>
      <c r="AI287" s="97"/>
      <c r="AJ287" s="305"/>
      <c r="AK287" s="304"/>
      <c r="AL287" s="307"/>
      <c r="AN287" s="304">
        <f>'codeis $'!AB288</f>
        <v>443902588.80000007</v>
      </c>
      <c r="AO287" s="340">
        <f>'codeis $'!AH288</f>
        <v>4.3075389264736093E-2</v>
      </c>
      <c r="AP287" s="304">
        <f>'codeis $'!AE288</f>
        <v>52804.400000035763</v>
      </c>
      <c r="AQ287" s="304">
        <f>'codeis $'!AK288</f>
        <v>7878.2241333690981</v>
      </c>
      <c r="AR287" s="9"/>
      <c r="AS287" s="9"/>
      <c r="AT287" s="123">
        <v>1</v>
      </c>
      <c r="AU287" s="123" t="s">
        <v>32</v>
      </c>
      <c r="AV287" s="124">
        <v>7421356.7699999996</v>
      </c>
      <c r="AW287" s="125">
        <v>3.7499999999999999E-2</v>
      </c>
      <c r="AX287" s="123"/>
      <c r="AY287" s="301">
        <f t="shared" si="88"/>
        <v>762.46816130136983</v>
      </c>
      <c r="AZ287" s="140">
        <f t="shared" si="76"/>
        <v>220407.88226285612</v>
      </c>
      <c r="BA287" s="140">
        <f t="shared" si="82"/>
        <v>10.025044343036598</v>
      </c>
      <c r="BC287" s="122"/>
      <c r="BD287" s="122"/>
      <c r="BE287" s="122"/>
      <c r="BF287" s="122"/>
      <c r="BH287" s="122"/>
      <c r="BI287" s="122"/>
      <c r="BJ287" s="122"/>
      <c r="BK287" s="122"/>
      <c r="BM287" s="122"/>
      <c r="BN287" s="122"/>
      <c r="BO287" s="122"/>
      <c r="BP287" s="122"/>
      <c r="BR287" s="122"/>
      <c r="BS287" s="122"/>
      <c r="BT287" s="122"/>
      <c r="BU287" s="122"/>
      <c r="BV287" s="439"/>
      <c r="BW287" s="120">
        <f t="shared" si="84"/>
        <v>458093945.57000005</v>
      </c>
      <c r="BX287" s="121">
        <f t="shared" si="90"/>
        <v>0.04</v>
      </c>
      <c r="BY287" s="121">
        <f t="shared" si="85"/>
        <v>4.2887889868557384E-2</v>
      </c>
      <c r="BZ287" s="120">
        <f t="shared" si="86"/>
        <v>54253.270939114911</v>
      </c>
      <c r="CA287" s="120">
        <f t="shared" si="87"/>
        <v>7888.249177712135</v>
      </c>
    </row>
    <row r="288" spans="2:79" x14ac:dyDescent="0.25">
      <c r="B288" s="123" t="str">
        <f t="shared" si="78"/>
        <v>10 2025</v>
      </c>
      <c r="C288" s="122">
        <f t="shared" si="79"/>
        <v>45940</v>
      </c>
      <c r="D288" s="122">
        <f t="shared" si="83"/>
        <v>45941</v>
      </c>
      <c r="E288" s="123">
        <f t="shared" si="80"/>
        <v>1</v>
      </c>
      <c r="F288" s="123" t="s">
        <v>7</v>
      </c>
      <c r="G288" s="126">
        <f>G287-840000</f>
        <v>5930000</v>
      </c>
      <c r="H288" s="125">
        <f t="shared" si="91"/>
        <v>3.6499999999999998E-2</v>
      </c>
      <c r="I288" s="416">
        <f t="shared" si="77"/>
        <v>601.23611111111109</v>
      </c>
      <c r="J288" s="124">
        <f t="shared" si="81"/>
        <v>991753.98888889002</v>
      </c>
      <c r="K288" s="9"/>
      <c r="L288" s="11"/>
      <c r="M288" s="306"/>
      <c r="N288" s="97"/>
      <c r="O288" s="305"/>
      <c r="P288" s="304"/>
      <c r="Q288" s="307"/>
      <c r="S288" s="11"/>
      <c r="T288" s="306"/>
      <c r="U288" s="97"/>
      <c r="V288" s="305"/>
      <c r="W288" s="304"/>
      <c r="X288" s="307"/>
      <c r="Z288" s="11"/>
      <c r="AA288" s="306"/>
      <c r="AB288" s="97"/>
      <c r="AC288" s="305"/>
      <c r="AD288" s="304"/>
      <c r="AE288" s="307"/>
      <c r="AG288" s="11"/>
      <c r="AH288" s="306"/>
      <c r="AI288" s="97"/>
      <c r="AJ288" s="305"/>
      <c r="AK288" s="304"/>
      <c r="AL288" s="307"/>
      <c r="AN288" s="304">
        <f>'codeis $'!AB289</f>
        <v>443954520.40000004</v>
      </c>
      <c r="AO288" s="340">
        <f>'codeis $'!AH289</f>
        <v>4.3075389264736093E-2</v>
      </c>
      <c r="AP288" s="304">
        <f>'codeis $'!AE289</f>
        <v>51931.599999964237</v>
      </c>
      <c r="AQ288" s="304">
        <f>'codeis $'!AK289</f>
        <v>7005.4241332975726</v>
      </c>
      <c r="AR288" s="9"/>
      <c r="AS288" s="9"/>
      <c r="AT288" s="123">
        <v>1</v>
      </c>
      <c r="AU288" s="123" t="s">
        <v>32</v>
      </c>
      <c r="AV288" s="124">
        <v>7382163.04</v>
      </c>
      <c r="AW288" s="125">
        <v>3.7499999999999999E-2</v>
      </c>
      <c r="AX288" s="123"/>
      <c r="AY288" s="301">
        <f t="shared" si="88"/>
        <v>758.44140821917813</v>
      </c>
      <c r="AZ288" s="140">
        <f t="shared" si="76"/>
        <v>221166.32367107528</v>
      </c>
      <c r="BA288" s="140">
        <f t="shared" si="82"/>
        <v>9.9720999969559898</v>
      </c>
      <c r="BC288" s="122"/>
      <c r="BD288" s="122"/>
      <c r="BE288" s="122"/>
      <c r="BF288" s="122"/>
      <c r="BH288" s="122"/>
      <c r="BI288" s="122"/>
      <c r="BJ288" s="122"/>
      <c r="BK288" s="122"/>
      <c r="BM288" s="122"/>
      <c r="BN288" s="122"/>
      <c r="BO288" s="122"/>
      <c r="BP288" s="122"/>
      <c r="BR288" s="122"/>
      <c r="BS288" s="122"/>
      <c r="BT288" s="122"/>
      <c r="BU288" s="122"/>
      <c r="BV288" s="439"/>
      <c r="BW288" s="120">
        <f t="shared" si="84"/>
        <v>457266683.44000006</v>
      </c>
      <c r="BX288" s="121">
        <f t="shared" si="90"/>
        <v>0.04</v>
      </c>
      <c r="BY288" s="121">
        <f t="shared" si="85"/>
        <v>4.2900107544448347E-2</v>
      </c>
      <c r="BZ288" s="120">
        <f t="shared" si="86"/>
        <v>53291.277519294526</v>
      </c>
      <c r="CA288" s="120">
        <f t="shared" si="87"/>
        <v>7015.3962332945284</v>
      </c>
    </row>
    <row r="289" spans="2:79" x14ac:dyDescent="0.25">
      <c r="B289" s="123" t="str">
        <f t="shared" si="78"/>
        <v>10 2025</v>
      </c>
      <c r="C289" s="122">
        <f t="shared" si="79"/>
        <v>45941</v>
      </c>
      <c r="D289" s="122">
        <f t="shared" si="83"/>
        <v>45942</v>
      </c>
      <c r="E289" s="123">
        <f t="shared" si="80"/>
        <v>1</v>
      </c>
      <c r="F289" s="123" t="s">
        <v>7</v>
      </c>
      <c r="G289" s="124">
        <f t="shared" si="91"/>
        <v>5930000</v>
      </c>
      <c r="H289" s="125">
        <f t="shared" si="91"/>
        <v>3.6499999999999998E-2</v>
      </c>
      <c r="I289" s="416">
        <f t="shared" si="77"/>
        <v>601.23611111111109</v>
      </c>
      <c r="J289" s="124">
        <f t="shared" si="81"/>
        <v>992355.22500000114</v>
      </c>
      <c r="K289" s="9"/>
      <c r="L289" s="11"/>
      <c r="M289" s="306"/>
      <c r="N289" s="97"/>
      <c r="O289" s="305"/>
      <c r="P289" s="304"/>
      <c r="Q289" s="307"/>
      <c r="S289" s="11"/>
      <c r="T289" s="306"/>
      <c r="U289" s="97"/>
      <c r="V289" s="305"/>
      <c r="W289" s="304"/>
      <c r="X289" s="307"/>
      <c r="Z289" s="11"/>
      <c r="AA289" s="306"/>
      <c r="AB289" s="97"/>
      <c r="AC289" s="305"/>
      <c r="AD289" s="304"/>
      <c r="AE289" s="307"/>
      <c r="AG289" s="11"/>
      <c r="AH289" s="306"/>
      <c r="AI289" s="97"/>
      <c r="AJ289" s="305"/>
      <c r="AK289" s="304"/>
      <c r="AL289" s="307"/>
      <c r="AN289" s="304">
        <f>'codeis $'!AB290</f>
        <v>443954520.40000004</v>
      </c>
      <c r="AO289" s="340">
        <f>'codeis $'!AH290</f>
        <v>4.3075389264736093E-2</v>
      </c>
      <c r="AP289" s="304">
        <f>'codeis $'!AE290</f>
        <v>0</v>
      </c>
      <c r="AQ289" s="304">
        <f>'codeis $'!AK290</f>
        <v>-44926.175866666665</v>
      </c>
      <c r="AR289" s="9"/>
      <c r="AS289" s="9"/>
      <c r="AT289" s="123">
        <v>1</v>
      </c>
      <c r="AU289" s="123" t="s">
        <v>32</v>
      </c>
      <c r="AV289" s="124">
        <v>7382163.04</v>
      </c>
      <c r="AW289" s="125">
        <v>3.7499999999999999E-2</v>
      </c>
      <c r="AX289" s="123"/>
      <c r="AY289" s="301">
        <f t="shared" si="88"/>
        <v>758.44140821917813</v>
      </c>
      <c r="AZ289" s="140">
        <f t="shared" si="76"/>
        <v>221924.76507929445</v>
      </c>
      <c r="BA289" s="140">
        <f t="shared" si="82"/>
        <v>9.9720999969559898</v>
      </c>
      <c r="BC289" s="122"/>
      <c r="BD289" s="122"/>
      <c r="BE289" s="122"/>
      <c r="BF289" s="122"/>
      <c r="BH289" s="122"/>
      <c r="BI289" s="122"/>
      <c r="BJ289" s="122"/>
      <c r="BK289" s="122"/>
      <c r="BM289" s="122"/>
      <c r="BN289" s="122"/>
      <c r="BO289" s="122"/>
      <c r="BP289" s="122"/>
      <c r="BR289" s="122"/>
      <c r="BS289" s="122"/>
      <c r="BT289" s="122"/>
      <c r="BU289" s="122"/>
      <c r="BV289" s="439"/>
      <c r="BW289" s="120">
        <f t="shared" si="84"/>
        <v>457266683.44000006</v>
      </c>
      <c r="BX289" s="121">
        <f t="shared" si="90"/>
        <v>0.04</v>
      </c>
      <c r="BY289" s="121">
        <f t="shared" si="85"/>
        <v>4.2900107544448347E-2</v>
      </c>
      <c r="BZ289" s="120">
        <f t="shared" si="86"/>
        <v>1359.6775193302892</v>
      </c>
      <c r="CA289" s="120">
        <f t="shared" si="87"/>
        <v>-44916.203766669707</v>
      </c>
    </row>
    <row r="290" spans="2:79" x14ac:dyDescent="0.25">
      <c r="B290" s="123" t="str">
        <f t="shared" si="78"/>
        <v>10 2025</v>
      </c>
      <c r="C290" s="122">
        <f t="shared" si="79"/>
        <v>45942</v>
      </c>
      <c r="D290" s="122">
        <f t="shared" si="83"/>
        <v>45943</v>
      </c>
      <c r="E290" s="123">
        <f t="shared" si="80"/>
        <v>1</v>
      </c>
      <c r="F290" s="123" t="s">
        <v>7</v>
      </c>
      <c r="G290" s="124">
        <f t="shared" si="91"/>
        <v>5930000</v>
      </c>
      <c r="H290" s="125">
        <f t="shared" si="91"/>
        <v>3.6499999999999998E-2</v>
      </c>
      <c r="I290" s="416">
        <f t="shared" si="77"/>
        <v>601.23611111111109</v>
      </c>
      <c r="J290" s="124">
        <f t="shared" si="81"/>
        <v>992956.46111111226</v>
      </c>
      <c r="K290" s="9"/>
      <c r="L290" s="11"/>
      <c r="M290" s="306"/>
      <c r="N290" s="97"/>
      <c r="O290" s="305"/>
      <c r="P290" s="304"/>
      <c r="Q290" s="307"/>
      <c r="S290" s="11"/>
      <c r="T290" s="306"/>
      <c r="U290" s="97"/>
      <c r="V290" s="305"/>
      <c r="W290" s="304"/>
      <c r="X290" s="307"/>
      <c r="Z290" s="11"/>
      <c r="AA290" s="306"/>
      <c r="AB290" s="97"/>
      <c r="AC290" s="305"/>
      <c r="AD290" s="304"/>
      <c r="AE290" s="307"/>
      <c r="AG290" s="11"/>
      <c r="AH290" s="306"/>
      <c r="AI290" s="97"/>
      <c r="AJ290" s="305"/>
      <c r="AK290" s="304"/>
      <c r="AL290" s="307"/>
      <c r="AN290" s="304">
        <f>'codeis $'!AB291</f>
        <v>443954520.40000004</v>
      </c>
      <c r="AO290" s="340">
        <f>'codeis $'!AH291</f>
        <v>4.3075389264736093E-2</v>
      </c>
      <c r="AP290" s="304">
        <f>'codeis $'!AE291</f>
        <v>0</v>
      </c>
      <c r="AQ290" s="304">
        <f>'codeis $'!AK291</f>
        <v>-44926.175866666665</v>
      </c>
      <c r="AR290" s="9"/>
      <c r="AS290" s="9"/>
      <c r="AT290" s="123">
        <v>1</v>
      </c>
      <c r="AU290" s="123" t="s">
        <v>32</v>
      </c>
      <c r="AV290" s="124">
        <v>7382163.04</v>
      </c>
      <c r="AW290" s="125">
        <v>3.7499999999999999E-2</v>
      </c>
      <c r="AX290" s="123"/>
      <c r="AY290" s="301">
        <f t="shared" si="88"/>
        <v>758.44140821917813</v>
      </c>
      <c r="AZ290" s="140">
        <f t="shared" si="76"/>
        <v>222683.20648751361</v>
      </c>
      <c r="BA290" s="140">
        <f t="shared" si="82"/>
        <v>9.9720999969559898</v>
      </c>
      <c r="BC290" s="122"/>
      <c r="BD290" s="122"/>
      <c r="BE290" s="122"/>
      <c r="BF290" s="122"/>
      <c r="BH290" s="122"/>
      <c r="BI290" s="122"/>
      <c r="BJ290" s="122"/>
      <c r="BK290" s="122"/>
      <c r="BM290" s="122"/>
      <c r="BN290" s="122"/>
      <c r="BO290" s="122"/>
      <c r="BP290" s="122"/>
      <c r="BR290" s="122"/>
      <c r="BS290" s="122"/>
      <c r="BT290" s="122"/>
      <c r="BU290" s="122"/>
      <c r="BV290" s="439"/>
      <c r="BW290" s="120">
        <f t="shared" si="84"/>
        <v>457266683.44000006</v>
      </c>
      <c r="BX290" s="121">
        <f t="shared" si="90"/>
        <v>0.04</v>
      </c>
      <c r="BY290" s="121">
        <f t="shared" si="85"/>
        <v>4.2900107544448347E-2</v>
      </c>
      <c r="BZ290" s="120">
        <f t="shared" si="86"/>
        <v>1359.6775193302892</v>
      </c>
      <c r="CA290" s="120">
        <f t="shared" si="87"/>
        <v>-44916.203766669707</v>
      </c>
    </row>
    <row r="291" spans="2:79" x14ac:dyDescent="0.25">
      <c r="B291" s="123" t="str">
        <f t="shared" si="78"/>
        <v>10 2025</v>
      </c>
      <c r="C291" s="122">
        <f t="shared" si="79"/>
        <v>45943</v>
      </c>
      <c r="D291" s="122">
        <f t="shared" si="83"/>
        <v>45944</v>
      </c>
      <c r="E291" s="123">
        <f t="shared" si="80"/>
        <v>1</v>
      </c>
      <c r="F291" s="123" t="s">
        <v>7</v>
      </c>
      <c r="G291" s="124">
        <f t="shared" si="91"/>
        <v>5930000</v>
      </c>
      <c r="H291" s="125">
        <f t="shared" si="91"/>
        <v>3.6499999999999998E-2</v>
      </c>
      <c r="I291" s="416">
        <f t="shared" si="77"/>
        <v>601.23611111111109</v>
      </c>
      <c r="J291" s="124">
        <f t="shared" si="81"/>
        <v>993557.69722222339</v>
      </c>
      <c r="K291" s="9"/>
      <c r="L291" s="11"/>
      <c r="M291" s="306"/>
      <c r="N291" s="97"/>
      <c r="O291" s="305"/>
      <c r="P291" s="304"/>
      <c r="Q291" s="307"/>
      <c r="S291" s="11"/>
      <c r="T291" s="306"/>
      <c r="U291" s="97"/>
      <c r="V291" s="305"/>
      <c r="W291" s="304"/>
      <c r="X291" s="307"/>
      <c r="Z291" s="11"/>
      <c r="AA291" s="306"/>
      <c r="AB291" s="97"/>
      <c r="AC291" s="305"/>
      <c r="AD291" s="304"/>
      <c r="AE291" s="307"/>
      <c r="AG291" s="11"/>
      <c r="AH291" s="306"/>
      <c r="AI291" s="97"/>
      <c r="AJ291" s="305"/>
      <c r="AK291" s="304"/>
      <c r="AL291" s="307"/>
      <c r="AN291" s="304">
        <f>'codeis $'!AB292</f>
        <v>444110751.60000008</v>
      </c>
      <c r="AO291" s="340">
        <f>'codeis $'!AH292</f>
        <v>4.3075389264736093E-2</v>
      </c>
      <c r="AP291" s="304">
        <f>'codeis $'!AE292</f>
        <v>156231.20000004768</v>
      </c>
      <c r="AQ291" s="304">
        <f>'codeis $'!AK292</f>
        <v>111305.02413338103</v>
      </c>
      <c r="AR291" s="9"/>
      <c r="AS291" s="9"/>
      <c r="AT291" s="123">
        <v>1</v>
      </c>
      <c r="AU291" s="123" t="s">
        <v>32</v>
      </c>
      <c r="AV291" s="124">
        <v>7382163.04</v>
      </c>
      <c r="AW291" s="125">
        <v>3.7499999999999999E-2</v>
      </c>
      <c r="AX291" s="123"/>
      <c r="AY291" s="301">
        <f t="shared" si="88"/>
        <v>758.44140821917813</v>
      </c>
      <c r="AZ291" s="140">
        <f t="shared" si="76"/>
        <v>223441.64789573278</v>
      </c>
      <c r="BA291" s="140">
        <f t="shared" si="82"/>
        <v>9.9720999969559898</v>
      </c>
      <c r="BC291" s="122"/>
      <c r="BD291" s="122"/>
      <c r="BE291" s="122"/>
      <c r="BF291" s="122"/>
      <c r="BH291" s="122"/>
      <c r="BI291" s="122"/>
      <c r="BJ291" s="122"/>
      <c r="BK291" s="122"/>
      <c r="BM291" s="122"/>
      <c r="BN291" s="122"/>
      <c r="BO291" s="122"/>
      <c r="BP291" s="122"/>
      <c r="BR291" s="122"/>
      <c r="BS291" s="122"/>
      <c r="BT291" s="122"/>
      <c r="BU291" s="122"/>
      <c r="BV291" s="439"/>
      <c r="BW291" s="120">
        <f t="shared" si="84"/>
        <v>457422914.6400001</v>
      </c>
      <c r="BX291" s="121">
        <f t="shared" si="90"/>
        <v>0.04</v>
      </c>
      <c r="BY291" s="121">
        <f t="shared" si="85"/>
        <v>4.2900167411308143E-2</v>
      </c>
      <c r="BZ291" s="120">
        <f t="shared" si="86"/>
        <v>157590.87751937797</v>
      </c>
      <c r="CA291" s="120">
        <f t="shared" si="87"/>
        <v>111314.99623337798</v>
      </c>
    </row>
    <row r="292" spans="2:79" x14ac:dyDescent="0.25">
      <c r="B292" s="123" t="str">
        <f t="shared" si="78"/>
        <v>10 2025</v>
      </c>
      <c r="C292" s="122">
        <f t="shared" si="79"/>
        <v>45944</v>
      </c>
      <c r="D292" s="122">
        <f t="shared" si="83"/>
        <v>45945</v>
      </c>
      <c r="E292" s="123">
        <f t="shared" si="80"/>
        <v>1</v>
      </c>
      <c r="F292" s="123" t="s">
        <v>7</v>
      </c>
      <c r="G292" s="124">
        <f t="shared" si="91"/>
        <v>5930000</v>
      </c>
      <c r="H292" s="125">
        <f t="shared" si="91"/>
        <v>3.6499999999999998E-2</v>
      </c>
      <c r="I292" s="416">
        <f t="shared" si="77"/>
        <v>601.23611111111109</v>
      </c>
      <c r="J292" s="124">
        <f t="shared" si="81"/>
        <v>994158.93333333451</v>
      </c>
      <c r="K292" s="9"/>
      <c r="L292" s="11"/>
      <c r="M292" s="306"/>
      <c r="N292" s="97"/>
      <c r="O292" s="305"/>
      <c r="P292" s="304"/>
      <c r="Q292" s="307"/>
      <c r="S292" s="11"/>
      <c r="T292" s="306"/>
      <c r="U292" s="97"/>
      <c r="V292" s="305"/>
      <c r="W292" s="304"/>
      <c r="X292" s="307"/>
      <c r="Z292" s="11"/>
      <c r="AA292" s="306"/>
      <c r="AB292" s="97"/>
      <c r="AC292" s="305"/>
      <c r="AD292" s="304"/>
      <c r="AE292" s="307"/>
      <c r="AG292" s="11"/>
      <c r="AH292" s="306"/>
      <c r="AI292" s="97"/>
      <c r="AJ292" s="305"/>
      <c r="AK292" s="304"/>
      <c r="AL292" s="307"/>
      <c r="AN292" s="304">
        <f>'codeis $'!AB293</f>
        <v>444163119.5999999</v>
      </c>
      <c r="AO292" s="340">
        <f>'codeis $'!AH293</f>
        <v>4.3075389264736093E-2</v>
      </c>
      <c r="AP292" s="304">
        <f>'codeis $'!AE293</f>
        <v>52367.999999821186</v>
      </c>
      <c r="AQ292" s="304">
        <f>'codeis $'!AK293</f>
        <v>7441.8241331545214</v>
      </c>
      <c r="AR292" s="9"/>
      <c r="AS292" s="9"/>
      <c r="AT292" s="123">
        <v>1</v>
      </c>
      <c r="AU292" s="123" t="s">
        <v>32</v>
      </c>
      <c r="AV292" s="124">
        <v>7384375.3200000003</v>
      </c>
      <c r="AW292" s="125">
        <v>3.7499999999999999E-2</v>
      </c>
      <c r="AX292" s="123"/>
      <c r="AY292" s="301">
        <f t="shared" si="88"/>
        <v>758.66869726027392</v>
      </c>
      <c r="AZ292" s="140">
        <f t="shared" si="76"/>
        <v>224200.31659299304</v>
      </c>
      <c r="BA292" s="140">
        <f t="shared" si="82"/>
        <v>9.9750884269406015</v>
      </c>
      <c r="BC292" s="122"/>
      <c r="BD292" s="122"/>
      <c r="BE292" s="122"/>
      <c r="BF292" s="122"/>
      <c r="BH292" s="122"/>
      <c r="BI292" s="122"/>
      <c r="BJ292" s="122"/>
      <c r="BK292" s="122"/>
      <c r="BM292" s="122"/>
      <c r="BN292" s="122"/>
      <c r="BO292" s="122"/>
      <c r="BP292" s="122"/>
      <c r="BR292" s="122"/>
      <c r="BS292" s="122"/>
      <c r="BT292" s="122"/>
      <c r="BU292" s="122"/>
      <c r="BV292" s="439"/>
      <c r="BW292" s="120">
        <f t="shared" si="84"/>
        <v>457477494.9199999</v>
      </c>
      <c r="BX292" s="121">
        <f t="shared" si="90"/>
        <v>0.04</v>
      </c>
      <c r="BY292" s="121">
        <f t="shared" si="85"/>
        <v>4.2900161354913306E-2</v>
      </c>
      <c r="BZ292" s="120">
        <f t="shared" si="86"/>
        <v>53727.904808192572</v>
      </c>
      <c r="CA292" s="120">
        <f t="shared" si="87"/>
        <v>7451.799221581462</v>
      </c>
    </row>
    <row r="293" spans="2:79" x14ac:dyDescent="0.25">
      <c r="B293" s="123" t="str">
        <f t="shared" si="78"/>
        <v>10 2025</v>
      </c>
      <c r="C293" s="122">
        <f t="shared" si="79"/>
        <v>45945</v>
      </c>
      <c r="D293" s="122">
        <f t="shared" si="83"/>
        <v>45946</v>
      </c>
      <c r="E293" s="123">
        <f t="shared" si="80"/>
        <v>1</v>
      </c>
      <c r="F293" s="123" t="s">
        <v>7</v>
      </c>
      <c r="G293" s="124">
        <f t="shared" si="91"/>
        <v>5930000</v>
      </c>
      <c r="H293" s="125">
        <f t="shared" si="91"/>
        <v>3.6499999999999998E-2</v>
      </c>
      <c r="I293" s="416">
        <f t="shared" si="77"/>
        <v>601.23611111111109</v>
      </c>
      <c r="J293" s="124">
        <f t="shared" si="81"/>
        <v>994760.16944444564</v>
      </c>
      <c r="K293" s="9"/>
      <c r="L293" s="11"/>
      <c r="M293" s="306"/>
      <c r="N293" s="97"/>
      <c r="O293" s="305"/>
      <c r="P293" s="304"/>
      <c r="Q293" s="307"/>
      <c r="S293" s="11"/>
      <c r="T293" s="306"/>
      <c r="U293" s="97"/>
      <c r="V293" s="305"/>
      <c r="W293" s="304"/>
      <c r="X293" s="307"/>
      <c r="Z293" s="11"/>
      <c r="AA293" s="306"/>
      <c r="AB293" s="97"/>
      <c r="AC293" s="305"/>
      <c r="AD293" s="304"/>
      <c r="AE293" s="307"/>
      <c r="AG293" s="11"/>
      <c r="AH293" s="306"/>
      <c r="AI293" s="97"/>
      <c r="AJ293" s="305"/>
      <c r="AK293" s="304"/>
      <c r="AL293" s="307"/>
      <c r="AN293" s="304">
        <f>'codeis $'!AB294</f>
        <v>444215487.59999996</v>
      </c>
      <c r="AO293" s="340">
        <f>'codeis $'!AH294</f>
        <v>4.3075389264736093E-2</v>
      </c>
      <c r="AP293" s="304">
        <f>'codeis $'!AE294</f>
        <v>52368.000000059605</v>
      </c>
      <c r="AQ293" s="304">
        <f>'codeis $'!AK294</f>
        <v>7441.82413339294</v>
      </c>
      <c r="AR293" s="9"/>
      <c r="AS293" s="9"/>
      <c r="AT293" s="123">
        <v>1</v>
      </c>
      <c r="AU293" s="123" t="s">
        <v>32</v>
      </c>
      <c r="AV293" s="124">
        <v>7066826.1900000004</v>
      </c>
      <c r="AW293" s="125">
        <v>3.7499999999999999E-2</v>
      </c>
      <c r="AX293" s="123"/>
      <c r="AY293" s="301">
        <f t="shared" si="88"/>
        <v>726.04378664383557</v>
      </c>
      <c r="AZ293" s="140">
        <f t="shared" si="76"/>
        <v>224926.36037963687</v>
      </c>
      <c r="BA293" s="140">
        <f t="shared" si="82"/>
        <v>9.546131268835552</v>
      </c>
      <c r="BC293" s="122"/>
      <c r="BD293" s="122"/>
      <c r="BE293" s="122"/>
      <c r="BF293" s="122"/>
      <c r="BH293" s="122"/>
      <c r="BI293" s="122"/>
      <c r="BJ293" s="122"/>
      <c r="BK293" s="122"/>
      <c r="BM293" s="122"/>
      <c r="BN293" s="122"/>
      <c r="BO293" s="122"/>
      <c r="BP293" s="122"/>
      <c r="BR293" s="122"/>
      <c r="BS293" s="122"/>
      <c r="BT293" s="122"/>
      <c r="BU293" s="122"/>
      <c r="BV293" s="439"/>
      <c r="BW293" s="120">
        <f t="shared" si="84"/>
        <v>457212313.78999996</v>
      </c>
      <c r="BX293" s="121">
        <f t="shared" si="90"/>
        <v>0.04</v>
      </c>
      <c r="BY293" s="121">
        <f t="shared" si="85"/>
        <v>4.2903932016427213E-2</v>
      </c>
      <c r="BZ293" s="120">
        <f t="shared" si="86"/>
        <v>53695.279897814551</v>
      </c>
      <c r="CA293" s="120">
        <f t="shared" si="87"/>
        <v>7451.3702646617758</v>
      </c>
    </row>
    <row r="294" spans="2:79" x14ac:dyDescent="0.25">
      <c r="B294" s="123" t="str">
        <f t="shared" si="78"/>
        <v>10 2025</v>
      </c>
      <c r="C294" s="122">
        <f t="shared" si="79"/>
        <v>45946</v>
      </c>
      <c r="D294" s="122">
        <f t="shared" si="83"/>
        <v>45947</v>
      </c>
      <c r="E294" s="123">
        <f t="shared" si="80"/>
        <v>1</v>
      </c>
      <c r="F294" s="123" t="s">
        <v>7</v>
      </c>
      <c r="G294" s="124">
        <f t="shared" si="91"/>
        <v>5930000</v>
      </c>
      <c r="H294" s="125">
        <f t="shared" si="91"/>
        <v>3.6499999999999998E-2</v>
      </c>
      <c r="I294" s="416">
        <f t="shared" si="77"/>
        <v>601.23611111111109</v>
      </c>
      <c r="J294" s="124">
        <f t="shared" si="81"/>
        <v>995361.40555555676</v>
      </c>
      <c r="K294" s="9"/>
      <c r="L294" s="11"/>
      <c r="M294" s="306"/>
      <c r="N294" s="97"/>
      <c r="O294" s="305"/>
      <c r="P294" s="304"/>
      <c r="Q294" s="307"/>
      <c r="S294" s="11"/>
      <c r="T294" s="306"/>
      <c r="U294" s="97"/>
      <c r="V294" s="305"/>
      <c r="W294" s="304"/>
      <c r="X294" s="307"/>
      <c r="Z294" s="11"/>
      <c r="AA294" s="306"/>
      <c r="AB294" s="97"/>
      <c r="AC294" s="305"/>
      <c r="AD294" s="304"/>
      <c r="AE294" s="307"/>
      <c r="AG294" s="11"/>
      <c r="AH294" s="306"/>
      <c r="AI294" s="97"/>
      <c r="AJ294" s="305"/>
      <c r="AK294" s="304"/>
      <c r="AL294" s="307"/>
      <c r="AN294" s="304">
        <f>'codeis $'!AB295</f>
        <v>444267855.59999996</v>
      </c>
      <c r="AO294" s="340">
        <f>'codeis $'!AH295</f>
        <v>4.3075389264736093E-2</v>
      </c>
      <c r="AP294" s="304">
        <f>'codeis $'!AE295</f>
        <v>52368</v>
      </c>
      <c r="AQ294" s="304">
        <f>'codeis $'!AK295</f>
        <v>7441.8241333333353</v>
      </c>
      <c r="AR294" s="9"/>
      <c r="AS294" s="9"/>
      <c r="AT294" s="123">
        <v>1</v>
      </c>
      <c r="AU294" s="123" t="s">
        <v>32</v>
      </c>
      <c r="AV294" s="124">
        <v>7067552.2300000004</v>
      </c>
      <c r="AW294" s="125">
        <v>3.7499999999999999E-2</v>
      </c>
      <c r="AX294" s="123"/>
      <c r="AY294" s="301">
        <f t="shared" si="88"/>
        <v>726.11837979452059</v>
      </c>
      <c r="AZ294" s="140">
        <f t="shared" si="76"/>
        <v>225652.4787594314</v>
      </c>
      <c r="BA294" s="140">
        <f t="shared" si="82"/>
        <v>9.5471120306317516</v>
      </c>
      <c r="BC294" s="122"/>
      <c r="BD294" s="122"/>
      <c r="BE294" s="122"/>
      <c r="BF294" s="122"/>
      <c r="BH294" s="122"/>
      <c r="BI294" s="122"/>
      <c r="BJ294" s="122"/>
      <c r="BK294" s="122"/>
      <c r="BM294" s="122"/>
      <c r="BN294" s="122"/>
      <c r="BO294" s="122"/>
      <c r="BP294" s="122"/>
      <c r="BR294" s="122"/>
      <c r="BS294" s="122"/>
      <c r="BT294" s="122"/>
      <c r="BU294" s="122"/>
      <c r="BV294" s="439"/>
      <c r="BW294" s="120">
        <f t="shared" si="84"/>
        <v>457265407.82999998</v>
      </c>
      <c r="BX294" s="121">
        <f t="shared" si="90"/>
        <v>0.04</v>
      </c>
      <c r="BY294" s="121">
        <f t="shared" si="85"/>
        <v>4.2903943072156107E-2</v>
      </c>
      <c r="BZ294" s="120">
        <f t="shared" si="86"/>
        <v>53695.354490905629</v>
      </c>
      <c r="CA294" s="120">
        <f t="shared" si="87"/>
        <v>7451.3712453639673</v>
      </c>
    </row>
    <row r="295" spans="2:79" x14ac:dyDescent="0.25">
      <c r="B295" s="123" t="str">
        <f t="shared" si="78"/>
        <v>10 2025</v>
      </c>
      <c r="C295" s="122">
        <f t="shared" si="79"/>
        <v>45947</v>
      </c>
      <c r="D295" s="122">
        <f t="shared" si="83"/>
        <v>45948</v>
      </c>
      <c r="E295" s="123">
        <f t="shared" si="80"/>
        <v>1</v>
      </c>
      <c r="F295" s="123" t="s">
        <v>7</v>
      </c>
      <c r="G295" s="124">
        <f t="shared" si="91"/>
        <v>5930000</v>
      </c>
      <c r="H295" s="125">
        <f t="shared" si="91"/>
        <v>3.6499999999999998E-2</v>
      </c>
      <c r="I295" s="416">
        <f t="shared" si="77"/>
        <v>601.23611111111109</v>
      </c>
      <c r="J295" s="124">
        <f t="shared" si="81"/>
        <v>995962.64166666789</v>
      </c>
      <c r="K295" s="9"/>
      <c r="L295" s="11"/>
      <c r="M295" s="306"/>
      <c r="N295" s="97"/>
      <c r="O295" s="305"/>
      <c r="P295" s="304"/>
      <c r="Q295" s="307"/>
      <c r="S295" s="11"/>
      <c r="T295" s="306"/>
      <c r="U295" s="97"/>
      <c r="V295" s="305"/>
      <c r="W295" s="304"/>
      <c r="X295" s="307"/>
      <c r="Z295" s="11"/>
      <c r="AA295" s="306"/>
      <c r="AB295" s="97"/>
      <c r="AC295" s="305"/>
      <c r="AD295" s="304"/>
      <c r="AE295" s="307"/>
      <c r="AG295" s="11"/>
      <c r="AH295" s="306"/>
      <c r="AI295" s="97"/>
      <c r="AJ295" s="305"/>
      <c r="AK295" s="304"/>
      <c r="AL295" s="307"/>
      <c r="AN295" s="304">
        <f>'codeis $'!AB296</f>
        <v>444320659.99999994</v>
      </c>
      <c r="AO295" s="340">
        <f>'codeis $'!AH296</f>
        <v>4.3075389264736093E-2</v>
      </c>
      <c r="AP295" s="304">
        <f>'codeis $'!AE296</f>
        <v>52804.399999976158</v>
      </c>
      <c r="AQ295" s="304">
        <f>'codeis $'!AK296</f>
        <v>7878.2241333094935</v>
      </c>
      <c r="AR295" s="9"/>
      <c r="AS295" s="9"/>
      <c r="AT295" s="123">
        <v>1</v>
      </c>
      <c r="AU295" s="123" t="s">
        <v>32</v>
      </c>
      <c r="AV295" s="124">
        <v>7048266.21</v>
      </c>
      <c r="AW295" s="125">
        <v>3.7499999999999999E-2</v>
      </c>
      <c r="AX295" s="123"/>
      <c r="AY295" s="301">
        <f t="shared" si="88"/>
        <v>724.13693938356164</v>
      </c>
      <c r="AZ295" s="140">
        <f t="shared" si="76"/>
        <v>226376.61569881495</v>
      </c>
      <c r="BA295" s="140">
        <f t="shared" si="82"/>
        <v>9.5210597585617052</v>
      </c>
      <c r="BC295" s="122"/>
      <c r="BD295" s="122"/>
      <c r="BE295" s="122"/>
      <c r="BF295" s="122"/>
      <c r="BH295" s="122"/>
      <c r="BI295" s="122"/>
      <c r="BJ295" s="122"/>
      <c r="BK295" s="122"/>
      <c r="BM295" s="122"/>
      <c r="BN295" s="122"/>
      <c r="BO295" s="122"/>
      <c r="BP295" s="122"/>
      <c r="BR295" s="122"/>
      <c r="BS295" s="122"/>
      <c r="BT295" s="122"/>
      <c r="BU295" s="122"/>
      <c r="BV295" s="439"/>
      <c r="BW295" s="120">
        <f t="shared" si="84"/>
        <v>457298926.20999992</v>
      </c>
      <c r="BX295" s="121">
        <f t="shared" si="90"/>
        <v>0.04</v>
      </c>
      <c r="BY295" s="121">
        <f t="shared" si="85"/>
        <v>4.2904190773738173E-2</v>
      </c>
      <c r="BZ295" s="120">
        <f t="shared" si="86"/>
        <v>54129.773050470831</v>
      </c>
      <c r="CA295" s="120">
        <f t="shared" si="87"/>
        <v>7887.7451930680554</v>
      </c>
    </row>
    <row r="296" spans="2:79" x14ac:dyDescent="0.25">
      <c r="B296" s="123" t="str">
        <f t="shared" si="78"/>
        <v>10 2025</v>
      </c>
      <c r="C296" s="122">
        <f t="shared" si="79"/>
        <v>45948</v>
      </c>
      <c r="D296" s="122">
        <f t="shared" si="83"/>
        <v>45949</v>
      </c>
      <c r="E296" s="123">
        <f t="shared" si="80"/>
        <v>1</v>
      </c>
      <c r="F296" s="123" t="s">
        <v>7</v>
      </c>
      <c r="G296" s="124">
        <f t="shared" ref="G296:H311" si="92">G295</f>
        <v>5930000</v>
      </c>
      <c r="H296" s="125">
        <f t="shared" si="92"/>
        <v>3.6499999999999998E-2</v>
      </c>
      <c r="I296" s="416">
        <f t="shared" si="77"/>
        <v>601.23611111111109</v>
      </c>
      <c r="J296" s="124">
        <f t="shared" si="81"/>
        <v>996563.87777777901</v>
      </c>
      <c r="K296" s="9"/>
      <c r="L296" s="11"/>
      <c r="M296" s="306"/>
      <c r="N296" s="97"/>
      <c r="O296" s="305"/>
      <c r="P296" s="304"/>
      <c r="Q296" s="307"/>
      <c r="S296" s="11"/>
      <c r="T296" s="306"/>
      <c r="U296" s="97"/>
      <c r="V296" s="305"/>
      <c r="W296" s="304"/>
      <c r="X296" s="307"/>
      <c r="Z296" s="11"/>
      <c r="AA296" s="306"/>
      <c r="AB296" s="97"/>
      <c r="AC296" s="305"/>
      <c r="AD296" s="304"/>
      <c r="AE296" s="307"/>
      <c r="AG296" s="11"/>
      <c r="AH296" s="306"/>
      <c r="AI296" s="97"/>
      <c r="AJ296" s="305"/>
      <c r="AK296" s="304"/>
      <c r="AL296" s="307"/>
      <c r="AN296" s="304">
        <f>'codeis $'!AB297</f>
        <v>444320659.99999994</v>
      </c>
      <c r="AO296" s="340">
        <f>'codeis $'!AH297</f>
        <v>4.3075389264736093E-2</v>
      </c>
      <c r="AP296" s="304">
        <f>'codeis $'!AE297</f>
        <v>0</v>
      </c>
      <c r="AQ296" s="304">
        <f>'codeis $'!AK297</f>
        <v>-44926.175866666665</v>
      </c>
      <c r="AR296" s="9"/>
      <c r="AS296" s="9"/>
      <c r="AT296" s="123">
        <v>1</v>
      </c>
      <c r="AU296" s="123" t="s">
        <v>32</v>
      </c>
      <c r="AV296" s="124">
        <v>7048266.21</v>
      </c>
      <c r="AW296" s="125">
        <v>3.7499999999999999E-2</v>
      </c>
      <c r="AX296" s="123"/>
      <c r="AY296" s="301">
        <f t="shared" si="88"/>
        <v>724.13693938356164</v>
      </c>
      <c r="AZ296" s="140">
        <f t="shared" si="76"/>
        <v>227100.75263819849</v>
      </c>
      <c r="BA296" s="140">
        <f t="shared" si="82"/>
        <v>9.5210597585617052</v>
      </c>
      <c r="BC296" s="122"/>
      <c r="BD296" s="122"/>
      <c r="BE296" s="122"/>
      <c r="BF296" s="122"/>
      <c r="BH296" s="122"/>
      <c r="BI296" s="122"/>
      <c r="BJ296" s="122"/>
      <c r="BK296" s="122"/>
      <c r="BM296" s="122"/>
      <c r="BN296" s="122"/>
      <c r="BO296" s="122"/>
      <c r="BP296" s="122"/>
      <c r="BR296" s="122"/>
      <c r="BS296" s="122"/>
      <c r="BT296" s="122"/>
      <c r="BU296" s="122"/>
      <c r="BV296" s="439"/>
      <c r="BW296" s="120">
        <f t="shared" si="84"/>
        <v>457298926.20999992</v>
      </c>
      <c r="BX296" s="121">
        <f t="shared" si="90"/>
        <v>0.04</v>
      </c>
      <c r="BY296" s="121">
        <f t="shared" si="85"/>
        <v>4.2904190773738173E-2</v>
      </c>
      <c r="BZ296" s="120">
        <f t="shared" si="86"/>
        <v>1325.3730504946727</v>
      </c>
      <c r="CA296" s="120">
        <f t="shared" si="87"/>
        <v>-44916.654806908104</v>
      </c>
    </row>
    <row r="297" spans="2:79" x14ac:dyDescent="0.25">
      <c r="B297" s="123" t="str">
        <f t="shared" si="78"/>
        <v>10 2025</v>
      </c>
      <c r="C297" s="122">
        <f t="shared" si="79"/>
        <v>45949</v>
      </c>
      <c r="D297" s="122">
        <f t="shared" si="83"/>
        <v>45950</v>
      </c>
      <c r="E297" s="123">
        <f t="shared" si="80"/>
        <v>1</v>
      </c>
      <c r="F297" s="123" t="s">
        <v>7</v>
      </c>
      <c r="G297" s="124">
        <f t="shared" si="92"/>
        <v>5930000</v>
      </c>
      <c r="H297" s="125">
        <f t="shared" si="92"/>
        <v>3.6499999999999998E-2</v>
      </c>
      <c r="I297" s="416">
        <f t="shared" si="77"/>
        <v>601.23611111111109</v>
      </c>
      <c r="J297" s="124">
        <f t="shared" si="81"/>
        <v>997165.11388889013</v>
      </c>
      <c r="K297" s="9"/>
      <c r="L297" s="11"/>
      <c r="M297" s="306"/>
      <c r="N297" s="97"/>
      <c r="O297" s="305"/>
      <c r="P297" s="304"/>
      <c r="Q297" s="307"/>
      <c r="S297" s="11"/>
      <c r="T297" s="306"/>
      <c r="U297" s="97"/>
      <c r="V297" s="305"/>
      <c r="W297" s="304"/>
      <c r="X297" s="307"/>
      <c r="Z297" s="11"/>
      <c r="AA297" s="306"/>
      <c r="AB297" s="97"/>
      <c r="AC297" s="305"/>
      <c r="AD297" s="304"/>
      <c r="AE297" s="307"/>
      <c r="AG297" s="11"/>
      <c r="AH297" s="306"/>
      <c r="AI297" s="97"/>
      <c r="AJ297" s="305"/>
      <c r="AK297" s="304"/>
      <c r="AL297" s="307"/>
      <c r="AN297" s="304">
        <f>'codeis $'!AB298</f>
        <v>444320659.99999994</v>
      </c>
      <c r="AO297" s="340">
        <f>'codeis $'!AH298</f>
        <v>4.3075389264736093E-2</v>
      </c>
      <c r="AP297" s="304">
        <f>'codeis $'!AE298</f>
        <v>0</v>
      </c>
      <c r="AQ297" s="304">
        <f>'codeis $'!AK298</f>
        <v>-44926.175866666665</v>
      </c>
      <c r="AR297" s="9"/>
      <c r="AS297" s="9"/>
      <c r="AT297" s="123">
        <v>1</v>
      </c>
      <c r="AU297" s="123" t="s">
        <v>32</v>
      </c>
      <c r="AV297" s="124">
        <v>7048266.21</v>
      </c>
      <c r="AW297" s="125">
        <v>3.7499999999999999E-2</v>
      </c>
      <c r="AX297" s="123"/>
      <c r="AY297" s="301">
        <f t="shared" si="88"/>
        <v>724.13693938356164</v>
      </c>
      <c r="AZ297" s="140">
        <f t="shared" si="76"/>
        <v>227824.88957758204</v>
      </c>
      <c r="BA297" s="140">
        <f t="shared" si="82"/>
        <v>9.5210597585617052</v>
      </c>
      <c r="BC297" s="122"/>
      <c r="BD297" s="122"/>
      <c r="BE297" s="122"/>
      <c r="BF297" s="122"/>
      <c r="BH297" s="122"/>
      <c r="BI297" s="122"/>
      <c r="BJ297" s="122"/>
      <c r="BK297" s="122"/>
      <c r="BM297" s="122"/>
      <c r="BN297" s="122"/>
      <c r="BO297" s="122"/>
      <c r="BP297" s="122"/>
      <c r="BR297" s="122"/>
      <c r="BS297" s="122"/>
      <c r="BT297" s="122"/>
      <c r="BU297" s="122"/>
      <c r="BV297" s="439"/>
      <c r="BW297" s="120">
        <f t="shared" si="84"/>
        <v>457298926.20999992</v>
      </c>
      <c r="BX297" s="121">
        <f t="shared" si="90"/>
        <v>0.04</v>
      </c>
      <c r="BY297" s="121">
        <f t="shared" si="85"/>
        <v>4.2904190773738173E-2</v>
      </c>
      <c r="BZ297" s="120">
        <f t="shared" si="86"/>
        <v>1325.3730504946727</v>
      </c>
      <c r="CA297" s="120">
        <f t="shared" si="87"/>
        <v>-44916.654806908104</v>
      </c>
    </row>
    <row r="298" spans="2:79" x14ac:dyDescent="0.25">
      <c r="B298" s="123" t="str">
        <f t="shared" si="78"/>
        <v>10 2025</v>
      </c>
      <c r="C298" s="122">
        <f t="shared" si="79"/>
        <v>45950</v>
      </c>
      <c r="D298" s="122">
        <f t="shared" si="83"/>
        <v>45951</v>
      </c>
      <c r="E298" s="123">
        <f t="shared" si="80"/>
        <v>1</v>
      </c>
      <c r="F298" s="123" t="s">
        <v>7</v>
      </c>
      <c r="G298" s="126">
        <f>G297+110000</f>
        <v>6040000</v>
      </c>
      <c r="H298" s="125">
        <f t="shared" si="92"/>
        <v>3.6499999999999998E-2</v>
      </c>
      <c r="I298" s="416">
        <f t="shared" si="77"/>
        <v>612.38888888888891</v>
      </c>
      <c r="J298" s="124">
        <f t="shared" si="81"/>
        <v>997777.50277777901</v>
      </c>
      <c r="K298" s="9"/>
      <c r="L298" s="11"/>
      <c r="M298" s="306"/>
      <c r="N298" s="97"/>
      <c r="O298" s="305"/>
      <c r="P298" s="304"/>
      <c r="Q298" s="307"/>
      <c r="S298" s="11"/>
      <c r="T298" s="306"/>
      <c r="U298" s="97"/>
      <c r="V298" s="305"/>
      <c r="W298" s="304"/>
      <c r="X298" s="307"/>
      <c r="Z298" s="11"/>
      <c r="AA298" s="306"/>
      <c r="AB298" s="97"/>
      <c r="AC298" s="305"/>
      <c r="AD298" s="304"/>
      <c r="AE298" s="307"/>
      <c r="AG298" s="11"/>
      <c r="AH298" s="306"/>
      <c r="AI298" s="97"/>
      <c r="AJ298" s="305"/>
      <c r="AK298" s="304"/>
      <c r="AL298" s="307"/>
      <c r="AN298" s="304">
        <f>'codeis $'!AB299</f>
        <v>251371476.40000001</v>
      </c>
      <c r="AO298" s="340">
        <f>'codeis $'!AH299</f>
        <v>4.3075389264736093E-2</v>
      </c>
      <c r="AP298" s="304">
        <f>'codeis $'!AE299</f>
        <v>162777.20000010729</v>
      </c>
      <c r="AQ298" s="304">
        <f>'codeis $'!AK299</f>
        <v>117851.02413344063</v>
      </c>
      <c r="AR298" s="9"/>
      <c r="AS298" s="9"/>
      <c r="AT298" s="123">
        <v>1</v>
      </c>
      <c r="AU298" s="123" t="s">
        <v>32</v>
      </c>
      <c r="AV298" s="124">
        <v>200049973.25999999</v>
      </c>
      <c r="AW298" s="125">
        <v>3.7499999999999999E-2</v>
      </c>
      <c r="AX298" s="123"/>
      <c r="AY298" s="301">
        <f t="shared" si="88"/>
        <v>20553.079444520547</v>
      </c>
      <c r="AZ298" s="140">
        <f t="shared" si="76"/>
        <v>248377.9690221026</v>
      </c>
      <c r="BA298" s="140">
        <f t="shared" si="82"/>
        <v>270.23493343721566</v>
      </c>
      <c r="BC298" s="122"/>
      <c r="BD298" s="122"/>
      <c r="BE298" s="122"/>
      <c r="BF298" s="122"/>
      <c r="BH298" s="122"/>
      <c r="BI298" s="122"/>
      <c r="BJ298" s="122"/>
      <c r="BK298" s="122"/>
      <c r="BM298" s="122"/>
      <c r="BN298" s="122"/>
      <c r="BO298" s="122"/>
      <c r="BP298" s="122"/>
      <c r="BR298" s="122"/>
      <c r="BS298" s="122"/>
      <c r="BT298" s="122"/>
      <c r="BU298" s="122"/>
      <c r="BV298" s="439"/>
      <c r="BW298" s="120">
        <f t="shared" si="84"/>
        <v>457461449.65999997</v>
      </c>
      <c r="BX298" s="121">
        <f t="shared" si="90"/>
        <v>0.04</v>
      </c>
      <c r="BY298" s="121">
        <f t="shared" si="85"/>
        <v>4.055042934660083E-2</v>
      </c>
      <c r="BZ298" s="120">
        <f t="shared" si="86"/>
        <v>183942.66833351672</v>
      </c>
      <c r="CA298" s="120">
        <f t="shared" si="87"/>
        <v>118121.25906687784</v>
      </c>
    </row>
    <row r="299" spans="2:79" x14ac:dyDescent="0.25">
      <c r="B299" s="123" t="str">
        <f t="shared" si="78"/>
        <v>10 2025</v>
      </c>
      <c r="C299" s="122">
        <f t="shared" si="79"/>
        <v>45951</v>
      </c>
      <c r="D299" s="122">
        <f t="shared" si="83"/>
        <v>45952</v>
      </c>
      <c r="E299" s="123">
        <f t="shared" si="80"/>
        <v>1</v>
      </c>
      <c r="F299" s="123" t="s">
        <v>7</v>
      </c>
      <c r="G299" s="124">
        <f t="shared" si="92"/>
        <v>6040000</v>
      </c>
      <c r="H299" s="125">
        <f t="shared" si="92"/>
        <v>3.6499999999999998E-2</v>
      </c>
      <c r="I299" s="416">
        <f t="shared" si="77"/>
        <v>612.38888888888891</v>
      </c>
      <c r="J299" s="124">
        <f t="shared" si="81"/>
        <v>998389.89166666789</v>
      </c>
      <c r="K299" s="9"/>
      <c r="L299" s="11"/>
      <c r="M299" s="306"/>
      <c r="N299" s="97"/>
      <c r="O299" s="305"/>
      <c r="P299" s="304"/>
      <c r="Q299" s="307"/>
      <c r="S299" s="11"/>
      <c r="T299" s="306"/>
      <c r="U299" s="97"/>
      <c r="V299" s="305"/>
      <c r="W299" s="304"/>
      <c r="X299" s="307"/>
      <c r="Z299" s="11"/>
      <c r="AA299" s="306"/>
      <c r="AB299" s="97"/>
      <c r="AC299" s="305"/>
      <c r="AD299" s="304"/>
      <c r="AE299" s="307"/>
      <c r="AG299" s="11"/>
      <c r="AH299" s="306"/>
      <c r="AI299" s="97"/>
      <c r="AJ299" s="305"/>
      <c r="AK299" s="304"/>
      <c r="AL299" s="307"/>
      <c r="AN299" s="304">
        <f>'codeis $'!AB300</f>
        <v>251402079.60000002</v>
      </c>
      <c r="AO299" s="340">
        <f>'codeis $'!AH300</f>
        <v>4.3075389264736093E-2</v>
      </c>
      <c r="AP299" s="304">
        <f>'codeis $'!AE300</f>
        <v>30603.200000017881</v>
      </c>
      <c r="AQ299" s="304">
        <f>'codeis $'!AK300</f>
        <v>5184.2284300178799</v>
      </c>
      <c r="AR299" s="9"/>
      <c r="AS299" s="9"/>
      <c r="AT299" s="123">
        <v>1</v>
      </c>
      <c r="AU299" s="123" t="s">
        <v>32</v>
      </c>
      <c r="AV299" s="124">
        <v>200043160.02000001</v>
      </c>
      <c r="AW299" s="125">
        <v>3.7499999999999999E-2</v>
      </c>
      <c r="AX299" s="123"/>
      <c r="AY299" s="301">
        <f t="shared" si="88"/>
        <v>20552.379454109592</v>
      </c>
      <c r="AZ299" s="140">
        <f t="shared" si="76"/>
        <v>268930.34847621218</v>
      </c>
      <c r="BA299" s="140">
        <f t="shared" si="82"/>
        <v>270.2257298595905</v>
      </c>
      <c r="BC299" s="122"/>
      <c r="BD299" s="122"/>
      <c r="BE299" s="122"/>
      <c r="BF299" s="122"/>
      <c r="BH299" s="122"/>
      <c r="BI299" s="122"/>
      <c r="BJ299" s="122"/>
      <c r="BK299" s="122"/>
      <c r="BM299" s="122"/>
      <c r="BN299" s="122"/>
      <c r="BO299" s="122"/>
      <c r="BP299" s="122"/>
      <c r="BR299" s="122"/>
      <c r="BS299" s="122"/>
      <c r="BT299" s="122"/>
      <c r="BU299" s="122"/>
      <c r="BV299" s="439"/>
      <c r="BW299" s="120">
        <f t="shared" si="84"/>
        <v>457485239.62</v>
      </c>
      <c r="BX299" s="121">
        <f t="shared" si="90"/>
        <v>0.04</v>
      </c>
      <c r="BY299" s="121">
        <f t="shared" si="85"/>
        <v>4.0550643681735866E-2</v>
      </c>
      <c r="BZ299" s="120">
        <f t="shared" si="86"/>
        <v>51767.968343016364</v>
      </c>
      <c r="CA299" s="120">
        <f t="shared" si="87"/>
        <v>5454.4541598774704</v>
      </c>
    </row>
    <row r="300" spans="2:79" x14ac:dyDescent="0.25">
      <c r="B300" s="123" t="str">
        <f t="shared" si="78"/>
        <v>10 2025</v>
      </c>
      <c r="C300" s="122">
        <f t="shared" si="79"/>
        <v>45952</v>
      </c>
      <c r="D300" s="122">
        <f t="shared" si="83"/>
        <v>45953</v>
      </c>
      <c r="E300" s="123">
        <f t="shared" si="80"/>
        <v>1</v>
      </c>
      <c r="F300" s="123" t="s">
        <v>7</v>
      </c>
      <c r="G300" s="124">
        <f t="shared" si="92"/>
        <v>6040000</v>
      </c>
      <c r="H300" s="125">
        <f t="shared" si="92"/>
        <v>3.6499999999999998E-2</v>
      </c>
      <c r="I300" s="416">
        <f t="shared" si="77"/>
        <v>612.38888888888891</v>
      </c>
      <c r="J300" s="124">
        <f t="shared" si="81"/>
        <v>999002.28055555676</v>
      </c>
      <c r="K300" s="9"/>
      <c r="L300" s="11"/>
      <c r="M300" s="306"/>
      <c r="N300" s="97"/>
      <c r="O300" s="305"/>
      <c r="P300" s="304"/>
      <c r="Q300" s="307"/>
      <c r="S300" s="11"/>
      <c r="T300" s="306"/>
      <c r="U300" s="97"/>
      <c r="V300" s="305"/>
      <c r="W300" s="304"/>
      <c r="X300" s="307"/>
      <c r="Z300" s="11"/>
      <c r="AA300" s="306"/>
      <c r="AB300" s="97"/>
      <c r="AC300" s="305"/>
      <c r="AD300" s="304"/>
      <c r="AE300" s="307"/>
      <c r="AG300" s="11"/>
      <c r="AH300" s="306"/>
      <c r="AI300" s="97"/>
      <c r="AJ300" s="305"/>
      <c r="AK300" s="304"/>
      <c r="AL300" s="307"/>
      <c r="AN300" s="304">
        <f>'codeis $'!AB301</f>
        <v>251431942.40000004</v>
      </c>
      <c r="AO300" s="340">
        <f>'codeis $'!AH301</f>
        <v>4.3075389264736093E-2</v>
      </c>
      <c r="AP300" s="304">
        <f>'codeis $'!AE301</f>
        <v>29862.800000011921</v>
      </c>
      <c r="AQ300" s="304">
        <f>'codeis $'!AK301</f>
        <v>4443.8284300119194</v>
      </c>
      <c r="AR300" s="9"/>
      <c r="AS300" s="9"/>
      <c r="AT300" s="123">
        <v>1</v>
      </c>
      <c r="AU300" s="123" t="s">
        <v>32</v>
      </c>
      <c r="AV300" s="124">
        <v>200063712.40000001</v>
      </c>
      <c r="AW300" s="125">
        <v>3.7499999999999999E-2</v>
      </c>
      <c r="AX300" s="123"/>
      <c r="AY300" s="301">
        <f t="shared" si="88"/>
        <v>20554.490999999998</v>
      </c>
      <c r="AZ300" s="140">
        <f t="shared" si="76"/>
        <v>289484.83947621216</v>
      </c>
      <c r="BA300" s="140">
        <f t="shared" si="82"/>
        <v>270.25349277777786</v>
      </c>
      <c r="BC300" s="122"/>
      <c r="BD300" s="122"/>
      <c r="BE300" s="122"/>
      <c r="BF300" s="122"/>
      <c r="BH300" s="122"/>
      <c r="BI300" s="122"/>
      <c r="BJ300" s="122"/>
      <c r="BK300" s="122"/>
      <c r="BM300" s="122"/>
      <c r="BN300" s="122"/>
      <c r="BO300" s="122"/>
      <c r="BP300" s="122"/>
      <c r="BR300" s="122"/>
      <c r="BS300" s="122"/>
      <c r="BT300" s="122"/>
      <c r="BU300" s="122"/>
      <c r="BV300" s="439"/>
      <c r="BW300" s="120">
        <f t="shared" si="84"/>
        <v>457535654.80000007</v>
      </c>
      <c r="BX300" s="121">
        <f t="shared" si="90"/>
        <v>0.04</v>
      </c>
      <c r="BY300" s="121">
        <f t="shared" si="85"/>
        <v>4.0550671434729686E-2</v>
      </c>
      <c r="BZ300" s="120">
        <f t="shared" si="86"/>
        <v>51029.679888900806</v>
      </c>
      <c r="CA300" s="120">
        <f t="shared" si="87"/>
        <v>4714.0819227896973</v>
      </c>
    </row>
    <row r="301" spans="2:79" x14ac:dyDescent="0.25">
      <c r="B301" s="123" t="str">
        <f t="shared" si="78"/>
        <v>10 2025</v>
      </c>
      <c r="C301" s="122">
        <f t="shared" si="79"/>
        <v>45953</v>
      </c>
      <c r="D301" s="122">
        <f t="shared" si="83"/>
        <v>45954</v>
      </c>
      <c r="E301" s="123">
        <f t="shared" si="80"/>
        <v>1</v>
      </c>
      <c r="F301" s="123" t="s">
        <v>7</v>
      </c>
      <c r="G301" s="124">
        <f t="shared" si="92"/>
        <v>6040000</v>
      </c>
      <c r="H301" s="125">
        <f t="shared" si="92"/>
        <v>3.6499999999999998E-2</v>
      </c>
      <c r="I301" s="416">
        <f t="shared" si="77"/>
        <v>612.38888888888891</v>
      </c>
      <c r="J301" s="124">
        <f t="shared" si="81"/>
        <v>999614.66944444564</v>
      </c>
      <c r="K301" s="9"/>
      <c r="L301" s="11"/>
      <c r="M301" s="306"/>
      <c r="N301" s="97"/>
      <c r="O301" s="305"/>
      <c r="P301" s="304"/>
      <c r="Q301" s="307"/>
      <c r="S301" s="11"/>
      <c r="T301" s="306"/>
      <c r="U301" s="97"/>
      <c r="V301" s="305"/>
      <c r="W301" s="304"/>
      <c r="X301" s="307"/>
      <c r="Z301" s="11"/>
      <c r="AA301" s="306"/>
      <c r="AB301" s="97"/>
      <c r="AC301" s="305"/>
      <c r="AD301" s="304"/>
      <c r="AE301" s="307"/>
      <c r="AG301" s="11"/>
      <c r="AH301" s="306"/>
      <c r="AI301" s="97"/>
      <c r="AJ301" s="305"/>
      <c r="AK301" s="304"/>
      <c r="AL301" s="307"/>
      <c r="AN301" s="304">
        <f>'codeis $'!AB302</f>
        <v>251461805.20000005</v>
      </c>
      <c r="AO301" s="340">
        <f>'codeis $'!AH302</f>
        <v>4.3075389264736093E-2</v>
      </c>
      <c r="AP301" s="304">
        <f>'codeis $'!AE302</f>
        <v>29862.800000011921</v>
      </c>
      <c r="AQ301" s="304">
        <f>'codeis $'!AK302</f>
        <v>4443.8284300119194</v>
      </c>
      <c r="AR301" s="9"/>
      <c r="AS301" s="9"/>
      <c r="AT301" s="123">
        <v>1</v>
      </c>
      <c r="AU301" s="123" t="s">
        <v>32</v>
      </c>
      <c r="AV301" s="124">
        <v>200084266.88999999</v>
      </c>
      <c r="AW301" s="125">
        <v>3.7499999999999999E-2</v>
      </c>
      <c r="AX301" s="123"/>
      <c r="AY301" s="301">
        <f t="shared" si="88"/>
        <v>20556.602762671231</v>
      </c>
      <c r="AZ301" s="140">
        <f t="shared" si="76"/>
        <v>310041.44223888341</v>
      </c>
      <c r="BA301" s="140">
        <f t="shared" si="82"/>
        <v>270.28125854623431</v>
      </c>
      <c r="BC301" s="122"/>
      <c r="BD301" s="122"/>
      <c r="BE301" s="122"/>
      <c r="BF301" s="122"/>
      <c r="BH301" s="122"/>
      <c r="BI301" s="122"/>
      <c r="BJ301" s="122"/>
      <c r="BK301" s="122"/>
      <c r="BM301" s="122"/>
      <c r="BN301" s="122"/>
      <c r="BO301" s="122"/>
      <c r="BP301" s="122"/>
      <c r="BR301" s="122"/>
      <c r="BS301" s="122"/>
      <c r="BT301" s="122"/>
      <c r="BU301" s="122"/>
      <c r="BV301" s="439"/>
      <c r="BW301" s="120">
        <f t="shared" si="84"/>
        <v>457586072.09000003</v>
      </c>
      <c r="BX301" s="121">
        <f t="shared" si="90"/>
        <v>0.04</v>
      </c>
      <c r="BY301" s="121">
        <f t="shared" si="85"/>
        <v>4.0550699167540824E-2</v>
      </c>
      <c r="BZ301" s="120">
        <f t="shared" si="86"/>
        <v>51031.791651572043</v>
      </c>
      <c r="CA301" s="120">
        <f t="shared" si="87"/>
        <v>4714.1096885581537</v>
      </c>
    </row>
    <row r="302" spans="2:79" x14ac:dyDescent="0.25">
      <c r="B302" s="123" t="str">
        <f t="shared" si="78"/>
        <v>10 2025</v>
      </c>
      <c r="C302" s="122">
        <f t="shared" si="79"/>
        <v>45954</v>
      </c>
      <c r="D302" s="122">
        <f t="shared" si="83"/>
        <v>45955</v>
      </c>
      <c r="E302" s="123">
        <f t="shared" si="80"/>
        <v>1</v>
      </c>
      <c r="F302" s="123" t="s">
        <v>7</v>
      </c>
      <c r="G302" s="124">
        <f t="shared" si="92"/>
        <v>6040000</v>
      </c>
      <c r="H302" s="125">
        <f t="shared" si="92"/>
        <v>3.6499999999999998E-2</v>
      </c>
      <c r="I302" s="416">
        <f t="shared" si="77"/>
        <v>612.38888888888891</v>
      </c>
      <c r="J302" s="124">
        <f t="shared" si="81"/>
        <v>1000227.0583333345</v>
      </c>
      <c r="K302" s="9"/>
      <c r="L302" s="11"/>
      <c r="M302" s="306"/>
      <c r="N302" s="97"/>
      <c r="O302" s="305"/>
      <c r="P302" s="304"/>
      <c r="Q302" s="307"/>
      <c r="S302" s="11"/>
      <c r="T302" s="306"/>
      <c r="U302" s="97"/>
      <c r="V302" s="305"/>
      <c r="W302" s="304"/>
      <c r="X302" s="307"/>
      <c r="Z302" s="11"/>
      <c r="AA302" s="306"/>
      <c r="AB302" s="97"/>
      <c r="AC302" s="305"/>
      <c r="AD302" s="304"/>
      <c r="AE302" s="307"/>
      <c r="AG302" s="11"/>
      <c r="AH302" s="306"/>
      <c r="AI302" s="97"/>
      <c r="AJ302" s="305"/>
      <c r="AK302" s="304"/>
      <c r="AL302" s="307"/>
      <c r="AN302" s="304">
        <f>'codeis $'!AB303</f>
        <v>251491914.79999998</v>
      </c>
      <c r="AO302" s="340">
        <f>'codeis $'!AH303</f>
        <v>4.3075389264736093E-2</v>
      </c>
      <c r="AP302" s="304">
        <f>'codeis $'!AE303</f>
        <v>30109.599999934435</v>
      </c>
      <c r="AQ302" s="304">
        <f>'codeis $'!AK303</f>
        <v>4690.6284299344334</v>
      </c>
      <c r="AR302" s="9"/>
      <c r="AS302" s="9"/>
      <c r="AT302" s="123">
        <v>1</v>
      </c>
      <c r="AU302" s="123" t="s">
        <v>32</v>
      </c>
      <c r="AV302" s="124">
        <v>200104823.49000001</v>
      </c>
      <c r="AW302" s="125">
        <v>3.7499999999999999E-2</v>
      </c>
      <c r="AX302" s="123"/>
      <c r="AY302" s="301">
        <f t="shared" si="88"/>
        <v>20558.714742123288</v>
      </c>
      <c r="AZ302" s="140">
        <f t="shared" si="76"/>
        <v>330600.15698100667</v>
      </c>
      <c r="BA302" s="140">
        <f t="shared" si="82"/>
        <v>270.30902716495621</v>
      </c>
      <c r="BC302" s="122"/>
      <c r="BD302" s="122"/>
      <c r="BE302" s="122"/>
      <c r="BF302" s="122"/>
      <c r="BH302" s="122"/>
      <c r="BI302" s="122"/>
      <c r="BJ302" s="122"/>
      <c r="BK302" s="122"/>
      <c r="BM302" s="122"/>
      <c r="BN302" s="122"/>
      <c r="BO302" s="122"/>
      <c r="BP302" s="122"/>
      <c r="BR302" s="122"/>
      <c r="BS302" s="122"/>
      <c r="BT302" s="122"/>
      <c r="BU302" s="122"/>
      <c r="BV302" s="439"/>
      <c r="BW302" s="120">
        <f t="shared" si="84"/>
        <v>457636738.28999996</v>
      </c>
      <c r="BX302" s="121">
        <f t="shared" si="90"/>
        <v>0.04</v>
      </c>
      <c r="BY302" s="121">
        <f t="shared" si="85"/>
        <v>4.0550728241706711E-2</v>
      </c>
      <c r="BZ302" s="120">
        <f t="shared" si="86"/>
        <v>51280.703630946613</v>
      </c>
      <c r="CA302" s="120">
        <f t="shared" si="87"/>
        <v>4960.9374570993896</v>
      </c>
    </row>
    <row r="303" spans="2:79" x14ac:dyDescent="0.25">
      <c r="B303" s="123" t="str">
        <f t="shared" si="78"/>
        <v>10 2025</v>
      </c>
      <c r="C303" s="122">
        <f t="shared" si="79"/>
        <v>45955</v>
      </c>
      <c r="D303" s="122">
        <f t="shared" si="83"/>
        <v>45956</v>
      </c>
      <c r="E303" s="123">
        <f t="shared" si="80"/>
        <v>1</v>
      </c>
      <c r="F303" s="123" t="s">
        <v>7</v>
      </c>
      <c r="G303" s="124">
        <f t="shared" si="92"/>
        <v>6040000</v>
      </c>
      <c r="H303" s="125">
        <f t="shared" si="92"/>
        <v>3.6499999999999998E-2</v>
      </c>
      <c r="I303" s="416">
        <f t="shared" si="77"/>
        <v>612.38888888888891</v>
      </c>
      <c r="J303" s="124">
        <f t="shared" si="81"/>
        <v>1000839.4472222234</v>
      </c>
      <c r="K303" s="9"/>
      <c r="L303" s="11"/>
      <c r="M303" s="306"/>
      <c r="N303" s="97"/>
      <c r="O303" s="305"/>
      <c r="P303" s="304"/>
      <c r="Q303" s="307"/>
      <c r="S303" s="11"/>
      <c r="T303" s="306"/>
      <c r="U303" s="97"/>
      <c r="V303" s="305"/>
      <c r="W303" s="304"/>
      <c r="X303" s="307"/>
      <c r="Z303" s="11"/>
      <c r="AA303" s="306"/>
      <c r="AB303" s="97"/>
      <c r="AC303" s="305"/>
      <c r="AD303" s="304"/>
      <c r="AE303" s="307"/>
      <c r="AG303" s="11"/>
      <c r="AH303" s="306"/>
      <c r="AI303" s="97"/>
      <c r="AJ303" s="305"/>
      <c r="AK303" s="304"/>
      <c r="AL303" s="307"/>
      <c r="AN303" s="304">
        <f>'codeis $'!AB304</f>
        <v>251491914.79999998</v>
      </c>
      <c r="AO303" s="340">
        <f>'codeis $'!AH304</f>
        <v>4.3075389264736093E-2</v>
      </c>
      <c r="AP303" s="304">
        <f>'codeis $'!AE304</f>
        <v>0</v>
      </c>
      <c r="AQ303" s="304">
        <f>'codeis $'!AK304</f>
        <v>-25418.971570000002</v>
      </c>
      <c r="AR303" s="9"/>
      <c r="AS303" s="9"/>
      <c r="AT303" s="123">
        <v>1</v>
      </c>
      <c r="AU303" s="123" t="s">
        <v>32</v>
      </c>
      <c r="AV303" s="124">
        <v>200104823.49000001</v>
      </c>
      <c r="AW303" s="125">
        <v>3.7499999999999999E-2</v>
      </c>
      <c r="AX303" s="123"/>
      <c r="AY303" s="301">
        <f t="shared" si="88"/>
        <v>20558.714742123288</v>
      </c>
      <c r="AZ303" s="140">
        <f t="shared" si="76"/>
        <v>351158.87172312994</v>
      </c>
      <c r="BA303" s="140">
        <f t="shared" si="82"/>
        <v>270.30902716495621</v>
      </c>
      <c r="BC303" s="122"/>
      <c r="BD303" s="122"/>
      <c r="BE303" s="122"/>
      <c r="BF303" s="122"/>
      <c r="BH303" s="122"/>
      <c r="BI303" s="122"/>
      <c r="BJ303" s="122"/>
      <c r="BK303" s="122"/>
      <c r="BM303" s="122"/>
      <c r="BN303" s="122"/>
      <c r="BO303" s="122"/>
      <c r="BP303" s="122"/>
      <c r="BR303" s="122"/>
      <c r="BS303" s="122"/>
      <c r="BT303" s="122"/>
      <c r="BU303" s="122"/>
      <c r="BV303" s="439"/>
      <c r="BW303" s="120">
        <f t="shared" si="84"/>
        <v>457636738.28999996</v>
      </c>
      <c r="BX303" s="121">
        <f t="shared" si="90"/>
        <v>0.04</v>
      </c>
      <c r="BY303" s="121">
        <f t="shared" si="85"/>
        <v>4.0550728241706711E-2</v>
      </c>
      <c r="BZ303" s="120">
        <f t="shared" si="86"/>
        <v>21171.103631012178</v>
      </c>
      <c r="CA303" s="120">
        <f t="shared" si="87"/>
        <v>-25148.662542835045</v>
      </c>
    </row>
    <row r="304" spans="2:79" x14ac:dyDescent="0.25">
      <c r="B304" s="123" t="str">
        <f t="shared" si="78"/>
        <v>10 2025</v>
      </c>
      <c r="C304" s="122">
        <f t="shared" si="79"/>
        <v>45956</v>
      </c>
      <c r="D304" s="122">
        <f t="shared" si="83"/>
        <v>45957</v>
      </c>
      <c r="E304" s="123">
        <f t="shared" si="80"/>
        <v>1</v>
      </c>
      <c r="F304" s="123" t="s">
        <v>7</v>
      </c>
      <c r="G304" s="124">
        <f t="shared" si="92"/>
        <v>6040000</v>
      </c>
      <c r="H304" s="125">
        <f t="shared" si="92"/>
        <v>3.6499999999999998E-2</v>
      </c>
      <c r="I304" s="416">
        <f t="shared" si="77"/>
        <v>612.38888888888891</v>
      </c>
      <c r="J304" s="124">
        <f t="shared" si="81"/>
        <v>1001451.8361111123</v>
      </c>
      <c r="K304" s="9"/>
      <c r="L304" s="11"/>
      <c r="M304" s="306"/>
      <c r="N304" s="97"/>
      <c r="O304" s="305"/>
      <c r="P304" s="304"/>
      <c r="Q304" s="307"/>
      <c r="S304" s="11"/>
      <c r="T304" s="306"/>
      <c r="U304" s="97"/>
      <c r="V304" s="305"/>
      <c r="W304" s="304"/>
      <c r="X304" s="307"/>
      <c r="Z304" s="11"/>
      <c r="AA304" s="306"/>
      <c r="AB304" s="97"/>
      <c r="AC304" s="305"/>
      <c r="AD304" s="304"/>
      <c r="AE304" s="307"/>
      <c r="AG304" s="11"/>
      <c r="AH304" s="306"/>
      <c r="AI304" s="97"/>
      <c r="AJ304" s="305"/>
      <c r="AK304" s="304"/>
      <c r="AL304" s="307"/>
      <c r="AN304" s="304">
        <f>'codeis $'!AB305</f>
        <v>251491914.79999998</v>
      </c>
      <c r="AO304" s="340">
        <f>'codeis $'!AH305</f>
        <v>4.3075389264736093E-2</v>
      </c>
      <c r="AP304" s="304">
        <f>'codeis $'!AE305</f>
        <v>0</v>
      </c>
      <c r="AQ304" s="304">
        <f>'codeis $'!AK305</f>
        <v>-25418.971570000002</v>
      </c>
      <c r="AR304" s="9"/>
      <c r="AS304" s="9"/>
      <c r="AT304" s="123">
        <v>1</v>
      </c>
      <c r="AU304" s="123" t="s">
        <v>32</v>
      </c>
      <c r="AV304" s="124">
        <v>200104823.49000001</v>
      </c>
      <c r="AW304" s="125">
        <v>3.7499999999999999E-2</v>
      </c>
      <c r="AX304" s="123"/>
      <c r="AY304" s="301">
        <f t="shared" si="88"/>
        <v>20558.714742123288</v>
      </c>
      <c r="AZ304" s="140">
        <f t="shared" si="76"/>
        <v>371717.5864652532</v>
      </c>
      <c r="BA304" s="140">
        <f t="shared" si="82"/>
        <v>270.30902716495621</v>
      </c>
      <c r="BC304" s="122"/>
      <c r="BD304" s="122"/>
      <c r="BE304" s="122"/>
      <c r="BF304" s="122"/>
      <c r="BH304" s="122"/>
      <c r="BI304" s="122"/>
      <c r="BJ304" s="122"/>
      <c r="BK304" s="122"/>
      <c r="BM304" s="122"/>
      <c r="BN304" s="122"/>
      <c r="BO304" s="122"/>
      <c r="BP304" s="122"/>
      <c r="BR304" s="122"/>
      <c r="BS304" s="122"/>
      <c r="BT304" s="122"/>
      <c r="BU304" s="122"/>
      <c r="BV304" s="439"/>
      <c r="BW304" s="120">
        <f t="shared" si="84"/>
        <v>457636738.28999996</v>
      </c>
      <c r="BX304" s="121">
        <f t="shared" si="90"/>
        <v>0.04</v>
      </c>
      <c r="BY304" s="121">
        <f t="shared" si="85"/>
        <v>4.0550728241706711E-2</v>
      </c>
      <c r="BZ304" s="120">
        <f t="shared" si="86"/>
        <v>21171.103631012178</v>
      </c>
      <c r="CA304" s="120">
        <f t="shared" si="87"/>
        <v>-25148.662542835045</v>
      </c>
    </row>
    <row r="305" spans="2:79" x14ac:dyDescent="0.25">
      <c r="B305" s="123" t="str">
        <f t="shared" si="78"/>
        <v>10 2025</v>
      </c>
      <c r="C305" s="122">
        <f t="shared" si="79"/>
        <v>45957</v>
      </c>
      <c r="D305" s="122">
        <f t="shared" si="83"/>
        <v>45958</v>
      </c>
      <c r="E305" s="123">
        <f t="shared" si="80"/>
        <v>1</v>
      </c>
      <c r="F305" s="123" t="s">
        <v>7</v>
      </c>
      <c r="G305" s="126">
        <f>G304-1600000</f>
        <v>4440000</v>
      </c>
      <c r="H305" s="125">
        <f t="shared" si="92"/>
        <v>3.6499999999999998E-2</v>
      </c>
      <c r="I305" s="416">
        <f t="shared" si="77"/>
        <v>450.16666666666669</v>
      </c>
      <c r="J305" s="124">
        <f t="shared" si="81"/>
        <v>1001902.0027777789</v>
      </c>
      <c r="K305" s="9"/>
      <c r="L305" s="11"/>
      <c r="M305" s="306"/>
      <c r="N305" s="97"/>
      <c r="O305" s="305"/>
      <c r="P305" s="304"/>
      <c r="Q305" s="307"/>
      <c r="S305" s="11"/>
      <c r="T305" s="306"/>
      <c r="U305" s="97"/>
      <c r="V305" s="305"/>
      <c r="W305" s="304"/>
      <c r="X305" s="307"/>
      <c r="Z305" s="11"/>
      <c r="AA305" s="306"/>
      <c r="AB305" s="97"/>
      <c r="AC305" s="305"/>
      <c r="AD305" s="304"/>
      <c r="AE305" s="307"/>
      <c r="AG305" s="11"/>
      <c r="AH305" s="306"/>
      <c r="AI305" s="97"/>
      <c r="AJ305" s="305"/>
      <c r="AK305" s="304"/>
      <c r="AL305" s="307"/>
      <c r="AN305" s="304">
        <f>'codeis $'!AB306</f>
        <v>251582243.59999999</v>
      </c>
      <c r="AO305" s="340">
        <f>'codeis $'!AH306</f>
        <v>4.3075389264736093E-2</v>
      </c>
      <c r="AP305" s="304">
        <f>'codeis $'!AE306</f>
        <v>90328.800000011921</v>
      </c>
      <c r="AQ305" s="304">
        <f>'codeis $'!AK306</f>
        <v>64909.828430011919</v>
      </c>
      <c r="AR305" s="9"/>
      <c r="AS305" s="9"/>
      <c r="AT305" s="123">
        <v>1</v>
      </c>
      <c r="AU305" s="123" t="s">
        <v>32</v>
      </c>
      <c r="AV305" s="124">
        <v>200166499.63</v>
      </c>
      <c r="AW305" s="125">
        <v>3.7499999999999999E-2</v>
      </c>
      <c r="AX305" s="123"/>
      <c r="AY305" s="301">
        <f t="shared" si="88"/>
        <v>20565.051331849314</v>
      </c>
      <c r="AZ305" s="140">
        <f t="shared" si="76"/>
        <v>392282.63779710251</v>
      </c>
      <c r="BA305" s="140">
        <f t="shared" si="82"/>
        <v>270.39234158542604</v>
      </c>
      <c r="BC305" s="122"/>
      <c r="BD305" s="122"/>
      <c r="BE305" s="122"/>
      <c r="BF305" s="122"/>
      <c r="BH305" s="122"/>
      <c r="BI305" s="122"/>
      <c r="BJ305" s="122"/>
      <c r="BK305" s="122"/>
      <c r="BM305" s="122"/>
      <c r="BN305" s="122"/>
      <c r="BO305" s="122"/>
      <c r="BP305" s="122"/>
      <c r="BR305" s="122"/>
      <c r="BS305" s="122"/>
      <c r="BT305" s="122"/>
      <c r="BU305" s="122"/>
      <c r="BV305" s="439"/>
      <c r="BW305" s="120">
        <f t="shared" si="84"/>
        <v>456188743.23000002</v>
      </c>
      <c r="BX305" s="121">
        <f t="shared" si="90"/>
        <v>0.04</v>
      </c>
      <c r="BY305" s="121">
        <f t="shared" si="85"/>
        <v>4.0565022890011786E-2</v>
      </c>
      <c r="BZ305" s="120">
        <f t="shared" si="86"/>
        <v>111344.01799852791</v>
      </c>
      <c r="CA305" s="120">
        <f t="shared" si="87"/>
        <v>65180.220771597349</v>
      </c>
    </row>
    <row r="306" spans="2:79" x14ac:dyDescent="0.25">
      <c r="B306" s="123" t="str">
        <f t="shared" si="78"/>
        <v>10 2025</v>
      </c>
      <c r="C306" s="122">
        <f t="shared" si="79"/>
        <v>45958</v>
      </c>
      <c r="D306" s="122">
        <f t="shared" si="83"/>
        <v>45959</v>
      </c>
      <c r="E306" s="123">
        <f t="shared" si="80"/>
        <v>1</v>
      </c>
      <c r="F306" s="123" t="s">
        <v>7</v>
      </c>
      <c r="G306" s="124">
        <f t="shared" si="92"/>
        <v>4440000</v>
      </c>
      <c r="H306" s="125">
        <f t="shared" si="92"/>
        <v>3.6499999999999998E-2</v>
      </c>
      <c r="I306" s="416">
        <f t="shared" si="77"/>
        <v>450.16666666666669</v>
      </c>
      <c r="J306" s="124">
        <f t="shared" si="81"/>
        <v>1002352.1694444455</v>
      </c>
      <c r="K306" s="9"/>
      <c r="L306" s="11"/>
      <c r="M306" s="306"/>
      <c r="N306" s="97"/>
      <c r="O306" s="305"/>
      <c r="P306" s="304"/>
      <c r="Q306" s="307"/>
      <c r="S306" s="11"/>
      <c r="T306" s="306"/>
      <c r="U306" s="97"/>
      <c r="V306" s="305"/>
      <c r="W306" s="304"/>
      <c r="X306" s="307"/>
      <c r="Z306" s="11"/>
      <c r="AA306" s="306"/>
      <c r="AB306" s="97"/>
      <c r="AC306" s="305"/>
      <c r="AD306" s="304"/>
      <c r="AE306" s="307"/>
      <c r="AG306" s="11"/>
      <c r="AH306" s="306"/>
      <c r="AI306" s="97"/>
      <c r="AJ306" s="305"/>
      <c r="AK306" s="304"/>
      <c r="AL306" s="307"/>
      <c r="AN306" s="304">
        <f>'codeis $'!AB307</f>
        <v>251612600.00000003</v>
      </c>
      <c r="AO306" s="340">
        <f>'codeis $'!AH307</f>
        <v>4.3075389264736093E-2</v>
      </c>
      <c r="AP306" s="304">
        <f>'codeis $'!AE307</f>
        <v>30356.400000035763</v>
      </c>
      <c r="AQ306" s="304">
        <f>'codeis $'!AK307</f>
        <v>4937.4284300357613</v>
      </c>
      <c r="AR306" s="9"/>
      <c r="AS306" s="9"/>
      <c r="AT306" s="123">
        <v>1</v>
      </c>
      <c r="AU306" s="123" t="s">
        <v>32</v>
      </c>
      <c r="AV306" s="124">
        <v>200150310.18000001</v>
      </c>
      <c r="AW306" s="125">
        <v>3.7499999999999999E-2</v>
      </c>
      <c r="AX306" s="123"/>
      <c r="AY306" s="301">
        <f t="shared" si="88"/>
        <v>20563.388032191779</v>
      </c>
      <c r="AZ306" s="140">
        <f t="shared" si="76"/>
        <v>412846.02582929429</v>
      </c>
      <c r="BA306" s="140">
        <f t="shared" si="82"/>
        <v>270.37047227511357</v>
      </c>
      <c r="BC306" s="122"/>
      <c r="BD306" s="122"/>
      <c r="BE306" s="122"/>
      <c r="BF306" s="122"/>
      <c r="BH306" s="122"/>
      <c r="BI306" s="122"/>
      <c r="BJ306" s="122"/>
      <c r="BK306" s="122"/>
      <c r="BM306" s="122"/>
      <c r="BN306" s="122"/>
      <c r="BO306" s="122"/>
      <c r="BP306" s="122"/>
      <c r="BR306" s="122"/>
      <c r="BS306" s="122"/>
      <c r="BT306" s="122"/>
      <c r="BU306" s="122"/>
      <c r="BV306" s="439"/>
      <c r="BW306" s="120">
        <f t="shared" si="84"/>
        <v>456202910.18000007</v>
      </c>
      <c r="BX306" s="121">
        <f t="shared" si="90"/>
        <v>0.04</v>
      </c>
      <c r="BY306" s="121">
        <f t="shared" si="85"/>
        <v>4.0565298703071802E-2</v>
      </c>
      <c r="BZ306" s="120">
        <f t="shared" si="86"/>
        <v>51369.954698894209</v>
      </c>
      <c r="CA306" s="120">
        <f t="shared" si="87"/>
        <v>5207.7989023108748</v>
      </c>
    </row>
    <row r="307" spans="2:79" x14ac:dyDescent="0.25">
      <c r="B307" s="123" t="str">
        <f t="shared" si="78"/>
        <v>10 2025</v>
      </c>
      <c r="C307" s="122">
        <f t="shared" si="79"/>
        <v>45959</v>
      </c>
      <c r="D307" s="122">
        <f t="shared" si="83"/>
        <v>45960</v>
      </c>
      <c r="E307" s="123">
        <f t="shared" si="80"/>
        <v>1</v>
      </c>
      <c r="F307" s="123" t="s">
        <v>7</v>
      </c>
      <c r="G307" s="124">
        <f t="shared" si="92"/>
        <v>4440000</v>
      </c>
      <c r="H307" s="125">
        <f t="shared" si="92"/>
        <v>3.6499999999999998E-2</v>
      </c>
      <c r="I307" s="416">
        <f t="shared" si="77"/>
        <v>450.16666666666669</v>
      </c>
      <c r="J307" s="124">
        <f t="shared" si="81"/>
        <v>1002802.3361111121</v>
      </c>
      <c r="K307" s="9"/>
      <c r="L307" s="11"/>
      <c r="M307" s="306"/>
      <c r="N307" s="97"/>
      <c r="O307" s="305"/>
      <c r="P307" s="304"/>
      <c r="Q307" s="307"/>
      <c r="S307" s="11"/>
      <c r="T307" s="306"/>
      <c r="U307" s="97"/>
      <c r="V307" s="305"/>
      <c r="W307" s="304"/>
      <c r="X307" s="307"/>
      <c r="Z307" s="11"/>
      <c r="AA307" s="306"/>
      <c r="AB307" s="97"/>
      <c r="AC307" s="305"/>
      <c r="AD307" s="304"/>
      <c r="AE307" s="307"/>
      <c r="AG307" s="11"/>
      <c r="AH307" s="306"/>
      <c r="AI307" s="97"/>
      <c r="AJ307" s="305"/>
      <c r="AK307" s="304"/>
      <c r="AL307" s="307"/>
      <c r="AN307" s="304">
        <f>'codeis $'!AB308</f>
        <v>251642956.39999998</v>
      </c>
      <c r="AO307" s="340">
        <f>'codeis $'!AH308</f>
        <v>4.3075389264736093E-2</v>
      </c>
      <c r="AP307" s="304">
        <f>'codeis $'!AE308</f>
        <v>30356.399999946356</v>
      </c>
      <c r="AQ307" s="304">
        <f>'codeis $'!AK308</f>
        <v>4937.4284299463543</v>
      </c>
      <c r="AR307" s="9"/>
      <c r="AS307" s="9"/>
      <c r="AT307" s="123">
        <v>1</v>
      </c>
      <c r="AU307" s="123" t="s">
        <v>32</v>
      </c>
      <c r="AV307" s="124">
        <v>200157979.06999999</v>
      </c>
      <c r="AW307" s="125">
        <v>3.7499999999999999E-2</v>
      </c>
      <c r="AX307" s="123"/>
      <c r="AY307" s="301">
        <f t="shared" si="88"/>
        <v>20564.175931849313</v>
      </c>
      <c r="AZ307" s="140">
        <f t="shared" si="76"/>
        <v>433410.20176114363</v>
      </c>
      <c r="BA307" s="140">
        <f t="shared" si="82"/>
        <v>270.38083169653692</v>
      </c>
      <c r="BC307" s="122"/>
      <c r="BD307" s="122"/>
      <c r="BE307" s="122"/>
      <c r="BF307" s="122"/>
      <c r="BH307" s="122"/>
      <c r="BI307" s="122"/>
      <c r="BJ307" s="122"/>
      <c r="BK307" s="122"/>
      <c r="BM307" s="122"/>
      <c r="BN307" s="122"/>
      <c r="BO307" s="122"/>
      <c r="BP307" s="122"/>
      <c r="BR307" s="122"/>
      <c r="BS307" s="122"/>
      <c r="BT307" s="122"/>
      <c r="BU307" s="122"/>
      <c r="BV307" s="439"/>
      <c r="BW307" s="120">
        <f t="shared" si="84"/>
        <v>456240935.46999997</v>
      </c>
      <c r="BX307" s="121">
        <f t="shared" si="90"/>
        <v>0.04</v>
      </c>
      <c r="BY307" s="121">
        <f t="shared" si="85"/>
        <v>4.0565414190022797E-2</v>
      </c>
      <c r="BZ307" s="120">
        <f t="shared" si="86"/>
        <v>51370.742598462341</v>
      </c>
      <c r="CA307" s="120">
        <f t="shared" si="87"/>
        <v>5207.8092616428912</v>
      </c>
    </row>
    <row r="308" spans="2:79" x14ac:dyDescent="0.25">
      <c r="B308" s="148" t="str">
        <f t="shared" si="78"/>
        <v>10 2025</v>
      </c>
      <c r="C308" s="149">
        <f t="shared" si="79"/>
        <v>45960</v>
      </c>
      <c r="D308" s="149">
        <f t="shared" si="83"/>
        <v>45961</v>
      </c>
      <c r="E308" s="148">
        <f t="shared" si="80"/>
        <v>1</v>
      </c>
      <c r="F308" s="148" t="s">
        <v>7</v>
      </c>
      <c r="G308" s="150">
        <f t="shared" si="92"/>
        <v>4440000</v>
      </c>
      <c r="H308" s="151">
        <v>3.4000000000000002E-2</v>
      </c>
      <c r="I308" s="417">
        <f t="shared" si="77"/>
        <v>419.33333333333331</v>
      </c>
      <c r="J308" s="150">
        <f t="shared" si="81"/>
        <v>1003221.6694444455</v>
      </c>
      <c r="K308" s="9"/>
      <c r="L308" s="143"/>
      <c r="M308" s="420"/>
      <c r="N308" s="145"/>
      <c r="O308" s="420"/>
      <c r="P308" s="419"/>
      <c r="Q308" s="308"/>
      <c r="R308" s="17"/>
      <c r="S308" s="143"/>
      <c r="T308" s="420"/>
      <c r="U308" s="145"/>
      <c r="V308" s="420"/>
      <c r="W308" s="419"/>
      <c r="X308" s="308"/>
      <c r="Y308" s="17"/>
      <c r="Z308" s="143"/>
      <c r="AA308" s="420"/>
      <c r="AB308" s="145"/>
      <c r="AC308" s="420"/>
      <c r="AD308" s="419"/>
      <c r="AE308" s="308"/>
      <c r="AF308" s="17"/>
      <c r="AG308" s="143"/>
      <c r="AH308" s="420"/>
      <c r="AI308" s="145"/>
      <c r="AJ308" s="420"/>
      <c r="AK308" s="419"/>
      <c r="AL308" s="308"/>
      <c r="AM308" s="17"/>
      <c r="AN308" s="339">
        <f>'codeis $'!AB309</f>
        <v>251673559.59999999</v>
      </c>
      <c r="AO308" s="341">
        <f>'codeis $'!AH309</f>
        <v>4.3075389264736093E-2</v>
      </c>
      <c r="AP308" s="339">
        <f>'codeis $'!AE309</f>
        <v>30603.200000017881</v>
      </c>
      <c r="AQ308" s="339">
        <f>'codeis $'!AK309</f>
        <v>6925.2538800178772</v>
      </c>
      <c r="AR308" s="9"/>
      <c r="AS308" s="9"/>
      <c r="AT308" s="148">
        <v>1</v>
      </c>
      <c r="AU308" s="148" t="s">
        <v>32</v>
      </c>
      <c r="AV308" s="150">
        <v>199920919.74000001</v>
      </c>
      <c r="AW308" s="151">
        <v>3.5000000000000003E-2</v>
      </c>
      <c r="AX308" s="152"/>
      <c r="AY308" s="301">
        <f t="shared" si="88"/>
        <v>19170.499153150686</v>
      </c>
      <c r="AZ308" s="201">
        <f t="shared" si="76"/>
        <v>452580.70091429434</v>
      </c>
      <c r="BA308" s="201">
        <f t="shared" si="82"/>
        <v>289.07895548401575</v>
      </c>
      <c r="BC308" s="122"/>
      <c r="BD308" s="122"/>
      <c r="BE308" s="122"/>
      <c r="BF308" s="122"/>
      <c r="BH308" s="122"/>
      <c r="BI308" s="122"/>
      <c r="BJ308" s="122"/>
      <c r="BK308" s="122"/>
      <c r="BM308" s="122"/>
      <c r="BN308" s="122"/>
      <c r="BO308" s="122"/>
      <c r="BP308" s="122"/>
      <c r="BR308" s="122"/>
      <c r="BS308" s="122"/>
      <c r="BT308" s="122"/>
      <c r="BU308" s="122"/>
      <c r="BV308" s="439"/>
      <c r="BW308" s="120">
        <f t="shared" si="84"/>
        <v>456034479.34000003</v>
      </c>
      <c r="BX308" s="173">
        <v>3.7499999999999999E-2</v>
      </c>
      <c r="BY308" s="121">
        <f t="shared" si="85"/>
        <v>3.9446861045126867E-2</v>
      </c>
      <c r="BZ308" s="120">
        <f t="shared" si="86"/>
        <v>50193.032486501899</v>
      </c>
      <c r="CA308" s="120">
        <f t="shared" si="87"/>
        <v>7214.332835501893</v>
      </c>
    </row>
    <row r="309" spans="2:79" x14ac:dyDescent="0.25">
      <c r="B309" s="123" t="str">
        <f t="shared" si="78"/>
        <v>11 2025</v>
      </c>
      <c r="C309" s="122">
        <f t="shared" si="79"/>
        <v>45961</v>
      </c>
      <c r="D309" s="122">
        <f t="shared" si="83"/>
        <v>45962</v>
      </c>
      <c r="E309" s="123">
        <f t="shared" si="80"/>
        <v>1</v>
      </c>
      <c r="F309" s="123" t="s">
        <v>7</v>
      </c>
      <c r="G309" s="124">
        <f t="shared" si="92"/>
        <v>4440000</v>
      </c>
      <c r="H309" s="125">
        <f t="shared" si="92"/>
        <v>3.4000000000000002E-2</v>
      </c>
      <c r="I309" s="297">
        <f t="shared" si="77"/>
        <v>419.33333333333331</v>
      </c>
      <c r="J309" s="124">
        <f t="shared" si="81"/>
        <v>1003641.0027777789</v>
      </c>
      <c r="K309" s="9"/>
      <c r="L309" s="11"/>
      <c r="M309" s="306"/>
      <c r="N309" s="97"/>
      <c r="O309" s="305"/>
      <c r="P309" s="304"/>
      <c r="Q309" s="307"/>
      <c r="S309" s="11"/>
      <c r="T309" s="306"/>
      <c r="U309" s="97"/>
      <c r="V309" s="305"/>
      <c r="W309" s="304"/>
      <c r="X309" s="307"/>
      <c r="Z309" s="11"/>
      <c r="AA309" s="306"/>
      <c r="AB309" s="97"/>
      <c r="AC309" s="305"/>
      <c r="AD309" s="304"/>
      <c r="AE309" s="307"/>
      <c r="AG309" s="11"/>
      <c r="AH309" s="306"/>
      <c r="AI309" s="97"/>
      <c r="AJ309" s="305"/>
      <c r="AK309" s="304"/>
      <c r="AL309" s="307"/>
      <c r="AN309" s="304">
        <f>'codeis $'!AB310</f>
        <v>251704409.60000002</v>
      </c>
      <c r="AO309" s="340">
        <f>'codeis $'!AH310</f>
        <v>4.3075389264736093E-2</v>
      </c>
      <c r="AP309" s="304">
        <f>'codeis $'!AE310</f>
        <v>30850.000000029802</v>
      </c>
      <c r="AQ309" s="304">
        <f>'codeis $'!AK310</f>
        <v>7172.0538800297982</v>
      </c>
      <c r="AR309" s="9"/>
      <c r="AS309" s="9"/>
      <c r="AT309" s="123">
        <v>1</v>
      </c>
      <c r="AU309" s="123" t="s">
        <v>32</v>
      </c>
      <c r="AV309" s="124">
        <v>199634038.44999999</v>
      </c>
      <c r="AW309" s="125">
        <v>3.5000000000000003E-2</v>
      </c>
      <c r="AX309" s="123"/>
      <c r="AY309" s="425">
        <f t="shared" si="88"/>
        <v>19142.989988356167</v>
      </c>
      <c r="AZ309" s="140">
        <f t="shared" ref="AZ309:AZ369" si="93">AZ308+AY309</f>
        <v>471723.69090265053</v>
      </c>
      <c r="BA309" s="140">
        <f t="shared" si="82"/>
        <v>288.66413474505316</v>
      </c>
      <c r="BC309" s="122"/>
      <c r="BD309" s="122"/>
      <c r="BE309" s="122"/>
      <c r="BF309" s="122"/>
      <c r="BH309" s="122"/>
      <c r="BI309" s="122"/>
      <c r="BJ309" s="122"/>
      <c r="BK309" s="122"/>
      <c r="BM309" s="122"/>
      <c r="BN309" s="122"/>
      <c r="BO309" s="122"/>
      <c r="BP309" s="122"/>
      <c r="BR309" s="122"/>
      <c r="BS309" s="122"/>
      <c r="BT309" s="122"/>
      <c r="BU309" s="122"/>
      <c r="BV309" s="439"/>
      <c r="BW309" s="120">
        <f t="shared" si="84"/>
        <v>455778448.05000001</v>
      </c>
      <c r="BX309" s="121">
        <f t="shared" si="90"/>
        <v>3.7499999999999999E-2</v>
      </c>
      <c r="BY309" s="121">
        <f t="shared" si="85"/>
        <v>3.9449905641321774E-2</v>
      </c>
      <c r="BZ309" s="120">
        <f t="shared" si="86"/>
        <v>50412.323321719305</v>
      </c>
      <c r="CA309" s="120">
        <f t="shared" si="87"/>
        <v>7460.7180147748513</v>
      </c>
    </row>
    <row r="310" spans="2:79" x14ac:dyDescent="0.25">
      <c r="B310" s="123" t="str">
        <f t="shared" si="78"/>
        <v>11 2025</v>
      </c>
      <c r="C310" s="122">
        <f t="shared" si="79"/>
        <v>45962</v>
      </c>
      <c r="D310" s="122">
        <f t="shared" si="83"/>
        <v>45963</v>
      </c>
      <c r="E310" s="123">
        <f t="shared" si="80"/>
        <v>1</v>
      </c>
      <c r="F310" s="123" t="s">
        <v>7</v>
      </c>
      <c r="G310" s="124">
        <f t="shared" si="92"/>
        <v>4440000</v>
      </c>
      <c r="H310" s="125">
        <f t="shared" si="92"/>
        <v>3.4000000000000002E-2</v>
      </c>
      <c r="I310" s="297">
        <f t="shared" si="77"/>
        <v>419.33333333333331</v>
      </c>
      <c r="J310" s="124">
        <f t="shared" si="81"/>
        <v>1004060.3361111123</v>
      </c>
      <c r="K310" s="9"/>
      <c r="L310" s="11"/>
      <c r="M310" s="306"/>
      <c r="N310" s="97"/>
      <c r="O310" s="305"/>
      <c r="P310" s="304"/>
      <c r="Q310" s="307"/>
      <c r="S310" s="11"/>
      <c r="T310" s="306"/>
      <c r="U310" s="97"/>
      <c r="V310" s="305"/>
      <c r="W310" s="304"/>
      <c r="X310" s="307"/>
      <c r="Z310" s="11"/>
      <c r="AA310" s="306"/>
      <c r="AB310" s="97"/>
      <c r="AC310" s="305"/>
      <c r="AD310" s="304"/>
      <c r="AE310" s="307"/>
      <c r="AG310" s="11"/>
      <c r="AH310" s="306"/>
      <c r="AI310" s="97"/>
      <c r="AJ310" s="305"/>
      <c r="AK310" s="304"/>
      <c r="AL310" s="307"/>
      <c r="AN310" s="304">
        <f>'codeis $'!AB311</f>
        <v>251704409.60000002</v>
      </c>
      <c r="AO310" s="340">
        <f>'codeis $'!AH311</f>
        <v>4.1072381071910628E-2</v>
      </c>
      <c r="AP310" s="304">
        <f>'codeis $'!AE311</f>
        <v>0</v>
      </c>
      <c r="AQ310" s="304">
        <f>'codeis $'!AK311</f>
        <v>-23677.946120000004</v>
      </c>
      <c r="AR310" s="9"/>
      <c r="AS310" s="9"/>
      <c r="AT310" s="123">
        <v>1</v>
      </c>
      <c r="AU310" s="123" t="s">
        <v>32</v>
      </c>
      <c r="AV310" s="124">
        <v>199634038.44999999</v>
      </c>
      <c r="AW310" s="139">
        <v>3.5000000000000003E-2</v>
      </c>
      <c r="AX310" s="123"/>
      <c r="AY310" s="425">
        <f t="shared" si="88"/>
        <v>19142.989988356167</v>
      </c>
      <c r="AZ310" s="140">
        <f t="shared" si="93"/>
        <v>490866.68089100672</v>
      </c>
      <c r="BA310" s="140">
        <f t="shared" si="82"/>
        <v>288.66413474505316</v>
      </c>
      <c r="BC310" s="122"/>
      <c r="BD310" s="122"/>
      <c r="BE310" s="122"/>
      <c r="BF310" s="122"/>
      <c r="BH310" s="122"/>
      <c r="BI310" s="122"/>
      <c r="BJ310" s="122"/>
      <c r="BK310" s="122"/>
      <c r="BM310" s="122"/>
      <c r="BN310" s="122"/>
      <c r="BO310" s="122"/>
      <c r="BP310" s="122"/>
      <c r="BR310" s="122"/>
      <c r="BS310" s="122"/>
      <c r="BT310" s="122"/>
      <c r="BU310" s="122"/>
      <c r="BV310" s="439"/>
      <c r="BW310" s="120">
        <f t="shared" si="84"/>
        <v>455778448.05000001</v>
      </c>
      <c r="BX310" s="121">
        <f t="shared" si="90"/>
        <v>3.7499999999999999E-2</v>
      </c>
      <c r="BY310" s="121">
        <f t="shared" si="85"/>
        <v>3.8343741019549689E-2</v>
      </c>
      <c r="BZ310" s="120">
        <f t="shared" si="86"/>
        <v>19562.323321689499</v>
      </c>
      <c r="CA310" s="120">
        <f t="shared" si="87"/>
        <v>-23389.281985254951</v>
      </c>
    </row>
    <row r="311" spans="2:79" x14ac:dyDescent="0.25">
      <c r="B311" s="123" t="str">
        <f t="shared" si="78"/>
        <v>11 2025</v>
      </c>
      <c r="C311" s="122">
        <f t="shared" si="79"/>
        <v>45963</v>
      </c>
      <c r="D311" s="122">
        <f t="shared" si="83"/>
        <v>45964</v>
      </c>
      <c r="E311" s="123">
        <f t="shared" si="80"/>
        <v>1</v>
      </c>
      <c r="F311" s="123" t="s">
        <v>7</v>
      </c>
      <c r="G311" s="124">
        <f t="shared" si="92"/>
        <v>4440000</v>
      </c>
      <c r="H311" s="125">
        <f t="shared" si="92"/>
        <v>3.4000000000000002E-2</v>
      </c>
      <c r="I311" s="297">
        <f t="shared" si="77"/>
        <v>419.33333333333331</v>
      </c>
      <c r="J311" s="124">
        <f t="shared" si="81"/>
        <v>1004479.6694444456</v>
      </c>
      <c r="K311" s="9"/>
      <c r="L311" s="11"/>
      <c r="M311" s="306"/>
      <c r="N311" s="97"/>
      <c r="O311" s="305"/>
      <c r="P311" s="304"/>
      <c r="Q311" s="307"/>
      <c r="S311" s="11"/>
      <c r="T311" s="306"/>
      <c r="U311" s="97"/>
      <c r="V311" s="305"/>
      <c r="W311" s="304"/>
      <c r="X311" s="307"/>
      <c r="Z311" s="11"/>
      <c r="AA311" s="306"/>
      <c r="AB311" s="97"/>
      <c r="AC311" s="305"/>
      <c r="AD311" s="304"/>
      <c r="AE311" s="307"/>
      <c r="AG311" s="11"/>
      <c r="AH311" s="306"/>
      <c r="AI311" s="97"/>
      <c r="AJ311" s="305"/>
      <c r="AK311" s="304"/>
      <c r="AL311" s="307"/>
      <c r="AN311" s="304">
        <f>'codeis $'!AB312</f>
        <v>251704409.60000002</v>
      </c>
      <c r="AO311" s="340">
        <f>'codeis $'!AH312</f>
        <v>4.1072381071910628E-2</v>
      </c>
      <c r="AP311" s="304">
        <f>'codeis $'!AE312</f>
        <v>0</v>
      </c>
      <c r="AQ311" s="304">
        <f>'codeis $'!AK312</f>
        <v>-23677.946120000004</v>
      </c>
      <c r="AR311" s="9"/>
      <c r="AS311" s="9"/>
      <c r="AT311" s="123">
        <v>1</v>
      </c>
      <c r="AU311" s="123" t="s">
        <v>32</v>
      </c>
      <c r="AV311" s="124">
        <v>199634038.44999999</v>
      </c>
      <c r="AW311" s="139">
        <v>3.5000000000000003E-2</v>
      </c>
      <c r="AX311" s="123"/>
      <c r="AY311" s="425">
        <f t="shared" si="88"/>
        <v>19142.989988356167</v>
      </c>
      <c r="AZ311" s="140">
        <f t="shared" si="93"/>
        <v>510009.67087936291</v>
      </c>
      <c r="BA311" s="140">
        <f t="shared" si="82"/>
        <v>288.66413474505316</v>
      </c>
      <c r="BC311" s="122"/>
      <c r="BD311" s="122"/>
      <c r="BE311" s="122"/>
      <c r="BF311" s="122"/>
      <c r="BH311" s="122"/>
      <c r="BI311" s="122"/>
      <c r="BJ311" s="122"/>
      <c r="BK311" s="122"/>
      <c r="BM311" s="122"/>
      <c r="BN311" s="122"/>
      <c r="BO311" s="122"/>
      <c r="BP311" s="122"/>
      <c r="BR311" s="122"/>
      <c r="BS311" s="122"/>
      <c r="BT311" s="122"/>
      <c r="BU311" s="122"/>
      <c r="BV311" s="439"/>
      <c r="BW311" s="120">
        <f t="shared" si="84"/>
        <v>455778448.05000001</v>
      </c>
      <c r="BX311" s="121">
        <f t="shared" si="90"/>
        <v>3.7499999999999999E-2</v>
      </c>
      <c r="BY311" s="121">
        <f t="shared" si="85"/>
        <v>3.8343741019549689E-2</v>
      </c>
      <c r="BZ311" s="120">
        <f t="shared" si="86"/>
        <v>19562.323321689499</v>
      </c>
      <c r="CA311" s="120">
        <f t="shared" si="87"/>
        <v>-23389.281985254951</v>
      </c>
    </row>
    <row r="312" spans="2:79" x14ac:dyDescent="0.25">
      <c r="B312" s="123" t="str">
        <f t="shared" si="78"/>
        <v>11 2025</v>
      </c>
      <c r="C312" s="122">
        <f t="shared" si="79"/>
        <v>45964</v>
      </c>
      <c r="D312" s="122">
        <f t="shared" si="83"/>
        <v>45965</v>
      </c>
      <c r="E312" s="123">
        <f t="shared" si="80"/>
        <v>1</v>
      </c>
      <c r="F312" s="123" t="s">
        <v>7</v>
      </c>
      <c r="G312" s="124">
        <f t="shared" ref="G312:H327" si="94">G311</f>
        <v>4440000</v>
      </c>
      <c r="H312" s="125">
        <f t="shared" si="94"/>
        <v>3.4000000000000002E-2</v>
      </c>
      <c r="I312" s="297">
        <f t="shared" si="77"/>
        <v>419.33333333333331</v>
      </c>
      <c r="J312" s="124">
        <f t="shared" si="81"/>
        <v>1004899.002777779</v>
      </c>
      <c r="K312" s="9"/>
      <c r="L312" s="11"/>
      <c r="M312" s="306"/>
      <c r="N312" s="97"/>
      <c r="O312" s="305"/>
      <c r="P312" s="304"/>
      <c r="Q312" s="307"/>
      <c r="S312" s="11"/>
      <c r="T312" s="306"/>
      <c r="U312" s="97"/>
      <c r="V312" s="305"/>
      <c r="W312" s="304"/>
      <c r="X312" s="307"/>
      <c r="Z312" s="11"/>
      <c r="AA312" s="306"/>
      <c r="AB312" s="97"/>
      <c r="AC312" s="305"/>
      <c r="AD312" s="304"/>
      <c r="AE312" s="307"/>
      <c r="AG312" s="11"/>
      <c r="AH312" s="306"/>
      <c r="AI312" s="97"/>
      <c r="AJ312" s="305"/>
      <c r="AK312" s="304"/>
      <c r="AL312" s="307"/>
      <c r="AN312" s="304">
        <f>'codeis $'!AB313</f>
        <v>251795972.40000001</v>
      </c>
      <c r="AO312" s="340">
        <f>'codeis $'!AH313</f>
        <v>4.1072381071910628E-2</v>
      </c>
      <c r="AP312" s="304">
        <f>'codeis $'!AE313</f>
        <v>91562.799999982119</v>
      </c>
      <c r="AQ312" s="304">
        <f>'codeis $'!AK313</f>
        <v>67884.853879982111</v>
      </c>
      <c r="AR312" s="9"/>
      <c r="AS312" s="9"/>
      <c r="AT312" s="123">
        <v>1</v>
      </c>
      <c r="AU312" s="123" t="s">
        <v>32</v>
      </c>
      <c r="AV312" s="124">
        <v>199691359.55000001</v>
      </c>
      <c r="AW312" s="139">
        <v>3.5000000000000003E-2</v>
      </c>
      <c r="AX312" s="123"/>
      <c r="AY312" s="425">
        <f t="shared" si="88"/>
        <v>19148.486532191786</v>
      </c>
      <c r="AZ312" s="140">
        <f t="shared" si="93"/>
        <v>529158.15741155471</v>
      </c>
      <c r="BA312" s="140">
        <f t="shared" si="82"/>
        <v>288.7470191362263</v>
      </c>
      <c r="BC312" s="122"/>
      <c r="BD312" s="122"/>
      <c r="BE312" s="122"/>
      <c r="BF312" s="122"/>
      <c r="BH312" s="122"/>
      <c r="BI312" s="122"/>
      <c r="BJ312" s="122"/>
      <c r="BK312" s="122"/>
      <c r="BM312" s="122"/>
      <c r="BN312" s="122"/>
      <c r="BO312" s="122"/>
      <c r="BP312" s="122"/>
      <c r="BR312" s="122"/>
      <c r="BS312" s="122"/>
      <c r="BT312" s="122"/>
      <c r="BU312" s="122"/>
      <c r="BV312" s="439"/>
      <c r="BW312" s="120">
        <f t="shared" si="84"/>
        <v>455927331.95000005</v>
      </c>
      <c r="BX312" s="121">
        <f t="shared" si="90"/>
        <v>3.7499999999999999E-2</v>
      </c>
      <c r="BY312" s="121">
        <f t="shared" si="85"/>
        <v>3.8343868616659914E-2</v>
      </c>
      <c r="BZ312" s="120">
        <f t="shared" si="86"/>
        <v>111130.61986550724</v>
      </c>
      <c r="CA312" s="120">
        <f t="shared" si="87"/>
        <v>68173.600899118333</v>
      </c>
    </row>
    <row r="313" spans="2:79" x14ac:dyDescent="0.25">
      <c r="B313" s="123" t="str">
        <f t="shared" si="78"/>
        <v>11 2025</v>
      </c>
      <c r="C313" s="122">
        <f t="shared" si="79"/>
        <v>45965</v>
      </c>
      <c r="D313" s="122">
        <f t="shared" si="83"/>
        <v>45966</v>
      </c>
      <c r="E313" s="123">
        <f t="shared" si="80"/>
        <v>1</v>
      </c>
      <c r="F313" s="123" t="s">
        <v>7</v>
      </c>
      <c r="G313" s="136">
        <f>G312+140000</f>
        <v>4580000</v>
      </c>
      <c r="H313" s="125">
        <f t="shared" si="94"/>
        <v>3.4000000000000002E-2</v>
      </c>
      <c r="I313" s="297">
        <f t="shared" si="77"/>
        <v>432.55555555555554</v>
      </c>
      <c r="J313" s="124">
        <f t="shared" si="81"/>
        <v>1005331.5583333345</v>
      </c>
      <c r="K313" s="9"/>
      <c r="L313" s="11" t="s">
        <v>192</v>
      </c>
      <c r="M313" s="306">
        <v>5000000</v>
      </c>
      <c r="N313" s="97">
        <v>3.9899999999999998E-2</v>
      </c>
      <c r="O313" s="421">
        <f>M313*N313*$E313/360</f>
        <v>554.16666666666663</v>
      </c>
      <c r="P313" s="304">
        <f>O313+O312</f>
        <v>554.16666666666663</v>
      </c>
      <c r="Q313" s="307">
        <f>O313-M313*$H313*$E313/360</f>
        <v>81.9444444444444</v>
      </c>
      <c r="S313" s="11" t="s">
        <v>192</v>
      </c>
      <c r="T313" s="306">
        <v>5000000</v>
      </c>
      <c r="U313" s="97">
        <v>3.9199999999999999E-2</v>
      </c>
      <c r="V313" s="421">
        <f>T313*U313*$E313/360</f>
        <v>544.44444444444446</v>
      </c>
      <c r="W313" s="304">
        <f>V313+V312</f>
        <v>544.44444444444446</v>
      </c>
      <c r="X313" s="307">
        <f>V313-T313*$H313*$E313/360</f>
        <v>72.222222222222229</v>
      </c>
      <c r="Z313" s="11" t="s">
        <v>192</v>
      </c>
      <c r="AA313" s="306">
        <v>10000000</v>
      </c>
      <c r="AB313" s="97">
        <v>3.7499999999999999E-2</v>
      </c>
      <c r="AC313" s="421">
        <f>AA313*AB313*$E313/360</f>
        <v>1041.6666666666667</v>
      </c>
      <c r="AD313" s="304">
        <f>AC313+AC312</f>
        <v>1041.6666666666667</v>
      </c>
      <c r="AE313" s="307">
        <f>AC313-AA313*$H313*$E313/360</f>
        <v>97.222222222222285</v>
      </c>
      <c r="AG313" s="11" t="s">
        <v>192</v>
      </c>
      <c r="AH313" s="306">
        <v>6000000</v>
      </c>
      <c r="AI313" s="97">
        <v>3.73E-2</v>
      </c>
      <c r="AJ313" s="421">
        <f>AH313*AI313*$E313/360</f>
        <v>621.66666666666663</v>
      </c>
      <c r="AK313" s="304">
        <f>AJ313+AJ312</f>
        <v>621.66666666666663</v>
      </c>
      <c r="AL313" s="307">
        <f>AJ313-AH313*$H313*$E313/360</f>
        <v>54.999999999999886</v>
      </c>
      <c r="AN313" s="304">
        <f>'codeis $'!AB314</f>
        <v>225703853.20000002</v>
      </c>
      <c r="AO313" s="340">
        <f>'codeis $'!AH314</f>
        <v>4.1072381071910628E-2</v>
      </c>
      <c r="AP313" s="304">
        <f>'codeis $'!AE314</f>
        <v>29122.40000000596</v>
      </c>
      <c r="AQ313" s="304">
        <f>'codeis $'!AK314</f>
        <v>5444.4538800059563</v>
      </c>
      <c r="AR313" s="9"/>
      <c r="AS313" s="9"/>
      <c r="AT313" s="123">
        <v>1</v>
      </c>
      <c r="AU313" s="123" t="s">
        <v>32</v>
      </c>
      <c r="AV313" s="124">
        <v>199721040.88999999</v>
      </c>
      <c r="AW313" s="139">
        <v>3.7499999999999999E-2</v>
      </c>
      <c r="AX313" s="123"/>
      <c r="AY313" s="425">
        <f t="shared" si="88"/>
        <v>20519.285022945205</v>
      </c>
      <c r="AZ313" s="140">
        <f t="shared" si="93"/>
        <v>549677.44243449997</v>
      </c>
      <c r="BA313" s="140">
        <f t="shared" si="82"/>
        <v>1656.7422722229821</v>
      </c>
      <c r="BC313" s="122"/>
      <c r="BD313" s="122"/>
      <c r="BE313" s="122"/>
      <c r="BF313" s="122"/>
      <c r="BH313" s="122"/>
      <c r="BI313" s="122"/>
      <c r="BJ313" s="122"/>
      <c r="BK313" s="122"/>
      <c r="BM313" s="122"/>
      <c r="BN313" s="122"/>
      <c r="BO313" s="122"/>
      <c r="BP313" s="122"/>
      <c r="BR313" s="122"/>
      <c r="BS313" s="122"/>
      <c r="BT313" s="122"/>
      <c r="BU313" s="122"/>
      <c r="BV313" s="439"/>
      <c r="BW313" s="120">
        <f t="shared" si="84"/>
        <v>456004894.09000003</v>
      </c>
      <c r="BX313" s="121">
        <f t="shared" si="90"/>
        <v>3.7499999999999999E-2</v>
      </c>
      <c r="BY313" s="121">
        <f t="shared" si="85"/>
        <v>3.9275354132206293E-2</v>
      </c>
      <c r="BZ313" s="120">
        <f t="shared" si="86"/>
        <v>52836.185022951169</v>
      </c>
      <c r="CA313" s="120">
        <f t="shared" si="87"/>
        <v>7407.5850411178271</v>
      </c>
    </row>
    <row r="314" spans="2:79" x14ac:dyDescent="0.25">
      <c r="B314" s="123" t="str">
        <f t="shared" si="78"/>
        <v>11 2025</v>
      </c>
      <c r="C314" s="122">
        <f t="shared" si="79"/>
        <v>45966</v>
      </c>
      <c r="D314" s="122">
        <f t="shared" si="83"/>
        <v>45967</v>
      </c>
      <c r="E314" s="123">
        <f t="shared" si="80"/>
        <v>1</v>
      </c>
      <c r="F314" s="123" t="s">
        <v>7</v>
      </c>
      <c r="G314" s="124">
        <f t="shared" si="94"/>
        <v>4580000</v>
      </c>
      <c r="H314" s="125">
        <f t="shared" si="94"/>
        <v>3.4000000000000002E-2</v>
      </c>
      <c r="I314" s="297">
        <f t="shared" si="77"/>
        <v>432.55555555555554</v>
      </c>
      <c r="J314" s="124">
        <f t="shared" si="81"/>
        <v>1005764.11388889</v>
      </c>
      <c r="K314" s="9"/>
      <c r="L314" s="11" t="s">
        <v>192</v>
      </c>
      <c r="M314" s="306">
        <f>M313</f>
        <v>5000000</v>
      </c>
      <c r="N314" s="97">
        <f>N313</f>
        <v>3.9899999999999998E-2</v>
      </c>
      <c r="O314" s="421">
        <f t="shared" ref="O314:O369" si="95">M314*N314*$E314/360</f>
        <v>554.16666666666663</v>
      </c>
      <c r="P314" s="304">
        <f>O314+P313</f>
        <v>1108.3333333333333</v>
      </c>
      <c r="Q314" s="307">
        <f t="shared" ref="Q314:Q369" si="96">O314-M314*$H314*$E314/360</f>
        <v>81.9444444444444</v>
      </c>
      <c r="S314" s="11" t="s">
        <v>192</v>
      </c>
      <c r="T314" s="306">
        <f>T313</f>
        <v>5000000</v>
      </c>
      <c r="U314" s="97">
        <f>U313</f>
        <v>3.9199999999999999E-2</v>
      </c>
      <c r="V314" s="421">
        <f t="shared" ref="V314:V369" si="97">T314*U314*$E314/360</f>
        <v>544.44444444444446</v>
      </c>
      <c r="W314" s="304">
        <f t="shared" ref="W314:W369" si="98">V314+V313</f>
        <v>1088.8888888888889</v>
      </c>
      <c r="X314" s="307">
        <f t="shared" ref="X314:X369" si="99">V314-T314*$H314*$E314/360</f>
        <v>72.222222222222229</v>
      </c>
      <c r="Z314" s="11" t="s">
        <v>192</v>
      </c>
      <c r="AA314" s="306">
        <f>AA313</f>
        <v>10000000</v>
      </c>
      <c r="AB314" s="97">
        <f>AB313</f>
        <v>3.7499999999999999E-2</v>
      </c>
      <c r="AC314" s="421">
        <f t="shared" ref="AC314:AC369" si="100">AA314*AB314*$E314/360</f>
        <v>1041.6666666666667</v>
      </c>
      <c r="AD314" s="304">
        <f>AD313+AC314</f>
        <v>2083.3333333333335</v>
      </c>
      <c r="AE314" s="307">
        <f t="shared" ref="AE314:AE369" si="101">AC314-AA314*$H314*$E314/360</f>
        <v>97.222222222222285</v>
      </c>
      <c r="AG314" s="11" t="s">
        <v>192</v>
      </c>
      <c r="AH314" s="306">
        <f>AH313</f>
        <v>6000000</v>
      </c>
      <c r="AI314" s="97">
        <f>AI313</f>
        <v>3.73E-2</v>
      </c>
      <c r="AJ314" s="421">
        <f t="shared" ref="AJ314:AJ369" si="102">AH314*AI314*$E314/360</f>
        <v>621.66666666666663</v>
      </c>
      <c r="AK314" s="304">
        <f>AK313+AJ314</f>
        <v>1243.3333333333333</v>
      </c>
      <c r="AL314" s="307">
        <f t="shared" ref="AL314:AL369" si="103">AJ314-AH314*$H314*$E314/360</f>
        <v>54.999999999999886</v>
      </c>
      <c r="AN314" s="304">
        <f>'codeis $'!AB315</f>
        <v>225730839.59999999</v>
      </c>
      <c r="AO314" s="340">
        <f>'codeis $'!AH315</f>
        <v>4.1072381071910628E-2</v>
      </c>
      <c r="AP314" s="304">
        <f>'codeis $'!AE315</f>
        <v>26986.399999976158</v>
      </c>
      <c r="AQ314" s="304">
        <f>'codeis $'!AK315</f>
        <v>5761.9349821983742</v>
      </c>
      <c r="AR314" s="9"/>
      <c r="AS314" s="9"/>
      <c r="AT314" s="123">
        <v>1</v>
      </c>
      <c r="AU314" s="123" t="s">
        <v>32</v>
      </c>
      <c r="AV314" s="124">
        <v>199741962.58000001</v>
      </c>
      <c r="AW314" s="139">
        <v>3.7499999999999999E-2</v>
      </c>
      <c r="AX314" s="123"/>
      <c r="AY314" s="425">
        <f t="shared" si="88"/>
        <v>20521.434511643838</v>
      </c>
      <c r="AZ314" s="140">
        <f t="shared" si="93"/>
        <v>570198.87694614381</v>
      </c>
      <c r="BA314" s="140">
        <f t="shared" si="82"/>
        <v>1656.9158235327232</v>
      </c>
      <c r="BC314" s="122"/>
      <c r="BD314" s="122"/>
      <c r="BE314" s="122"/>
      <c r="BF314" s="122"/>
      <c r="BH314" s="122"/>
      <c r="BI314" s="122"/>
      <c r="BJ314" s="122"/>
      <c r="BK314" s="122"/>
      <c r="BM314" s="122"/>
      <c r="BN314" s="122"/>
      <c r="BO314" s="122"/>
      <c r="BP314" s="122"/>
      <c r="BR314" s="122"/>
      <c r="BS314" s="122"/>
      <c r="BT314" s="122"/>
      <c r="BU314" s="122"/>
      <c r="BV314" s="439"/>
      <c r="BW314" s="120">
        <f t="shared" si="84"/>
        <v>456052802.18000001</v>
      </c>
      <c r="BX314" s="121">
        <f t="shared" si="90"/>
        <v>3.7499999999999999E-2</v>
      </c>
      <c r="BY314" s="121">
        <f t="shared" si="85"/>
        <v>3.9275379023795499E-2</v>
      </c>
      <c r="BZ314" s="120">
        <f t="shared" si="86"/>
        <v>50702.33451162</v>
      </c>
      <c r="CA314" s="120">
        <f t="shared" si="87"/>
        <v>7725.239694619986</v>
      </c>
    </row>
    <row r="315" spans="2:79" x14ac:dyDescent="0.25">
      <c r="B315" s="123" t="str">
        <f t="shared" si="78"/>
        <v>11 2025</v>
      </c>
      <c r="C315" s="122">
        <f t="shared" si="79"/>
        <v>45967</v>
      </c>
      <c r="D315" s="122">
        <f t="shared" si="83"/>
        <v>45968</v>
      </c>
      <c r="E315" s="123">
        <f t="shared" si="80"/>
        <v>1</v>
      </c>
      <c r="F315" s="123" t="s">
        <v>7</v>
      </c>
      <c r="G315" s="124">
        <f t="shared" si="94"/>
        <v>4580000</v>
      </c>
      <c r="H315" s="125">
        <f t="shared" si="94"/>
        <v>3.4000000000000002E-2</v>
      </c>
      <c r="I315" s="297">
        <f t="shared" si="77"/>
        <v>432.55555555555554</v>
      </c>
      <c r="J315" s="124">
        <f t="shared" si="81"/>
        <v>1006196.6694444455</v>
      </c>
      <c r="K315" s="9"/>
      <c r="L315" s="11" t="s">
        <v>192</v>
      </c>
      <c r="M315" s="306">
        <f t="shared" ref="M315:M369" si="104">M314</f>
        <v>5000000</v>
      </c>
      <c r="N315" s="97">
        <f t="shared" ref="N315:N369" si="105">N314</f>
        <v>3.9899999999999998E-2</v>
      </c>
      <c r="O315" s="421">
        <f t="shared" si="95"/>
        <v>554.16666666666663</v>
      </c>
      <c r="P315" s="304">
        <f t="shared" ref="P315:P369" si="106">O315+P314</f>
        <v>1662.5</v>
      </c>
      <c r="Q315" s="307">
        <f t="shared" si="96"/>
        <v>81.9444444444444</v>
      </c>
      <c r="S315" s="11" t="s">
        <v>192</v>
      </c>
      <c r="T315" s="306">
        <f t="shared" ref="T315:T369" si="107">T314</f>
        <v>5000000</v>
      </c>
      <c r="U315" s="97">
        <f t="shared" ref="U315:U369" si="108">U314</f>
        <v>3.9199999999999999E-2</v>
      </c>
      <c r="V315" s="421">
        <f t="shared" si="97"/>
        <v>544.44444444444446</v>
      </c>
      <c r="W315" s="304">
        <f t="shared" si="98"/>
        <v>1088.8888888888889</v>
      </c>
      <c r="X315" s="307">
        <f t="shared" si="99"/>
        <v>72.222222222222229</v>
      </c>
      <c r="Z315" s="11" t="s">
        <v>192</v>
      </c>
      <c r="AA315" s="306">
        <f t="shared" ref="AA315:AA369" si="109">AA314</f>
        <v>10000000</v>
      </c>
      <c r="AB315" s="97">
        <f t="shared" ref="AB315:AB369" si="110">AB314</f>
        <v>3.7499999999999999E-2</v>
      </c>
      <c r="AC315" s="421">
        <f t="shared" si="100"/>
        <v>1041.6666666666667</v>
      </c>
      <c r="AD315" s="304">
        <f t="shared" ref="AD315:AD369" si="111">AD314+AC315</f>
        <v>3125</v>
      </c>
      <c r="AE315" s="307">
        <f t="shared" si="101"/>
        <v>97.222222222222285</v>
      </c>
      <c r="AG315" s="11" t="s">
        <v>192</v>
      </c>
      <c r="AH315" s="306">
        <f t="shared" ref="AH315:AH369" si="112">AH314</f>
        <v>6000000</v>
      </c>
      <c r="AI315" s="97">
        <f t="shared" ref="AI315:AI369" si="113">AI314</f>
        <v>3.73E-2</v>
      </c>
      <c r="AJ315" s="421">
        <f t="shared" si="102"/>
        <v>621.66666666666663</v>
      </c>
      <c r="AK315" s="304">
        <f t="shared" ref="AK315:AK369" si="114">AK314+AJ315</f>
        <v>1865</v>
      </c>
      <c r="AL315" s="307">
        <f t="shared" si="103"/>
        <v>54.999999999999886</v>
      </c>
      <c r="AN315" s="304">
        <f>'codeis $'!AB316</f>
        <v>225757383.59999999</v>
      </c>
      <c r="AO315" s="340">
        <f>'codeis $'!AH316</f>
        <v>4.1072381071910628E-2</v>
      </c>
      <c r="AP315" s="304">
        <f>'codeis $'!AE316</f>
        <v>26544</v>
      </c>
      <c r="AQ315" s="304">
        <f>'codeis $'!AK316</f>
        <v>5319.5349822222161</v>
      </c>
      <c r="AR315" s="9"/>
      <c r="AS315" s="9"/>
      <c r="AT315" s="123">
        <v>1</v>
      </c>
      <c r="AU315" s="123" t="s">
        <v>32</v>
      </c>
      <c r="AV315" s="124">
        <v>199607260.00999999</v>
      </c>
      <c r="AW315" s="139">
        <v>3.7499999999999999E-2</v>
      </c>
      <c r="AX315" s="123"/>
      <c r="AY315" s="425">
        <f t="shared" si="88"/>
        <v>20507.595206506849</v>
      </c>
      <c r="AZ315" s="140">
        <f t="shared" si="93"/>
        <v>590706.47215265071</v>
      </c>
      <c r="BA315" s="140">
        <f t="shared" si="82"/>
        <v>1655.7984277846263</v>
      </c>
      <c r="BC315" s="122"/>
      <c r="BD315" s="122"/>
      <c r="BE315" s="122"/>
      <c r="BF315" s="122"/>
      <c r="BH315" s="122"/>
      <c r="BI315" s="122"/>
      <c r="BJ315" s="122"/>
      <c r="BK315" s="122"/>
      <c r="BM315" s="122"/>
      <c r="BN315" s="122"/>
      <c r="BO315" s="122"/>
      <c r="BP315" s="122"/>
      <c r="BR315" s="122"/>
      <c r="BS315" s="122"/>
      <c r="BT315" s="122"/>
      <c r="BU315" s="122"/>
      <c r="BV315" s="439"/>
      <c r="BW315" s="120">
        <f t="shared" si="84"/>
        <v>455944643.61000001</v>
      </c>
      <c r="BX315" s="121">
        <f t="shared" si="90"/>
        <v>3.7499999999999999E-2</v>
      </c>
      <c r="BY315" s="121">
        <f t="shared" si="85"/>
        <v>3.9276008152229432E-2</v>
      </c>
      <c r="BZ315" s="120">
        <f t="shared" si="86"/>
        <v>50246.095206506856</v>
      </c>
      <c r="CA315" s="120">
        <f t="shared" si="87"/>
        <v>7281.722298895731</v>
      </c>
    </row>
    <row r="316" spans="2:79" x14ac:dyDescent="0.25">
      <c r="B316" s="123" t="str">
        <f t="shared" si="78"/>
        <v>11 2025</v>
      </c>
      <c r="C316" s="122">
        <f t="shared" si="79"/>
        <v>45968</v>
      </c>
      <c r="D316" s="122">
        <f t="shared" si="83"/>
        <v>45969</v>
      </c>
      <c r="E316" s="123">
        <f t="shared" si="80"/>
        <v>1</v>
      </c>
      <c r="F316" s="123" t="s">
        <v>7</v>
      </c>
      <c r="G316" s="124">
        <f t="shared" si="94"/>
        <v>4580000</v>
      </c>
      <c r="H316" s="125">
        <f t="shared" si="94"/>
        <v>3.4000000000000002E-2</v>
      </c>
      <c r="I316" s="297">
        <f t="shared" si="77"/>
        <v>432.55555555555554</v>
      </c>
      <c r="J316" s="124">
        <f t="shared" si="81"/>
        <v>1006629.225000001</v>
      </c>
      <c r="K316" s="9"/>
      <c r="L316" s="11" t="s">
        <v>192</v>
      </c>
      <c r="M316" s="306">
        <f t="shared" si="104"/>
        <v>5000000</v>
      </c>
      <c r="N316" s="97">
        <f t="shared" si="105"/>
        <v>3.9899999999999998E-2</v>
      </c>
      <c r="O316" s="421">
        <f t="shared" si="95"/>
        <v>554.16666666666663</v>
      </c>
      <c r="P316" s="304">
        <f t="shared" si="106"/>
        <v>2216.6666666666665</v>
      </c>
      <c r="Q316" s="307">
        <f t="shared" si="96"/>
        <v>81.9444444444444</v>
      </c>
      <c r="S316" s="11" t="s">
        <v>192</v>
      </c>
      <c r="T316" s="306">
        <f t="shared" si="107"/>
        <v>5000000</v>
      </c>
      <c r="U316" s="97">
        <f t="shared" si="108"/>
        <v>3.9199999999999999E-2</v>
      </c>
      <c r="V316" s="421">
        <f t="shared" si="97"/>
        <v>544.44444444444446</v>
      </c>
      <c r="W316" s="304">
        <f t="shared" si="98"/>
        <v>1088.8888888888889</v>
      </c>
      <c r="X316" s="307">
        <f t="shared" si="99"/>
        <v>72.222222222222229</v>
      </c>
      <c r="Z316" s="11" t="s">
        <v>192</v>
      </c>
      <c r="AA316" s="306">
        <f t="shared" si="109"/>
        <v>10000000</v>
      </c>
      <c r="AB316" s="97">
        <f t="shared" si="110"/>
        <v>3.7499999999999999E-2</v>
      </c>
      <c r="AC316" s="421">
        <f t="shared" si="100"/>
        <v>1041.6666666666667</v>
      </c>
      <c r="AD316" s="304">
        <f t="shared" si="111"/>
        <v>4166.666666666667</v>
      </c>
      <c r="AE316" s="307">
        <f t="shared" si="101"/>
        <v>97.222222222222285</v>
      </c>
      <c r="AG316" s="11" t="s">
        <v>192</v>
      </c>
      <c r="AH316" s="306">
        <f t="shared" si="112"/>
        <v>6000000</v>
      </c>
      <c r="AI316" s="97">
        <f t="shared" si="113"/>
        <v>3.73E-2</v>
      </c>
      <c r="AJ316" s="421">
        <f t="shared" si="102"/>
        <v>621.66666666666663</v>
      </c>
      <c r="AK316" s="304">
        <f t="shared" si="114"/>
        <v>2486.6666666666665</v>
      </c>
      <c r="AL316" s="307">
        <f t="shared" si="103"/>
        <v>54.999999999999886</v>
      </c>
      <c r="AN316" s="304">
        <f>'codeis $'!AB317</f>
        <v>225783042.79999998</v>
      </c>
      <c r="AO316" s="340">
        <f>'codeis $'!AH317</f>
        <v>4.1072381071910628E-2</v>
      </c>
      <c r="AP316" s="304">
        <f>'codeis $'!AE317</f>
        <v>25659.199999988079</v>
      </c>
      <c r="AQ316" s="304">
        <f>'codeis $'!AK317</f>
        <v>4434.7349822102951</v>
      </c>
      <c r="AR316" s="9"/>
      <c r="AS316" s="9"/>
      <c r="AT316" s="123">
        <v>1</v>
      </c>
      <c r="AU316" s="123" t="s">
        <v>32</v>
      </c>
      <c r="AV316" s="124">
        <v>39627767.609999999</v>
      </c>
      <c r="AW316" s="139">
        <v>3.7499999999999999E-2</v>
      </c>
      <c r="AX316" s="123"/>
      <c r="AY316" s="425">
        <f t="shared" si="88"/>
        <v>4071.345987328767</v>
      </c>
      <c r="AZ316" s="140">
        <f t="shared" si="93"/>
        <v>594777.8181399795</v>
      </c>
      <c r="BA316" s="140">
        <f t="shared" si="82"/>
        <v>328.7234908287669</v>
      </c>
      <c r="BC316" s="124">
        <f>'MM $'!G316</f>
        <v>40000000</v>
      </c>
      <c r="BD316" s="139">
        <f>'MM $'!H316</f>
        <v>3.839324999999949E-2</v>
      </c>
      <c r="BE316" s="431">
        <f>'MM $'!I316</f>
        <v>4265.9166666666097</v>
      </c>
      <c r="BF316" s="124">
        <f>'MM $'!L316</f>
        <v>488.13888888883184</v>
      </c>
      <c r="BH316" s="124">
        <f>'MM $'!N316</f>
        <v>40000000</v>
      </c>
      <c r="BI316" s="139">
        <f>'MM $'!P316</f>
        <v>3.8233830000001801E-2</v>
      </c>
      <c r="BJ316" s="431">
        <f>'MM $'!Q316</f>
        <v>4248.2033333335339</v>
      </c>
      <c r="BK316" s="124">
        <f>'MM $'!U316</f>
        <v>470.42555555575609</v>
      </c>
      <c r="BM316" s="124">
        <f>'MM $'!W316</f>
        <v>40000000</v>
      </c>
      <c r="BN316" s="139">
        <f>'MM $'!X316</f>
        <v>3.8280630000000482E-2</v>
      </c>
      <c r="BO316" s="431">
        <f>'MM $'!Y316</f>
        <v>4253.4033333333873</v>
      </c>
      <c r="BP316" s="124">
        <f>'MM $'!AB316</f>
        <v>475.62555555560948</v>
      </c>
      <c r="BR316" s="124">
        <f>'MM $'!AD316</f>
        <v>40000000</v>
      </c>
      <c r="BS316" s="139">
        <f>'MM $'!AE316</f>
        <v>3.8657655000000624E-2</v>
      </c>
      <c r="BT316" s="431">
        <f>'MM $'!AF316</f>
        <v>4295.2950000000692</v>
      </c>
      <c r="BU316" s="124">
        <f>'MM $'!AB316</f>
        <v>475.62555555560948</v>
      </c>
      <c r="BV316" s="439"/>
      <c r="BW316" s="120">
        <f t="shared" si="84"/>
        <v>455990810.40999997</v>
      </c>
      <c r="BX316" s="121">
        <f t="shared" si="90"/>
        <v>3.7499999999999999E-2</v>
      </c>
      <c r="BY316" s="121">
        <f t="shared" si="85"/>
        <v>3.9588786981476227E-2</v>
      </c>
      <c r="BZ316" s="120">
        <f t="shared" si="86"/>
        <v>49987.864320650449</v>
      </c>
      <c r="CA316" s="120">
        <f t="shared" si="87"/>
        <v>6979.6629174837562</v>
      </c>
    </row>
    <row r="317" spans="2:79" x14ac:dyDescent="0.25">
      <c r="B317" s="123" t="str">
        <f t="shared" si="78"/>
        <v>11 2025</v>
      </c>
      <c r="C317" s="122">
        <f t="shared" si="79"/>
        <v>45969</v>
      </c>
      <c r="D317" s="122">
        <f t="shared" si="83"/>
        <v>45970</v>
      </c>
      <c r="E317" s="123">
        <f t="shared" si="80"/>
        <v>1</v>
      </c>
      <c r="F317" s="123" t="s">
        <v>7</v>
      </c>
      <c r="G317" s="124">
        <f t="shared" si="94"/>
        <v>4580000</v>
      </c>
      <c r="H317" s="125">
        <f t="shared" si="94"/>
        <v>3.4000000000000002E-2</v>
      </c>
      <c r="I317" s="297">
        <f t="shared" si="77"/>
        <v>432.55555555555554</v>
      </c>
      <c r="J317" s="124">
        <f t="shared" si="81"/>
        <v>1007061.7805555565</v>
      </c>
      <c r="K317" s="9"/>
      <c r="L317" s="11" t="s">
        <v>192</v>
      </c>
      <c r="M317" s="306">
        <f t="shared" si="104"/>
        <v>5000000</v>
      </c>
      <c r="N317" s="97">
        <f t="shared" si="105"/>
        <v>3.9899999999999998E-2</v>
      </c>
      <c r="O317" s="421">
        <f t="shared" si="95"/>
        <v>554.16666666666663</v>
      </c>
      <c r="P317" s="304">
        <f t="shared" si="106"/>
        <v>2770.833333333333</v>
      </c>
      <c r="Q317" s="307">
        <f t="shared" si="96"/>
        <v>81.9444444444444</v>
      </c>
      <c r="S317" s="11" t="s">
        <v>192</v>
      </c>
      <c r="T317" s="306">
        <f t="shared" si="107"/>
        <v>5000000</v>
      </c>
      <c r="U317" s="97">
        <f t="shared" si="108"/>
        <v>3.9199999999999999E-2</v>
      </c>
      <c r="V317" s="421">
        <f t="shared" si="97"/>
        <v>544.44444444444446</v>
      </c>
      <c r="W317" s="304">
        <f t="shared" si="98"/>
        <v>1088.8888888888889</v>
      </c>
      <c r="X317" s="307">
        <f t="shared" si="99"/>
        <v>72.222222222222229</v>
      </c>
      <c r="Z317" s="11" t="s">
        <v>192</v>
      </c>
      <c r="AA317" s="306">
        <f t="shared" si="109"/>
        <v>10000000</v>
      </c>
      <c r="AB317" s="97">
        <f t="shared" si="110"/>
        <v>3.7499999999999999E-2</v>
      </c>
      <c r="AC317" s="421">
        <f t="shared" si="100"/>
        <v>1041.6666666666667</v>
      </c>
      <c r="AD317" s="304">
        <f t="shared" si="111"/>
        <v>5208.3333333333339</v>
      </c>
      <c r="AE317" s="307">
        <f t="shared" si="101"/>
        <v>97.222222222222285</v>
      </c>
      <c r="AG317" s="11" t="s">
        <v>192</v>
      </c>
      <c r="AH317" s="306">
        <f t="shared" si="112"/>
        <v>6000000</v>
      </c>
      <c r="AI317" s="97">
        <f t="shared" si="113"/>
        <v>3.73E-2</v>
      </c>
      <c r="AJ317" s="421">
        <f t="shared" si="102"/>
        <v>621.66666666666663</v>
      </c>
      <c r="AK317" s="304">
        <f t="shared" si="114"/>
        <v>3108.333333333333</v>
      </c>
      <c r="AL317" s="307">
        <f t="shared" si="103"/>
        <v>54.999999999999886</v>
      </c>
      <c r="AN317" s="304">
        <f>'codeis $'!AB318</f>
        <v>225783042.79999998</v>
      </c>
      <c r="AO317" s="340">
        <f>'codeis $'!AH318</f>
        <v>4.1072381071910628E-2</v>
      </c>
      <c r="AP317" s="304">
        <f>'codeis $'!AE318</f>
        <v>0</v>
      </c>
      <c r="AQ317" s="304">
        <f>'codeis $'!AK318</f>
        <v>-21224.465017777784</v>
      </c>
      <c r="AR317" s="9"/>
      <c r="AS317" s="9"/>
      <c r="AT317" s="123">
        <v>1</v>
      </c>
      <c r="AU317" s="123" t="s">
        <v>32</v>
      </c>
      <c r="AV317" s="124">
        <v>39627767.609999999</v>
      </c>
      <c r="AW317" s="139">
        <v>3.7499999999999999E-2</v>
      </c>
      <c r="AX317" s="123"/>
      <c r="AY317" s="425">
        <f t="shared" si="88"/>
        <v>4071.345987328767</v>
      </c>
      <c r="AZ317" s="140">
        <f t="shared" si="93"/>
        <v>598849.16412730829</v>
      </c>
      <c r="BA317" s="140">
        <f t="shared" si="82"/>
        <v>328.7234908287669</v>
      </c>
      <c r="BC317" s="124">
        <f>'MM $'!G317</f>
        <v>40000000</v>
      </c>
      <c r="BD317" s="139">
        <f>'MM $'!H317</f>
        <v>3.839324999999949E-2</v>
      </c>
      <c r="BE317" s="431">
        <f>'MM $'!I317</f>
        <v>4265.9166666666097</v>
      </c>
      <c r="BF317" s="124">
        <f>'MM $'!L317</f>
        <v>488.13888888883184</v>
      </c>
      <c r="BH317" s="124">
        <f>'MM $'!N317</f>
        <v>40000000</v>
      </c>
      <c r="BI317" s="139">
        <f>'MM $'!P317</f>
        <v>3.8233830000001801E-2</v>
      </c>
      <c r="BJ317" s="431">
        <f>'MM $'!Q317</f>
        <v>4248.2033333335339</v>
      </c>
      <c r="BK317" s="124">
        <f>'MM $'!U317</f>
        <v>470.42555555575609</v>
      </c>
      <c r="BM317" s="124">
        <f>'MM $'!W317</f>
        <v>40000000</v>
      </c>
      <c r="BN317" s="139">
        <f>'MM $'!X317</f>
        <v>3.8280630000000482E-2</v>
      </c>
      <c r="BO317" s="431">
        <f>'MM $'!Y317</f>
        <v>4253.4033333333873</v>
      </c>
      <c r="BP317" s="124">
        <f>'MM $'!AB317</f>
        <v>475.62555555560948</v>
      </c>
      <c r="BR317" s="124">
        <f>'MM $'!AD317</f>
        <v>40000000</v>
      </c>
      <c r="BS317" s="139">
        <f>'MM $'!AE317</f>
        <v>3.8657655000000624E-2</v>
      </c>
      <c r="BT317" s="431">
        <f>'MM $'!AF317</f>
        <v>4295.2950000000692</v>
      </c>
      <c r="BU317" s="124">
        <f>'MM $'!AB317</f>
        <v>475.62555555560948</v>
      </c>
      <c r="BV317" s="439"/>
      <c r="BW317" s="120">
        <f t="shared" si="84"/>
        <v>455990810.40999997</v>
      </c>
      <c r="BX317" s="121">
        <f t="shared" si="90"/>
        <v>3.7499999999999999E-2</v>
      </c>
      <c r="BY317" s="121">
        <f t="shared" si="85"/>
        <v>3.9588786981476227E-2</v>
      </c>
      <c r="BZ317" s="120">
        <f t="shared" si="86"/>
        <v>24328.66432066237</v>
      </c>
      <c r="CA317" s="120">
        <f t="shared" si="87"/>
        <v>-18679.537082504321</v>
      </c>
    </row>
    <row r="318" spans="2:79" x14ac:dyDescent="0.25">
      <c r="B318" s="123" t="str">
        <f t="shared" si="78"/>
        <v>11 2025</v>
      </c>
      <c r="C318" s="122">
        <f t="shared" si="79"/>
        <v>45970</v>
      </c>
      <c r="D318" s="122">
        <f t="shared" si="83"/>
        <v>45971</v>
      </c>
      <c r="E318" s="123">
        <f t="shared" si="80"/>
        <v>1</v>
      </c>
      <c r="F318" s="123" t="s">
        <v>7</v>
      </c>
      <c r="G318" s="124">
        <f t="shared" si="94"/>
        <v>4580000</v>
      </c>
      <c r="H318" s="125">
        <f t="shared" si="94"/>
        <v>3.4000000000000002E-2</v>
      </c>
      <c r="I318" s="297">
        <f t="shared" ref="I318:I369" si="115">G318*H318*E318/360</f>
        <v>432.55555555555554</v>
      </c>
      <c r="J318" s="124">
        <f t="shared" si="81"/>
        <v>1007494.336111112</v>
      </c>
      <c r="K318" s="9"/>
      <c r="L318" s="11" t="s">
        <v>192</v>
      </c>
      <c r="M318" s="306">
        <f t="shared" si="104"/>
        <v>5000000</v>
      </c>
      <c r="N318" s="97">
        <f t="shared" si="105"/>
        <v>3.9899999999999998E-2</v>
      </c>
      <c r="O318" s="421">
        <f t="shared" si="95"/>
        <v>554.16666666666663</v>
      </c>
      <c r="P318" s="304">
        <f t="shared" si="106"/>
        <v>3324.9999999999995</v>
      </c>
      <c r="Q318" s="307">
        <f t="shared" si="96"/>
        <v>81.9444444444444</v>
      </c>
      <c r="S318" s="11" t="s">
        <v>192</v>
      </c>
      <c r="T318" s="306">
        <f t="shared" si="107"/>
        <v>5000000</v>
      </c>
      <c r="U318" s="97">
        <f t="shared" si="108"/>
        <v>3.9199999999999999E-2</v>
      </c>
      <c r="V318" s="421">
        <f t="shared" si="97"/>
        <v>544.44444444444446</v>
      </c>
      <c r="W318" s="304">
        <f t="shared" si="98"/>
        <v>1088.8888888888889</v>
      </c>
      <c r="X318" s="307">
        <f t="shared" si="99"/>
        <v>72.222222222222229</v>
      </c>
      <c r="Z318" s="11" t="s">
        <v>192</v>
      </c>
      <c r="AA318" s="306">
        <f t="shared" si="109"/>
        <v>10000000</v>
      </c>
      <c r="AB318" s="97">
        <f t="shared" si="110"/>
        <v>3.7499999999999999E-2</v>
      </c>
      <c r="AC318" s="421">
        <f t="shared" si="100"/>
        <v>1041.6666666666667</v>
      </c>
      <c r="AD318" s="304">
        <f t="shared" si="111"/>
        <v>6250.0000000000009</v>
      </c>
      <c r="AE318" s="307">
        <f t="shared" si="101"/>
        <v>97.222222222222285</v>
      </c>
      <c r="AG318" s="11" t="s">
        <v>192</v>
      </c>
      <c r="AH318" s="306">
        <f t="shared" si="112"/>
        <v>6000000</v>
      </c>
      <c r="AI318" s="97">
        <f t="shared" si="113"/>
        <v>3.73E-2</v>
      </c>
      <c r="AJ318" s="421">
        <f t="shared" si="102"/>
        <v>621.66666666666663</v>
      </c>
      <c r="AK318" s="304">
        <f t="shared" si="114"/>
        <v>3729.9999999999995</v>
      </c>
      <c r="AL318" s="307">
        <f t="shared" si="103"/>
        <v>54.999999999999886</v>
      </c>
      <c r="AN318" s="304">
        <f>'codeis $'!AB319</f>
        <v>225783042.79999998</v>
      </c>
      <c r="AO318" s="340">
        <f>'codeis $'!AH319</f>
        <v>4.1072381071910628E-2</v>
      </c>
      <c r="AP318" s="304">
        <f>'codeis $'!AE319</f>
        <v>0</v>
      </c>
      <c r="AQ318" s="304">
        <f>'codeis $'!AK319</f>
        <v>-21224.465017777784</v>
      </c>
      <c r="AR318" s="9"/>
      <c r="AS318" s="9"/>
      <c r="AT318" s="123">
        <v>1</v>
      </c>
      <c r="AU318" s="123" t="s">
        <v>32</v>
      </c>
      <c r="AV318" s="124">
        <v>39627767.609999999</v>
      </c>
      <c r="AW318" s="139">
        <v>3.7499999999999999E-2</v>
      </c>
      <c r="AX318" s="123"/>
      <c r="AY318" s="425">
        <f t="shared" si="88"/>
        <v>4071.345987328767</v>
      </c>
      <c r="AZ318" s="140">
        <f t="shared" si="93"/>
        <v>602920.51011463709</v>
      </c>
      <c r="BA318" s="140">
        <f t="shared" si="82"/>
        <v>328.7234908287669</v>
      </c>
      <c r="BC318" s="124">
        <f>'MM $'!G318</f>
        <v>40000000</v>
      </c>
      <c r="BD318" s="139">
        <f>'MM $'!H318</f>
        <v>3.839324999999949E-2</v>
      </c>
      <c r="BE318" s="431">
        <f>'MM $'!I318</f>
        <v>4265.9166666666097</v>
      </c>
      <c r="BF318" s="124">
        <f>'MM $'!L318</f>
        <v>488.13888888883184</v>
      </c>
      <c r="BH318" s="124">
        <f>'MM $'!N318</f>
        <v>40000000</v>
      </c>
      <c r="BI318" s="139">
        <f>'MM $'!P318</f>
        <v>3.8233830000001801E-2</v>
      </c>
      <c r="BJ318" s="431">
        <f>'MM $'!Q318</f>
        <v>4248.2033333335339</v>
      </c>
      <c r="BK318" s="124">
        <f>'MM $'!U318</f>
        <v>470.42555555575609</v>
      </c>
      <c r="BM318" s="124">
        <f>'MM $'!W318</f>
        <v>40000000</v>
      </c>
      <c r="BN318" s="139">
        <f>'MM $'!X318</f>
        <v>3.8280630000000482E-2</v>
      </c>
      <c r="BO318" s="431">
        <f>'MM $'!Y318</f>
        <v>4253.4033333333873</v>
      </c>
      <c r="BP318" s="124">
        <f>'MM $'!AB318</f>
        <v>475.62555555560948</v>
      </c>
      <c r="BR318" s="124">
        <f>'MM $'!AD318</f>
        <v>40000000</v>
      </c>
      <c r="BS318" s="139">
        <f>'MM $'!AE318</f>
        <v>3.8657655000000624E-2</v>
      </c>
      <c r="BT318" s="431">
        <f>'MM $'!AF318</f>
        <v>4295.2950000000692</v>
      </c>
      <c r="BU318" s="124">
        <f>'MM $'!AB318</f>
        <v>475.62555555560948</v>
      </c>
      <c r="BV318" s="439"/>
      <c r="BW318" s="120">
        <f t="shared" si="84"/>
        <v>455990810.40999997</v>
      </c>
      <c r="BX318" s="121">
        <f t="shared" si="90"/>
        <v>3.7499999999999999E-2</v>
      </c>
      <c r="BY318" s="121">
        <f t="shared" si="85"/>
        <v>3.9588786981476227E-2</v>
      </c>
      <c r="BZ318" s="120">
        <f t="shared" si="86"/>
        <v>24328.66432066237</v>
      </c>
      <c r="CA318" s="120">
        <f t="shared" si="87"/>
        <v>-18679.537082504321</v>
      </c>
    </row>
    <row r="319" spans="2:79" x14ac:dyDescent="0.25">
      <c r="B319" s="123" t="str">
        <f t="shared" ref="B319:B369" si="116">CONCATENATE(MONTH(D319)," ",YEAR(D319))</f>
        <v>11 2025</v>
      </c>
      <c r="C319" s="122">
        <f t="shared" ref="C319:C369" si="117">D318</f>
        <v>45971</v>
      </c>
      <c r="D319" s="122">
        <f t="shared" si="83"/>
        <v>45972</v>
      </c>
      <c r="E319" s="123">
        <f t="shared" ref="E319:E369" si="118">D319-C319</f>
        <v>1</v>
      </c>
      <c r="F319" s="123" t="s">
        <v>7</v>
      </c>
      <c r="G319" s="124">
        <f t="shared" si="94"/>
        <v>4580000</v>
      </c>
      <c r="H319" s="125">
        <f t="shared" si="94"/>
        <v>3.4000000000000002E-2</v>
      </c>
      <c r="I319" s="297">
        <f t="shared" si="115"/>
        <v>432.55555555555554</v>
      </c>
      <c r="J319" s="124">
        <f t="shared" ref="J319:J369" si="119">J318+I319</f>
        <v>1007926.8916666675</v>
      </c>
      <c r="K319" s="9"/>
      <c r="L319" s="11" t="s">
        <v>192</v>
      </c>
      <c r="M319" s="306">
        <f t="shared" si="104"/>
        <v>5000000</v>
      </c>
      <c r="N319" s="97">
        <f t="shared" si="105"/>
        <v>3.9899999999999998E-2</v>
      </c>
      <c r="O319" s="421">
        <f t="shared" si="95"/>
        <v>554.16666666666663</v>
      </c>
      <c r="P319" s="304">
        <f t="shared" si="106"/>
        <v>3879.1666666666661</v>
      </c>
      <c r="Q319" s="307">
        <f t="shared" si="96"/>
        <v>81.9444444444444</v>
      </c>
      <c r="S319" s="11" t="s">
        <v>192</v>
      </c>
      <c r="T319" s="306">
        <f t="shared" si="107"/>
        <v>5000000</v>
      </c>
      <c r="U319" s="97">
        <f t="shared" si="108"/>
        <v>3.9199999999999999E-2</v>
      </c>
      <c r="V319" s="421">
        <f t="shared" si="97"/>
        <v>544.44444444444446</v>
      </c>
      <c r="W319" s="304">
        <f t="shared" si="98"/>
        <v>1088.8888888888889</v>
      </c>
      <c r="X319" s="307">
        <f t="shared" si="99"/>
        <v>72.222222222222229</v>
      </c>
      <c r="Z319" s="11" t="s">
        <v>192</v>
      </c>
      <c r="AA319" s="306">
        <f t="shared" si="109"/>
        <v>10000000</v>
      </c>
      <c r="AB319" s="97">
        <f t="shared" si="110"/>
        <v>3.7499999999999999E-2</v>
      </c>
      <c r="AC319" s="421">
        <f t="shared" si="100"/>
        <v>1041.6666666666667</v>
      </c>
      <c r="AD319" s="304">
        <f t="shared" si="111"/>
        <v>7291.6666666666679</v>
      </c>
      <c r="AE319" s="307">
        <f t="shared" si="101"/>
        <v>97.222222222222285</v>
      </c>
      <c r="AG319" s="11" t="s">
        <v>192</v>
      </c>
      <c r="AH319" s="306">
        <f t="shared" si="112"/>
        <v>6000000</v>
      </c>
      <c r="AI319" s="97">
        <f t="shared" si="113"/>
        <v>3.73E-2</v>
      </c>
      <c r="AJ319" s="421">
        <f t="shared" si="102"/>
        <v>621.66666666666663</v>
      </c>
      <c r="AK319" s="304">
        <f t="shared" si="114"/>
        <v>4351.6666666666661</v>
      </c>
      <c r="AL319" s="307">
        <f t="shared" si="103"/>
        <v>54.999999999999886</v>
      </c>
      <c r="AN319" s="304">
        <f>'codeis $'!AB320</f>
        <v>225858471.99999997</v>
      </c>
      <c r="AO319" s="340">
        <f>'codeis $'!AH320</f>
        <v>4.1072381071910628E-2</v>
      </c>
      <c r="AP319" s="304">
        <f>'codeis $'!AE320</f>
        <v>75429.199999988079</v>
      </c>
      <c r="AQ319" s="304">
        <f>'codeis $'!AK320</f>
        <v>54204.734982210299</v>
      </c>
      <c r="AR319" s="9"/>
      <c r="AS319" s="9"/>
      <c r="AT319" s="123">
        <v>1</v>
      </c>
      <c r="AU319" s="123" t="s">
        <v>32</v>
      </c>
      <c r="AV319" s="124">
        <v>39550588.789999999</v>
      </c>
      <c r="AW319" s="139">
        <v>3.7499999999999999E-2</v>
      </c>
      <c r="AX319" s="123"/>
      <c r="AY319" s="425">
        <f t="shared" si="88"/>
        <v>4063.4166565068494</v>
      </c>
      <c r="AZ319" s="140">
        <f t="shared" si="93"/>
        <v>606983.92677114392</v>
      </c>
      <c r="BA319" s="140">
        <f t="shared" si="82"/>
        <v>328.08327078462753</v>
      </c>
      <c r="BC319" s="124">
        <f>'MM $'!G319</f>
        <v>40000000</v>
      </c>
      <c r="BD319" s="139">
        <f>'MM $'!H319</f>
        <v>3.839324999999949E-2</v>
      </c>
      <c r="BE319" s="431">
        <f>'MM $'!I319</f>
        <v>4265.9166666666097</v>
      </c>
      <c r="BF319" s="124">
        <f>'MM $'!L319</f>
        <v>488.13888888883184</v>
      </c>
      <c r="BH319" s="124">
        <f>'MM $'!N319</f>
        <v>40000000</v>
      </c>
      <c r="BI319" s="139">
        <f>'MM $'!P319</f>
        <v>3.8233830000001801E-2</v>
      </c>
      <c r="BJ319" s="431">
        <f>'MM $'!Q319</f>
        <v>4248.2033333335339</v>
      </c>
      <c r="BK319" s="124">
        <f>'MM $'!U319</f>
        <v>470.42555555575609</v>
      </c>
      <c r="BM319" s="124">
        <f>'MM $'!W319</f>
        <v>40000000</v>
      </c>
      <c r="BN319" s="139">
        <f>'MM $'!X319</f>
        <v>3.8280630000000482E-2</v>
      </c>
      <c r="BO319" s="431">
        <f>'MM $'!Y319</f>
        <v>4253.4033333333873</v>
      </c>
      <c r="BP319" s="124">
        <f>'MM $'!AB319</f>
        <v>475.62555555560948</v>
      </c>
      <c r="BR319" s="124">
        <f>'MM $'!AD319</f>
        <v>40000000</v>
      </c>
      <c r="BS319" s="139">
        <f>'MM $'!AE319</f>
        <v>3.8657655000000624E-2</v>
      </c>
      <c r="BT319" s="431">
        <f>'MM $'!AF319</f>
        <v>4295.2950000000692</v>
      </c>
      <c r="BU319" s="124">
        <f>'MM $'!AB319</f>
        <v>475.62555555560948</v>
      </c>
      <c r="BV319" s="439"/>
      <c r="BW319" s="120">
        <f t="shared" si="84"/>
        <v>455989060.78999996</v>
      </c>
      <c r="BX319" s="121">
        <f t="shared" si="90"/>
        <v>3.7499999999999999E-2</v>
      </c>
      <c r="BY319" s="121">
        <f t="shared" si="85"/>
        <v>3.9589385935383921E-2</v>
      </c>
      <c r="BZ319" s="120">
        <f t="shared" si="86"/>
        <v>99749.934989828529</v>
      </c>
      <c r="CA319" s="120">
        <f t="shared" si="87"/>
        <v>56749.022697439628</v>
      </c>
    </row>
    <row r="320" spans="2:79" x14ac:dyDescent="0.25">
      <c r="B320" s="123" t="str">
        <f t="shared" si="116"/>
        <v>11 2025</v>
      </c>
      <c r="C320" s="122">
        <f t="shared" si="117"/>
        <v>45972</v>
      </c>
      <c r="D320" s="122">
        <f t="shared" si="83"/>
        <v>45973</v>
      </c>
      <c r="E320" s="123">
        <f t="shared" si="118"/>
        <v>1</v>
      </c>
      <c r="F320" s="123" t="s">
        <v>7</v>
      </c>
      <c r="G320" s="124">
        <f t="shared" si="94"/>
        <v>4580000</v>
      </c>
      <c r="H320" s="125">
        <f t="shared" si="94"/>
        <v>3.4000000000000002E-2</v>
      </c>
      <c r="I320" s="297">
        <f t="shared" si="115"/>
        <v>432.55555555555554</v>
      </c>
      <c r="J320" s="124">
        <f t="shared" si="119"/>
        <v>1008359.447222223</v>
      </c>
      <c r="K320" s="9"/>
      <c r="L320" s="11" t="s">
        <v>192</v>
      </c>
      <c r="M320" s="306">
        <f t="shared" si="104"/>
        <v>5000000</v>
      </c>
      <c r="N320" s="97">
        <f t="shared" si="105"/>
        <v>3.9899999999999998E-2</v>
      </c>
      <c r="O320" s="421">
        <f t="shared" si="95"/>
        <v>554.16666666666663</v>
      </c>
      <c r="P320" s="304">
        <f t="shared" si="106"/>
        <v>4433.333333333333</v>
      </c>
      <c r="Q320" s="307">
        <f t="shared" si="96"/>
        <v>81.9444444444444</v>
      </c>
      <c r="S320" s="11" t="s">
        <v>192</v>
      </c>
      <c r="T320" s="306">
        <f t="shared" si="107"/>
        <v>5000000</v>
      </c>
      <c r="U320" s="97">
        <f t="shared" si="108"/>
        <v>3.9199999999999999E-2</v>
      </c>
      <c r="V320" s="421">
        <f t="shared" si="97"/>
        <v>544.44444444444446</v>
      </c>
      <c r="W320" s="304">
        <f t="shared" si="98"/>
        <v>1088.8888888888889</v>
      </c>
      <c r="X320" s="307">
        <f t="shared" si="99"/>
        <v>72.222222222222229</v>
      </c>
      <c r="Z320" s="11" t="s">
        <v>192</v>
      </c>
      <c r="AA320" s="306">
        <f t="shared" si="109"/>
        <v>10000000</v>
      </c>
      <c r="AB320" s="97">
        <f t="shared" si="110"/>
        <v>3.7499999999999999E-2</v>
      </c>
      <c r="AC320" s="421">
        <f t="shared" si="100"/>
        <v>1041.6666666666667</v>
      </c>
      <c r="AD320" s="304">
        <f t="shared" si="111"/>
        <v>8333.3333333333339</v>
      </c>
      <c r="AE320" s="307">
        <f t="shared" si="101"/>
        <v>97.222222222222285</v>
      </c>
      <c r="AG320" s="11" t="s">
        <v>192</v>
      </c>
      <c r="AH320" s="306">
        <f t="shared" si="112"/>
        <v>6000000</v>
      </c>
      <c r="AI320" s="97">
        <f t="shared" si="113"/>
        <v>3.73E-2</v>
      </c>
      <c r="AJ320" s="421">
        <f t="shared" si="102"/>
        <v>621.66666666666663</v>
      </c>
      <c r="AK320" s="304">
        <f t="shared" si="114"/>
        <v>4973.333333333333</v>
      </c>
      <c r="AL320" s="307">
        <f t="shared" si="103"/>
        <v>54.999999999999886</v>
      </c>
      <c r="AN320" s="304">
        <f>'codeis $'!AB321</f>
        <v>225883688.80000001</v>
      </c>
      <c r="AO320" s="340">
        <f>'codeis $'!AH321</f>
        <v>4.1072381071910628E-2</v>
      </c>
      <c r="AP320" s="304">
        <f>'codeis $'!AE321</f>
        <v>25216.800000041723</v>
      </c>
      <c r="AQ320" s="304">
        <f>'codeis $'!AK321</f>
        <v>3992.3349822639393</v>
      </c>
      <c r="AR320" s="9"/>
      <c r="AS320" s="9"/>
      <c r="AT320" s="123">
        <v>1</v>
      </c>
      <c r="AU320" s="123" t="s">
        <v>32</v>
      </c>
      <c r="AV320" s="124">
        <v>39550588.789999999</v>
      </c>
      <c r="AW320" s="139">
        <v>3.7499999999999999E-2</v>
      </c>
      <c r="AX320" s="123"/>
      <c r="AY320" s="425">
        <f t="shared" si="88"/>
        <v>4063.4166565068494</v>
      </c>
      <c r="AZ320" s="140">
        <f t="shared" si="93"/>
        <v>611047.34342765075</v>
      </c>
      <c r="BA320" s="140">
        <f t="shared" si="82"/>
        <v>328.08327078462753</v>
      </c>
      <c r="BC320" s="124">
        <f>'MM $'!G320</f>
        <v>40000000</v>
      </c>
      <c r="BD320" s="139">
        <f>'MM $'!H320</f>
        <v>3.839324999999949E-2</v>
      </c>
      <c r="BE320" s="431">
        <f>'MM $'!I320</f>
        <v>4265.9166666666097</v>
      </c>
      <c r="BF320" s="124">
        <f>'MM $'!L320</f>
        <v>488.13888888883184</v>
      </c>
      <c r="BH320" s="124">
        <f>'MM $'!N320</f>
        <v>40000000</v>
      </c>
      <c r="BI320" s="139">
        <f>'MM $'!P320</f>
        <v>3.8233830000001801E-2</v>
      </c>
      <c r="BJ320" s="431">
        <f>'MM $'!Q320</f>
        <v>4248.2033333335339</v>
      </c>
      <c r="BK320" s="124">
        <f>'MM $'!U320</f>
        <v>470.42555555575609</v>
      </c>
      <c r="BM320" s="124">
        <f>'MM $'!W320</f>
        <v>40000000</v>
      </c>
      <c r="BN320" s="139">
        <f>'MM $'!X320</f>
        <v>3.8280630000000482E-2</v>
      </c>
      <c r="BO320" s="431">
        <f>'MM $'!Y320</f>
        <v>4253.4033333333873</v>
      </c>
      <c r="BP320" s="124">
        <f>'MM $'!AB320</f>
        <v>475.62555555560948</v>
      </c>
      <c r="BR320" s="124">
        <f>'MM $'!AD320</f>
        <v>40000000</v>
      </c>
      <c r="BS320" s="139">
        <f>'MM $'!AE320</f>
        <v>3.8657655000000624E-2</v>
      </c>
      <c r="BT320" s="431">
        <f>'MM $'!AF320</f>
        <v>4295.2950000000692</v>
      </c>
      <c r="BU320" s="124">
        <f>'MM $'!AB320</f>
        <v>475.62555555560948</v>
      </c>
      <c r="BV320" s="439"/>
      <c r="BW320" s="120">
        <f t="shared" si="84"/>
        <v>456014277.59000003</v>
      </c>
      <c r="BX320" s="121">
        <f t="shared" si="90"/>
        <v>3.7499999999999999E-2</v>
      </c>
      <c r="BY320" s="121">
        <f t="shared" si="85"/>
        <v>3.958946794244729E-2</v>
      </c>
      <c r="BZ320" s="120">
        <f t="shared" si="86"/>
        <v>49537.534989882173</v>
      </c>
      <c r="CA320" s="120">
        <f t="shared" si="87"/>
        <v>6536.6226974932615</v>
      </c>
    </row>
    <row r="321" spans="2:79" x14ac:dyDescent="0.25">
      <c r="B321" s="123" t="str">
        <f t="shared" si="116"/>
        <v>11 2025</v>
      </c>
      <c r="C321" s="122">
        <f t="shared" si="117"/>
        <v>45973</v>
      </c>
      <c r="D321" s="122">
        <f t="shared" si="83"/>
        <v>45974</v>
      </c>
      <c r="E321" s="123">
        <f t="shared" si="118"/>
        <v>1</v>
      </c>
      <c r="F321" s="123" t="s">
        <v>7</v>
      </c>
      <c r="G321" s="124">
        <f t="shared" si="94"/>
        <v>4580000</v>
      </c>
      <c r="H321" s="125">
        <f t="shared" si="94"/>
        <v>3.4000000000000002E-2</v>
      </c>
      <c r="I321" s="297">
        <f t="shared" si="115"/>
        <v>432.55555555555554</v>
      </c>
      <c r="J321" s="124">
        <f t="shared" si="119"/>
        <v>1008792.0027777785</v>
      </c>
      <c r="K321" s="9"/>
      <c r="L321" s="11" t="s">
        <v>192</v>
      </c>
      <c r="M321" s="306">
        <f t="shared" si="104"/>
        <v>5000000</v>
      </c>
      <c r="N321" s="97">
        <f t="shared" si="105"/>
        <v>3.9899999999999998E-2</v>
      </c>
      <c r="O321" s="421">
        <f t="shared" si="95"/>
        <v>554.16666666666663</v>
      </c>
      <c r="P321" s="304">
        <f t="shared" si="106"/>
        <v>4987.5</v>
      </c>
      <c r="Q321" s="307">
        <f t="shared" si="96"/>
        <v>81.9444444444444</v>
      </c>
      <c r="S321" s="11" t="s">
        <v>192</v>
      </c>
      <c r="T321" s="306">
        <f t="shared" si="107"/>
        <v>5000000</v>
      </c>
      <c r="U321" s="97">
        <f t="shared" si="108"/>
        <v>3.9199999999999999E-2</v>
      </c>
      <c r="V321" s="421">
        <f t="shared" si="97"/>
        <v>544.44444444444446</v>
      </c>
      <c r="W321" s="304">
        <f t="shared" si="98"/>
        <v>1088.8888888888889</v>
      </c>
      <c r="X321" s="307">
        <f t="shared" si="99"/>
        <v>72.222222222222229</v>
      </c>
      <c r="Z321" s="11" t="s">
        <v>192</v>
      </c>
      <c r="AA321" s="306">
        <f t="shared" si="109"/>
        <v>10000000</v>
      </c>
      <c r="AB321" s="97">
        <f t="shared" si="110"/>
        <v>3.7499999999999999E-2</v>
      </c>
      <c r="AC321" s="421">
        <f t="shared" si="100"/>
        <v>1041.6666666666667</v>
      </c>
      <c r="AD321" s="304">
        <f t="shared" si="111"/>
        <v>9375</v>
      </c>
      <c r="AE321" s="307">
        <f t="shared" si="101"/>
        <v>97.222222222222285</v>
      </c>
      <c r="AG321" s="11" t="s">
        <v>192</v>
      </c>
      <c r="AH321" s="306">
        <f t="shared" si="112"/>
        <v>6000000</v>
      </c>
      <c r="AI321" s="97">
        <f t="shared" si="113"/>
        <v>3.73E-2</v>
      </c>
      <c r="AJ321" s="421">
        <f t="shared" si="102"/>
        <v>621.66666666666663</v>
      </c>
      <c r="AK321" s="304">
        <f t="shared" si="114"/>
        <v>5595</v>
      </c>
      <c r="AL321" s="307">
        <f t="shared" si="103"/>
        <v>54.999999999999886</v>
      </c>
      <c r="AN321" s="304">
        <f>'codeis $'!AB322</f>
        <v>225909126.80000001</v>
      </c>
      <c r="AO321" s="340">
        <f>'codeis $'!AH322</f>
        <v>4.1072381071910628E-2</v>
      </c>
      <c r="AP321" s="304">
        <f>'codeis $'!AE322</f>
        <v>25438</v>
      </c>
      <c r="AQ321" s="304">
        <f>'codeis $'!AK322</f>
        <v>4213.5349822222161</v>
      </c>
      <c r="AR321" s="9"/>
      <c r="AS321" s="9"/>
      <c r="AT321" s="123">
        <v>1</v>
      </c>
      <c r="AU321" s="123" t="s">
        <v>32</v>
      </c>
      <c r="AV321" s="124">
        <v>39557945.869999997</v>
      </c>
      <c r="AW321" s="139">
        <v>3.7499999999999999E-2</v>
      </c>
      <c r="AX321" s="123"/>
      <c r="AY321" s="425">
        <f t="shared" si="88"/>
        <v>4064.1725208904104</v>
      </c>
      <c r="AZ321" s="140">
        <f t="shared" si="93"/>
        <v>615111.51594854111</v>
      </c>
      <c r="BA321" s="140">
        <f t="shared" si="82"/>
        <v>328.14429983485479</v>
      </c>
      <c r="BC321" s="124">
        <f>'MM $'!G321</f>
        <v>40000000</v>
      </c>
      <c r="BD321" s="139">
        <f>'MM $'!H321</f>
        <v>3.839324999999949E-2</v>
      </c>
      <c r="BE321" s="431">
        <f>'MM $'!I321</f>
        <v>4265.9166666666097</v>
      </c>
      <c r="BF321" s="124">
        <f>'MM $'!L321</f>
        <v>488.13888888883184</v>
      </c>
      <c r="BH321" s="124">
        <f>'MM $'!N321</f>
        <v>40000000</v>
      </c>
      <c r="BI321" s="139">
        <f>'MM $'!P321</f>
        <v>3.8233830000001801E-2</v>
      </c>
      <c r="BJ321" s="431">
        <f>'MM $'!Q321</f>
        <v>4248.2033333335339</v>
      </c>
      <c r="BK321" s="124">
        <f>'MM $'!U321</f>
        <v>470.42555555575609</v>
      </c>
      <c r="BM321" s="124">
        <f>'MM $'!W321</f>
        <v>40000000</v>
      </c>
      <c r="BN321" s="139">
        <f>'MM $'!X321</f>
        <v>3.8280630000000482E-2</v>
      </c>
      <c r="BO321" s="431">
        <f>'MM $'!Y321</f>
        <v>4253.4033333333873</v>
      </c>
      <c r="BP321" s="124">
        <f>'MM $'!AB321</f>
        <v>475.62555555560948</v>
      </c>
      <c r="BR321" s="124">
        <f>'MM $'!AD321</f>
        <v>40000000</v>
      </c>
      <c r="BS321" s="139">
        <f>'MM $'!AE321</f>
        <v>3.8657655000000624E-2</v>
      </c>
      <c r="BT321" s="431">
        <f>'MM $'!AF321</f>
        <v>4295.2950000000692</v>
      </c>
      <c r="BU321" s="124">
        <f>'MM $'!AB321</f>
        <v>475.62555555560948</v>
      </c>
      <c r="BV321" s="439"/>
      <c r="BW321" s="120">
        <f t="shared" si="84"/>
        <v>456047072.67000002</v>
      </c>
      <c r="BX321" s="121">
        <f t="shared" si="90"/>
        <v>3.7499999999999999E-2</v>
      </c>
      <c r="BY321" s="121">
        <f t="shared" si="85"/>
        <v>3.9589516950461416E-2</v>
      </c>
      <c r="BZ321" s="120">
        <f t="shared" si="86"/>
        <v>49759.490854224015</v>
      </c>
      <c r="CA321" s="120">
        <f t="shared" si="87"/>
        <v>6757.8837265017646</v>
      </c>
    </row>
    <row r="322" spans="2:79" x14ac:dyDescent="0.25">
      <c r="B322" s="123" t="str">
        <f t="shared" si="116"/>
        <v>11 2025</v>
      </c>
      <c r="C322" s="122">
        <f t="shared" si="117"/>
        <v>45974</v>
      </c>
      <c r="D322" s="122">
        <f t="shared" si="83"/>
        <v>45975</v>
      </c>
      <c r="E322" s="123">
        <f t="shared" si="118"/>
        <v>1</v>
      </c>
      <c r="F322" s="123" t="s">
        <v>7</v>
      </c>
      <c r="G322" s="136">
        <f>G321-640000</f>
        <v>3940000</v>
      </c>
      <c r="H322" s="125">
        <f t="shared" si="94"/>
        <v>3.4000000000000002E-2</v>
      </c>
      <c r="I322" s="297">
        <f t="shared" si="115"/>
        <v>372.11111111111109</v>
      </c>
      <c r="J322" s="124">
        <f t="shared" si="119"/>
        <v>1009164.1138888897</v>
      </c>
      <c r="K322" s="9"/>
      <c r="L322" s="11" t="s">
        <v>192</v>
      </c>
      <c r="M322" s="306">
        <f t="shared" si="104"/>
        <v>5000000</v>
      </c>
      <c r="N322" s="97">
        <f t="shared" si="105"/>
        <v>3.9899999999999998E-2</v>
      </c>
      <c r="O322" s="421">
        <f t="shared" si="95"/>
        <v>554.16666666666663</v>
      </c>
      <c r="P322" s="304">
        <f t="shared" si="106"/>
        <v>5541.666666666667</v>
      </c>
      <c r="Q322" s="307">
        <f t="shared" si="96"/>
        <v>81.9444444444444</v>
      </c>
      <c r="S322" s="11" t="s">
        <v>192</v>
      </c>
      <c r="T322" s="306">
        <f t="shared" si="107"/>
        <v>5000000</v>
      </c>
      <c r="U322" s="97">
        <f t="shared" si="108"/>
        <v>3.9199999999999999E-2</v>
      </c>
      <c r="V322" s="421">
        <f t="shared" si="97"/>
        <v>544.44444444444446</v>
      </c>
      <c r="W322" s="304">
        <f t="shared" si="98"/>
        <v>1088.8888888888889</v>
      </c>
      <c r="X322" s="307">
        <f t="shared" si="99"/>
        <v>72.222222222222229</v>
      </c>
      <c r="Z322" s="11" t="s">
        <v>192</v>
      </c>
      <c r="AA322" s="306">
        <f t="shared" si="109"/>
        <v>10000000</v>
      </c>
      <c r="AB322" s="97">
        <f t="shared" si="110"/>
        <v>3.7499999999999999E-2</v>
      </c>
      <c r="AC322" s="421">
        <f t="shared" si="100"/>
        <v>1041.6666666666667</v>
      </c>
      <c r="AD322" s="304">
        <f t="shared" si="111"/>
        <v>10416.666666666666</v>
      </c>
      <c r="AE322" s="307">
        <f t="shared" si="101"/>
        <v>97.222222222222285</v>
      </c>
      <c r="AG322" s="11" t="s">
        <v>192</v>
      </c>
      <c r="AH322" s="306">
        <f t="shared" si="112"/>
        <v>6000000</v>
      </c>
      <c r="AI322" s="97">
        <f t="shared" si="113"/>
        <v>3.73E-2</v>
      </c>
      <c r="AJ322" s="421">
        <f t="shared" si="102"/>
        <v>621.66666666666663</v>
      </c>
      <c r="AK322" s="304">
        <f t="shared" si="114"/>
        <v>6216.666666666667</v>
      </c>
      <c r="AL322" s="307">
        <f t="shared" si="103"/>
        <v>54.999999999999886</v>
      </c>
      <c r="AN322" s="304">
        <f>'codeis $'!AB323</f>
        <v>225934564.79999998</v>
      </c>
      <c r="AO322" s="340">
        <f>'codeis $'!AH323</f>
        <v>4.1072381071910628E-2</v>
      </c>
      <c r="AP322" s="304">
        <f>'codeis $'!AE323</f>
        <v>25437.999999970198</v>
      </c>
      <c r="AQ322" s="304">
        <f>'codeis $'!AK323</f>
        <v>4213.5349821924137</v>
      </c>
      <c r="AR322" s="9"/>
      <c r="AS322" s="9"/>
      <c r="AT322" s="123">
        <v>1</v>
      </c>
      <c r="AU322" s="123" t="s">
        <v>32</v>
      </c>
      <c r="AV322" s="124">
        <v>39224676.939999998</v>
      </c>
      <c r="AW322" s="139">
        <v>3.7499999999999999E-2</v>
      </c>
      <c r="AX322" s="123"/>
      <c r="AY322" s="425">
        <f t="shared" si="88"/>
        <v>4029.9325623287668</v>
      </c>
      <c r="AZ322" s="140">
        <f t="shared" si="93"/>
        <v>619141.44851086987</v>
      </c>
      <c r="BA322" s="140">
        <f t="shared" si="82"/>
        <v>325.37974021765558</v>
      </c>
      <c r="BC322" s="124">
        <f>'MM $'!G322</f>
        <v>40000000</v>
      </c>
      <c r="BD322" s="139">
        <f>'MM $'!H322</f>
        <v>3.839324999999949E-2</v>
      </c>
      <c r="BE322" s="431">
        <f>'MM $'!I322</f>
        <v>4265.9166666666097</v>
      </c>
      <c r="BF322" s="124">
        <f>'MM $'!L322</f>
        <v>488.13888888883184</v>
      </c>
      <c r="BH322" s="124">
        <f>'MM $'!N322</f>
        <v>40000000</v>
      </c>
      <c r="BI322" s="139">
        <f>'MM $'!P322</f>
        <v>3.8233830000001801E-2</v>
      </c>
      <c r="BJ322" s="431">
        <f>'MM $'!Q322</f>
        <v>4248.2033333335339</v>
      </c>
      <c r="BK322" s="124">
        <f>'MM $'!U322</f>
        <v>470.42555555575609</v>
      </c>
      <c r="BM322" s="124">
        <f>'MM $'!W322</f>
        <v>40000000</v>
      </c>
      <c r="BN322" s="139">
        <f>'MM $'!X322</f>
        <v>3.8280630000000482E-2</v>
      </c>
      <c r="BO322" s="431">
        <f>'MM $'!Y322</f>
        <v>4253.4033333333873</v>
      </c>
      <c r="BP322" s="124">
        <f>'MM $'!AB322</f>
        <v>475.62555555560948</v>
      </c>
      <c r="BR322" s="124">
        <f>'MM $'!AD322</f>
        <v>40000000</v>
      </c>
      <c r="BS322" s="139">
        <f>'MM $'!AE322</f>
        <v>3.8657655000000624E-2</v>
      </c>
      <c r="BT322" s="431">
        <f>'MM $'!AF322</f>
        <v>4295.2950000000692</v>
      </c>
      <c r="BU322" s="124">
        <f>'MM $'!AB322</f>
        <v>475.62555555560948</v>
      </c>
      <c r="BV322" s="439"/>
      <c r="BW322" s="120">
        <f t="shared" si="84"/>
        <v>455099241.74000001</v>
      </c>
      <c r="BX322" s="121">
        <f t="shared" si="90"/>
        <v>3.7499999999999999E-2</v>
      </c>
      <c r="BY322" s="121">
        <f t="shared" si="85"/>
        <v>3.9598990451246929E-2</v>
      </c>
      <c r="BZ322" s="120">
        <f t="shared" si="86"/>
        <v>49664.806451188124</v>
      </c>
      <c r="CA322" s="120">
        <f t="shared" si="87"/>
        <v>6755.1191668547635</v>
      </c>
    </row>
    <row r="323" spans="2:79" x14ac:dyDescent="0.25">
      <c r="B323" s="123" t="str">
        <f t="shared" si="116"/>
        <v>11 2025</v>
      </c>
      <c r="C323" s="122">
        <f t="shared" si="117"/>
        <v>45975</v>
      </c>
      <c r="D323" s="122">
        <f t="shared" si="83"/>
        <v>45976</v>
      </c>
      <c r="E323" s="123">
        <f t="shared" si="118"/>
        <v>1</v>
      </c>
      <c r="F323" s="123" t="s">
        <v>7</v>
      </c>
      <c r="G323" s="124">
        <f t="shared" si="94"/>
        <v>3940000</v>
      </c>
      <c r="H323" s="125">
        <f t="shared" si="94"/>
        <v>3.4000000000000002E-2</v>
      </c>
      <c r="I323" s="297">
        <f t="shared" si="115"/>
        <v>372.11111111111109</v>
      </c>
      <c r="J323" s="124">
        <f t="shared" si="119"/>
        <v>1009536.2250000008</v>
      </c>
      <c r="K323" s="9"/>
      <c r="L323" s="11" t="s">
        <v>192</v>
      </c>
      <c r="M323" s="306">
        <f t="shared" si="104"/>
        <v>5000000</v>
      </c>
      <c r="N323" s="97">
        <f t="shared" si="105"/>
        <v>3.9899999999999998E-2</v>
      </c>
      <c r="O323" s="421">
        <f t="shared" si="95"/>
        <v>554.16666666666663</v>
      </c>
      <c r="P323" s="304">
        <f t="shared" si="106"/>
        <v>6095.8333333333339</v>
      </c>
      <c r="Q323" s="307">
        <f t="shared" si="96"/>
        <v>81.9444444444444</v>
      </c>
      <c r="S323" s="11" t="s">
        <v>192</v>
      </c>
      <c r="T323" s="306">
        <f t="shared" si="107"/>
        <v>5000000</v>
      </c>
      <c r="U323" s="97">
        <f t="shared" si="108"/>
        <v>3.9199999999999999E-2</v>
      </c>
      <c r="V323" s="421">
        <f t="shared" si="97"/>
        <v>544.44444444444446</v>
      </c>
      <c r="W323" s="304">
        <f t="shared" si="98"/>
        <v>1088.8888888888889</v>
      </c>
      <c r="X323" s="307">
        <f t="shared" si="99"/>
        <v>72.222222222222229</v>
      </c>
      <c r="Z323" s="11" t="s">
        <v>192</v>
      </c>
      <c r="AA323" s="306">
        <f t="shared" si="109"/>
        <v>10000000</v>
      </c>
      <c r="AB323" s="97">
        <f t="shared" si="110"/>
        <v>3.7499999999999999E-2</v>
      </c>
      <c r="AC323" s="421">
        <f t="shared" si="100"/>
        <v>1041.6666666666667</v>
      </c>
      <c r="AD323" s="304">
        <f t="shared" si="111"/>
        <v>11458.333333333332</v>
      </c>
      <c r="AE323" s="307">
        <f t="shared" si="101"/>
        <v>97.222222222222285</v>
      </c>
      <c r="AG323" s="11" t="s">
        <v>192</v>
      </c>
      <c r="AH323" s="306">
        <f t="shared" si="112"/>
        <v>6000000</v>
      </c>
      <c r="AI323" s="97">
        <f t="shared" si="113"/>
        <v>3.73E-2</v>
      </c>
      <c r="AJ323" s="421">
        <f t="shared" si="102"/>
        <v>621.66666666666663</v>
      </c>
      <c r="AK323" s="304">
        <f t="shared" si="114"/>
        <v>6838.3333333333339</v>
      </c>
      <c r="AL323" s="307">
        <f t="shared" si="103"/>
        <v>54.999999999999886</v>
      </c>
      <c r="AN323" s="304">
        <f>'codeis $'!AB324</f>
        <v>225959781.59999999</v>
      </c>
      <c r="AO323" s="340">
        <f>'codeis $'!AH324</f>
        <v>4.1072381071910628E-2</v>
      </c>
      <c r="AP323" s="304">
        <f>'codeis $'!AE324</f>
        <v>25216.800000011921</v>
      </c>
      <c r="AQ323" s="304">
        <f>'codeis $'!AK324</f>
        <v>3992.334982234137</v>
      </c>
      <c r="AR323" s="9"/>
      <c r="AS323" s="9"/>
      <c r="AT323" s="123">
        <v>1</v>
      </c>
      <c r="AU323" s="123" t="s">
        <v>32</v>
      </c>
      <c r="AV323" s="124">
        <v>38840531.57</v>
      </c>
      <c r="AW323" s="139">
        <v>3.7499999999999999E-2</v>
      </c>
      <c r="AX323" s="123"/>
      <c r="AY323" s="425">
        <f t="shared" si="88"/>
        <v>3990.4655722602738</v>
      </c>
      <c r="AZ323" s="140">
        <f t="shared" si="93"/>
        <v>623131.91408313019</v>
      </c>
      <c r="BA323" s="140">
        <f t="shared" si="82"/>
        <v>322.19314620471778</v>
      </c>
      <c r="BC323" s="124">
        <f>'MM $'!G323</f>
        <v>40000000</v>
      </c>
      <c r="BD323" s="139">
        <f>'MM $'!H323</f>
        <v>3.839324999999949E-2</v>
      </c>
      <c r="BE323" s="431">
        <f>'MM $'!I323</f>
        <v>4265.9166666666097</v>
      </c>
      <c r="BF323" s="124">
        <f>'MM $'!L323</f>
        <v>488.13888888883184</v>
      </c>
      <c r="BH323" s="124">
        <f>'MM $'!N323</f>
        <v>40000000</v>
      </c>
      <c r="BI323" s="139">
        <f>'MM $'!P323</f>
        <v>3.8233830000001801E-2</v>
      </c>
      <c r="BJ323" s="431">
        <f>'MM $'!Q323</f>
        <v>4248.2033333335339</v>
      </c>
      <c r="BK323" s="124">
        <f>'MM $'!U323</f>
        <v>470.42555555575609</v>
      </c>
      <c r="BM323" s="124">
        <f>'MM $'!W323</f>
        <v>40000000</v>
      </c>
      <c r="BN323" s="139">
        <f>'MM $'!X323</f>
        <v>3.8280630000000482E-2</v>
      </c>
      <c r="BO323" s="431">
        <f>'MM $'!Y323</f>
        <v>4253.4033333333873</v>
      </c>
      <c r="BP323" s="124">
        <f>'MM $'!AB323</f>
        <v>475.62555555560948</v>
      </c>
      <c r="BR323" s="124">
        <f>'MM $'!AD323</f>
        <v>40000000</v>
      </c>
      <c r="BS323" s="139">
        <f>'MM $'!AE323</f>
        <v>3.8657655000000624E-2</v>
      </c>
      <c r="BT323" s="431">
        <f>'MM $'!AF323</f>
        <v>4295.2950000000692</v>
      </c>
      <c r="BU323" s="124">
        <f>'MM $'!AB323</f>
        <v>475.62555555560948</v>
      </c>
      <c r="BV323" s="439"/>
      <c r="BW323" s="120">
        <f t="shared" si="84"/>
        <v>454740313.16999996</v>
      </c>
      <c r="BX323" s="121">
        <f t="shared" si="90"/>
        <v>3.7499999999999999E-2</v>
      </c>
      <c r="BY323" s="121">
        <f t="shared" si="85"/>
        <v>3.9600845293748681E-2</v>
      </c>
      <c r="BZ323" s="120">
        <f t="shared" si="86"/>
        <v>49404.13946116135</v>
      </c>
      <c r="CA323" s="120">
        <f t="shared" si="87"/>
        <v>6530.7325728835494</v>
      </c>
    </row>
    <row r="324" spans="2:79" x14ac:dyDescent="0.25">
      <c r="B324" s="123" t="str">
        <f t="shared" si="116"/>
        <v>11 2025</v>
      </c>
      <c r="C324" s="122">
        <f t="shared" si="117"/>
        <v>45976</v>
      </c>
      <c r="D324" s="122">
        <f t="shared" si="83"/>
        <v>45977</v>
      </c>
      <c r="E324" s="123">
        <f t="shared" si="118"/>
        <v>1</v>
      </c>
      <c r="F324" s="123" t="s">
        <v>7</v>
      </c>
      <c r="G324" s="124">
        <f t="shared" si="94"/>
        <v>3940000</v>
      </c>
      <c r="H324" s="125">
        <f t="shared" si="94"/>
        <v>3.4000000000000002E-2</v>
      </c>
      <c r="I324" s="297">
        <f t="shared" si="115"/>
        <v>372.11111111111109</v>
      </c>
      <c r="J324" s="124">
        <f t="shared" si="119"/>
        <v>1009908.3361111119</v>
      </c>
      <c r="K324" s="9"/>
      <c r="L324" s="11" t="s">
        <v>192</v>
      </c>
      <c r="M324" s="306">
        <f t="shared" si="104"/>
        <v>5000000</v>
      </c>
      <c r="N324" s="97">
        <f t="shared" si="105"/>
        <v>3.9899999999999998E-2</v>
      </c>
      <c r="O324" s="421">
        <f t="shared" si="95"/>
        <v>554.16666666666663</v>
      </c>
      <c r="P324" s="304">
        <f t="shared" si="106"/>
        <v>6650.0000000000009</v>
      </c>
      <c r="Q324" s="307">
        <f t="shared" si="96"/>
        <v>81.9444444444444</v>
      </c>
      <c r="S324" s="11" t="s">
        <v>192</v>
      </c>
      <c r="T324" s="306">
        <f t="shared" si="107"/>
        <v>5000000</v>
      </c>
      <c r="U324" s="97">
        <f t="shared" si="108"/>
        <v>3.9199999999999999E-2</v>
      </c>
      <c r="V324" s="421">
        <f t="shared" si="97"/>
        <v>544.44444444444446</v>
      </c>
      <c r="W324" s="304">
        <f t="shared" si="98"/>
        <v>1088.8888888888889</v>
      </c>
      <c r="X324" s="307">
        <f t="shared" si="99"/>
        <v>72.222222222222229</v>
      </c>
      <c r="Z324" s="11" t="s">
        <v>192</v>
      </c>
      <c r="AA324" s="306">
        <f t="shared" si="109"/>
        <v>10000000</v>
      </c>
      <c r="AB324" s="97">
        <f t="shared" si="110"/>
        <v>3.7499999999999999E-2</v>
      </c>
      <c r="AC324" s="421">
        <f t="shared" si="100"/>
        <v>1041.6666666666667</v>
      </c>
      <c r="AD324" s="304">
        <f t="shared" si="111"/>
        <v>12499.999999999998</v>
      </c>
      <c r="AE324" s="307">
        <f t="shared" si="101"/>
        <v>97.222222222222285</v>
      </c>
      <c r="AG324" s="11" t="s">
        <v>192</v>
      </c>
      <c r="AH324" s="306">
        <f t="shared" si="112"/>
        <v>6000000</v>
      </c>
      <c r="AI324" s="97">
        <f t="shared" si="113"/>
        <v>3.73E-2</v>
      </c>
      <c r="AJ324" s="421">
        <f t="shared" si="102"/>
        <v>621.66666666666663</v>
      </c>
      <c r="AK324" s="304">
        <f t="shared" si="114"/>
        <v>7460.0000000000009</v>
      </c>
      <c r="AL324" s="307">
        <f t="shared" si="103"/>
        <v>54.999999999999886</v>
      </c>
      <c r="AN324" s="304">
        <f>'codeis $'!AB325</f>
        <v>225959781.59999999</v>
      </c>
      <c r="AO324" s="340">
        <f>'codeis $'!AH325</f>
        <v>4.1072381071910628E-2</v>
      </c>
      <c r="AP324" s="304">
        <f>'codeis $'!AE325</f>
        <v>0</v>
      </c>
      <c r="AQ324" s="304">
        <f>'codeis $'!AK325</f>
        <v>-21224.465017777784</v>
      </c>
      <c r="AR324" s="9"/>
      <c r="AS324" s="9"/>
      <c r="AT324" s="123">
        <v>1</v>
      </c>
      <c r="AU324" s="123" t="s">
        <v>32</v>
      </c>
      <c r="AV324" s="124">
        <v>38840531.57</v>
      </c>
      <c r="AW324" s="139">
        <v>3.7499999999999999E-2</v>
      </c>
      <c r="AX324" s="123"/>
      <c r="AY324" s="425">
        <f t="shared" si="88"/>
        <v>3990.4655722602738</v>
      </c>
      <c r="AZ324" s="140">
        <f t="shared" si="93"/>
        <v>627122.37965539051</v>
      </c>
      <c r="BA324" s="140">
        <f t="shared" si="82"/>
        <v>322.19314620471778</v>
      </c>
      <c r="BC324" s="124">
        <f>'MM $'!G324</f>
        <v>40000000</v>
      </c>
      <c r="BD324" s="139">
        <f>'MM $'!H324</f>
        <v>3.839324999999949E-2</v>
      </c>
      <c r="BE324" s="431">
        <f>'MM $'!I324</f>
        <v>4265.9166666666097</v>
      </c>
      <c r="BF324" s="124">
        <f>'MM $'!L324</f>
        <v>488.13888888883184</v>
      </c>
      <c r="BH324" s="124">
        <f>'MM $'!N324</f>
        <v>40000000</v>
      </c>
      <c r="BI324" s="139">
        <f>'MM $'!P324</f>
        <v>3.8233830000001801E-2</v>
      </c>
      <c r="BJ324" s="431">
        <f>'MM $'!Q324</f>
        <v>4248.2033333335339</v>
      </c>
      <c r="BK324" s="124">
        <f>'MM $'!U324</f>
        <v>470.42555555575609</v>
      </c>
      <c r="BM324" s="124">
        <f>'MM $'!W324</f>
        <v>40000000</v>
      </c>
      <c r="BN324" s="139">
        <f>'MM $'!X324</f>
        <v>3.8280630000000482E-2</v>
      </c>
      <c r="BO324" s="431">
        <f>'MM $'!Y324</f>
        <v>4253.4033333333873</v>
      </c>
      <c r="BP324" s="124">
        <f>'MM $'!AB324</f>
        <v>475.62555555560948</v>
      </c>
      <c r="BR324" s="124">
        <f>'MM $'!AD324</f>
        <v>40000000</v>
      </c>
      <c r="BS324" s="139">
        <f>'MM $'!AE324</f>
        <v>3.8657655000000624E-2</v>
      </c>
      <c r="BT324" s="431">
        <f>'MM $'!AF324</f>
        <v>4295.2950000000692</v>
      </c>
      <c r="BU324" s="124">
        <f>'MM $'!AB324</f>
        <v>475.62555555560948</v>
      </c>
      <c r="BV324" s="439"/>
      <c r="BW324" s="120">
        <f t="shared" si="84"/>
        <v>454740313.16999996</v>
      </c>
      <c r="BX324" s="121">
        <f t="shared" si="90"/>
        <v>3.7499999999999999E-2</v>
      </c>
      <c r="BY324" s="121">
        <f t="shared" si="85"/>
        <v>3.9600845293748681E-2</v>
      </c>
      <c r="BZ324" s="120">
        <f t="shared" si="86"/>
        <v>24187.33946114943</v>
      </c>
      <c r="CA324" s="120">
        <f t="shared" si="87"/>
        <v>-18686.067427128368</v>
      </c>
    </row>
    <row r="325" spans="2:79" x14ac:dyDescent="0.25">
      <c r="B325" s="123" t="str">
        <f t="shared" si="116"/>
        <v>11 2025</v>
      </c>
      <c r="C325" s="122">
        <f t="shared" si="117"/>
        <v>45977</v>
      </c>
      <c r="D325" s="122">
        <f t="shared" si="83"/>
        <v>45978</v>
      </c>
      <c r="E325" s="123">
        <f t="shared" si="118"/>
        <v>1</v>
      </c>
      <c r="F325" s="123" t="s">
        <v>7</v>
      </c>
      <c r="G325" s="124">
        <f t="shared" si="94"/>
        <v>3940000</v>
      </c>
      <c r="H325" s="125">
        <f t="shared" si="94"/>
        <v>3.4000000000000002E-2</v>
      </c>
      <c r="I325" s="297">
        <f t="shared" si="115"/>
        <v>372.11111111111109</v>
      </c>
      <c r="J325" s="124">
        <f t="shared" si="119"/>
        <v>1010280.447222223</v>
      </c>
      <c r="K325" s="9"/>
      <c r="L325" s="11" t="s">
        <v>192</v>
      </c>
      <c r="M325" s="306">
        <f t="shared" si="104"/>
        <v>5000000</v>
      </c>
      <c r="N325" s="97">
        <f t="shared" si="105"/>
        <v>3.9899999999999998E-2</v>
      </c>
      <c r="O325" s="421">
        <f t="shared" si="95"/>
        <v>554.16666666666663</v>
      </c>
      <c r="P325" s="304">
        <f t="shared" si="106"/>
        <v>7204.1666666666679</v>
      </c>
      <c r="Q325" s="307">
        <f t="shared" si="96"/>
        <v>81.9444444444444</v>
      </c>
      <c r="S325" s="11" t="s">
        <v>192</v>
      </c>
      <c r="T325" s="306">
        <f t="shared" si="107"/>
        <v>5000000</v>
      </c>
      <c r="U325" s="97">
        <f t="shared" si="108"/>
        <v>3.9199999999999999E-2</v>
      </c>
      <c r="V325" s="421">
        <f t="shared" si="97"/>
        <v>544.44444444444446</v>
      </c>
      <c r="W325" s="304">
        <f t="shared" si="98"/>
        <v>1088.8888888888889</v>
      </c>
      <c r="X325" s="307">
        <f t="shared" si="99"/>
        <v>72.222222222222229</v>
      </c>
      <c r="Z325" s="11" t="s">
        <v>192</v>
      </c>
      <c r="AA325" s="306">
        <f t="shared" si="109"/>
        <v>10000000</v>
      </c>
      <c r="AB325" s="97">
        <f t="shared" si="110"/>
        <v>3.7499999999999999E-2</v>
      </c>
      <c r="AC325" s="421">
        <f t="shared" si="100"/>
        <v>1041.6666666666667</v>
      </c>
      <c r="AD325" s="304">
        <f t="shared" si="111"/>
        <v>13541.666666666664</v>
      </c>
      <c r="AE325" s="307">
        <f t="shared" si="101"/>
        <v>97.222222222222285</v>
      </c>
      <c r="AG325" s="11" t="s">
        <v>192</v>
      </c>
      <c r="AH325" s="306">
        <f t="shared" si="112"/>
        <v>6000000</v>
      </c>
      <c r="AI325" s="97">
        <f t="shared" si="113"/>
        <v>3.73E-2</v>
      </c>
      <c r="AJ325" s="421">
        <f t="shared" si="102"/>
        <v>621.66666666666663</v>
      </c>
      <c r="AK325" s="304">
        <f t="shared" si="114"/>
        <v>8081.6666666666679</v>
      </c>
      <c r="AL325" s="307">
        <f t="shared" si="103"/>
        <v>54.999999999999886</v>
      </c>
      <c r="AN325" s="304">
        <f>'codeis $'!AB326</f>
        <v>225959781.59999999</v>
      </c>
      <c r="AO325" s="340">
        <f>'codeis $'!AH326</f>
        <v>4.1072381071910628E-2</v>
      </c>
      <c r="AP325" s="304">
        <f>'codeis $'!AE326</f>
        <v>0</v>
      </c>
      <c r="AQ325" s="304">
        <f>'codeis $'!AK326</f>
        <v>-21224.465017777784</v>
      </c>
      <c r="AR325" s="9"/>
      <c r="AS325" s="9"/>
      <c r="AT325" s="123">
        <v>1</v>
      </c>
      <c r="AU325" s="123" t="s">
        <v>32</v>
      </c>
      <c r="AV325" s="124">
        <v>38840531.57</v>
      </c>
      <c r="AW325" s="139">
        <v>3.7499999999999999E-2</v>
      </c>
      <c r="AX325" s="123"/>
      <c r="AY325" s="425">
        <f t="shared" si="88"/>
        <v>3990.4655722602738</v>
      </c>
      <c r="AZ325" s="140">
        <f t="shared" si="93"/>
        <v>631112.84522765083</v>
      </c>
      <c r="BA325" s="140">
        <f t="shared" ref="BA325:BA369" si="120">AY325-AV325*H325*AT325/360</f>
        <v>322.19314620471778</v>
      </c>
      <c r="BC325" s="124">
        <f>'MM $'!G325</f>
        <v>40000000</v>
      </c>
      <c r="BD325" s="139">
        <f>'MM $'!H325</f>
        <v>3.839324999999949E-2</v>
      </c>
      <c r="BE325" s="431">
        <f>'MM $'!I325</f>
        <v>4265.9166666666097</v>
      </c>
      <c r="BF325" s="124">
        <f>'MM $'!L325</f>
        <v>488.13888888883184</v>
      </c>
      <c r="BH325" s="124">
        <f>'MM $'!N325</f>
        <v>40000000</v>
      </c>
      <c r="BI325" s="139">
        <f>'MM $'!P325</f>
        <v>3.8233830000001801E-2</v>
      </c>
      <c r="BJ325" s="431">
        <f>'MM $'!Q325</f>
        <v>4248.2033333335339</v>
      </c>
      <c r="BK325" s="124">
        <f>'MM $'!U325</f>
        <v>470.42555555575609</v>
      </c>
      <c r="BM325" s="124">
        <f>'MM $'!W325</f>
        <v>40000000</v>
      </c>
      <c r="BN325" s="139">
        <f>'MM $'!X325</f>
        <v>3.8280630000000482E-2</v>
      </c>
      <c r="BO325" s="431">
        <f>'MM $'!Y325</f>
        <v>4253.4033333333873</v>
      </c>
      <c r="BP325" s="124">
        <f>'MM $'!AB325</f>
        <v>475.62555555560948</v>
      </c>
      <c r="BR325" s="124">
        <f>'MM $'!AD325</f>
        <v>40000000</v>
      </c>
      <c r="BS325" s="139">
        <f>'MM $'!AE325</f>
        <v>3.8657655000000624E-2</v>
      </c>
      <c r="BT325" s="431">
        <f>'MM $'!AF325</f>
        <v>4295.2950000000692</v>
      </c>
      <c r="BU325" s="124">
        <f>'MM $'!AB325</f>
        <v>475.62555555560948</v>
      </c>
      <c r="BV325" s="439"/>
      <c r="BW325" s="120">
        <f t="shared" si="84"/>
        <v>454740313.16999996</v>
      </c>
      <c r="BX325" s="121">
        <f t="shared" si="90"/>
        <v>3.7499999999999999E-2</v>
      </c>
      <c r="BY325" s="121">
        <f t="shared" si="85"/>
        <v>3.9600845293748681E-2</v>
      </c>
      <c r="BZ325" s="120">
        <f t="shared" si="86"/>
        <v>24187.33946114943</v>
      </c>
      <c r="CA325" s="120">
        <f t="shared" si="87"/>
        <v>-18686.067427128368</v>
      </c>
    </row>
    <row r="326" spans="2:79" x14ac:dyDescent="0.25">
      <c r="B326" s="123" t="str">
        <f t="shared" si="116"/>
        <v>11 2025</v>
      </c>
      <c r="C326" s="122">
        <f t="shared" si="117"/>
        <v>45978</v>
      </c>
      <c r="D326" s="122">
        <f t="shared" ref="D326:D369" si="121">D325+1</f>
        <v>45979</v>
      </c>
      <c r="E326" s="123">
        <f t="shared" si="118"/>
        <v>1</v>
      </c>
      <c r="F326" s="123" t="s">
        <v>7</v>
      </c>
      <c r="G326" s="124">
        <f t="shared" si="94"/>
        <v>3940000</v>
      </c>
      <c r="H326" s="125">
        <f t="shared" si="94"/>
        <v>3.4000000000000002E-2</v>
      </c>
      <c r="I326" s="297">
        <f t="shared" si="115"/>
        <v>372.11111111111109</v>
      </c>
      <c r="J326" s="124">
        <f t="shared" si="119"/>
        <v>1010652.5583333342</v>
      </c>
      <c r="K326" s="9"/>
      <c r="L326" s="11" t="s">
        <v>192</v>
      </c>
      <c r="M326" s="306">
        <f t="shared" si="104"/>
        <v>5000000</v>
      </c>
      <c r="N326" s="97">
        <f t="shared" si="105"/>
        <v>3.9899999999999998E-2</v>
      </c>
      <c r="O326" s="421">
        <f t="shared" si="95"/>
        <v>554.16666666666663</v>
      </c>
      <c r="P326" s="304">
        <f t="shared" si="106"/>
        <v>7758.3333333333348</v>
      </c>
      <c r="Q326" s="307">
        <f t="shared" si="96"/>
        <v>81.9444444444444</v>
      </c>
      <c r="S326" s="11" t="s">
        <v>192</v>
      </c>
      <c r="T326" s="306">
        <f t="shared" si="107"/>
        <v>5000000</v>
      </c>
      <c r="U326" s="97">
        <f t="shared" si="108"/>
        <v>3.9199999999999999E-2</v>
      </c>
      <c r="V326" s="421">
        <f t="shared" si="97"/>
        <v>544.44444444444446</v>
      </c>
      <c r="W326" s="304">
        <f t="shared" si="98"/>
        <v>1088.8888888888889</v>
      </c>
      <c r="X326" s="307">
        <f t="shared" si="99"/>
        <v>72.222222222222229</v>
      </c>
      <c r="Z326" s="11" t="s">
        <v>192</v>
      </c>
      <c r="AA326" s="306">
        <f t="shared" si="109"/>
        <v>10000000</v>
      </c>
      <c r="AB326" s="97">
        <f t="shared" si="110"/>
        <v>3.7499999999999999E-2</v>
      </c>
      <c r="AC326" s="421">
        <f t="shared" si="100"/>
        <v>1041.6666666666667</v>
      </c>
      <c r="AD326" s="304">
        <f t="shared" si="111"/>
        <v>14583.33333333333</v>
      </c>
      <c r="AE326" s="307">
        <f t="shared" si="101"/>
        <v>97.222222222222285</v>
      </c>
      <c r="AG326" s="11" t="s">
        <v>192</v>
      </c>
      <c r="AH326" s="306">
        <f t="shared" si="112"/>
        <v>6000000</v>
      </c>
      <c r="AI326" s="97">
        <f t="shared" si="113"/>
        <v>3.73E-2</v>
      </c>
      <c r="AJ326" s="421">
        <f t="shared" si="102"/>
        <v>621.66666666666663</v>
      </c>
      <c r="AK326" s="304">
        <f t="shared" si="114"/>
        <v>8703.3333333333339</v>
      </c>
      <c r="AL326" s="307">
        <f t="shared" si="103"/>
        <v>54.999999999999886</v>
      </c>
      <c r="AN326" s="304">
        <f>'codeis $'!AB327</f>
        <v>226036759.19999999</v>
      </c>
      <c r="AO326" s="340">
        <f>'codeis $'!AH327</f>
        <v>4.1072381071910628E-2</v>
      </c>
      <c r="AP326" s="304">
        <f>'codeis $'!AE327</f>
        <v>76977.59999999404</v>
      </c>
      <c r="AQ326" s="304">
        <f>'codeis $'!AK327</f>
        <v>55753.134982216259</v>
      </c>
      <c r="AR326" s="9"/>
      <c r="AS326" s="9"/>
      <c r="AT326" s="123">
        <v>1</v>
      </c>
      <c r="AU326" s="123" t="s">
        <v>32</v>
      </c>
      <c r="AV326" s="124">
        <v>38852502.969999999</v>
      </c>
      <c r="AW326" s="139">
        <v>3.7499999999999999E-2</v>
      </c>
      <c r="AX326" s="123"/>
      <c r="AY326" s="425">
        <f t="shared" si="88"/>
        <v>3991.6955106164378</v>
      </c>
      <c r="AZ326" s="140">
        <f t="shared" si="93"/>
        <v>635104.54073826724</v>
      </c>
      <c r="BA326" s="140">
        <f t="shared" si="120"/>
        <v>322.29245233865959</v>
      </c>
      <c r="BC326" s="124">
        <f>'MM $'!G326</f>
        <v>40000000</v>
      </c>
      <c r="BD326" s="139">
        <f>'MM $'!H326</f>
        <v>3.839324999999949E-2</v>
      </c>
      <c r="BE326" s="431">
        <f>'MM $'!I326</f>
        <v>4265.9166666666097</v>
      </c>
      <c r="BF326" s="124">
        <f>'MM $'!L326</f>
        <v>488.13888888883184</v>
      </c>
      <c r="BH326" s="124">
        <f>'MM $'!N326</f>
        <v>40000000</v>
      </c>
      <c r="BI326" s="139">
        <f>'MM $'!P326</f>
        <v>3.8233830000001801E-2</v>
      </c>
      <c r="BJ326" s="431">
        <f>'MM $'!Q326</f>
        <v>4248.2033333335339</v>
      </c>
      <c r="BK326" s="124">
        <f>'MM $'!U326</f>
        <v>470.42555555575609</v>
      </c>
      <c r="BM326" s="124">
        <f>'MM $'!W326</f>
        <v>40000000</v>
      </c>
      <c r="BN326" s="139">
        <f>'MM $'!X326</f>
        <v>3.8280630000000482E-2</v>
      </c>
      <c r="BO326" s="431">
        <f>'MM $'!Y326</f>
        <v>4253.4033333333873</v>
      </c>
      <c r="BP326" s="124">
        <f>'MM $'!AB326</f>
        <v>475.62555555560948</v>
      </c>
      <c r="BR326" s="124">
        <f>'MM $'!AD326</f>
        <v>40000000</v>
      </c>
      <c r="BS326" s="139">
        <f>'MM $'!AE326</f>
        <v>3.8657655000000624E-2</v>
      </c>
      <c r="BT326" s="431">
        <f>'MM $'!AF326</f>
        <v>4295.2950000000692</v>
      </c>
      <c r="BU326" s="124">
        <f>'MM $'!AB326</f>
        <v>475.62555555560948</v>
      </c>
      <c r="BV326" s="439"/>
      <c r="BW326" s="120">
        <f t="shared" ref="BW326:BW369" si="122">AV326+G326+M326+T326+AA326+AH326+AN326+BC326+BH326+BM326+BR326</f>
        <v>454829262.16999996</v>
      </c>
      <c r="BX326" s="121">
        <f t="shared" si="90"/>
        <v>3.7499999999999999E-2</v>
      </c>
      <c r="BY326" s="121">
        <f t="shared" ref="BY326:BY369" si="123">(SUM((AW326*AV326),(H326*G326),(M326*N326),(T326*U326),(AA326*AB326),(AH326*AI326),(AN326*AO326),(BC326*BD326),(BH326*BI326),(BM326*BN326),(BR326*BS326))/BW326)</f>
        <v>3.9601039048285817E-2</v>
      </c>
      <c r="BZ326" s="120">
        <f t="shared" ref="BZ326:BZ369" si="124">AY326+I326+O326+V326+AC326+AJ326+AP326+BE326+BJ326+BO326+BT326</f>
        <v>101166.16939949965</v>
      </c>
      <c r="CA326" s="120">
        <f t="shared" ref="CA326:CA369" si="125">BA326+Q326+X326+AE326+AL326+AQ326+BF326+BK326+BP326+BU326</f>
        <v>58291.631878999622</v>
      </c>
    </row>
    <row r="327" spans="2:79" x14ac:dyDescent="0.25">
      <c r="B327" s="123" t="str">
        <f t="shared" si="116"/>
        <v>11 2025</v>
      </c>
      <c r="C327" s="122">
        <f t="shared" si="117"/>
        <v>45979</v>
      </c>
      <c r="D327" s="122">
        <f t="shared" si="121"/>
        <v>45980</v>
      </c>
      <c r="E327" s="123">
        <f t="shared" si="118"/>
        <v>1</v>
      </c>
      <c r="F327" s="123" t="s">
        <v>7</v>
      </c>
      <c r="G327" s="124">
        <f t="shared" ref="G327" si="126">G326</f>
        <v>3940000</v>
      </c>
      <c r="H327" s="125">
        <f t="shared" si="94"/>
        <v>3.4000000000000002E-2</v>
      </c>
      <c r="I327" s="297">
        <f t="shared" si="115"/>
        <v>372.11111111111109</v>
      </c>
      <c r="J327" s="124">
        <f t="shared" si="119"/>
        <v>1011024.6694444453</v>
      </c>
      <c r="K327" s="9"/>
      <c r="L327" s="11" t="s">
        <v>192</v>
      </c>
      <c r="M327" s="306">
        <f t="shared" si="104"/>
        <v>5000000</v>
      </c>
      <c r="N327" s="97">
        <f t="shared" si="105"/>
        <v>3.9899999999999998E-2</v>
      </c>
      <c r="O327" s="421">
        <f t="shared" si="95"/>
        <v>554.16666666666663</v>
      </c>
      <c r="P327" s="304">
        <f t="shared" si="106"/>
        <v>8312.5000000000018</v>
      </c>
      <c r="Q327" s="307">
        <f t="shared" si="96"/>
        <v>81.9444444444444</v>
      </c>
      <c r="S327" s="11" t="s">
        <v>192</v>
      </c>
      <c r="T327" s="306">
        <f t="shared" si="107"/>
        <v>5000000</v>
      </c>
      <c r="U327" s="97">
        <f t="shared" si="108"/>
        <v>3.9199999999999999E-2</v>
      </c>
      <c r="V327" s="421">
        <f t="shared" si="97"/>
        <v>544.44444444444446</v>
      </c>
      <c r="W327" s="304">
        <f t="shared" si="98"/>
        <v>1088.8888888888889</v>
      </c>
      <c r="X327" s="307">
        <f t="shared" si="99"/>
        <v>72.222222222222229</v>
      </c>
      <c r="Z327" s="11" t="s">
        <v>192</v>
      </c>
      <c r="AA327" s="306">
        <f t="shared" si="109"/>
        <v>10000000</v>
      </c>
      <c r="AB327" s="97">
        <f t="shared" si="110"/>
        <v>3.7499999999999999E-2</v>
      </c>
      <c r="AC327" s="421">
        <f t="shared" si="100"/>
        <v>1041.6666666666667</v>
      </c>
      <c r="AD327" s="304">
        <f t="shared" si="111"/>
        <v>15624.999999999996</v>
      </c>
      <c r="AE327" s="307">
        <f t="shared" si="101"/>
        <v>97.222222222222285</v>
      </c>
      <c r="AG327" s="11" t="s">
        <v>192</v>
      </c>
      <c r="AH327" s="306">
        <f t="shared" si="112"/>
        <v>6000000</v>
      </c>
      <c r="AI327" s="97">
        <f t="shared" si="113"/>
        <v>3.73E-2</v>
      </c>
      <c r="AJ327" s="421">
        <f t="shared" si="102"/>
        <v>621.66666666666663</v>
      </c>
      <c r="AK327" s="304">
        <f t="shared" si="114"/>
        <v>9325</v>
      </c>
      <c r="AL327" s="307">
        <f t="shared" si="103"/>
        <v>54.999999999999886</v>
      </c>
      <c r="AN327" s="304">
        <f>'codeis $'!AB328</f>
        <v>226062418.39999998</v>
      </c>
      <c r="AO327" s="340">
        <f>'codeis $'!AH328</f>
        <v>4.1072381071910628E-2</v>
      </c>
      <c r="AP327" s="304">
        <f>'codeis $'!AE328</f>
        <v>25659.199999988079</v>
      </c>
      <c r="AQ327" s="304">
        <f>'codeis $'!AK328</f>
        <v>4434.7349822102951</v>
      </c>
      <c r="AR327" s="9"/>
      <c r="AS327" s="9"/>
      <c r="AT327" s="123">
        <v>1</v>
      </c>
      <c r="AU327" s="123" t="s">
        <v>32</v>
      </c>
      <c r="AV327" s="124">
        <v>38841749.030000001</v>
      </c>
      <c r="AW327" s="139">
        <v>3.7499999999999999E-2</v>
      </c>
      <c r="AX327" s="123"/>
      <c r="AY327" s="425">
        <f t="shared" ref="AY327:AY369" si="127">AV327*AW327*AT327/365</f>
        <v>3990.5906537671235</v>
      </c>
      <c r="AZ327" s="140">
        <f t="shared" si="93"/>
        <v>639095.13139203435</v>
      </c>
      <c r="BA327" s="140">
        <f t="shared" si="120"/>
        <v>322.20324537823444</v>
      </c>
      <c r="BC327" s="124">
        <f>'MM $'!G327</f>
        <v>40000000</v>
      </c>
      <c r="BD327" s="139">
        <f>'MM $'!H327</f>
        <v>3.839324999999949E-2</v>
      </c>
      <c r="BE327" s="431">
        <f>'MM $'!I327</f>
        <v>4265.9166666666097</v>
      </c>
      <c r="BF327" s="124">
        <f>'MM $'!L327</f>
        <v>488.13888888883184</v>
      </c>
      <c r="BH327" s="124">
        <f>'MM $'!N327</f>
        <v>40000000</v>
      </c>
      <c r="BI327" s="139">
        <f>'MM $'!P327</f>
        <v>3.8233830000001801E-2</v>
      </c>
      <c r="BJ327" s="431">
        <f>'MM $'!Q327</f>
        <v>4248.2033333335339</v>
      </c>
      <c r="BK327" s="124">
        <f>'MM $'!U327</f>
        <v>470.42555555575609</v>
      </c>
      <c r="BM327" s="124">
        <f>'MM $'!W327</f>
        <v>40000000</v>
      </c>
      <c r="BN327" s="139">
        <f>'MM $'!X327</f>
        <v>3.8280630000000482E-2</v>
      </c>
      <c r="BO327" s="431">
        <f>'MM $'!Y327</f>
        <v>4253.4033333333873</v>
      </c>
      <c r="BP327" s="124">
        <f>'MM $'!AB327</f>
        <v>475.62555555560948</v>
      </c>
      <c r="BR327" s="124">
        <f>'MM $'!AD327</f>
        <v>40000000</v>
      </c>
      <c r="BS327" s="139">
        <f>'MM $'!AE327</f>
        <v>3.8657655000000624E-2</v>
      </c>
      <c r="BT327" s="431">
        <f>'MM $'!AF327</f>
        <v>4295.2950000000692</v>
      </c>
      <c r="BU327" s="124">
        <f>'MM $'!AB327</f>
        <v>475.62555555560948</v>
      </c>
      <c r="BV327" s="439"/>
      <c r="BW327" s="120">
        <f t="shared" si="122"/>
        <v>454844167.42999995</v>
      </c>
      <c r="BX327" s="121">
        <f t="shared" si="90"/>
        <v>3.7499999999999999E-2</v>
      </c>
      <c r="BY327" s="121">
        <f t="shared" si="123"/>
        <v>3.9601171726489554E-2</v>
      </c>
      <c r="BZ327" s="120">
        <f t="shared" si="124"/>
        <v>49846.664542644357</v>
      </c>
      <c r="CA327" s="120">
        <f t="shared" si="125"/>
        <v>6973.1426720332238</v>
      </c>
    </row>
    <row r="328" spans="2:79" x14ac:dyDescent="0.25">
      <c r="B328" s="123" t="str">
        <f t="shared" si="116"/>
        <v>11 2025</v>
      </c>
      <c r="C328" s="122">
        <f t="shared" si="117"/>
        <v>45980</v>
      </c>
      <c r="D328" s="122">
        <f t="shared" si="121"/>
        <v>45981</v>
      </c>
      <c r="E328" s="123">
        <f t="shared" si="118"/>
        <v>1</v>
      </c>
      <c r="F328" s="123" t="s">
        <v>7</v>
      </c>
      <c r="G328" s="124">
        <f t="shared" ref="G328:H343" si="128">G327</f>
        <v>3940000</v>
      </c>
      <c r="H328" s="125">
        <f t="shared" si="128"/>
        <v>3.4000000000000002E-2</v>
      </c>
      <c r="I328" s="297">
        <f t="shared" si="115"/>
        <v>372.11111111111109</v>
      </c>
      <c r="J328" s="124">
        <f t="shared" si="119"/>
        <v>1011396.7805555564</v>
      </c>
      <c r="K328" s="9"/>
      <c r="L328" s="11" t="s">
        <v>192</v>
      </c>
      <c r="M328" s="306">
        <f t="shared" si="104"/>
        <v>5000000</v>
      </c>
      <c r="N328" s="97">
        <f t="shared" si="105"/>
        <v>3.9899999999999998E-2</v>
      </c>
      <c r="O328" s="421">
        <f t="shared" si="95"/>
        <v>554.16666666666663</v>
      </c>
      <c r="P328" s="304">
        <f t="shared" si="106"/>
        <v>8866.6666666666679</v>
      </c>
      <c r="Q328" s="307">
        <f t="shared" si="96"/>
        <v>81.9444444444444</v>
      </c>
      <c r="S328" s="11" t="s">
        <v>192</v>
      </c>
      <c r="T328" s="306">
        <f t="shared" si="107"/>
        <v>5000000</v>
      </c>
      <c r="U328" s="97">
        <f t="shared" si="108"/>
        <v>3.9199999999999999E-2</v>
      </c>
      <c r="V328" s="421">
        <f t="shared" si="97"/>
        <v>544.44444444444446</v>
      </c>
      <c r="W328" s="304">
        <f t="shared" si="98"/>
        <v>1088.8888888888889</v>
      </c>
      <c r="X328" s="307">
        <f t="shared" si="99"/>
        <v>72.222222222222229</v>
      </c>
      <c r="Z328" s="11" t="s">
        <v>192</v>
      </c>
      <c r="AA328" s="306">
        <f t="shared" si="109"/>
        <v>10000000</v>
      </c>
      <c r="AB328" s="97">
        <f t="shared" si="110"/>
        <v>3.7499999999999999E-2</v>
      </c>
      <c r="AC328" s="421">
        <f t="shared" si="100"/>
        <v>1041.6666666666667</v>
      </c>
      <c r="AD328" s="304">
        <f t="shared" si="111"/>
        <v>16666.666666666664</v>
      </c>
      <c r="AE328" s="307">
        <f t="shared" si="101"/>
        <v>97.222222222222285</v>
      </c>
      <c r="AG328" s="11" t="s">
        <v>192</v>
      </c>
      <c r="AH328" s="306">
        <f t="shared" si="112"/>
        <v>6000000</v>
      </c>
      <c r="AI328" s="97">
        <f t="shared" si="113"/>
        <v>3.73E-2</v>
      </c>
      <c r="AJ328" s="421">
        <f t="shared" si="102"/>
        <v>621.66666666666663</v>
      </c>
      <c r="AK328" s="304">
        <f t="shared" si="114"/>
        <v>9946.6666666666661</v>
      </c>
      <c r="AL328" s="307">
        <f t="shared" si="103"/>
        <v>54.999999999999886</v>
      </c>
      <c r="AN328" s="304">
        <f>'codeis $'!AB329</f>
        <v>226087856.40000001</v>
      </c>
      <c r="AO328" s="340">
        <f>'codeis $'!AH329</f>
        <v>4.1072381071910628E-2</v>
      </c>
      <c r="AP328" s="304">
        <f>'codeis $'!AE329</f>
        <v>25438.000000029802</v>
      </c>
      <c r="AQ328" s="304">
        <f>'codeis $'!AK329</f>
        <v>4213.5349822520184</v>
      </c>
      <c r="AR328" s="9"/>
      <c r="AS328" s="9"/>
      <c r="AT328" s="123">
        <v>1</v>
      </c>
      <c r="AU328" s="123" t="s">
        <v>32</v>
      </c>
      <c r="AV328" s="124">
        <v>38851812.530000001</v>
      </c>
      <c r="AW328" s="139">
        <v>3.7499999999999999E-2</v>
      </c>
      <c r="AX328" s="123"/>
      <c r="AY328" s="425">
        <f t="shared" si="127"/>
        <v>3991.6245749999998</v>
      </c>
      <c r="AZ328" s="140">
        <f t="shared" si="93"/>
        <v>643086.75596703438</v>
      </c>
      <c r="BA328" s="140">
        <f t="shared" si="120"/>
        <v>322.2867249444439</v>
      </c>
      <c r="BC328" s="124">
        <f>'MM $'!G328</f>
        <v>40000000</v>
      </c>
      <c r="BD328" s="139">
        <f>'MM $'!H328</f>
        <v>3.839324999999949E-2</v>
      </c>
      <c r="BE328" s="431">
        <f>'MM $'!I328</f>
        <v>4265.9166666666097</v>
      </c>
      <c r="BF328" s="124">
        <f>'MM $'!L328</f>
        <v>488.13888888883184</v>
      </c>
      <c r="BH328" s="124">
        <f>'MM $'!N328</f>
        <v>40000000</v>
      </c>
      <c r="BI328" s="139">
        <f>'MM $'!P328</f>
        <v>3.8233830000001801E-2</v>
      </c>
      <c r="BJ328" s="431">
        <f>'MM $'!Q328</f>
        <v>4248.2033333335339</v>
      </c>
      <c r="BK328" s="124">
        <f>'MM $'!U328</f>
        <v>470.42555555575609</v>
      </c>
      <c r="BM328" s="124">
        <f>'MM $'!W328</f>
        <v>40000000</v>
      </c>
      <c r="BN328" s="139">
        <f>'MM $'!X328</f>
        <v>3.8280630000000482E-2</v>
      </c>
      <c r="BO328" s="431">
        <f>'MM $'!Y328</f>
        <v>4253.4033333333873</v>
      </c>
      <c r="BP328" s="124">
        <f>'MM $'!AB328</f>
        <v>475.62555555560948</v>
      </c>
      <c r="BR328" s="124">
        <f>'MM $'!AD328</f>
        <v>40000000</v>
      </c>
      <c r="BS328" s="139">
        <f>'MM $'!AE328</f>
        <v>3.8657655000000624E-2</v>
      </c>
      <c r="BT328" s="431">
        <f>'MM $'!AF328</f>
        <v>4295.2950000000692</v>
      </c>
      <c r="BU328" s="124">
        <f>'MM $'!AB328</f>
        <v>475.62555555560948</v>
      </c>
      <c r="BV328" s="439"/>
      <c r="BW328" s="120">
        <f t="shared" si="122"/>
        <v>454879668.93000001</v>
      </c>
      <c r="BX328" s="121">
        <f t="shared" si="90"/>
        <v>3.7499999999999999E-2</v>
      </c>
      <c r="BY328" s="121">
        <f t="shared" si="123"/>
        <v>3.9601207515034896E-2</v>
      </c>
      <c r="BZ328" s="120">
        <f t="shared" si="124"/>
        <v>49626.498463918964</v>
      </c>
      <c r="CA328" s="120">
        <f t="shared" si="125"/>
        <v>6752.0261516411574</v>
      </c>
    </row>
    <row r="329" spans="2:79" x14ac:dyDescent="0.25">
      <c r="B329" s="123" t="str">
        <f t="shared" si="116"/>
        <v>11 2025</v>
      </c>
      <c r="C329" s="122">
        <f t="shared" si="117"/>
        <v>45981</v>
      </c>
      <c r="D329" s="122">
        <f t="shared" si="121"/>
        <v>45982</v>
      </c>
      <c r="E329" s="123">
        <f t="shared" si="118"/>
        <v>1</v>
      </c>
      <c r="F329" s="123" t="s">
        <v>7</v>
      </c>
      <c r="G329" s="124">
        <f t="shared" ref="G329" si="129">G328</f>
        <v>3940000</v>
      </c>
      <c r="H329" s="125">
        <f t="shared" si="128"/>
        <v>3.4000000000000002E-2</v>
      </c>
      <c r="I329" s="297">
        <f t="shared" si="115"/>
        <v>372.11111111111109</v>
      </c>
      <c r="J329" s="124">
        <f t="shared" si="119"/>
        <v>1011768.8916666675</v>
      </c>
      <c r="K329" s="9"/>
      <c r="L329" s="11" t="s">
        <v>192</v>
      </c>
      <c r="M329" s="306">
        <f t="shared" si="104"/>
        <v>5000000</v>
      </c>
      <c r="N329" s="97">
        <f t="shared" si="105"/>
        <v>3.9899999999999998E-2</v>
      </c>
      <c r="O329" s="421">
        <f t="shared" si="95"/>
        <v>554.16666666666663</v>
      </c>
      <c r="P329" s="304">
        <f t="shared" si="106"/>
        <v>9420.8333333333339</v>
      </c>
      <c r="Q329" s="307">
        <f t="shared" si="96"/>
        <v>81.9444444444444</v>
      </c>
      <c r="S329" s="11" t="s">
        <v>192</v>
      </c>
      <c r="T329" s="306">
        <f t="shared" si="107"/>
        <v>5000000</v>
      </c>
      <c r="U329" s="97">
        <f t="shared" si="108"/>
        <v>3.9199999999999999E-2</v>
      </c>
      <c r="V329" s="421">
        <f t="shared" si="97"/>
        <v>544.44444444444446</v>
      </c>
      <c r="W329" s="304">
        <f t="shared" si="98"/>
        <v>1088.8888888888889</v>
      </c>
      <c r="X329" s="307">
        <f t="shared" si="99"/>
        <v>72.222222222222229</v>
      </c>
      <c r="Z329" s="11" t="s">
        <v>192</v>
      </c>
      <c r="AA329" s="306">
        <f t="shared" si="109"/>
        <v>10000000</v>
      </c>
      <c r="AB329" s="97">
        <f t="shared" si="110"/>
        <v>3.7499999999999999E-2</v>
      </c>
      <c r="AC329" s="421">
        <f t="shared" si="100"/>
        <v>1041.6666666666667</v>
      </c>
      <c r="AD329" s="304">
        <f t="shared" si="111"/>
        <v>17708.333333333332</v>
      </c>
      <c r="AE329" s="307">
        <f t="shared" si="101"/>
        <v>97.222222222222285</v>
      </c>
      <c r="AG329" s="11" t="s">
        <v>192</v>
      </c>
      <c r="AH329" s="306">
        <f t="shared" si="112"/>
        <v>6000000</v>
      </c>
      <c r="AI329" s="97">
        <f t="shared" si="113"/>
        <v>3.73E-2</v>
      </c>
      <c r="AJ329" s="421">
        <f t="shared" si="102"/>
        <v>621.66666666666663</v>
      </c>
      <c r="AK329" s="304">
        <f t="shared" si="114"/>
        <v>10568.333333333332</v>
      </c>
      <c r="AL329" s="307">
        <f t="shared" si="103"/>
        <v>54.999999999999886</v>
      </c>
      <c r="AN329" s="304">
        <f>'codeis $'!AB330</f>
        <v>226113736.79999998</v>
      </c>
      <c r="AO329" s="340">
        <f>'codeis $'!AH330</f>
        <v>4.1072381071910628E-2</v>
      </c>
      <c r="AP329" s="304">
        <f>'codeis $'!AE330</f>
        <v>25880.399999976158</v>
      </c>
      <c r="AQ329" s="304">
        <f>'codeis $'!AK330</f>
        <v>4655.9349821983742</v>
      </c>
      <c r="AR329" s="9"/>
      <c r="AS329" s="9"/>
      <c r="AT329" s="123">
        <v>1</v>
      </c>
      <c r="AU329" s="123" t="s">
        <v>32</v>
      </c>
      <c r="AV329" s="124">
        <v>38855804.149999999</v>
      </c>
      <c r="AW329" s="139">
        <v>3.7499999999999999E-2</v>
      </c>
      <c r="AX329" s="123"/>
      <c r="AY329" s="425">
        <f t="shared" si="127"/>
        <v>3992.0346729452053</v>
      </c>
      <c r="AZ329" s="140">
        <f t="shared" si="93"/>
        <v>647078.79063997953</v>
      </c>
      <c r="BA329" s="140">
        <f t="shared" si="120"/>
        <v>322.3198365563162</v>
      </c>
      <c r="BC329" s="124">
        <f>'MM $'!G329</f>
        <v>40000000</v>
      </c>
      <c r="BD329" s="139">
        <f>'MM $'!H329</f>
        <v>3.839324999999949E-2</v>
      </c>
      <c r="BE329" s="431">
        <f>'MM $'!I329</f>
        <v>4265.9166666666097</v>
      </c>
      <c r="BF329" s="124">
        <f>'MM $'!L329</f>
        <v>488.13888888883184</v>
      </c>
      <c r="BH329" s="124">
        <f>'MM $'!N329</f>
        <v>40000000</v>
      </c>
      <c r="BI329" s="139">
        <f>'MM $'!P329</f>
        <v>3.8233830000001801E-2</v>
      </c>
      <c r="BJ329" s="431">
        <f>'MM $'!Q329</f>
        <v>4248.2033333335339</v>
      </c>
      <c r="BK329" s="124">
        <f>'MM $'!U329</f>
        <v>470.42555555575609</v>
      </c>
      <c r="BM329" s="124">
        <f>'MM $'!W329</f>
        <v>40000000</v>
      </c>
      <c r="BN329" s="139">
        <f>'MM $'!X329</f>
        <v>3.8280630000000482E-2</v>
      </c>
      <c r="BO329" s="431">
        <f>'MM $'!Y329</f>
        <v>4253.4033333333873</v>
      </c>
      <c r="BP329" s="124">
        <f>'MM $'!AB329</f>
        <v>475.62555555560948</v>
      </c>
      <c r="BR329" s="124">
        <f>'MM $'!AD329</f>
        <v>40000000</v>
      </c>
      <c r="BS329" s="139">
        <f>'MM $'!AE329</f>
        <v>3.8657655000000624E-2</v>
      </c>
      <c r="BT329" s="431">
        <f>'MM $'!AF329</f>
        <v>4295.2950000000692</v>
      </c>
      <c r="BU329" s="124">
        <f>'MM $'!AB329</f>
        <v>475.62555555560948</v>
      </c>
      <c r="BV329" s="439"/>
      <c r="BW329" s="120">
        <f t="shared" si="122"/>
        <v>454909540.94999999</v>
      </c>
      <c r="BX329" s="121">
        <f t="shared" si="90"/>
        <v>3.7499999999999999E-2</v>
      </c>
      <c r="BY329" s="121">
        <f t="shared" si="123"/>
        <v>3.9601272774906382E-2</v>
      </c>
      <c r="BZ329" s="120">
        <f t="shared" si="124"/>
        <v>50069.308561810525</v>
      </c>
      <c r="CA329" s="120">
        <f t="shared" si="125"/>
        <v>7194.4592631993855</v>
      </c>
    </row>
    <row r="330" spans="2:79" x14ac:dyDescent="0.25">
      <c r="B330" s="123" t="str">
        <f t="shared" si="116"/>
        <v>11 2025</v>
      </c>
      <c r="C330" s="122">
        <f t="shared" si="117"/>
        <v>45982</v>
      </c>
      <c r="D330" s="122">
        <f t="shared" si="121"/>
        <v>45983</v>
      </c>
      <c r="E330" s="123">
        <f t="shared" si="118"/>
        <v>1</v>
      </c>
      <c r="F330" s="123" t="s">
        <v>7</v>
      </c>
      <c r="G330" s="124">
        <f t="shared" ref="G330" si="130">G329</f>
        <v>3940000</v>
      </c>
      <c r="H330" s="125">
        <f t="shared" si="128"/>
        <v>3.4000000000000002E-2</v>
      </c>
      <c r="I330" s="297">
        <f t="shared" si="115"/>
        <v>372.11111111111109</v>
      </c>
      <c r="J330" s="124">
        <f t="shared" si="119"/>
        <v>1012141.0027777787</v>
      </c>
      <c r="K330" s="9"/>
      <c r="L330" s="11" t="s">
        <v>192</v>
      </c>
      <c r="M330" s="306">
        <f t="shared" si="104"/>
        <v>5000000</v>
      </c>
      <c r="N330" s="97">
        <f t="shared" si="105"/>
        <v>3.9899999999999998E-2</v>
      </c>
      <c r="O330" s="421">
        <f t="shared" si="95"/>
        <v>554.16666666666663</v>
      </c>
      <c r="P330" s="304">
        <f t="shared" si="106"/>
        <v>9975</v>
      </c>
      <c r="Q330" s="307">
        <f t="shared" si="96"/>
        <v>81.9444444444444</v>
      </c>
      <c r="S330" s="11" t="s">
        <v>192</v>
      </c>
      <c r="T330" s="306">
        <f t="shared" si="107"/>
        <v>5000000</v>
      </c>
      <c r="U330" s="97">
        <f t="shared" si="108"/>
        <v>3.9199999999999999E-2</v>
      </c>
      <c r="V330" s="421">
        <f t="shared" si="97"/>
        <v>544.44444444444446</v>
      </c>
      <c r="W330" s="304">
        <f t="shared" si="98"/>
        <v>1088.8888888888889</v>
      </c>
      <c r="X330" s="307">
        <f t="shared" si="99"/>
        <v>72.222222222222229</v>
      </c>
      <c r="Z330" s="11" t="s">
        <v>192</v>
      </c>
      <c r="AA330" s="306">
        <f t="shared" si="109"/>
        <v>10000000</v>
      </c>
      <c r="AB330" s="97">
        <f t="shared" si="110"/>
        <v>3.7499999999999999E-2</v>
      </c>
      <c r="AC330" s="421">
        <f t="shared" si="100"/>
        <v>1041.6666666666667</v>
      </c>
      <c r="AD330" s="304">
        <f t="shared" si="111"/>
        <v>18750</v>
      </c>
      <c r="AE330" s="307">
        <f t="shared" si="101"/>
        <v>97.222222222222285</v>
      </c>
      <c r="AG330" s="11" t="s">
        <v>192</v>
      </c>
      <c r="AH330" s="306">
        <f t="shared" si="112"/>
        <v>6000000</v>
      </c>
      <c r="AI330" s="97">
        <f t="shared" si="113"/>
        <v>3.73E-2</v>
      </c>
      <c r="AJ330" s="421">
        <f t="shared" si="102"/>
        <v>621.66666666666663</v>
      </c>
      <c r="AK330" s="304">
        <f t="shared" si="114"/>
        <v>11189.999999999998</v>
      </c>
      <c r="AL330" s="307">
        <f t="shared" si="103"/>
        <v>54.999999999999886</v>
      </c>
      <c r="AN330" s="304">
        <f>'codeis $'!AB331</f>
        <v>226138953.59999996</v>
      </c>
      <c r="AO330" s="340">
        <f>'codeis $'!AH331</f>
        <v>4.1072381071910628E-2</v>
      </c>
      <c r="AP330" s="304">
        <f>'codeis $'!AE331</f>
        <v>25216.799999982119</v>
      </c>
      <c r="AQ330" s="304">
        <f>'codeis $'!AK331</f>
        <v>3992.3349822043347</v>
      </c>
      <c r="AR330" s="9"/>
      <c r="AS330" s="9"/>
      <c r="AT330" s="123">
        <v>1</v>
      </c>
      <c r="AU330" s="123" t="s">
        <v>32</v>
      </c>
      <c r="AV330" s="481">
        <v>38859796.18</v>
      </c>
      <c r="AW330" s="139">
        <v>3.7499999999999999E-2</v>
      </c>
      <c r="AX330" s="123"/>
      <c r="AY330" s="425">
        <f t="shared" si="127"/>
        <v>3992.4448130136989</v>
      </c>
      <c r="AZ330" s="140">
        <f t="shared" si="93"/>
        <v>651071.23545299319</v>
      </c>
      <c r="BA330" s="140">
        <f t="shared" si="120"/>
        <v>322.3529515692544</v>
      </c>
      <c r="BC330" s="124">
        <f>'MM $'!G330</f>
        <v>40000000</v>
      </c>
      <c r="BD330" s="139">
        <f>'MM $'!H330</f>
        <v>3.839324999999949E-2</v>
      </c>
      <c r="BE330" s="431">
        <f>'MM $'!I330</f>
        <v>4265.9166666666097</v>
      </c>
      <c r="BF330" s="124">
        <f>'MM $'!L330</f>
        <v>488.13888888883184</v>
      </c>
      <c r="BH330" s="124">
        <f>'MM $'!N330</f>
        <v>40000000</v>
      </c>
      <c r="BI330" s="139">
        <f>'MM $'!P330</f>
        <v>3.8233830000001801E-2</v>
      </c>
      <c r="BJ330" s="431">
        <f>'MM $'!Q330</f>
        <v>4248.2033333335339</v>
      </c>
      <c r="BK330" s="124">
        <f>'MM $'!U330</f>
        <v>470.42555555575609</v>
      </c>
      <c r="BM330" s="124">
        <f>'MM $'!W330</f>
        <v>40000000</v>
      </c>
      <c r="BN330" s="139">
        <f>'MM $'!X330</f>
        <v>3.8280630000000482E-2</v>
      </c>
      <c r="BO330" s="431">
        <f>'MM $'!Y330</f>
        <v>4253.4033333333873</v>
      </c>
      <c r="BP330" s="124">
        <f>'MM $'!AB330</f>
        <v>475.62555555560948</v>
      </c>
      <c r="BR330" s="124">
        <f>'MM $'!AD330</f>
        <v>40000000</v>
      </c>
      <c r="BS330" s="139">
        <f>'MM $'!AE330</f>
        <v>3.8657655000000624E-2</v>
      </c>
      <c r="BT330" s="431">
        <f>'MM $'!AF330</f>
        <v>4295.2950000000692</v>
      </c>
      <c r="BU330" s="124">
        <f>'MM $'!AB330</f>
        <v>475.62555555560948</v>
      </c>
      <c r="BV330" s="439"/>
      <c r="BW330" s="120">
        <f t="shared" si="122"/>
        <v>454938749.77999997</v>
      </c>
      <c r="BX330" s="121">
        <f t="shared" si="90"/>
        <v>3.7499999999999999E-2</v>
      </c>
      <c r="BY330" s="121">
        <f t="shared" si="123"/>
        <v>3.9601335878565423E-2</v>
      </c>
      <c r="BZ330" s="120">
        <f t="shared" si="124"/>
        <v>49406.118701884974</v>
      </c>
      <c r="CA330" s="120">
        <f t="shared" si="125"/>
        <v>6530.8923782182828</v>
      </c>
    </row>
    <row r="331" spans="2:79" x14ac:dyDescent="0.25">
      <c r="B331" s="123" t="str">
        <f t="shared" si="116"/>
        <v>11 2025</v>
      </c>
      <c r="C331" s="122">
        <f t="shared" si="117"/>
        <v>45983</v>
      </c>
      <c r="D331" s="122">
        <f t="shared" si="121"/>
        <v>45984</v>
      </c>
      <c r="E331" s="123">
        <f t="shared" si="118"/>
        <v>1</v>
      </c>
      <c r="F331" s="123" t="s">
        <v>7</v>
      </c>
      <c r="G331" s="124">
        <f t="shared" ref="G331" si="131">G330</f>
        <v>3940000</v>
      </c>
      <c r="H331" s="125">
        <f t="shared" si="128"/>
        <v>3.4000000000000002E-2</v>
      </c>
      <c r="I331" s="297">
        <f t="shared" si="115"/>
        <v>372.11111111111109</v>
      </c>
      <c r="J331" s="124">
        <f t="shared" si="119"/>
        <v>1012513.1138888898</v>
      </c>
      <c r="K331" s="9"/>
      <c r="L331" s="11" t="s">
        <v>192</v>
      </c>
      <c r="M331" s="306">
        <f t="shared" si="104"/>
        <v>5000000</v>
      </c>
      <c r="N331" s="97">
        <f t="shared" si="105"/>
        <v>3.9899999999999998E-2</v>
      </c>
      <c r="O331" s="421">
        <f t="shared" si="95"/>
        <v>554.16666666666663</v>
      </c>
      <c r="P331" s="304">
        <f t="shared" si="106"/>
        <v>10529.166666666666</v>
      </c>
      <c r="Q331" s="307">
        <f t="shared" si="96"/>
        <v>81.9444444444444</v>
      </c>
      <c r="S331" s="11" t="s">
        <v>192</v>
      </c>
      <c r="T331" s="306">
        <f t="shared" si="107"/>
        <v>5000000</v>
      </c>
      <c r="U331" s="97">
        <f t="shared" si="108"/>
        <v>3.9199999999999999E-2</v>
      </c>
      <c r="V331" s="421">
        <f t="shared" si="97"/>
        <v>544.44444444444446</v>
      </c>
      <c r="W331" s="304">
        <f t="shared" si="98"/>
        <v>1088.8888888888889</v>
      </c>
      <c r="X331" s="307">
        <f t="shared" si="99"/>
        <v>72.222222222222229</v>
      </c>
      <c r="Z331" s="11" t="s">
        <v>192</v>
      </c>
      <c r="AA331" s="306">
        <f t="shared" si="109"/>
        <v>10000000</v>
      </c>
      <c r="AB331" s="97">
        <f t="shared" si="110"/>
        <v>3.7499999999999999E-2</v>
      </c>
      <c r="AC331" s="421">
        <f t="shared" si="100"/>
        <v>1041.6666666666667</v>
      </c>
      <c r="AD331" s="304">
        <f t="shared" si="111"/>
        <v>19791.666666666668</v>
      </c>
      <c r="AE331" s="307">
        <f t="shared" si="101"/>
        <v>97.222222222222285</v>
      </c>
      <c r="AG331" s="11" t="s">
        <v>192</v>
      </c>
      <c r="AH331" s="306">
        <f t="shared" si="112"/>
        <v>6000000</v>
      </c>
      <c r="AI331" s="97">
        <f t="shared" si="113"/>
        <v>3.73E-2</v>
      </c>
      <c r="AJ331" s="421">
        <f t="shared" si="102"/>
        <v>621.66666666666663</v>
      </c>
      <c r="AK331" s="304">
        <f t="shared" si="114"/>
        <v>11811.666666666664</v>
      </c>
      <c r="AL331" s="307">
        <f t="shared" si="103"/>
        <v>54.999999999999886</v>
      </c>
      <c r="AN331" s="304">
        <f>'codeis $'!AB332</f>
        <v>226138953.59999996</v>
      </c>
      <c r="AO331" s="340">
        <f>'codeis $'!AH332</f>
        <v>4.1072381071910628E-2</v>
      </c>
      <c r="AP331" s="304">
        <f>'codeis $'!AE332</f>
        <v>0</v>
      </c>
      <c r="AQ331" s="304">
        <f>'codeis $'!AK332</f>
        <v>-21224.465017777784</v>
      </c>
      <c r="AR331" s="9"/>
      <c r="AS331" s="9"/>
      <c r="AT331" s="123">
        <v>1</v>
      </c>
      <c r="AU331" s="123" t="s">
        <v>32</v>
      </c>
      <c r="AV331" s="481">
        <v>38859796.18</v>
      </c>
      <c r="AW331" s="139">
        <v>3.7499999999999999E-2</v>
      </c>
      <c r="AX331" s="123"/>
      <c r="AY331" s="425">
        <f t="shared" si="127"/>
        <v>3992.4448130136989</v>
      </c>
      <c r="AZ331" s="140">
        <f t="shared" si="93"/>
        <v>655063.68026600685</v>
      </c>
      <c r="BA331" s="140">
        <f t="shared" si="120"/>
        <v>322.3529515692544</v>
      </c>
      <c r="BC331" s="124">
        <f>'MM $'!G331</f>
        <v>40000000</v>
      </c>
      <c r="BD331" s="139">
        <f>'MM $'!H331</f>
        <v>3.839324999999949E-2</v>
      </c>
      <c r="BE331" s="431">
        <f>'MM $'!I331</f>
        <v>4265.9166666666097</v>
      </c>
      <c r="BF331" s="124">
        <f>'MM $'!L331</f>
        <v>488.13888888883184</v>
      </c>
      <c r="BH331" s="124">
        <f>'MM $'!N331</f>
        <v>40000000</v>
      </c>
      <c r="BI331" s="139">
        <f>'MM $'!P331</f>
        <v>3.8233830000001801E-2</v>
      </c>
      <c r="BJ331" s="431">
        <f>'MM $'!Q331</f>
        <v>4248.2033333335339</v>
      </c>
      <c r="BK331" s="124">
        <f>'MM $'!U331</f>
        <v>470.42555555575609</v>
      </c>
      <c r="BM331" s="124">
        <f>'MM $'!W331</f>
        <v>40000000</v>
      </c>
      <c r="BN331" s="139">
        <f>'MM $'!X331</f>
        <v>3.8280630000000482E-2</v>
      </c>
      <c r="BO331" s="431">
        <f>'MM $'!Y331</f>
        <v>4253.4033333333873</v>
      </c>
      <c r="BP331" s="124">
        <f>'MM $'!AB331</f>
        <v>475.62555555560948</v>
      </c>
      <c r="BR331" s="124">
        <f>'MM $'!AD331</f>
        <v>40000000</v>
      </c>
      <c r="BS331" s="139">
        <f>'MM $'!AE331</f>
        <v>3.8657655000000624E-2</v>
      </c>
      <c r="BT331" s="431">
        <f>'MM $'!AF331</f>
        <v>4295.2950000000692</v>
      </c>
      <c r="BU331" s="124">
        <f>'MM $'!AB331</f>
        <v>475.62555555560948</v>
      </c>
      <c r="BV331" s="439"/>
      <c r="BW331" s="120">
        <f t="shared" si="122"/>
        <v>454938749.77999997</v>
      </c>
      <c r="BX331" s="121">
        <f t="shared" si="90"/>
        <v>3.7499999999999999E-2</v>
      </c>
      <c r="BY331" s="121">
        <f t="shared" si="123"/>
        <v>3.9601335878565423E-2</v>
      </c>
      <c r="BZ331" s="120">
        <f t="shared" si="124"/>
        <v>24189.318701902856</v>
      </c>
      <c r="CA331" s="120">
        <f t="shared" si="125"/>
        <v>-18685.907621763832</v>
      </c>
    </row>
    <row r="332" spans="2:79" x14ac:dyDescent="0.25">
      <c r="B332" s="123" t="str">
        <f t="shared" si="116"/>
        <v>11 2025</v>
      </c>
      <c r="C332" s="122">
        <f t="shared" si="117"/>
        <v>45984</v>
      </c>
      <c r="D332" s="122">
        <f t="shared" si="121"/>
        <v>45985</v>
      </c>
      <c r="E332" s="123">
        <f t="shared" si="118"/>
        <v>1</v>
      </c>
      <c r="F332" s="123" t="s">
        <v>7</v>
      </c>
      <c r="G332" s="124">
        <f t="shared" ref="G332" si="132">G331</f>
        <v>3940000</v>
      </c>
      <c r="H332" s="125">
        <f t="shared" si="128"/>
        <v>3.4000000000000002E-2</v>
      </c>
      <c r="I332" s="297">
        <f t="shared" si="115"/>
        <v>372.11111111111109</v>
      </c>
      <c r="J332" s="124">
        <f t="shared" si="119"/>
        <v>1012885.2250000009</v>
      </c>
      <c r="K332" s="9"/>
      <c r="L332" s="11" t="s">
        <v>192</v>
      </c>
      <c r="M332" s="306">
        <f t="shared" si="104"/>
        <v>5000000</v>
      </c>
      <c r="N332" s="97">
        <f t="shared" si="105"/>
        <v>3.9899999999999998E-2</v>
      </c>
      <c r="O332" s="421">
        <f t="shared" si="95"/>
        <v>554.16666666666663</v>
      </c>
      <c r="P332" s="304">
        <f t="shared" si="106"/>
        <v>11083.333333333332</v>
      </c>
      <c r="Q332" s="307">
        <f t="shared" si="96"/>
        <v>81.9444444444444</v>
      </c>
      <c r="S332" s="11" t="s">
        <v>192</v>
      </c>
      <c r="T332" s="306">
        <f t="shared" si="107"/>
        <v>5000000</v>
      </c>
      <c r="U332" s="97">
        <f t="shared" si="108"/>
        <v>3.9199999999999999E-2</v>
      </c>
      <c r="V332" s="421">
        <f t="shared" si="97"/>
        <v>544.44444444444446</v>
      </c>
      <c r="W332" s="304">
        <f t="shared" si="98"/>
        <v>1088.8888888888889</v>
      </c>
      <c r="X332" s="307">
        <f t="shared" si="99"/>
        <v>72.222222222222229</v>
      </c>
      <c r="Z332" s="11" t="s">
        <v>192</v>
      </c>
      <c r="AA332" s="306">
        <f t="shared" si="109"/>
        <v>10000000</v>
      </c>
      <c r="AB332" s="97">
        <f t="shared" si="110"/>
        <v>3.7499999999999999E-2</v>
      </c>
      <c r="AC332" s="421">
        <f t="shared" si="100"/>
        <v>1041.6666666666667</v>
      </c>
      <c r="AD332" s="304">
        <f t="shared" si="111"/>
        <v>20833.333333333336</v>
      </c>
      <c r="AE332" s="307">
        <f t="shared" si="101"/>
        <v>97.222222222222285</v>
      </c>
      <c r="AG332" s="11" t="s">
        <v>192</v>
      </c>
      <c r="AH332" s="306">
        <f t="shared" si="112"/>
        <v>6000000</v>
      </c>
      <c r="AI332" s="97">
        <f t="shared" si="113"/>
        <v>3.73E-2</v>
      </c>
      <c r="AJ332" s="421">
        <f t="shared" si="102"/>
        <v>621.66666666666663</v>
      </c>
      <c r="AK332" s="304">
        <f t="shared" si="114"/>
        <v>12433.33333333333</v>
      </c>
      <c r="AL332" s="307">
        <f t="shared" si="103"/>
        <v>54.999999999999886</v>
      </c>
      <c r="AN332" s="304">
        <f>'codeis $'!AB333</f>
        <v>226138953.59999996</v>
      </c>
      <c r="AO332" s="340">
        <f>'codeis $'!AH333</f>
        <v>4.1072381071910628E-2</v>
      </c>
      <c r="AP332" s="304">
        <f>'codeis $'!AE333</f>
        <v>0</v>
      </c>
      <c r="AQ332" s="304">
        <f>'codeis $'!AK333</f>
        <v>-21224.465017777784</v>
      </c>
      <c r="AR332" s="9"/>
      <c r="AS332" s="9"/>
      <c r="AT332" s="123">
        <v>1</v>
      </c>
      <c r="AU332" s="123" t="s">
        <v>32</v>
      </c>
      <c r="AV332" s="481">
        <v>38859796.18</v>
      </c>
      <c r="AW332" s="139">
        <v>3.7499999999999999E-2</v>
      </c>
      <c r="AX332" s="123"/>
      <c r="AY332" s="425">
        <f t="shared" si="127"/>
        <v>3992.4448130136989</v>
      </c>
      <c r="AZ332" s="140">
        <f t="shared" si="93"/>
        <v>659056.12507902051</v>
      </c>
      <c r="BA332" s="140">
        <f t="shared" si="120"/>
        <v>322.3529515692544</v>
      </c>
      <c r="BC332" s="124">
        <f>'MM $'!G332</f>
        <v>40000000</v>
      </c>
      <c r="BD332" s="139">
        <f>'MM $'!H332</f>
        <v>3.839324999999949E-2</v>
      </c>
      <c r="BE332" s="431">
        <f>'MM $'!I332</f>
        <v>4265.9166666666097</v>
      </c>
      <c r="BF332" s="124">
        <f>'MM $'!L332</f>
        <v>488.13888888883184</v>
      </c>
      <c r="BH332" s="124">
        <f>'MM $'!N332</f>
        <v>40000000</v>
      </c>
      <c r="BI332" s="139">
        <f>'MM $'!P332</f>
        <v>3.8233830000001801E-2</v>
      </c>
      <c r="BJ332" s="431">
        <f>'MM $'!Q332</f>
        <v>4248.2033333335339</v>
      </c>
      <c r="BK332" s="124">
        <f>'MM $'!U332</f>
        <v>470.42555555575609</v>
      </c>
      <c r="BM332" s="124">
        <f>'MM $'!W332</f>
        <v>40000000</v>
      </c>
      <c r="BN332" s="139">
        <f>'MM $'!X332</f>
        <v>3.8280630000000482E-2</v>
      </c>
      <c r="BO332" s="431">
        <f>'MM $'!Y332</f>
        <v>4253.4033333333873</v>
      </c>
      <c r="BP332" s="124">
        <f>'MM $'!AB332</f>
        <v>475.62555555560948</v>
      </c>
      <c r="BR332" s="124">
        <f>'MM $'!AD332</f>
        <v>40000000</v>
      </c>
      <c r="BS332" s="139">
        <f>'MM $'!AE332</f>
        <v>3.8657655000000624E-2</v>
      </c>
      <c r="BT332" s="431">
        <f>'MM $'!AF332</f>
        <v>4295.2950000000692</v>
      </c>
      <c r="BU332" s="124">
        <f>'MM $'!AB332</f>
        <v>475.62555555560948</v>
      </c>
      <c r="BV332" s="439"/>
      <c r="BW332" s="120">
        <f t="shared" si="122"/>
        <v>454938749.77999997</v>
      </c>
      <c r="BX332" s="121">
        <f t="shared" ref="BX332:BX368" si="133">BX331</f>
        <v>3.7499999999999999E-2</v>
      </c>
      <c r="BY332" s="121">
        <f t="shared" si="123"/>
        <v>3.9601335878565423E-2</v>
      </c>
      <c r="BZ332" s="120">
        <f t="shared" si="124"/>
        <v>24189.318701902856</v>
      </c>
      <c r="CA332" s="120">
        <f t="shared" si="125"/>
        <v>-18685.907621763832</v>
      </c>
    </row>
    <row r="333" spans="2:79" x14ac:dyDescent="0.25">
      <c r="B333" s="123" t="str">
        <f t="shared" si="116"/>
        <v>11 2025</v>
      </c>
      <c r="C333" s="122">
        <f t="shared" si="117"/>
        <v>45985</v>
      </c>
      <c r="D333" s="122">
        <f t="shared" si="121"/>
        <v>45986</v>
      </c>
      <c r="E333" s="123">
        <f t="shared" si="118"/>
        <v>1</v>
      </c>
      <c r="F333" s="123" t="s">
        <v>7</v>
      </c>
      <c r="G333" s="124">
        <f t="shared" ref="G333" si="134">G332</f>
        <v>3940000</v>
      </c>
      <c r="H333" s="125">
        <f t="shared" si="128"/>
        <v>3.4000000000000002E-2</v>
      </c>
      <c r="I333" s="297">
        <f t="shared" si="115"/>
        <v>372.11111111111109</v>
      </c>
      <c r="J333" s="124">
        <f t="shared" si="119"/>
        <v>1013257.336111112</v>
      </c>
      <c r="K333" s="9"/>
      <c r="L333" s="11" t="s">
        <v>192</v>
      </c>
      <c r="M333" s="306">
        <f t="shared" si="104"/>
        <v>5000000</v>
      </c>
      <c r="N333" s="97">
        <f t="shared" si="105"/>
        <v>3.9899999999999998E-2</v>
      </c>
      <c r="O333" s="421">
        <f t="shared" si="95"/>
        <v>554.16666666666663</v>
      </c>
      <c r="P333" s="304">
        <f t="shared" si="106"/>
        <v>11637.499999999998</v>
      </c>
      <c r="Q333" s="307">
        <f t="shared" si="96"/>
        <v>81.9444444444444</v>
      </c>
      <c r="S333" s="11" t="s">
        <v>192</v>
      </c>
      <c r="T333" s="306">
        <f t="shared" si="107"/>
        <v>5000000</v>
      </c>
      <c r="U333" s="97">
        <f t="shared" si="108"/>
        <v>3.9199999999999999E-2</v>
      </c>
      <c r="V333" s="421">
        <f t="shared" si="97"/>
        <v>544.44444444444446</v>
      </c>
      <c r="W333" s="304">
        <f t="shared" si="98"/>
        <v>1088.8888888888889</v>
      </c>
      <c r="X333" s="307">
        <f t="shared" si="99"/>
        <v>72.222222222222229</v>
      </c>
      <c r="Z333" s="11" t="s">
        <v>192</v>
      </c>
      <c r="AA333" s="306">
        <f t="shared" si="109"/>
        <v>10000000</v>
      </c>
      <c r="AB333" s="97">
        <f t="shared" si="110"/>
        <v>3.7499999999999999E-2</v>
      </c>
      <c r="AC333" s="421">
        <f t="shared" si="100"/>
        <v>1041.6666666666667</v>
      </c>
      <c r="AD333" s="304">
        <f t="shared" si="111"/>
        <v>21875.000000000004</v>
      </c>
      <c r="AE333" s="307">
        <f t="shared" si="101"/>
        <v>97.222222222222285</v>
      </c>
      <c r="AG333" s="11" t="s">
        <v>192</v>
      </c>
      <c r="AH333" s="306">
        <f t="shared" si="112"/>
        <v>6000000</v>
      </c>
      <c r="AI333" s="97">
        <f t="shared" si="113"/>
        <v>3.73E-2</v>
      </c>
      <c r="AJ333" s="421">
        <f t="shared" si="102"/>
        <v>621.66666666666663</v>
      </c>
      <c r="AK333" s="304">
        <f t="shared" si="114"/>
        <v>13054.999999999996</v>
      </c>
      <c r="AL333" s="307">
        <f t="shared" si="103"/>
        <v>54.999999999999886</v>
      </c>
      <c r="AN333" s="304">
        <f>'codeis $'!AB334</f>
        <v>226214604</v>
      </c>
      <c r="AO333" s="340">
        <f>'codeis $'!AH334</f>
        <v>4.1072381071910628E-2</v>
      </c>
      <c r="AP333" s="304">
        <f>'codeis $'!AE334</f>
        <v>75650.400000035763</v>
      </c>
      <c r="AQ333" s="304">
        <f>'codeis $'!AK334</f>
        <v>54425.934982257982</v>
      </c>
      <c r="AR333" s="9"/>
      <c r="AS333" s="9"/>
      <c r="AT333" s="123">
        <v>1</v>
      </c>
      <c r="AU333" s="123" t="s">
        <v>32</v>
      </c>
      <c r="AV333" s="124">
        <v>38844648.719999999</v>
      </c>
      <c r="AW333" s="139">
        <v>3.7499999999999999E-2</v>
      </c>
      <c r="AX333" s="123"/>
      <c r="AY333" s="425">
        <f t="shared" si="127"/>
        <v>3990.888567123287</v>
      </c>
      <c r="AZ333" s="140">
        <f t="shared" si="93"/>
        <v>663047.01364614384</v>
      </c>
      <c r="BA333" s="140">
        <f t="shared" si="120"/>
        <v>322.22729912328668</v>
      </c>
      <c r="BC333" s="124">
        <f>'MM $'!G333</f>
        <v>40000000</v>
      </c>
      <c r="BD333" s="139">
        <f>'MM $'!H333</f>
        <v>3.839324999999949E-2</v>
      </c>
      <c r="BE333" s="431">
        <f>'MM $'!I333</f>
        <v>4265.9166666666097</v>
      </c>
      <c r="BF333" s="124">
        <f>'MM $'!L333</f>
        <v>488.13888888883184</v>
      </c>
      <c r="BH333" s="124">
        <f>'MM $'!N333</f>
        <v>40000000</v>
      </c>
      <c r="BI333" s="139">
        <f>'MM $'!P333</f>
        <v>3.8233830000001801E-2</v>
      </c>
      <c r="BJ333" s="431">
        <f>'MM $'!Q333</f>
        <v>4248.2033333335339</v>
      </c>
      <c r="BK333" s="124">
        <f>'MM $'!U333</f>
        <v>470.42555555575609</v>
      </c>
      <c r="BM333" s="124">
        <f>'MM $'!W333</f>
        <v>40000000</v>
      </c>
      <c r="BN333" s="139">
        <f>'MM $'!X333</f>
        <v>3.8280630000000482E-2</v>
      </c>
      <c r="BO333" s="431">
        <f>'MM $'!Y333</f>
        <v>4253.4033333333873</v>
      </c>
      <c r="BP333" s="124">
        <f>'MM $'!AB333</f>
        <v>475.62555555560948</v>
      </c>
      <c r="BR333" s="124">
        <f>'MM $'!AD333</f>
        <v>40000000</v>
      </c>
      <c r="BS333" s="139">
        <f>'MM $'!AE333</f>
        <v>3.8657655000000624E-2</v>
      </c>
      <c r="BT333" s="431">
        <f>'MM $'!AF333</f>
        <v>4295.2950000000692</v>
      </c>
      <c r="BU333" s="124">
        <f>'MM $'!AB333</f>
        <v>475.62555555560948</v>
      </c>
      <c r="BV333" s="439"/>
      <c r="BW333" s="120">
        <f t="shared" si="122"/>
        <v>454999252.72000003</v>
      </c>
      <c r="BX333" s="121">
        <f t="shared" si="133"/>
        <v>3.7499999999999999E-2</v>
      </c>
      <c r="BY333" s="121">
        <f t="shared" si="123"/>
        <v>3.9601650417672031E-2</v>
      </c>
      <c r="BZ333" s="120">
        <f t="shared" si="124"/>
        <v>99838.162456048216</v>
      </c>
      <c r="CA333" s="120">
        <f t="shared" si="125"/>
        <v>56964.366725825967</v>
      </c>
    </row>
    <row r="334" spans="2:79" x14ac:dyDescent="0.25">
      <c r="B334" s="123" t="str">
        <f t="shared" si="116"/>
        <v>11 2025</v>
      </c>
      <c r="C334" s="474">
        <f t="shared" si="117"/>
        <v>45986</v>
      </c>
      <c r="D334" s="122">
        <f t="shared" si="121"/>
        <v>45987</v>
      </c>
      <c r="E334" s="123">
        <f t="shared" si="118"/>
        <v>1</v>
      </c>
      <c r="F334" s="123" t="s">
        <v>7</v>
      </c>
      <c r="G334" s="136">
        <f>G333-50000</f>
        <v>3890000</v>
      </c>
      <c r="H334" s="125">
        <f t="shared" si="128"/>
        <v>3.4000000000000002E-2</v>
      </c>
      <c r="I334" s="297">
        <f t="shared" si="115"/>
        <v>367.38888888888891</v>
      </c>
      <c r="J334" s="124">
        <f t="shared" si="119"/>
        <v>1013624.7250000009</v>
      </c>
      <c r="K334" s="9"/>
      <c r="L334" s="11" t="s">
        <v>192</v>
      </c>
      <c r="M334" s="306">
        <f t="shared" si="104"/>
        <v>5000000</v>
      </c>
      <c r="N334" s="97">
        <f t="shared" si="105"/>
        <v>3.9899999999999998E-2</v>
      </c>
      <c r="O334" s="421">
        <f t="shared" si="95"/>
        <v>554.16666666666663</v>
      </c>
      <c r="P334" s="304">
        <f t="shared" si="106"/>
        <v>12191.666666666664</v>
      </c>
      <c r="Q334" s="307">
        <f t="shared" si="96"/>
        <v>81.9444444444444</v>
      </c>
      <c r="S334" s="11" t="s">
        <v>192</v>
      </c>
      <c r="T334" s="306">
        <f t="shared" si="107"/>
        <v>5000000</v>
      </c>
      <c r="U334" s="97">
        <f t="shared" si="108"/>
        <v>3.9199999999999999E-2</v>
      </c>
      <c r="V334" s="421">
        <f t="shared" si="97"/>
        <v>544.44444444444446</v>
      </c>
      <c r="W334" s="304">
        <f t="shared" si="98"/>
        <v>1088.8888888888889</v>
      </c>
      <c r="X334" s="307">
        <f t="shared" si="99"/>
        <v>72.222222222222229</v>
      </c>
      <c r="Z334" s="11" t="s">
        <v>192</v>
      </c>
      <c r="AA334" s="306">
        <f t="shared" si="109"/>
        <v>10000000</v>
      </c>
      <c r="AB334" s="97">
        <f t="shared" si="110"/>
        <v>3.7499999999999999E-2</v>
      </c>
      <c r="AC334" s="421">
        <f t="shared" si="100"/>
        <v>1041.6666666666667</v>
      </c>
      <c r="AD334" s="304">
        <f t="shared" si="111"/>
        <v>22916.666666666672</v>
      </c>
      <c r="AE334" s="307">
        <f t="shared" si="101"/>
        <v>97.222222222222285</v>
      </c>
      <c r="AG334" s="11" t="s">
        <v>192</v>
      </c>
      <c r="AH334" s="306">
        <f t="shared" si="112"/>
        <v>6000000</v>
      </c>
      <c r="AI334" s="97">
        <f t="shared" si="113"/>
        <v>3.73E-2</v>
      </c>
      <c r="AJ334" s="421">
        <f t="shared" si="102"/>
        <v>621.66666666666663</v>
      </c>
      <c r="AK334" s="304">
        <f t="shared" si="114"/>
        <v>13676.666666666662</v>
      </c>
      <c r="AL334" s="307">
        <f t="shared" si="103"/>
        <v>54.999999999999886</v>
      </c>
      <c r="AN334" s="304">
        <f>'codeis $'!AB335</f>
        <v>226239820.80000004</v>
      </c>
      <c r="AO334" s="340">
        <f>'codeis $'!AH335</f>
        <v>4.1072381071910628E-2</v>
      </c>
      <c r="AP334" s="304">
        <f>'codeis $'!AE335</f>
        <v>25216.800000041723</v>
      </c>
      <c r="AQ334" s="304">
        <f>'codeis $'!AK335</f>
        <v>3992.3349822639393</v>
      </c>
      <c r="AR334" s="9"/>
      <c r="AS334" s="9"/>
      <c r="AT334" s="123">
        <v>1</v>
      </c>
      <c r="AU334" s="123" t="s">
        <v>32</v>
      </c>
      <c r="AV334" s="473">
        <v>38848639.609999999</v>
      </c>
      <c r="AW334" s="139">
        <v>3.7499999999999999E-2</v>
      </c>
      <c r="AX334" s="123"/>
      <c r="AY334" s="425">
        <f t="shared" si="127"/>
        <v>3991.298590068493</v>
      </c>
      <c r="AZ334" s="140">
        <f t="shared" si="93"/>
        <v>667038.31223621231</v>
      </c>
      <c r="BA334" s="140">
        <f t="shared" si="120"/>
        <v>322.26040467960365</v>
      </c>
      <c r="BC334" s="124">
        <f>'MM $'!G334</f>
        <v>40000000</v>
      </c>
      <c r="BD334" s="139">
        <f>'MM $'!H334</f>
        <v>3.839324999999949E-2</v>
      </c>
      <c r="BE334" s="431">
        <f>'MM $'!I334</f>
        <v>4265.9166666666097</v>
      </c>
      <c r="BF334" s="124">
        <f>'MM $'!L334</f>
        <v>488.13888888883184</v>
      </c>
      <c r="BH334" s="124">
        <f>'MM $'!N334</f>
        <v>40000000</v>
      </c>
      <c r="BI334" s="139">
        <f>'MM $'!P334</f>
        <v>3.8233830000001801E-2</v>
      </c>
      <c r="BJ334" s="431">
        <f>'MM $'!Q334</f>
        <v>4248.2033333335339</v>
      </c>
      <c r="BK334" s="124">
        <f>'MM $'!U334</f>
        <v>470.42555555575609</v>
      </c>
      <c r="BM334" s="124">
        <f>'MM $'!W334</f>
        <v>40000000</v>
      </c>
      <c r="BN334" s="139">
        <f>'MM $'!X334</f>
        <v>3.8280630000000482E-2</v>
      </c>
      <c r="BO334" s="431">
        <f>'MM $'!Y334</f>
        <v>4253.4033333333873</v>
      </c>
      <c r="BP334" s="124">
        <f>'MM $'!AB334</f>
        <v>475.62555555560948</v>
      </c>
      <c r="BR334" s="124">
        <f>'MM $'!AD334</f>
        <v>40000000</v>
      </c>
      <c r="BS334" s="139">
        <f>'MM $'!AE334</f>
        <v>3.8657655000000624E-2</v>
      </c>
      <c r="BT334" s="431">
        <f>'MM $'!AF334</f>
        <v>4295.2950000000692</v>
      </c>
      <c r="BU334" s="124">
        <f>'MM $'!AB334</f>
        <v>475.62555555560948</v>
      </c>
      <c r="BV334" s="439"/>
      <c r="BW334" s="120">
        <f t="shared" si="122"/>
        <v>454978460.41000003</v>
      </c>
      <c r="BX334" s="121">
        <f t="shared" si="133"/>
        <v>3.7499999999999999E-2</v>
      </c>
      <c r="BY334" s="121">
        <f t="shared" si="123"/>
        <v>3.960232909196737E-2</v>
      </c>
      <c r="BZ334" s="120">
        <f t="shared" si="124"/>
        <v>49400.250256777152</v>
      </c>
      <c r="CA334" s="120">
        <f t="shared" si="125"/>
        <v>6530.7998313882381</v>
      </c>
    </row>
    <row r="335" spans="2:79" x14ac:dyDescent="0.25">
      <c r="B335" s="123" t="str">
        <f t="shared" si="116"/>
        <v>11 2025</v>
      </c>
      <c r="C335" s="122">
        <f t="shared" si="117"/>
        <v>45987</v>
      </c>
      <c r="D335" s="122">
        <f t="shared" si="121"/>
        <v>45988</v>
      </c>
      <c r="E335" s="123">
        <f t="shared" si="118"/>
        <v>1</v>
      </c>
      <c r="F335" s="123" t="s">
        <v>7</v>
      </c>
      <c r="G335" s="136">
        <f>G334-490000</f>
        <v>3400000</v>
      </c>
      <c r="H335" s="125">
        <f t="shared" si="128"/>
        <v>3.4000000000000002E-2</v>
      </c>
      <c r="I335" s="297">
        <f t="shared" si="115"/>
        <v>321.11111111111114</v>
      </c>
      <c r="J335" s="124">
        <f t="shared" si="119"/>
        <v>1013945.836111112</v>
      </c>
      <c r="K335" s="9"/>
      <c r="L335" s="11" t="s">
        <v>192</v>
      </c>
      <c r="M335" s="306">
        <f t="shared" si="104"/>
        <v>5000000</v>
      </c>
      <c r="N335" s="97">
        <f t="shared" si="105"/>
        <v>3.9899999999999998E-2</v>
      </c>
      <c r="O335" s="421">
        <f t="shared" si="95"/>
        <v>554.16666666666663</v>
      </c>
      <c r="P335" s="304">
        <f t="shared" si="106"/>
        <v>12745.83333333333</v>
      </c>
      <c r="Q335" s="307">
        <f t="shared" si="96"/>
        <v>81.9444444444444</v>
      </c>
      <c r="S335" s="11" t="s">
        <v>192</v>
      </c>
      <c r="T335" s="306">
        <f t="shared" si="107"/>
        <v>5000000</v>
      </c>
      <c r="U335" s="97">
        <f t="shared" si="108"/>
        <v>3.9199999999999999E-2</v>
      </c>
      <c r="V335" s="421">
        <f t="shared" si="97"/>
        <v>544.44444444444446</v>
      </c>
      <c r="W335" s="304">
        <f t="shared" si="98"/>
        <v>1088.8888888888889</v>
      </c>
      <c r="X335" s="307">
        <f t="shared" si="99"/>
        <v>72.222222222222229</v>
      </c>
      <c r="Z335" s="11" t="s">
        <v>192</v>
      </c>
      <c r="AA335" s="306">
        <f t="shared" si="109"/>
        <v>10000000</v>
      </c>
      <c r="AB335" s="97">
        <f t="shared" si="110"/>
        <v>3.7499999999999999E-2</v>
      </c>
      <c r="AC335" s="421">
        <f t="shared" si="100"/>
        <v>1041.6666666666667</v>
      </c>
      <c r="AD335" s="304">
        <f t="shared" si="111"/>
        <v>23958.333333333339</v>
      </c>
      <c r="AE335" s="307">
        <f t="shared" si="101"/>
        <v>97.222222222222285</v>
      </c>
      <c r="AG335" s="11" t="s">
        <v>192</v>
      </c>
      <c r="AH335" s="306">
        <f t="shared" si="112"/>
        <v>6000000</v>
      </c>
      <c r="AI335" s="97">
        <f t="shared" si="113"/>
        <v>3.73E-2</v>
      </c>
      <c r="AJ335" s="421">
        <f t="shared" si="102"/>
        <v>621.66666666666663</v>
      </c>
      <c r="AK335" s="304">
        <f t="shared" si="114"/>
        <v>14298.333333333328</v>
      </c>
      <c r="AL335" s="307">
        <f t="shared" si="103"/>
        <v>54.999999999999886</v>
      </c>
      <c r="AN335" s="304">
        <f>'codeis $'!AB336</f>
        <v>226265037.60000002</v>
      </c>
      <c r="AO335" s="340">
        <f>'codeis $'!AH336</f>
        <v>4.1072381071910628E-2</v>
      </c>
      <c r="AP335" s="304">
        <f>'codeis $'!AE336</f>
        <v>25216.799999982119</v>
      </c>
      <c r="AQ335" s="304">
        <f>'codeis $'!AK336</f>
        <v>3992.3349822043347</v>
      </c>
      <c r="AR335" s="9"/>
      <c r="AS335" s="9"/>
      <c r="AT335" s="123">
        <v>1</v>
      </c>
      <c r="AU335" s="123" t="s">
        <v>32</v>
      </c>
      <c r="AV335" s="124">
        <v>37443116.200000003</v>
      </c>
      <c r="AW335" s="139">
        <v>3.7499999999999999E-2</v>
      </c>
      <c r="AX335" s="123"/>
      <c r="AY335" s="425">
        <f t="shared" si="127"/>
        <v>3846.8955000000005</v>
      </c>
      <c r="AZ335" s="140">
        <f t="shared" si="93"/>
        <v>670885.20773621229</v>
      </c>
      <c r="BA335" s="140">
        <f t="shared" si="120"/>
        <v>310.60119222222193</v>
      </c>
      <c r="BC335" s="124">
        <f>'MM $'!G335</f>
        <v>40000000</v>
      </c>
      <c r="BD335" s="139">
        <f>'MM $'!H335</f>
        <v>3.839324999999949E-2</v>
      </c>
      <c r="BE335" s="431">
        <f>'MM $'!I335</f>
        <v>4265.9166666666097</v>
      </c>
      <c r="BF335" s="124">
        <f>'MM $'!L335</f>
        <v>488.13888888883184</v>
      </c>
      <c r="BH335" s="124">
        <f>'MM $'!N335</f>
        <v>40000000</v>
      </c>
      <c r="BI335" s="139">
        <f>'MM $'!P335</f>
        <v>3.8233830000001801E-2</v>
      </c>
      <c r="BJ335" s="431">
        <f>'MM $'!Q335</f>
        <v>4248.2033333335339</v>
      </c>
      <c r="BK335" s="124">
        <f>'MM $'!U335</f>
        <v>470.42555555575609</v>
      </c>
      <c r="BM335" s="124">
        <f>'MM $'!W335</f>
        <v>40000000</v>
      </c>
      <c r="BN335" s="139">
        <f>'MM $'!X335</f>
        <v>3.8280630000000482E-2</v>
      </c>
      <c r="BO335" s="431">
        <f>'MM $'!Y335</f>
        <v>4253.4033333333873</v>
      </c>
      <c r="BP335" s="124">
        <f>'MM $'!AB335</f>
        <v>475.62555555560948</v>
      </c>
      <c r="BR335" s="124">
        <f>'MM $'!AD335</f>
        <v>40000000</v>
      </c>
      <c r="BS335" s="139">
        <f>'MM $'!AE335</f>
        <v>3.8657655000000624E-2</v>
      </c>
      <c r="BT335" s="431">
        <f>'MM $'!AF335</f>
        <v>4295.2950000000692</v>
      </c>
      <c r="BU335" s="124">
        <f>'MM $'!AB335</f>
        <v>475.62555555560948</v>
      </c>
      <c r="BV335" s="439"/>
      <c r="BW335" s="120">
        <f t="shared" si="122"/>
        <v>453108153.80000001</v>
      </c>
      <c r="BX335" s="121">
        <f t="shared" si="133"/>
        <v>3.7499999999999999E-2</v>
      </c>
      <c r="BY335" s="121">
        <f t="shared" si="123"/>
        <v>3.9614990713630997E-2</v>
      </c>
      <c r="BZ335" s="120">
        <f t="shared" si="124"/>
        <v>49209.569388871278</v>
      </c>
      <c r="CA335" s="120">
        <f t="shared" si="125"/>
        <v>6519.1406188712517</v>
      </c>
    </row>
    <row r="336" spans="2:79" x14ac:dyDescent="0.25">
      <c r="B336" s="123" t="str">
        <f t="shared" si="116"/>
        <v>11 2025</v>
      </c>
      <c r="C336" s="122">
        <f t="shared" si="117"/>
        <v>45988</v>
      </c>
      <c r="D336" s="122">
        <f t="shared" si="121"/>
        <v>45989</v>
      </c>
      <c r="E336" s="123">
        <f t="shared" si="118"/>
        <v>1</v>
      </c>
      <c r="F336" s="123" t="s">
        <v>7</v>
      </c>
      <c r="G336" s="124">
        <f t="shared" ref="G336" si="135">G335</f>
        <v>3400000</v>
      </c>
      <c r="H336" s="125">
        <f t="shared" si="128"/>
        <v>3.4000000000000002E-2</v>
      </c>
      <c r="I336" s="297">
        <f t="shared" si="115"/>
        <v>321.11111111111114</v>
      </c>
      <c r="J336" s="124">
        <f t="shared" si="119"/>
        <v>1014266.9472222232</v>
      </c>
      <c r="K336" s="9"/>
      <c r="L336" s="11" t="s">
        <v>192</v>
      </c>
      <c r="M336" s="306">
        <f t="shared" si="104"/>
        <v>5000000</v>
      </c>
      <c r="N336" s="97">
        <f t="shared" si="105"/>
        <v>3.9899999999999998E-2</v>
      </c>
      <c r="O336" s="421">
        <f t="shared" si="95"/>
        <v>554.16666666666663</v>
      </c>
      <c r="P336" s="304">
        <f t="shared" si="106"/>
        <v>13299.999999999996</v>
      </c>
      <c r="Q336" s="307">
        <f t="shared" si="96"/>
        <v>81.9444444444444</v>
      </c>
      <c r="S336" s="11" t="s">
        <v>192</v>
      </c>
      <c r="T336" s="306">
        <f t="shared" si="107"/>
        <v>5000000</v>
      </c>
      <c r="U336" s="97">
        <f t="shared" si="108"/>
        <v>3.9199999999999999E-2</v>
      </c>
      <c r="V336" s="421">
        <f t="shared" si="97"/>
        <v>544.44444444444446</v>
      </c>
      <c r="W336" s="304">
        <f t="shared" si="98"/>
        <v>1088.8888888888889</v>
      </c>
      <c r="X336" s="307">
        <f t="shared" si="99"/>
        <v>72.222222222222229</v>
      </c>
      <c r="Z336" s="11" t="s">
        <v>192</v>
      </c>
      <c r="AA336" s="306">
        <f t="shared" si="109"/>
        <v>10000000</v>
      </c>
      <c r="AB336" s="97">
        <f t="shared" si="110"/>
        <v>3.7499999999999999E-2</v>
      </c>
      <c r="AC336" s="421">
        <f t="shared" si="100"/>
        <v>1041.6666666666667</v>
      </c>
      <c r="AD336" s="304">
        <f t="shared" si="111"/>
        <v>25000.000000000007</v>
      </c>
      <c r="AE336" s="307">
        <f t="shared" si="101"/>
        <v>97.222222222222285</v>
      </c>
      <c r="AG336" s="11" t="s">
        <v>192</v>
      </c>
      <c r="AH336" s="306">
        <f t="shared" si="112"/>
        <v>6000000</v>
      </c>
      <c r="AI336" s="97">
        <f t="shared" si="113"/>
        <v>3.73E-2</v>
      </c>
      <c r="AJ336" s="421">
        <f t="shared" si="102"/>
        <v>621.66666666666663</v>
      </c>
      <c r="AK336" s="304">
        <f t="shared" si="114"/>
        <v>14919.999999999995</v>
      </c>
      <c r="AL336" s="307">
        <f t="shared" si="103"/>
        <v>54.999999999999886</v>
      </c>
      <c r="AN336" s="304">
        <f>'codeis $'!AB337</f>
        <v>226290696.80000001</v>
      </c>
      <c r="AO336" s="340">
        <f>'codeis $'!AH337</f>
        <v>4.1072381071910628E-2</v>
      </c>
      <c r="AP336" s="304">
        <f>'codeis $'!AE337</f>
        <v>25659.199999988079</v>
      </c>
      <c r="AQ336" s="304">
        <f>'codeis $'!AK337</f>
        <v>4434.7349822102951</v>
      </c>
      <c r="AR336" s="9"/>
      <c r="AS336" s="9"/>
      <c r="AT336" s="123">
        <v>1</v>
      </c>
      <c r="AU336" s="123" t="s">
        <v>32</v>
      </c>
      <c r="AV336" s="124">
        <v>37443116.200000003</v>
      </c>
      <c r="AW336" s="139">
        <v>3.7499999999999999E-2</v>
      </c>
      <c r="AX336" s="123"/>
      <c r="AY336" s="425">
        <f t="shared" si="127"/>
        <v>3846.8955000000005</v>
      </c>
      <c r="AZ336" s="140">
        <f t="shared" si="93"/>
        <v>674732.10323621228</v>
      </c>
      <c r="BA336" s="140">
        <f t="shared" si="120"/>
        <v>310.60119222222193</v>
      </c>
      <c r="BC336" s="124">
        <f>'MM $'!G336</f>
        <v>40000000</v>
      </c>
      <c r="BD336" s="139">
        <f>'MM $'!H336</f>
        <v>3.839324999999949E-2</v>
      </c>
      <c r="BE336" s="431">
        <f>'MM $'!I336</f>
        <v>4265.9166666666097</v>
      </c>
      <c r="BF336" s="124">
        <f>'MM $'!L336</f>
        <v>488.13888888883184</v>
      </c>
      <c r="BH336" s="124">
        <f>'MM $'!N336</f>
        <v>40000000</v>
      </c>
      <c r="BI336" s="139">
        <f>'MM $'!P336</f>
        <v>3.8233830000001801E-2</v>
      </c>
      <c r="BJ336" s="431">
        <f>'MM $'!Q336</f>
        <v>4248.2033333335339</v>
      </c>
      <c r="BK336" s="124">
        <f>'MM $'!U336</f>
        <v>470.42555555575609</v>
      </c>
      <c r="BM336" s="124">
        <f>'MM $'!W336</f>
        <v>40000000</v>
      </c>
      <c r="BN336" s="139">
        <f>'MM $'!X336</f>
        <v>3.8280630000000482E-2</v>
      </c>
      <c r="BO336" s="431">
        <f>'MM $'!Y336</f>
        <v>4253.4033333333873</v>
      </c>
      <c r="BP336" s="124">
        <f>'MM $'!AB336</f>
        <v>475.62555555560948</v>
      </c>
      <c r="BR336" s="124">
        <f>'MM $'!AD336</f>
        <v>40000000</v>
      </c>
      <c r="BS336" s="139">
        <f>'MM $'!AE336</f>
        <v>3.8657655000000624E-2</v>
      </c>
      <c r="BT336" s="431">
        <f>'MM $'!AF336</f>
        <v>4295.2950000000692</v>
      </c>
      <c r="BU336" s="124">
        <f>'MM $'!AB336</f>
        <v>475.62555555560948</v>
      </c>
      <c r="BV336" s="439"/>
      <c r="BW336" s="120">
        <f t="shared" si="122"/>
        <v>453133813</v>
      </c>
      <c r="BX336" s="121">
        <f t="shared" si="133"/>
        <v>3.7499999999999999E-2</v>
      </c>
      <c r="BY336" s="121">
        <f t="shared" si="123"/>
        <v>3.9615073239961204E-2</v>
      </c>
      <c r="BZ336" s="120">
        <f t="shared" si="124"/>
        <v>49651.969388877238</v>
      </c>
      <c r="CA336" s="120">
        <f t="shared" si="125"/>
        <v>6961.5406188772122</v>
      </c>
    </row>
    <row r="337" spans="2:79" x14ac:dyDescent="0.25">
      <c r="B337" s="123" t="str">
        <f t="shared" si="116"/>
        <v>11 2025</v>
      </c>
      <c r="C337" s="476">
        <f t="shared" si="117"/>
        <v>45989</v>
      </c>
      <c r="D337" s="122">
        <f t="shared" si="121"/>
        <v>45990</v>
      </c>
      <c r="E337" s="123">
        <f t="shared" si="118"/>
        <v>1</v>
      </c>
      <c r="F337" s="123" t="s">
        <v>7</v>
      </c>
      <c r="G337" s="124">
        <f t="shared" ref="G337" si="136">G336</f>
        <v>3400000</v>
      </c>
      <c r="H337" s="125">
        <f t="shared" si="128"/>
        <v>3.4000000000000002E-2</v>
      </c>
      <c r="I337" s="322">
        <f t="shared" si="115"/>
        <v>321.11111111111114</v>
      </c>
      <c r="J337" s="124">
        <f t="shared" si="119"/>
        <v>1014588.0583333343</v>
      </c>
      <c r="K337" s="9"/>
      <c r="L337" s="11" t="s">
        <v>192</v>
      </c>
      <c r="M337" s="306">
        <f t="shared" si="104"/>
        <v>5000000</v>
      </c>
      <c r="N337" s="97">
        <f t="shared" si="105"/>
        <v>3.9899999999999998E-2</v>
      </c>
      <c r="O337" s="421">
        <f t="shared" si="95"/>
        <v>554.16666666666663</v>
      </c>
      <c r="P337" s="304">
        <f t="shared" si="106"/>
        <v>13854.166666666662</v>
      </c>
      <c r="Q337" s="307">
        <f t="shared" si="96"/>
        <v>81.9444444444444</v>
      </c>
      <c r="S337" s="11" t="s">
        <v>192</v>
      </c>
      <c r="T337" s="306">
        <f t="shared" si="107"/>
        <v>5000000</v>
      </c>
      <c r="U337" s="97">
        <f t="shared" si="108"/>
        <v>3.9199999999999999E-2</v>
      </c>
      <c r="V337" s="421">
        <f t="shared" si="97"/>
        <v>544.44444444444446</v>
      </c>
      <c r="W337" s="304">
        <f t="shared" si="98"/>
        <v>1088.8888888888889</v>
      </c>
      <c r="X337" s="307">
        <f t="shared" si="99"/>
        <v>72.222222222222229</v>
      </c>
      <c r="Z337" s="11" t="s">
        <v>192</v>
      </c>
      <c r="AA337" s="306">
        <f t="shared" si="109"/>
        <v>10000000</v>
      </c>
      <c r="AB337" s="97">
        <f t="shared" si="110"/>
        <v>3.7499999999999999E-2</v>
      </c>
      <c r="AC337" s="421">
        <f t="shared" si="100"/>
        <v>1041.6666666666667</v>
      </c>
      <c r="AD337" s="304">
        <f t="shared" si="111"/>
        <v>26041.666666666675</v>
      </c>
      <c r="AE337" s="307">
        <f t="shared" si="101"/>
        <v>97.222222222222285</v>
      </c>
      <c r="AG337" s="11" t="s">
        <v>192</v>
      </c>
      <c r="AH337" s="306">
        <f t="shared" si="112"/>
        <v>6000000</v>
      </c>
      <c r="AI337" s="97">
        <f t="shared" si="113"/>
        <v>3.73E-2</v>
      </c>
      <c r="AJ337" s="421">
        <f t="shared" si="102"/>
        <v>621.66666666666663</v>
      </c>
      <c r="AK337" s="304">
        <f t="shared" si="114"/>
        <v>15541.666666666661</v>
      </c>
      <c r="AL337" s="307">
        <f t="shared" si="103"/>
        <v>54.999999999999886</v>
      </c>
      <c r="AN337" s="304">
        <f>'codeis $'!AB338</f>
        <v>226316356.00000003</v>
      </c>
      <c r="AO337" s="340">
        <f>'codeis $'!AH338</f>
        <v>4.1072381071910628E-2</v>
      </c>
      <c r="AP337" s="304">
        <f>'codeis $'!AE338</f>
        <v>25659.200000017881</v>
      </c>
      <c r="AQ337" s="304">
        <f>'codeis $'!AK338</f>
        <v>4434.7349822400975</v>
      </c>
      <c r="AR337" s="9"/>
      <c r="AS337" s="9"/>
      <c r="AT337" s="123">
        <v>1</v>
      </c>
      <c r="AU337" s="123" t="s">
        <v>32</v>
      </c>
      <c r="AV337" s="475">
        <v>37438389.079999998</v>
      </c>
      <c r="AW337" s="139">
        <v>3.7499999999999999E-2</v>
      </c>
      <c r="AX337" s="123"/>
      <c r="AY337" s="425">
        <f t="shared" si="127"/>
        <v>3846.4098369863013</v>
      </c>
      <c r="AZ337" s="140">
        <f t="shared" si="93"/>
        <v>678578.51307319861</v>
      </c>
      <c r="BA337" s="140">
        <f t="shared" si="120"/>
        <v>310.56197943074585</v>
      </c>
      <c r="BC337" s="124">
        <f>'MM $'!G337</f>
        <v>40000000</v>
      </c>
      <c r="BD337" s="139">
        <f>'MM $'!H337</f>
        <v>3.839324999999949E-2</v>
      </c>
      <c r="BE337" s="431">
        <f>'MM $'!I337</f>
        <v>4265.9166666666097</v>
      </c>
      <c r="BF337" s="124">
        <f>'MM $'!L337</f>
        <v>488.13888888883184</v>
      </c>
      <c r="BH337" s="124">
        <f>'MM $'!N337</f>
        <v>40000000</v>
      </c>
      <c r="BI337" s="139">
        <f>'MM $'!P337</f>
        <v>3.8233830000001801E-2</v>
      </c>
      <c r="BJ337" s="431">
        <f>'MM $'!Q337</f>
        <v>4248.2033333335339</v>
      </c>
      <c r="BK337" s="124">
        <f>'MM $'!U337</f>
        <v>470.42555555575609</v>
      </c>
      <c r="BM337" s="124">
        <f>'MM $'!W337</f>
        <v>40000000</v>
      </c>
      <c r="BN337" s="139">
        <f>'MM $'!X337</f>
        <v>3.8280630000000482E-2</v>
      </c>
      <c r="BO337" s="431">
        <f>'MM $'!Y337</f>
        <v>4253.4033333333873</v>
      </c>
      <c r="BP337" s="124">
        <f>'MM $'!AB337</f>
        <v>475.62555555560948</v>
      </c>
      <c r="BR337" s="124">
        <f>'MM $'!AD337</f>
        <v>40000000</v>
      </c>
      <c r="BS337" s="139">
        <f>'MM $'!AE337</f>
        <v>3.8657655000000624E-2</v>
      </c>
      <c r="BT337" s="431">
        <f>'MM $'!AF337</f>
        <v>4295.2950000000692</v>
      </c>
      <c r="BU337" s="124">
        <f>'MM $'!AB337</f>
        <v>475.62555555560948</v>
      </c>
      <c r="BV337" s="439"/>
      <c r="BW337" s="120">
        <f t="shared" si="122"/>
        <v>453154745.08000004</v>
      </c>
      <c r="BX337" s="121">
        <f t="shared" si="133"/>
        <v>3.7499999999999999E-2</v>
      </c>
      <c r="BY337" s="121">
        <f t="shared" si="123"/>
        <v>3.961517782136225E-2</v>
      </c>
      <c r="BZ337" s="120">
        <f t="shared" si="124"/>
        <v>49651.48372589334</v>
      </c>
      <c r="CA337" s="120">
        <f t="shared" si="125"/>
        <v>6961.501406115538</v>
      </c>
    </row>
    <row r="338" spans="2:79" x14ac:dyDescent="0.25">
      <c r="B338" s="148" t="str">
        <f t="shared" si="116"/>
        <v>11 2025</v>
      </c>
      <c r="C338" s="149">
        <f t="shared" si="117"/>
        <v>45990</v>
      </c>
      <c r="D338" s="149">
        <f t="shared" si="121"/>
        <v>45991</v>
      </c>
      <c r="E338" s="148">
        <f t="shared" si="118"/>
        <v>1</v>
      </c>
      <c r="F338" s="148" t="s">
        <v>7</v>
      </c>
      <c r="G338" s="150">
        <f t="shared" ref="G338" si="137">G337</f>
        <v>3400000</v>
      </c>
      <c r="H338" s="151">
        <f t="shared" si="128"/>
        <v>3.4000000000000002E-2</v>
      </c>
      <c r="I338" s="323">
        <f t="shared" si="115"/>
        <v>321.11111111111114</v>
      </c>
      <c r="J338" s="150">
        <f t="shared" si="119"/>
        <v>1014909.1694444454</v>
      </c>
      <c r="K338" s="9"/>
      <c r="L338" s="143" t="s">
        <v>192</v>
      </c>
      <c r="M338" s="418">
        <f t="shared" si="104"/>
        <v>5000000</v>
      </c>
      <c r="N338" s="175">
        <f t="shared" si="105"/>
        <v>3.9899999999999998E-2</v>
      </c>
      <c r="O338" s="422">
        <f t="shared" si="95"/>
        <v>554.16666666666663</v>
      </c>
      <c r="P338" s="444">
        <f t="shared" si="106"/>
        <v>14408.333333333328</v>
      </c>
      <c r="Q338" s="308">
        <f t="shared" si="96"/>
        <v>81.9444444444444</v>
      </c>
      <c r="R338" s="17"/>
      <c r="S338" s="143" t="s">
        <v>192</v>
      </c>
      <c r="T338" s="418">
        <f t="shared" si="107"/>
        <v>5000000</v>
      </c>
      <c r="U338" s="175">
        <f t="shared" si="108"/>
        <v>3.9199999999999999E-2</v>
      </c>
      <c r="V338" s="422">
        <f t="shared" si="97"/>
        <v>544.44444444444446</v>
      </c>
      <c r="W338" s="419">
        <f t="shared" si="98"/>
        <v>1088.8888888888889</v>
      </c>
      <c r="X338" s="308">
        <f t="shared" si="99"/>
        <v>72.222222222222229</v>
      </c>
      <c r="Y338" s="17"/>
      <c r="Z338" s="143" t="s">
        <v>192</v>
      </c>
      <c r="AA338" s="418">
        <f t="shared" si="109"/>
        <v>10000000</v>
      </c>
      <c r="AB338" s="175">
        <f t="shared" si="110"/>
        <v>3.7499999999999999E-2</v>
      </c>
      <c r="AC338" s="422">
        <f t="shared" si="100"/>
        <v>1041.6666666666667</v>
      </c>
      <c r="AD338" s="419">
        <f t="shared" si="111"/>
        <v>27083.333333333343</v>
      </c>
      <c r="AE338" s="308">
        <f t="shared" si="101"/>
        <v>97.222222222222285</v>
      </c>
      <c r="AF338" s="17"/>
      <c r="AG338" s="143" t="s">
        <v>192</v>
      </c>
      <c r="AH338" s="418">
        <f t="shared" si="112"/>
        <v>6000000</v>
      </c>
      <c r="AI338" s="175">
        <f t="shared" si="113"/>
        <v>3.73E-2</v>
      </c>
      <c r="AJ338" s="422">
        <f t="shared" si="102"/>
        <v>621.66666666666663</v>
      </c>
      <c r="AK338" s="419">
        <f t="shared" si="114"/>
        <v>16163.333333333327</v>
      </c>
      <c r="AL338" s="308">
        <f t="shared" si="103"/>
        <v>54.999999999999886</v>
      </c>
      <c r="AM338" s="17"/>
      <c r="AN338" s="339">
        <f>'codeis $'!AB339</f>
        <v>226316356.00000003</v>
      </c>
      <c r="AO338" s="341">
        <f>AO337</f>
        <v>4.1072381071910628E-2</v>
      </c>
      <c r="AP338" s="339">
        <f>'codeis $'!AE339</f>
        <v>0</v>
      </c>
      <c r="AQ338" s="339">
        <f>'codeis $'!AK339</f>
        <v>-21224.465017777784</v>
      </c>
      <c r="AR338" s="9"/>
      <c r="AS338" s="9"/>
      <c r="AT338" s="123">
        <v>1</v>
      </c>
      <c r="AU338" s="123" t="s">
        <v>32</v>
      </c>
      <c r="AV338" s="124">
        <v>37438389.079999998</v>
      </c>
      <c r="AW338" s="152">
        <v>3.7499999999999999E-2</v>
      </c>
      <c r="AX338" s="152"/>
      <c r="AY338" s="425">
        <f t="shared" si="127"/>
        <v>3846.4098369863013</v>
      </c>
      <c r="AZ338" s="140">
        <f t="shared" si="93"/>
        <v>682424.92291018495</v>
      </c>
      <c r="BA338" s="140">
        <f t="shared" si="120"/>
        <v>310.56197943074585</v>
      </c>
      <c r="BC338" s="124">
        <f>'MM $'!G338</f>
        <v>40000000</v>
      </c>
      <c r="BD338" s="139">
        <f>'MM $'!H338</f>
        <v>3.839324999999949E-2</v>
      </c>
      <c r="BE338" s="431">
        <f>'MM $'!I338</f>
        <v>4265.9166666666097</v>
      </c>
      <c r="BF338" s="124">
        <f>'MM $'!L338</f>
        <v>488.13888888883184</v>
      </c>
      <c r="BH338" s="124">
        <f>'MM $'!N338</f>
        <v>40000000</v>
      </c>
      <c r="BI338" s="139">
        <f>'MM $'!P338</f>
        <v>3.8233830000001801E-2</v>
      </c>
      <c r="BJ338" s="431">
        <f>'MM $'!Q338</f>
        <v>4248.2033333335339</v>
      </c>
      <c r="BK338" s="124">
        <f>'MM $'!U338</f>
        <v>470.42555555575609</v>
      </c>
      <c r="BM338" s="124">
        <f>'MM $'!W338</f>
        <v>40000000</v>
      </c>
      <c r="BN338" s="139">
        <f>'MM $'!X338</f>
        <v>3.8280630000000482E-2</v>
      </c>
      <c r="BO338" s="431">
        <f>'MM $'!Y338</f>
        <v>4253.4033333333873</v>
      </c>
      <c r="BP338" s="124">
        <f>'MM $'!AB338</f>
        <v>475.62555555560948</v>
      </c>
      <c r="BR338" s="124">
        <f>'MM $'!AD338</f>
        <v>40000000</v>
      </c>
      <c r="BS338" s="139">
        <f>'MM $'!AE338</f>
        <v>3.8657655000000624E-2</v>
      </c>
      <c r="BT338" s="431">
        <f>'MM $'!AF338</f>
        <v>4295.2950000000692</v>
      </c>
      <c r="BU338" s="124">
        <f>'MM $'!AB338</f>
        <v>475.62555555560948</v>
      </c>
      <c r="BV338" s="439"/>
      <c r="BW338" s="120">
        <f t="shared" si="122"/>
        <v>453154745.08000004</v>
      </c>
      <c r="BX338" s="173">
        <f t="shared" si="133"/>
        <v>3.7499999999999999E-2</v>
      </c>
      <c r="BY338" s="121">
        <f t="shared" si="123"/>
        <v>3.961517782136225E-2</v>
      </c>
      <c r="BZ338" s="120">
        <f t="shared" si="124"/>
        <v>23992.283725875459</v>
      </c>
      <c r="CA338" s="120">
        <f t="shared" si="125"/>
        <v>-18697.69859390234</v>
      </c>
    </row>
    <row r="339" spans="2:79" x14ac:dyDescent="0.25">
      <c r="B339" s="123" t="str">
        <f t="shared" si="116"/>
        <v>12 2025</v>
      </c>
      <c r="C339" s="122">
        <f t="shared" si="117"/>
        <v>45991</v>
      </c>
      <c r="D339" s="122">
        <f t="shared" si="121"/>
        <v>45992</v>
      </c>
      <c r="E339" s="123">
        <f t="shared" si="118"/>
        <v>1</v>
      </c>
      <c r="F339" s="123" t="s">
        <v>7</v>
      </c>
      <c r="G339" s="124">
        <f t="shared" ref="G339" si="138">G338</f>
        <v>3400000</v>
      </c>
      <c r="H339" s="125">
        <f t="shared" si="128"/>
        <v>3.4000000000000002E-2</v>
      </c>
      <c r="I339" s="322">
        <f t="shared" si="115"/>
        <v>321.11111111111114</v>
      </c>
      <c r="J339" s="124">
        <f t="shared" si="119"/>
        <v>1015230.2805555565</v>
      </c>
      <c r="K339" s="9"/>
      <c r="L339" s="11" t="s">
        <v>192</v>
      </c>
      <c r="M339" s="306">
        <f t="shared" si="104"/>
        <v>5000000</v>
      </c>
      <c r="N339" s="97">
        <f t="shared" si="105"/>
        <v>3.9899999999999998E-2</v>
      </c>
      <c r="O339" s="421">
        <f t="shared" si="95"/>
        <v>554.16666666666663</v>
      </c>
      <c r="P339" s="304">
        <f t="shared" si="106"/>
        <v>14962.499999999995</v>
      </c>
      <c r="Q339" s="307">
        <f t="shared" si="96"/>
        <v>81.9444444444444</v>
      </c>
      <c r="S339" s="11" t="s">
        <v>192</v>
      </c>
      <c r="T339" s="306">
        <f t="shared" si="107"/>
        <v>5000000</v>
      </c>
      <c r="U339" s="97">
        <f t="shared" si="108"/>
        <v>3.9199999999999999E-2</v>
      </c>
      <c r="V339" s="421">
        <f t="shared" si="97"/>
        <v>544.44444444444446</v>
      </c>
      <c r="W339" s="304">
        <f t="shared" si="98"/>
        <v>1088.8888888888889</v>
      </c>
      <c r="X339" s="307">
        <f t="shared" si="99"/>
        <v>72.222222222222229</v>
      </c>
      <c r="Z339" s="11" t="s">
        <v>192</v>
      </c>
      <c r="AA339" s="306">
        <f t="shared" si="109"/>
        <v>10000000</v>
      </c>
      <c r="AB339" s="97">
        <f t="shared" si="110"/>
        <v>3.7499999999999999E-2</v>
      </c>
      <c r="AC339" s="421">
        <f t="shared" si="100"/>
        <v>1041.6666666666667</v>
      </c>
      <c r="AD339" s="304">
        <f t="shared" si="111"/>
        <v>28125.000000000011</v>
      </c>
      <c r="AE339" s="307">
        <f t="shared" si="101"/>
        <v>97.222222222222285</v>
      </c>
      <c r="AG339" s="11" t="s">
        <v>192</v>
      </c>
      <c r="AH339" s="306">
        <f t="shared" si="112"/>
        <v>6000000</v>
      </c>
      <c r="AI339" s="97">
        <f t="shared" si="113"/>
        <v>3.73E-2</v>
      </c>
      <c r="AJ339" s="421">
        <f t="shared" si="102"/>
        <v>621.66666666666663</v>
      </c>
      <c r="AK339" s="304">
        <f t="shared" si="114"/>
        <v>16784.999999999993</v>
      </c>
      <c r="AL339" s="307">
        <f t="shared" si="103"/>
        <v>54.999999999999886</v>
      </c>
      <c r="AN339" s="304">
        <f>'codeis $'!AB340</f>
        <v>226316356.00000003</v>
      </c>
      <c r="AO339" s="340">
        <f>'codeis $'!AH340</f>
        <v>3.9437647784430686E-2</v>
      </c>
      <c r="AP339" s="304">
        <f>'codeis $'!AE340</f>
        <v>0</v>
      </c>
      <c r="AQ339" s="304">
        <f>'codeis $'!AK340</f>
        <v>-21224.465017777784</v>
      </c>
      <c r="AR339" s="9"/>
      <c r="AS339" s="9"/>
      <c r="AT339" s="123">
        <v>1</v>
      </c>
      <c r="AU339" s="123" t="s">
        <v>32</v>
      </c>
      <c r="AV339" s="124">
        <v>37438389.079999998</v>
      </c>
      <c r="AW339" s="139">
        <v>3.7499999999999999E-2</v>
      </c>
      <c r="AX339" s="123"/>
      <c r="AY339" s="140">
        <f t="shared" si="127"/>
        <v>3846.4098369863013</v>
      </c>
      <c r="AZ339" s="140">
        <f t="shared" si="93"/>
        <v>686271.33274717128</v>
      </c>
      <c r="BA339" s="140">
        <f t="shared" si="120"/>
        <v>310.56197943074585</v>
      </c>
      <c r="BC339" s="124">
        <f>'MM $'!G339</f>
        <v>40000000</v>
      </c>
      <c r="BD339" s="139">
        <f>'MM $'!H339</f>
        <v>3.839324999999949E-2</v>
      </c>
      <c r="BE339" s="431">
        <f>'MM $'!I339</f>
        <v>4265.9166666666097</v>
      </c>
      <c r="BF339" s="124">
        <f>'MM $'!L339</f>
        <v>488.13888888883184</v>
      </c>
      <c r="BH339" s="124">
        <f>'MM $'!N339</f>
        <v>40000000</v>
      </c>
      <c r="BI339" s="139">
        <f>'MM $'!P339</f>
        <v>3.8233830000001801E-2</v>
      </c>
      <c r="BJ339" s="431">
        <f>'MM $'!Q339</f>
        <v>4248.2033333335339</v>
      </c>
      <c r="BK339" s="124">
        <f>'MM $'!U339</f>
        <v>470.42555555575609</v>
      </c>
      <c r="BM339" s="124">
        <f>'MM $'!W339</f>
        <v>40000000</v>
      </c>
      <c r="BN339" s="139">
        <f>'MM $'!X339</f>
        <v>3.8280630000000482E-2</v>
      </c>
      <c r="BO339" s="431">
        <f>'MM $'!Y339</f>
        <v>4253.4033333333873</v>
      </c>
      <c r="BP339" s="124">
        <f>'MM $'!AB339</f>
        <v>475.62555555560948</v>
      </c>
      <c r="BR339" s="124">
        <f>'MM $'!AD339</f>
        <v>40000000</v>
      </c>
      <c r="BS339" s="139">
        <f>'MM $'!AE339</f>
        <v>3.8657655000000624E-2</v>
      </c>
      <c r="BT339" s="431">
        <f>'MM $'!AF339</f>
        <v>4295.2950000000692</v>
      </c>
      <c r="BU339" s="124">
        <f>'MM $'!AB339</f>
        <v>475.62555555560948</v>
      </c>
      <c r="BV339" s="439"/>
      <c r="BW339" s="120">
        <f t="shared" si="122"/>
        <v>453154745.08000004</v>
      </c>
      <c r="BX339" s="121">
        <f t="shared" si="133"/>
        <v>3.7499999999999999E-2</v>
      </c>
      <c r="BY339" s="121">
        <f t="shared" si="123"/>
        <v>3.8798752781856051E-2</v>
      </c>
      <c r="BZ339" s="120">
        <f t="shared" si="124"/>
        <v>23992.283725875459</v>
      </c>
      <c r="CA339" s="120">
        <f t="shared" si="125"/>
        <v>-18697.69859390234</v>
      </c>
    </row>
    <row r="340" spans="2:79" x14ac:dyDescent="0.25">
      <c r="B340" s="123" t="str">
        <f t="shared" si="116"/>
        <v>12 2025</v>
      </c>
      <c r="C340" s="122">
        <f t="shared" si="117"/>
        <v>45992</v>
      </c>
      <c r="D340" s="122">
        <f t="shared" si="121"/>
        <v>45993</v>
      </c>
      <c r="E340" s="123">
        <f t="shared" si="118"/>
        <v>1</v>
      </c>
      <c r="F340" s="123" t="s">
        <v>7</v>
      </c>
      <c r="G340" s="124">
        <f t="shared" ref="G340" si="139">G339</f>
        <v>3400000</v>
      </c>
      <c r="H340" s="125">
        <f t="shared" si="128"/>
        <v>3.4000000000000002E-2</v>
      </c>
      <c r="I340" s="322">
        <f t="shared" si="115"/>
        <v>321.11111111111114</v>
      </c>
      <c r="J340" s="124">
        <f t="shared" si="119"/>
        <v>1015551.3916666677</v>
      </c>
      <c r="K340" s="9"/>
      <c r="L340" s="11" t="s">
        <v>192</v>
      </c>
      <c r="M340" s="306">
        <f t="shared" si="104"/>
        <v>5000000</v>
      </c>
      <c r="N340" s="97">
        <f t="shared" si="105"/>
        <v>3.9899999999999998E-2</v>
      </c>
      <c r="O340" s="421">
        <f t="shared" si="95"/>
        <v>554.16666666666663</v>
      </c>
      <c r="P340" s="304">
        <f t="shared" si="106"/>
        <v>15516.666666666661</v>
      </c>
      <c r="Q340" s="307">
        <f t="shared" si="96"/>
        <v>81.9444444444444</v>
      </c>
      <c r="S340" s="11" t="s">
        <v>192</v>
      </c>
      <c r="T340" s="306">
        <f t="shared" si="107"/>
        <v>5000000</v>
      </c>
      <c r="U340" s="97">
        <f t="shared" si="108"/>
        <v>3.9199999999999999E-2</v>
      </c>
      <c r="V340" s="421">
        <f t="shared" si="97"/>
        <v>544.44444444444446</v>
      </c>
      <c r="W340" s="304">
        <f t="shared" si="98"/>
        <v>1088.8888888888889</v>
      </c>
      <c r="X340" s="307">
        <f t="shared" si="99"/>
        <v>72.222222222222229</v>
      </c>
      <c r="Z340" s="11" t="s">
        <v>192</v>
      </c>
      <c r="AA340" s="306">
        <f t="shared" si="109"/>
        <v>10000000</v>
      </c>
      <c r="AB340" s="97">
        <f t="shared" si="110"/>
        <v>3.7499999999999999E-2</v>
      </c>
      <c r="AC340" s="421">
        <f t="shared" si="100"/>
        <v>1041.6666666666667</v>
      </c>
      <c r="AD340" s="304">
        <f t="shared" si="111"/>
        <v>29166.666666666679</v>
      </c>
      <c r="AE340" s="307">
        <f t="shared" si="101"/>
        <v>97.222222222222285</v>
      </c>
      <c r="AG340" s="11" t="s">
        <v>192</v>
      </c>
      <c r="AH340" s="306">
        <f t="shared" si="112"/>
        <v>6000000</v>
      </c>
      <c r="AI340" s="97">
        <f t="shared" si="113"/>
        <v>3.73E-2</v>
      </c>
      <c r="AJ340" s="421">
        <f t="shared" si="102"/>
        <v>621.66666666666663</v>
      </c>
      <c r="AK340" s="304">
        <f t="shared" si="114"/>
        <v>17406.666666666661</v>
      </c>
      <c r="AL340" s="307">
        <f t="shared" si="103"/>
        <v>54.999999999999886</v>
      </c>
      <c r="AN340" s="304">
        <f>'codeis $'!AB341</f>
        <v>226394660.80000001</v>
      </c>
      <c r="AO340" s="340">
        <f>'codeis $'!AH341</f>
        <v>3.9437647784430686E-2</v>
      </c>
      <c r="AP340" s="304">
        <f>'codeis $'!AE341</f>
        <v>78304.799999982119</v>
      </c>
      <c r="AQ340" s="304">
        <f>'codeis $'!AK341</f>
        <v>57080.334982204338</v>
      </c>
      <c r="AR340" s="9"/>
      <c r="AS340" s="9"/>
      <c r="AT340" s="123">
        <v>1</v>
      </c>
      <c r="AU340" s="123" t="s">
        <v>32</v>
      </c>
      <c r="AV340" s="124">
        <v>37174675.329999998</v>
      </c>
      <c r="AW340" s="139">
        <v>3.7499999999999999E-2</v>
      </c>
      <c r="AX340" s="123"/>
      <c r="AY340" s="140">
        <f t="shared" si="127"/>
        <v>3819.3159585616436</v>
      </c>
      <c r="AZ340" s="140">
        <f t="shared" si="93"/>
        <v>690090.64870573289</v>
      </c>
      <c r="BA340" s="140">
        <f t="shared" si="120"/>
        <v>308.37439961719929</v>
      </c>
      <c r="BC340" s="124">
        <f>'MM $'!G340</f>
        <v>40102382</v>
      </c>
      <c r="BD340" s="139">
        <f>'MM $'!H340</f>
        <v>3.6932471106482984E-2</v>
      </c>
      <c r="BE340" s="431">
        <f>'MM $'!I340</f>
        <v>4114.1112903226203</v>
      </c>
      <c r="BF340" s="124">
        <f>'MM $'!L340</f>
        <v>326.66410143373105</v>
      </c>
      <c r="BH340" s="124">
        <f>'MM $'!N340</f>
        <v>40101956.880000003</v>
      </c>
      <c r="BI340" s="139">
        <f>'MM $'!P340</f>
        <v>3.6693347326196522E-2</v>
      </c>
      <c r="BJ340" s="431">
        <f>'MM $'!Q340</f>
        <v>4087.4306451611005</v>
      </c>
      <c r="BK340" s="124">
        <f>'MM $'!U340</f>
        <v>300.02360649443381</v>
      </c>
      <c r="BM340" s="124">
        <f>'MM $'!W340</f>
        <v>40102081.68</v>
      </c>
      <c r="BN340" s="139">
        <f>'MM $'!X340</f>
        <v>3.6869725161289814E-2</v>
      </c>
      <c r="BO340" s="431">
        <f>'MM $'!Y340</f>
        <v>4107.0909164922095</v>
      </c>
      <c r="BP340" s="124">
        <f>'MM $'!AB340</f>
        <v>319.67209115887636</v>
      </c>
      <c r="BR340" s="124">
        <f>'MM $'!AD340</f>
        <v>40103087.079999998</v>
      </c>
      <c r="BS340" s="139">
        <f>'MM $'!AE340</f>
        <v>3.7224545806451938E-2</v>
      </c>
      <c r="BT340" s="431">
        <f>'MM $'!AF340</f>
        <v>4146.7200055266412</v>
      </c>
      <c r="BU340" s="124">
        <f>'MM $'!AB340</f>
        <v>319.67209115887636</v>
      </c>
      <c r="BV340" s="439"/>
      <c r="BW340" s="120">
        <f t="shared" si="122"/>
        <v>453378843.76999998</v>
      </c>
      <c r="BX340" s="121">
        <f t="shared" si="133"/>
        <v>3.7499999999999999E-2</v>
      </c>
      <c r="BY340" s="121">
        <f t="shared" si="123"/>
        <v>3.8282223542144132E-2</v>
      </c>
      <c r="BZ340" s="120">
        <f t="shared" si="124"/>
        <v>101662.52437160189</v>
      </c>
      <c r="CA340" s="120">
        <f t="shared" si="125"/>
        <v>58961.130160956345</v>
      </c>
    </row>
    <row r="341" spans="2:79" x14ac:dyDescent="0.25">
      <c r="B341" s="123" t="str">
        <f t="shared" si="116"/>
        <v>12 2025</v>
      </c>
      <c r="C341" s="122">
        <f t="shared" si="117"/>
        <v>45993</v>
      </c>
      <c r="D341" s="122">
        <f t="shared" si="121"/>
        <v>45994</v>
      </c>
      <c r="E341" s="123">
        <f t="shared" si="118"/>
        <v>1</v>
      </c>
      <c r="F341" s="123" t="s">
        <v>7</v>
      </c>
      <c r="G341" s="124">
        <f t="shared" ref="G341" si="140">G340</f>
        <v>3400000</v>
      </c>
      <c r="H341" s="125">
        <f t="shared" si="128"/>
        <v>3.4000000000000002E-2</v>
      </c>
      <c r="I341" s="322">
        <f t="shared" si="115"/>
        <v>321.11111111111114</v>
      </c>
      <c r="J341" s="124">
        <f t="shared" si="119"/>
        <v>1015872.5027777788</v>
      </c>
      <c r="K341" s="9"/>
      <c r="L341" s="11" t="s">
        <v>192</v>
      </c>
      <c r="M341" s="306">
        <f t="shared" si="104"/>
        <v>5000000</v>
      </c>
      <c r="N341" s="97">
        <f t="shared" si="105"/>
        <v>3.9899999999999998E-2</v>
      </c>
      <c r="O341" s="421">
        <f t="shared" si="95"/>
        <v>554.16666666666663</v>
      </c>
      <c r="P341" s="304">
        <f t="shared" si="106"/>
        <v>16070.833333333327</v>
      </c>
      <c r="Q341" s="307">
        <f t="shared" si="96"/>
        <v>81.9444444444444</v>
      </c>
      <c r="S341" s="11" t="s">
        <v>192</v>
      </c>
      <c r="T341" s="306">
        <f t="shared" si="107"/>
        <v>5000000</v>
      </c>
      <c r="U341" s="97">
        <f t="shared" si="108"/>
        <v>3.9199999999999999E-2</v>
      </c>
      <c r="V341" s="421">
        <f t="shared" si="97"/>
        <v>544.44444444444446</v>
      </c>
      <c r="W341" s="304">
        <f t="shared" si="98"/>
        <v>1088.8888888888889</v>
      </c>
      <c r="X341" s="307">
        <f t="shared" si="99"/>
        <v>72.222222222222229</v>
      </c>
      <c r="Z341" s="11" t="s">
        <v>192</v>
      </c>
      <c r="AA341" s="306">
        <f t="shared" si="109"/>
        <v>10000000</v>
      </c>
      <c r="AB341" s="97">
        <f t="shared" si="110"/>
        <v>3.7499999999999999E-2</v>
      </c>
      <c r="AC341" s="421">
        <f t="shared" si="100"/>
        <v>1041.6666666666667</v>
      </c>
      <c r="AD341" s="304">
        <f t="shared" si="111"/>
        <v>30208.333333333347</v>
      </c>
      <c r="AE341" s="307">
        <f t="shared" si="101"/>
        <v>97.222222222222285</v>
      </c>
      <c r="AG341" s="11" t="s">
        <v>192</v>
      </c>
      <c r="AH341" s="306">
        <f t="shared" si="112"/>
        <v>6000000</v>
      </c>
      <c r="AI341" s="97">
        <f t="shared" si="113"/>
        <v>3.73E-2</v>
      </c>
      <c r="AJ341" s="421">
        <f t="shared" si="102"/>
        <v>621.66666666666663</v>
      </c>
      <c r="AK341" s="304">
        <f t="shared" si="114"/>
        <v>18028.333333333328</v>
      </c>
      <c r="AL341" s="307">
        <f t="shared" si="103"/>
        <v>54.999999999999886</v>
      </c>
      <c r="AN341" s="304">
        <f>'codeis $'!AB342</f>
        <v>226420762.40000004</v>
      </c>
      <c r="AO341" s="340">
        <f>'codeis $'!AH342</f>
        <v>3.9437647784430686E-2</v>
      </c>
      <c r="AP341" s="304">
        <f>'codeis $'!AE342</f>
        <v>26101.600000023842</v>
      </c>
      <c r="AQ341" s="304">
        <f>'codeis $'!AK342</f>
        <v>4877.1349822460579</v>
      </c>
      <c r="AR341" s="9"/>
      <c r="AS341" s="9"/>
      <c r="AT341" s="123">
        <v>1</v>
      </c>
      <c r="AU341" s="123" t="s">
        <v>32</v>
      </c>
      <c r="AV341" s="124">
        <v>37161501.619999997</v>
      </c>
      <c r="AW341" s="139">
        <v>3.7499999999999999E-2</v>
      </c>
      <c r="AX341" s="123"/>
      <c r="AY341" s="140">
        <f t="shared" si="127"/>
        <v>3817.9624952054792</v>
      </c>
      <c r="AZ341" s="140">
        <f t="shared" si="93"/>
        <v>693908.61120093835</v>
      </c>
      <c r="BA341" s="140">
        <f t="shared" si="120"/>
        <v>308.26511998325668</v>
      </c>
      <c r="BC341" s="124">
        <f>'MM $'!G341</f>
        <v>40102382</v>
      </c>
      <c r="BD341" s="139">
        <f>'MM $'!H341</f>
        <v>3.6932471106482984E-2</v>
      </c>
      <c r="BE341" s="431">
        <f>'MM $'!I341</f>
        <v>4114.1112903226203</v>
      </c>
      <c r="BF341" s="124">
        <f>'MM $'!L341</f>
        <v>326.66410143373105</v>
      </c>
      <c r="BH341" s="124">
        <f>'MM $'!N341</f>
        <v>40101956.880000003</v>
      </c>
      <c r="BI341" s="139">
        <f>'MM $'!P341</f>
        <v>3.6693347326196522E-2</v>
      </c>
      <c r="BJ341" s="431">
        <f>'MM $'!Q341</f>
        <v>4087.4306451611005</v>
      </c>
      <c r="BK341" s="124">
        <f>'MM $'!U341</f>
        <v>300.02360649443381</v>
      </c>
      <c r="BM341" s="124">
        <f>'MM $'!W341</f>
        <v>40102081.68</v>
      </c>
      <c r="BN341" s="139">
        <f>'MM $'!X341</f>
        <v>3.6869725161289814E-2</v>
      </c>
      <c r="BO341" s="431">
        <f>'MM $'!Y341</f>
        <v>4107.0909164922095</v>
      </c>
      <c r="BP341" s="124">
        <f>'MM $'!AB341</f>
        <v>319.67209115887636</v>
      </c>
      <c r="BR341" s="124">
        <f>'MM $'!AD341</f>
        <v>40103087.079999998</v>
      </c>
      <c r="BS341" s="139">
        <f>'MM $'!AE341</f>
        <v>3.7224545806451938E-2</v>
      </c>
      <c r="BT341" s="431">
        <f>'MM $'!AF341</f>
        <v>4146.7200055266412</v>
      </c>
      <c r="BU341" s="124">
        <f>'MM $'!AB341</f>
        <v>319.67209115887636</v>
      </c>
      <c r="BV341" s="439"/>
      <c r="BW341" s="120">
        <f t="shared" si="122"/>
        <v>453391771.66000003</v>
      </c>
      <c r="BX341" s="121">
        <f t="shared" si="133"/>
        <v>3.7499999999999999E-2</v>
      </c>
      <c r="BY341" s="121">
        <f t="shared" si="123"/>
        <v>3.8282312787715038E-2</v>
      </c>
      <c r="BZ341" s="120">
        <f t="shared" si="124"/>
        <v>49457.970908287447</v>
      </c>
      <c r="CA341" s="120">
        <f t="shared" si="125"/>
        <v>6757.8208813641213</v>
      </c>
    </row>
    <row r="342" spans="2:79" x14ac:dyDescent="0.25">
      <c r="B342" s="123" t="str">
        <f t="shared" si="116"/>
        <v>12 2025</v>
      </c>
      <c r="C342" s="122">
        <f t="shared" si="117"/>
        <v>45994</v>
      </c>
      <c r="D342" s="122">
        <f t="shared" si="121"/>
        <v>45995</v>
      </c>
      <c r="E342" s="123">
        <f t="shared" si="118"/>
        <v>1</v>
      </c>
      <c r="F342" s="123" t="s">
        <v>7</v>
      </c>
      <c r="G342" s="126">
        <f>G341+1430000</f>
        <v>4830000</v>
      </c>
      <c r="H342" s="125">
        <f t="shared" si="128"/>
        <v>3.4000000000000002E-2</v>
      </c>
      <c r="I342" s="322">
        <f t="shared" si="115"/>
        <v>456.16666666666669</v>
      </c>
      <c r="J342" s="124">
        <f t="shared" si="119"/>
        <v>1016328.6694444454</v>
      </c>
      <c r="K342" s="9"/>
      <c r="L342" s="11" t="s">
        <v>192</v>
      </c>
      <c r="M342" s="306">
        <f t="shared" si="104"/>
        <v>5000000</v>
      </c>
      <c r="N342" s="97">
        <f t="shared" si="105"/>
        <v>3.9899999999999998E-2</v>
      </c>
      <c r="O342" s="421">
        <f t="shared" si="95"/>
        <v>554.16666666666663</v>
      </c>
      <c r="P342" s="304">
        <f t="shared" si="106"/>
        <v>16624.999999999993</v>
      </c>
      <c r="Q342" s="307">
        <f t="shared" si="96"/>
        <v>81.9444444444444</v>
      </c>
      <c r="S342" s="11" t="s">
        <v>192</v>
      </c>
      <c r="T342" s="306">
        <f t="shared" si="107"/>
        <v>5000000</v>
      </c>
      <c r="U342" s="97">
        <f t="shared" si="108"/>
        <v>3.9199999999999999E-2</v>
      </c>
      <c r="V342" s="421">
        <f t="shared" si="97"/>
        <v>544.44444444444446</v>
      </c>
      <c r="W342" s="304">
        <f t="shared" si="98"/>
        <v>1088.8888888888889</v>
      </c>
      <c r="X342" s="307">
        <f t="shared" si="99"/>
        <v>72.222222222222229</v>
      </c>
      <c r="Z342" s="11" t="s">
        <v>192</v>
      </c>
      <c r="AA342" s="306">
        <f t="shared" si="109"/>
        <v>10000000</v>
      </c>
      <c r="AB342" s="97">
        <f t="shared" si="110"/>
        <v>3.7499999999999999E-2</v>
      </c>
      <c r="AC342" s="421">
        <f t="shared" si="100"/>
        <v>1041.6666666666667</v>
      </c>
      <c r="AD342" s="304">
        <f t="shared" si="111"/>
        <v>31250.000000000015</v>
      </c>
      <c r="AE342" s="307">
        <f t="shared" si="101"/>
        <v>97.222222222222285</v>
      </c>
      <c r="AG342" s="11" t="s">
        <v>192</v>
      </c>
      <c r="AH342" s="306">
        <f t="shared" si="112"/>
        <v>6000000</v>
      </c>
      <c r="AI342" s="97">
        <f t="shared" si="113"/>
        <v>3.73E-2</v>
      </c>
      <c r="AJ342" s="421">
        <f t="shared" si="102"/>
        <v>621.66666666666663</v>
      </c>
      <c r="AK342" s="304">
        <f t="shared" si="114"/>
        <v>18649.999999999996</v>
      </c>
      <c r="AL342" s="307">
        <f t="shared" si="103"/>
        <v>54.999999999999886</v>
      </c>
      <c r="AN342" s="304">
        <f>'codeis $'!AB343</f>
        <v>226447306.40000001</v>
      </c>
      <c r="AO342" s="340">
        <f>'codeis $'!AH343</f>
        <v>3.9437647784430686E-2</v>
      </c>
      <c r="AP342" s="304">
        <f>'codeis $'!AE343</f>
        <v>26543.999999970198</v>
      </c>
      <c r="AQ342" s="304">
        <f>'codeis $'!AK343</f>
        <v>5319.5349821924137</v>
      </c>
      <c r="AR342" s="9"/>
      <c r="AS342" s="9"/>
      <c r="AT342" s="123">
        <v>1</v>
      </c>
      <c r="AU342" s="123" t="s">
        <v>32</v>
      </c>
      <c r="AV342" s="124">
        <v>37165319.579999998</v>
      </c>
      <c r="AW342" s="139">
        <v>3.7499999999999999E-2</v>
      </c>
      <c r="AX342" s="123"/>
      <c r="AY342" s="140">
        <f t="shared" si="127"/>
        <v>3818.3547513698632</v>
      </c>
      <c r="AZ342" s="140">
        <f t="shared" si="93"/>
        <v>697726.96595230827</v>
      </c>
      <c r="BA342" s="140">
        <f t="shared" si="120"/>
        <v>308.29679103652961</v>
      </c>
      <c r="BC342" s="124">
        <f>'MM $'!G342</f>
        <v>40102382</v>
      </c>
      <c r="BD342" s="139">
        <f>'MM $'!H342</f>
        <v>3.6932471106482984E-2</v>
      </c>
      <c r="BE342" s="431">
        <f>'MM $'!I342</f>
        <v>4114.1112903226203</v>
      </c>
      <c r="BF342" s="124">
        <f>'MM $'!L342</f>
        <v>326.66410143373105</v>
      </c>
      <c r="BH342" s="124">
        <f>'MM $'!N342</f>
        <v>40101956.880000003</v>
      </c>
      <c r="BI342" s="139">
        <f>'MM $'!P342</f>
        <v>3.6693347326196522E-2</v>
      </c>
      <c r="BJ342" s="431">
        <f>'MM $'!Q342</f>
        <v>4087.4306451611005</v>
      </c>
      <c r="BK342" s="124">
        <f>'MM $'!U342</f>
        <v>300.02360649443381</v>
      </c>
      <c r="BM342" s="124">
        <f>'MM $'!W342</f>
        <v>40102081.68</v>
      </c>
      <c r="BN342" s="139">
        <f>'MM $'!X342</f>
        <v>3.6869725161289814E-2</v>
      </c>
      <c r="BO342" s="431">
        <f>'MM $'!Y342</f>
        <v>4107.0909164922095</v>
      </c>
      <c r="BP342" s="124">
        <f>'MM $'!AB342</f>
        <v>319.67209115887636</v>
      </c>
      <c r="BR342" s="124">
        <f>'MM $'!AD342</f>
        <v>40103087.079999998</v>
      </c>
      <c r="BS342" s="139">
        <f>'MM $'!AE342</f>
        <v>3.7224545806451938E-2</v>
      </c>
      <c r="BT342" s="431">
        <f>'MM $'!AF342</f>
        <v>4146.7200055266412</v>
      </c>
      <c r="BU342" s="124">
        <f>'MM $'!AB342</f>
        <v>319.67209115887636</v>
      </c>
      <c r="BV342" s="439"/>
      <c r="BW342" s="120">
        <f t="shared" si="122"/>
        <v>454852133.62</v>
      </c>
      <c r="BX342" s="121">
        <f t="shared" si="133"/>
        <v>3.7499999999999999E-2</v>
      </c>
      <c r="BY342" s="121">
        <f t="shared" si="123"/>
        <v>3.826891057090076E-2</v>
      </c>
      <c r="BZ342" s="120">
        <f t="shared" si="124"/>
        <v>50035.81871995375</v>
      </c>
      <c r="CA342" s="120">
        <f t="shared" si="125"/>
        <v>7200.2525523637496</v>
      </c>
    </row>
    <row r="343" spans="2:79" x14ac:dyDescent="0.25">
      <c r="B343" s="123" t="str">
        <f t="shared" si="116"/>
        <v>12 2025</v>
      </c>
      <c r="C343" s="122">
        <f t="shared" si="117"/>
        <v>45995</v>
      </c>
      <c r="D343" s="122">
        <f t="shared" si="121"/>
        <v>45996</v>
      </c>
      <c r="E343" s="123">
        <f t="shared" si="118"/>
        <v>1</v>
      </c>
      <c r="F343" s="123" t="s">
        <v>7</v>
      </c>
      <c r="G343" s="124">
        <f t="shared" ref="G343" si="141">G342</f>
        <v>4830000</v>
      </c>
      <c r="H343" s="125">
        <f t="shared" si="128"/>
        <v>3.4000000000000002E-2</v>
      </c>
      <c r="I343" s="322">
        <f t="shared" si="115"/>
        <v>456.16666666666669</v>
      </c>
      <c r="J343" s="124">
        <f t="shared" si="119"/>
        <v>1016784.836111112</v>
      </c>
      <c r="K343" s="9"/>
      <c r="L343" s="11" t="s">
        <v>192</v>
      </c>
      <c r="M343" s="306">
        <f t="shared" si="104"/>
        <v>5000000</v>
      </c>
      <c r="N343" s="97">
        <f t="shared" si="105"/>
        <v>3.9899999999999998E-2</v>
      </c>
      <c r="O343" s="421">
        <f t="shared" si="95"/>
        <v>554.16666666666663</v>
      </c>
      <c r="P343" s="304">
        <f t="shared" si="106"/>
        <v>17179.166666666661</v>
      </c>
      <c r="Q343" s="307">
        <f t="shared" si="96"/>
        <v>81.9444444444444</v>
      </c>
      <c r="S343" s="11" t="s">
        <v>192</v>
      </c>
      <c r="T343" s="306">
        <f t="shared" si="107"/>
        <v>5000000</v>
      </c>
      <c r="U343" s="97">
        <f t="shared" si="108"/>
        <v>3.9199999999999999E-2</v>
      </c>
      <c r="V343" s="421">
        <f t="shared" si="97"/>
        <v>544.44444444444446</v>
      </c>
      <c r="W343" s="304">
        <f t="shared" si="98"/>
        <v>1088.8888888888889</v>
      </c>
      <c r="X343" s="307">
        <f t="shared" si="99"/>
        <v>72.222222222222229</v>
      </c>
      <c r="Z343" s="11" t="s">
        <v>192</v>
      </c>
      <c r="AA343" s="306">
        <f t="shared" si="109"/>
        <v>10000000</v>
      </c>
      <c r="AB343" s="97">
        <f t="shared" si="110"/>
        <v>3.7499999999999999E-2</v>
      </c>
      <c r="AC343" s="421">
        <f t="shared" si="100"/>
        <v>1041.6666666666667</v>
      </c>
      <c r="AD343" s="304">
        <f t="shared" si="111"/>
        <v>32291.666666666682</v>
      </c>
      <c r="AE343" s="307">
        <f t="shared" si="101"/>
        <v>97.222222222222285</v>
      </c>
      <c r="AG343" s="11" t="s">
        <v>192</v>
      </c>
      <c r="AH343" s="306">
        <f t="shared" si="112"/>
        <v>6000000</v>
      </c>
      <c r="AI343" s="97">
        <f t="shared" si="113"/>
        <v>3.73E-2</v>
      </c>
      <c r="AJ343" s="421">
        <f t="shared" si="102"/>
        <v>621.66666666666663</v>
      </c>
      <c r="AK343" s="304">
        <f t="shared" si="114"/>
        <v>19271.666666666664</v>
      </c>
      <c r="AL343" s="307">
        <f t="shared" si="103"/>
        <v>54.999999999999886</v>
      </c>
      <c r="AN343" s="304">
        <f>'codeis $'!AB344</f>
        <v>226473850.40000004</v>
      </c>
      <c r="AO343" s="340">
        <f>'codeis $'!AH344</f>
        <v>3.9437647784430686E-2</v>
      </c>
      <c r="AP343" s="304">
        <f>'codeis $'!AE344</f>
        <v>26544.000000029802</v>
      </c>
      <c r="AQ343" s="304">
        <f>'codeis $'!AK344</f>
        <v>5319.5349822520184</v>
      </c>
      <c r="AR343" s="9"/>
      <c r="AS343" s="9"/>
      <c r="AT343" s="123">
        <v>1</v>
      </c>
      <c r="AU343" s="123" t="s">
        <v>32</v>
      </c>
      <c r="AV343" s="124">
        <v>37168665.530000001</v>
      </c>
      <c r="AW343" s="139">
        <v>3.7499999999999999E-2</v>
      </c>
      <c r="AX343" s="123"/>
      <c r="AY343" s="140">
        <f t="shared" si="127"/>
        <v>3818.6985133561643</v>
      </c>
      <c r="AZ343" s="140">
        <f t="shared" si="93"/>
        <v>701545.66446566442</v>
      </c>
      <c r="BA343" s="140">
        <f t="shared" si="120"/>
        <v>308.32454663394174</v>
      </c>
      <c r="BC343" s="124">
        <f>'MM $'!G343</f>
        <v>40102382</v>
      </c>
      <c r="BD343" s="139">
        <f>'MM $'!H343</f>
        <v>3.6932471106482984E-2</v>
      </c>
      <c r="BE343" s="431">
        <f>'MM $'!I343</f>
        <v>4114.1112903226203</v>
      </c>
      <c r="BF343" s="124">
        <f>'MM $'!L343</f>
        <v>326.66410143373105</v>
      </c>
      <c r="BH343" s="124">
        <f>'MM $'!N343</f>
        <v>40101956.880000003</v>
      </c>
      <c r="BI343" s="139">
        <f>'MM $'!P343</f>
        <v>3.6693347326196522E-2</v>
      </c>
      <c r="BJ343" s="431">
        <f>'MM $'!Q343</f>
        <v>4087.4306451611005</v>
      </c>
      <c r="BK343" s="124">
        <f>'MM $'!U343</f>
        <v>300.02360649443381</v>
      </c>
      <c r="BM343" s="124">
        <f>'MM $'!W343</f>
        <v>40102081.68</v>
      </c>
      <c r="BN343" s="139">
        <f>'MM $'!X343</f>
        <v>3.6869725161289814E-2</v>
      </c>
      <c r="BO343" s="431">
        <f>'MM $'!Y343</f>
        <v>4107.0909164922095</v>
      </c>
      <c r="BP343" s="124">
        <f>'MM $'!AB343</f>
        <v>319.67209115887636</v>
      </c>
      <c r="BR343" s="124">
        <f>'MM $'!AD343</f>
        <v>40103087.079999998</v>
      </c>
      <c r="BS343" s="139">
        <f>'MM $'!AE343</f>
        <v>3.7224545806451938E-2</v>
      </c>
      <c r="BT343" s="431">
        <f>'MM $'!AF343</f>
        <v>4146.7200055266412</v>
      </c>
      <c r="BU343" s="124">
        <f>'MM $'!AB343</f>
        <v>319.67209115887636</v>
      </c>
      <c r="BV343" s="439"/>
      <c r="BW343" s="120">
        <f t="shared" si="122"/>
        <v>454882023.57000005</v>
      </c>
      <c r="BX343" s="121">
        <f t="shared" si="133"/>
        <v>3.7499999999999999E-2</v>
      </c>
      <c r="BY343" s="121">
        <f t="shared" si="123"/>
        <v>3.8268973115083198E-2</v>
      </c>
      <c r="BZ343" s="120">
        <f t="shared" si="124"/>
        <v>50036.16248199965</v>
      </c>
      <c r="CA343" s="120">
        <f t="shared" si="125"/>
        <v>7200.2803080207668</v>
      </c>
    </row>
    <row r="344" spans="2:79" x14ac:dyDescent="0.25">
      <c r="B344" s="123" t="str">
        <f t="shared" si="116"/>
        <v>12 2025</v>
      </c>
      <c r="C344" s="122">
        <f t="shared" si="117"/>
        <v>45996</v>
      </c>
      <c r="D344" s="122">
        <f t="shared" si="121"/>
        <v>45997</v>
      </c>
      <c r="E344" s="123">
        <f t="shared" si="118"/>
        <v>1</v>
      </c>
      <c r="F344" s="123" t="s">
        <v>7</v>
      </c>
      <c r="G344" s="124">
        <f t="shared" ref="G344:H345" si="142">G343</f>
        <v>4830000</v>
      </c>
      <c r="H344" s="125">
        <f t="shared" si="142"/>
        <v>3.4000000000000002E-2</v>
      </c>
      <c r="I344" s="322">
        <f t="shared" si="115"/>
        <v>456.16666666666669</v>
      </c>
      <c r="J344" s="124">
        <f t="shared" si="119"/>
        <v>1017241.0027777787</v>
      </c>
      <c r="K344" s="9"/>
      <c r="L344" s="11" t="s">
        <v>192</v>
      </c>
      <c r="M344" s="306">
        <f t="shared" si="104"/>
        <v>5000000</v>
      </c>
      <c r="N344" s="97">
        <f t="shared" si="105"/>
        <v>3.9899999999999998E-2</v>
      </c>
      <c r="O344" s="421">
        <f t="shared" si="95"/>
        <v>554.16666666666663</v>
      </c>
      <c r="P344" s="304">
        <f t="shared" si="106"/>
        <v>17733.333333333328</v>
      </c>
      <c r="Q344" s="307">
        <f t="shared" si="96"/>
        <v>81.9444444444444</v>
      </c>
      <c r="S344" s="11" t="s">
        <v>192</v>
      </c>
      <c r="T344" s="306">
        <f t="shared" si="107"/>
        <v>5000000</v>
      </c>
      <c r="U344" s="97">
        <f t="shared" si="108"/>
        <v>3.9199999999999999E-2</v>
      </c>
      <c r="V344" s="421">
        <f t="shared" si="97"/>
        <v>544.44444444444446</v>
      </c>
      <c r="W344" s="304">
        <f t="shared" si="98"/>
        <v>1088.8888888888889</v>
      </c>
      <c r="X344" s="307">
        <f t="shared" si="99"/>
        <v>72.222222222222229</v>
      </c>
      <c r="Z344" s="11" t="s">
        <v>192</v>
      </c>
      <c r="AA344" s="306">
        <f t="shared" si="109"/>
        <v>10000000</v>
      </c>
      <c r="AB344" s="97">
        <f t="shared" si="110"/>
        <v>3.7499999999999999E-2</v>
      </c>
      <c r="AC344" s="421">
        <f t="shared" si="100"/>
        <v>1041.6666666666667</v>
      </c>
      <c r="AD344" s="304">
        <f t="shared" si="111"/>
        <v>33333.33333333335</v>
      </c>
      <c r="AE344" s="307">
        <f t="shared" si="101"/>
        <v>97.222222222222285</v>
      </c>
      <c r="AG344" s="11" t="s">
        <v>192</v>
      </c>
      <c r="AH344" s="306">
        <f t="shared" si="112"/>
        <v>6000000</v>
      </c>
      <c r="AI344" s="97">
        <f t="shared" si="113"/>
        <v>3.73E-2</v>
      </c>
      <c r="AJ344" s="421">
        <f t="shared" si="102"/>
        <v>621.66666666666663</v>
      </c>
      <c r="AK344" s="304">
        <f t="shared" si="114"/>
        <v>19893.333333333332</v>
      </c>
      <c r="AL344" s="307">
        <f t="shared" si="103"/>
        <v>54.999999999999886</v>
      </c>
      <c r="AN344" s="304">
        <f>'codeis $'!AB345</f>
        <v>226499730.80000001</v>
      </c>
      <c r="AO344" s="340">
        <f>'codeis $'!AH345</f>
        <v>3.9437647784430686E-2</v>
      </c>
      <c r="AP344" s="304">
        <f>'codeis $'!AE345</f>
        <v>25880.399999976158</v>
      </c>
      <c r="AQ344" s="304">
        <f>'codeis $'!AK345</f>
        <v>4655.9349821983742</v>
      </c>
      <c r="AR344" s="9"/>
      <c r="AS344" s="9"/>
      <c r="AT344" s="123">
        <v>1</v>
      </c>
      <c r="AU344" s="123" t="s">
        <v>32</v>
      </c>
      <c r="AV344" s="124">
        <v>37171227.899999999</v>
      </c>
      <c r="AW344" s="139">
        <v>3.7499999999999999E-2</v>
      </c>
      <c r="AX344" s="123"/>
      <c r="AY344" s="140">
        <f t="shared" si="127"/>
        <v>3818.961770547945</v>
      </c>
      <c r="AZ344" s="140">
        <f t="shared" si="93"/>
        <v>705364.62623621232</v>
      </c>
      <c r="BA344" s="140">
        <f t="shared" si="120"/>
        <v>308.34580221461147</v>
      </c>
      <c r="BC344" s="124">
        <f>'MM $'!G344</f>
        <v>40102382</v>
      </c>
      <c r="BD344" s="139">
        <f>'MM $'!H344</f>
        <v>3.6932471106482984E-2</v>
      </c>
      <c r="BE344" s="431">
        <f>'MM $'!I344</f>
        <v>4114.1112903226203</v>
      </c>
      <c r="BF344" s="124">
        <f>'MM $'!L344</f>
        <v>326.66410143373105</v>
      </c>
      <c r="BH344" s="124">
        <f>'MM $'!N344</f>
        <v>40101956.880000003</v>
      </c>
      <c r="BI344" s="139">
        <f>'MM $'!P344</f>
        <v>3.6693347326196522E-2</v>
      </c>
      <c r="BJ344" s="431">
        <f>'MM $'!Q344</f>
        <v>4087.4306451611005</v>
      </c>
      <c r="BK344" s="124">
        <f>'MM $'!U344</f>
        <v>300.02360649443381</v>
      </c>
      <c r="BM344" s="124">
        <f>'MM $'!W344</f>
        <v>40102081.68</v>
      </c>
      <c r="BN344" s="139">
        <f>'MM $'!X344</f>
        <v>3.6869725161289814E-2</v>
      </c>
      <c r="BO344" s="431">
        <f>'MM $'!Y344</f>
        <v>4107.0909164922095</v>
      </c>
      <c r="BP344" s="124">
        <f>'MM $'!AB344</f>
        <v>319.67209115887636</v>
      </c>
      <c r="BR344" s="124">
        <f>'MM $'!AD344</f>
        <v>40103087.079999998</v>
      </c>
      <c r="BS344" s="139">
        <f>'MM $'!AE344</f>
        <v>3.7224545806451938E-2</v>
      </c>
      <c r="BT344" s="431">
        <f>'MM $'!AF344</f>
        <v>4146.7200055266412</v>
      </c>
      <c r="BU344" s="124">
        <f>'MM $'!AB344</f>
        <v>319.67209115887636</v>
      </c>
      <c r="BV344" s="439"/>
      <c r="BW344" s="120">
        <f t="shared" si="122"/>
        <v>454910466.34000003</v>
      </c>
      <c r="BX344" s="121">
        <f t="shared" si="133"/>
        <v>3.7499999999999999E-2</v>
      </c>
      <c r="BY344" s="121">
        <f t="shared" si="123"/>
        <v>3.8269035270993783E-2</v>
      </c>
      <c r="BZ344" s="120">
        <f t="shared" si="124"/>
        <v>49372.825739137785</v>
      </c>
      <c r="CA344" s="120">
        <f t="shared" si="125"/>
        <v>6536.7015635477919</v>
      </c>
    </row>
    <row r="345" spans="2:79" x14ac:dyDescent="0.25">
      <c r="B345" s="123" t="str">
        <f t="shared" si="116"/>
        <v>12 2025</v>
      </c>
      <c r="C345" s="122">
        <f t="shared" si="117"/>
        <v>45997</v>
      </c>
      <c r="D345" s="122">
        <f t="shared" si="121"/>
        <v>45998</v>
      </c>
      <c r="E345" s="123">
        <f t="shared" si="118"/>
        <v>1</v>
      </c>
      <c r="F345" s="123" t="s">
        <v>7</v>
      </c>
      <c r="G345" s="124">
        <f t="shared" ref="G345" si="143">G344</f>
        <v>4830000</v>
      </c>
      <c r="H345" s="125">
        <f t="shared" si="142"/>
        <v>3.4000000000000002E-2</v>
      </c>
      <c r="I345" s="322">
        <f t="shared" si="115"/>
        <v>456.16666666666669</v>
      </c>
      <c r="J345" s="124">
        <f t="shared" si="119"/>
        <v>1017697.1694444453</v>
      </c>
      <c r="K345" s="9"/>
      <c r="L345" s="11" t="s">
        <v>192</v>
      </c>
      <c r="M345" s="306">
        <f t="shared" si="104"/>
        <v>5000000</v>
      </c>
      <c r="N345" s="97">
        <f t="shared" si="105"/>
        <v>3.9899999999999998E-2</v>
      </c>
      <c r="O345" s="421">
        <f t="shared" si="95"/>
        <v>554.16666666666663</v>
      </c>
      <c r="P345" s="304">
        <f t="shared" si="106"/>
        <v>18287.499999999996</v>
      </c>
      <c r="Q345" s="307">
        <f t="shared" si="96"/>
        <v>81.9444444444444</v>
      </c>
      <c r="S345" s="11" t="s">
        <v>192</v>
      </c>
      <c r="T345" s="306">
        <f t="shared" si="107"/>
        <v>5000000</v>
      </c>
      <c r="U345" s="97">
        <f t="shared" si="108"/>
        <v>3.9199999999999999E-2</v>
      </c>
      <c r="V345" s="421">
        <f t="shared" si="97"/>
        <v>544.44444444444446</v>
      </c>
      <c r="W345" s="304">
        <f t="shared" si="98"/>
        <v>1088.8888888888889</v>
      </c>
      <c r="X345" s="307">
        <f t="shared" si="99"/>
        <v>72.222222222222229</v>
      </c>
      <c r="Z345" s="11" t="s">
        <v>192</v>
      </c>
      <c r="AA345" s="306">
        <f t="shared" si="109"/>
        <v>10000000</v>
      </c>
      <c r="AB345" s="97">
        <f t="shared" si="110"/>
        <v>3.7499999999999999E-2</v>
      </c>
      <c r="AC345" s="421">
        <f t="shared" si="100"/>
        <v>1041.6666666666667</v>
      </c>
      <c r="AD345" s="304">
        <f t="shared" si="111"/>
        <v>34375.000000000015</v>
      </c>
      <c r="AE345" s="307">
        <f t="shared" si="101"/>
        <v>97.222222222222285</v>
      </c>
      <c r="AG345" s="11" t="s">
        <v>192</v>
      </c>
      <c r="AH345" s="306">
        <f t="shared" si="112"/>
        <v>6000000</v>
      </c>
      <c r="AI345" s="97">
        <f t="shared" si="113"/>
        <v>3.73E-2</v>
      </c>
      <c r="AJ345" s="421">
        <f t="shared" si="102"/>
        <v>621.66666666666663</v>
      </c>
      <c r="AK345" s="304">
        <f t="shared" si="114"/>
        <v>20515</v>
      </c>
      <c r="AL345" s="307">
        <f t="shared" si="103"/>
        <v>54.999999999999886</v>
      </c>
      <c r="AN345" s="304">
        <f>'codeis $'!AB346</f>
        <v>226499730.80000001</v>
      </c>
      <c r="AO345" s="340">
        <f>'codeis $'!AH346</f>
        <v>3.9437647784430686E-2</v>
      </c>
      <c r="AP345" s="304">
        <f>'codeis $'!AE346</f>
        <v>0</v>
      </c>
      <c r="AQ345" s="304">
        <f>'codeis $'!AK346</f>
        <v>-21224.465017777784</v>
      </c>
      <c r="AR345" s="9"/>
      <c r="AS345" s="9"/>
      <c r="AT345" s="123">
        <v>1</v>
      </c>
      <c r="AU345" s="123" t="s">
        <v>32</v>
      </c>
      <c r="AV345" s="124">
        <v>37171227.899999999</v>
      </c>
      <c r="AW345" s="139">
        <v>3.7499999999999999E-2</v>
      </c>
      <c r="AX345" s="123"/>
      <c r="AY345" s="140">
        <f t="shared" si="127"/>
        <v>3818.961770547945</v>
      </c>
      <c r="AZ345" s="140">
        <f t="shared" si="93"/>
        <v>709183.58800676023</v>
      </c>
      <c r="BA345" s="140">
        <f t="shared" si="120"/>
        <v>308.34580221461147</v>
      </c>
      <c r="BC345" s="124">
        <f>'MM $'!G345</f>
        <v>40102382</v>
      </c>
      <c r="BD345" s="139">
        <f>'MM $'!H345</f>
        <v>3.6932471106482984E-2</v>
      </c>
      <c r="BE345" s="431">
        <f>'MM $'!I345</f>
        <v>4114.1112903226203</v>
      </c>
      <c r="BF345" s="124">
        <f>'MM $'!L345</f>
        <v>326.66410143373105</v>
      </c>
      <c r="BH345" s="124">
        <f>'MM $'!N345</f>
        <v>40101956.880000003</v>
      </c>
      <c r="BI345" s="139">
        <f>'MM $'!P345</f>
        <v>3.6693347326196522E-2</v>
      </c>
      <c r="BJ345" s="431">
        <f>'MM $'!Q345</f>
        <v>4087.4306451611005</v>
      </c>
      <c r="BK345" s="124">
        <f>'MM $'!U345</f>
        <v>300.02360649443381</v>
      </c>
      <c r="BM345" s="124">
        <f>'MM $'!W345</f>
        <v>40102081.68</v>
      </c>
      <c r="BN345" s="139">
        <f>'MM $'!X345</f>
        <v>3.6869725161289814E-2</v>
      </c>
      <c r="BO345" s="431">
        <f>'MM $'!Y345</f>
        <v>4107.0909164922095</v>
      </c>
      <c r="BP345" s="124">
        <f>'MM $'!AB345</f>
        <v>319.67209115887636</v>
      </c>
      <c r="BR345" s="124">
        <f>'MM $'!AD345</f>
        <v>40103087.079999998</v>
      </c>
      <c r="BS345" s="139">
        <f>'MM $'!AE345</f>
        <v>3.7224545806451938E-2</v>
      </c>
      <c r="BT345" s="431">
        <f>'MM $'!AF345</f>
        <v>4146.7200055266412</v>
      </c>
      <c r="BU345" s="124">
        <f>'MM $'!AB345</f>
        <v>319.67209115887636</v>
      </c>
      <c r="BV345" s="439"/>
      <c r="BW345" s="120">
        <f t="shared" si="122"/>
        <v>454910466.34000003</v>
      </c>
      <c r="BX345" s="121">
        <f t="shared" si="133"/>
        <v>3.7499999999999999E-2</v>
      </c>
      <c r="BY345" s="121">
        <f t="shared" si="123"/>
        <v>3.8269035270993783E-2</v>
      </c>
      <c r="BZ345" s="120">
        <f t="shared" si="124"/>
        <v>23492.425739161627</v>
      </c>
      <c r="CA345" s="120">
        <f t="shared" si="125"/>
        <v>-19343.698436428363</v>
      </c>
    </row>
    <row r="346" spans="2:79" x14ac:dyDescent="0.25">
      <c r="B346" s="123" t="str">
        <f t="shared" si="116"/>
        <v>12 2025</v>
      </c>
      <c r="C346" s="122">
        <f t="shared" si="117"/>
        <v>45998</v>
      </c>
      <c r="D346" s="122">
        <f t="shared" si="121"/>
        <v>45999</v>
      </c>
      <c r="E346" s="123">
        <f t="shared" si="118"/>
        <v>1</v>
      </c>
      <c r="F346" s="123" t="s">
        <v>7</v>
      </c>
      <c r="G346" s="124">
        <f t="shared" ref="G346:H346" si="144">G345</f>
        <v>4830000</v>
      </c>
      <c r="H346" s="125">
        <f t="shared" si="144"/>
        <v>3.4000000000000002E-2</v>
      </c>
      <c r="I346" s="322">
        <f t="shared" si="115"/>
        <v>456.16666666666669</v>
      </c>
      <c r="J346" s="124">
        <f t="shared" si="119"/>
        <v>1018153.3361111119</v>
      </c>
      <c r="K346" s="9"/>
      <c r="L346" s="11" t="s">
        <v>192</v>
      </c>
      <c r="M346" s="306">
        <f t="shared" si="104"/>
        <v>5000000</v>
      </c>
      <c r="N346" s="97">
        <f t="shared" si="105"/>
        <v>3.9899999999999998E-2</v>
      </c>
      <c r="O346" s="421">
        <f t="shared" si="95"/>
        <v>554.16666666666663</v>
      </c>
      <c r="P346" s="304">
        <f t="shared" si="106"/>
        <v>18841.666666666664</v>
      </c>
      <c r="Q346" s="307">
        <f t="shared" si="96"/>
        <v>81.9444444444444</v>
      </c>
      <c r="S346" s="11" t="s">
        <v>192</v>
      </c>
      <c r="T346" s="306">
        <f t="shared" si="107"/>
        <v>5000000</v>
      </c>
      <c r="U346" s="97">
        <f t="shared" si="108"/>
        <v>3.9199999999999999E-2</v>
      </c>
      <c r="V346" s="421">
        <f t="shared" si="97"/>
        <v>544.44444444444446</v>
      </c>
      <c r="W346" s="304">
        <f t="shared" si="98"/>
        <v>1088.8888888888889</v>
      </c>
      <c r="X346" s="307">
        <f t="shared" si="99"/>
        <v>72.222222222222229</v>
      </c>
      <c r="Z346" s="11" t="s">
        <v>192</v>
      </c>
      <c r="AA346" s="306">
        <f t="shared" si="109"/>
        <v>10000000</v>
      </c>
      <c r="AB346" s="97">
        <f t="shared" si="110"/>
        <v>3.7499999999999999E-2</v>
      </c>
      <c r="AC346" s="421">
        <f t="shared" si="100"/>
        <v>1041.6666666666667</v>
      </c>
      <c r="AD346" s="304">
        <f t="shared" si="111"/>
        <v>35416.666666666679</v>
      </c>
      <c r="AE346" s="307">
        <f t="shared" si="101"/>
        <v>97.222222222222285</v>
      </c>
      <c r="AG346" s="11" t="s">
        <v>192</v>
      </c>
      <c r="AH346" s="306">
        <f t="shared" si="112"/>
        <v>6000000</v>
      </c>
      <c r="AI346" s="97">
        <f t="shared" si="113"/>
        <v>3.73E-2</v>
      </c>
      <c r="AJ346" s="421">
        <f t="shared" si="102"/>
        <v>621.66666666666663</v>
      </c>
      <c r="AK346" s="304">
        <f t="shared" si="114"/>
        <v>21136.666666666668</v>
      </c>
      <c r="AL346" s="307">
        <f t="shared" si="103"/>
        <v>54.999999999999886</v>
      </c>
      <c r="AN346" s="304">
        <f>'codeis $'!AB347</f>
        <v>226499730.80000001</v>
      </c>
      <c r="AO346" s="340">
        <f>'codeis $'!AH347</f>
        <v>3.9437647784430686E-2</v>
      </c>
      <c r="AP346" s="304">
        <f>'codeis $'!AE347</f>
        <v>0</v>
      </c>
      <c r="AQ346" s="304">
        <f>'codeis $'!AK347</f>
        <v>-21224.465017777784</v>
      </c>
      <c r="AR346" s="9"/>
      <c r="AS346" s="9"/>
      <c r="AT346" s="123">
        <v>1</v>
      </c>
      <c r="AU346" s="123" t="s">
        <v>32</v>
      </c>
      <c r="AV346" s="124">
        <v>37171227.899999999</v>
      </c>
      <c r="AW346" s="139">
        <v>3.7499999999999999E-2</v>
      </c>
      <c r="AX346" s="123"/>
      <c r="AY346" s="140">
        <f t="shared" si="127"/>
        <v>3818.961770547945</v>
      </c>
      <c r="AZ346" s="140">
        <f t="shared" si="93"/>
        <v>713002.54977730813</v>
      </c>
      <c r="BA346" s="140">
        <f t="shared" si="120"/>
        <v>308.34580221461147</v>
      </c>
      <c r="BC346" s="124">
        <f>'MM $'!G346</f>
        <v>40102382</v>
      </c>
      <c r="BD346" s="139">
        <f>'MM $'!H346</f>
        <v>3.6932471106482984E-2</v>
      </c>
      <c r="BE346" s="431">
        <f>'MM $'!I346</f>
        <v>4114.1112903226203</v>
      </c>
      <c r="BF346" s="124">
        <f>'MM $'!L346</f>
        <v>326.66410143373105</v>
      </c>
      <c r="BH346" s="124">
        <f>'MM $'!N346</f>
        <v>40101956.880000003</v>
      </c>
      <c r="BI346" s="139">
        <f>'MM $'!P346</f>
        <v>3.6693347326196522E-2</v>
      </c>
      <c r="BJ346" s="431">
        <f>'MM $'!Q346</f>
        <v>4087.4306451611005</v>
      </c>
      <c r="BK346" s="124">
        <f>'MM $'!U346</f>
        <v>300.02360649443381</v>
      </c>
      <c r="BM346" s="124">
        <f>'MM $'!W346</f>
        <v>40102081.68</v>
      </c>
      <c r="BN346" s="139">
        <f>'MM $'!X346</f>
        <v>3.6869725161289814E-2</v>
      </c>
      <c r="BO346" s="431">
        <f>'MM $'!Y346</f>
        <v>4107.0909164922095</v>
      </c>
      <c r="BP346" s="124">
        <f>'MM $'!AB346</f>
        <v>319.67209115887636</v>
      </c>
      <c r="BR346" s="124">
        <f>'MM $'!AD346</f>
        <v>40103087.079999998</v>
      </c>
      <c r="BS346" s="139">
        <f>'MM $'!AE346</f>
        <v>3.7224545806451938E-2</v>
      </c>
      <c r="BT346" s="431">
        <f>'MM $'!AF346</f>
        <v>4146.7200055266412</v>
      </c>
      <c r="BU346" s="124">
        <f>'MM $'!AB346</f>
        <v>319.67209115887636</v>
      </c>
      <c r="BV346" s="439"/>
      <c r="BW346" s="120">
        <f t="shared" si="122"/>
        <v>454910466.34000003</v>
      </c>
      <c r="BX346" s="121">
        <f t="shared" si="133"/>
        <v>3.7499999999999999E-2</v>
      </c>
      <c r="BY346" s="121">
        <f t="shared" si="123"/>
        <v>3.8269035270993783E-2</v>
      </c>
      <c r="BZ346" s="120">
        <f t="shared" si="124"/>
        <v>23492.425739161627</v>
      </c>
      <c r="CA346" s="120">
        <f t="shared" si="125"/>
        <v>-19343.698436428363</v>
      </c>
    </row>
    <row r="347" spans="2:79" x14ac:dyDescent="0.25">
      <c r="B347" s="123" t="str">
        <f t="shared" si="116"/>
        <v>12 2025</v>
      </c>
      <c r="C347" s="122">
        <f t="shared" si="117"/>
        <v>45999</v>
      </c>
      <c r="D347" s="122">
        <f t="shared" si="121"/>
        <v>46000</v>
      </c>
      <c r="E347" s="123">
        <f t="shared" si="118"/>
        <v>1</v>
      </c>
      <c r="F347" s="123" t="s">
        <v>7</v>
      </c>
      <c r="G347" s="124">
        <f t="shared" ref="G347:H347" si="145">G346</f>
        <v>4830000</v>
      </c>
      <c r="H347" s="125">
        <f t="shared" si="145"/>
        <v>3.4000000000000002E-2</v>
      </c>
      <c r="I347" s="322">
        <f t="shared" si="115"/>
        <v>456.16666666666669</v>
      </c>
      <c r="J347" s="124">
        <f t="shared" si="119"/>
        <v>1018609.5027777785</v>
      </c>
      <c r="K347" s="9"/>
      <c r="L347" s="11" t="s">
        <v>192</v>
      </c>
      <c r="M347" s="306">
        <f t="shared" si="104"/>
        <v>5000000</v>
      </c>
      <c r="N347" s="97">
        <f t="shared" si="105"/>
        <v>3.9899999999999998E-2</v>
      </c>
      <c r="O347" s="421">
        <f t="shared" si="95"/>
        <v>554.16666666666663</v>
      </c>
      <c r="P347" s="304">
        <f t="shared" si="106"/>
        <v>19395.833333333332</v>
      </c>
      <c r="Q347" s="307">
        <f t="shared" si="96"/>
        <v>81.9444444444444</v>
      </c>
      <c r="S347" s="11" t="s">
        <v>192</v>
      </c>
      <c r="T347" s="306">
        <f t="shared" si="107"/>
        <v>5000000</v>
      </c>
      <c r="U347" s="97">
        <f t="shared" si="108"/>
        <v>3.9199999999999999E-2</v>
      </c>
      <c r="V347" s="421">
        <f t="shared" si="97"/>
        <v>544.44444444444446</v>
      </c>
      <c r="W347" s="304">
        <f t="shared" si="98"/>
        <v>1088.8888888888889</v>
      </c>
      <c r="X347" s="307">
        <f t="shared" si="99"/>
        <v>72.222222222222229</v>
      </c>
      <c r="Z347" s="11" t="s">
        <v>192</v>
      </c>
      <c r="AA347" s="306">
        <f t="shared" si="109"/>
        <v>10000000</v>
      </c>
      <c r="AB347" s="97">
        <f t="shared" si="110"/>
        <v>3.7499999999999999E-2</v>
      </c>
      <c r="AC347" s="421">
        <f t="shared" si="100"/>
        <v>1041.6666666666667</v>
      </c>
      <c r="AD347" s="304">
        <f t="shared" si="111"/>
        <v>36458.333333333343</v>
      </c>
      <c r="AE347" s="307">
        <f t="shared" si="101"/>
        <v>97.222222222222285</v>
      </c>
      <c r="AG347" s="11" t="s">
        <v>192</v>
      </c>
      <c r="AH347" s="306">
        <f t="shared" si="112"/>
        <v>6000000</v>
      </c>
      <c r="AI347" s="97">
        <f t="shared" si="113"/>
        <v>3.73E-2</v>
      </c>
      <c r="AJ347" s="421">
        <f t="shared" si="102"/>
        <v>621.66666666666663</v>
      </c>
      <c r="AK347" s="304">
        <f t="shared" si="114"/>
        <v>21758.333333333336</v>
      </c>
      <c r="AL347" s="307">
        <f t="shared" si="103"/>
        <v>54.999999999999886</v>
      </c>
      <c r="AN347" s="304">
        <f>'codeis $'!AB348</f>
        <v>226576266</v>
      </c>
      <c r="AO347" s="340">
        <f>'codeis $'!AH348</f>
        <v>3.9437647784430686E-2</v>
      </c>
      <c r="AP347" s="304">
        <f>'codeis $'!AE348</f>
        <v>76535.199999988079</v>
      </c>
      <c r="AQ347" s="304">
        <f>'codeis $'!AK348</f>
        <v>55310.734982210299</v>
      </c>
      <c r="AR347" s="9"/>
      <c r="AS347" s="9"/>
      <c r="AT347" s="123">
        <v>1</v>
      </c>
      <c r="AU347" s="123" t="s">
        <v>32</v>
      </c>
      <c r="AV347" s="124">
        <v>37167530.210000001</v>
      </c>
      <c r="AW347" s="139">
        <v>3.7499999999999999E-2</v>
      </c>
      <c r="AX347" s="123"/>
      <c r="AY347" s="140">
        <f t="shared" si="127"/>
        <v>3818.5818708904108</v>
      </c>
      <c r="AZ347" s="140">
        <f t="shared" si="93"/>
        <v>716821.13164819859</v>
      </c>
      <c r="BA347" s="140">
        <f t="shared" si="120"/>
        <v>308.31512883485493</v>
      </c>
      <c r="BC347" s="124">
        <f>'MM $'!G347</f>
        <v>40102382</v>
      </c>
      <c r="BD347" s="139">
        <f>'MM $'!H347</f>
        <v>3.6932471106482984E-2</v>
      </c>
      <c r="BE347" s="431">
        <f>'MM $'!I347</f>
        <v>4114.1112903226203</v>
      </c>
      <c r="BF347" s="124">
        <f>'MM $'!L347</f>
        <v>326.66410143373105</v>
      </c>
      <c r="BH347" s="124">
        <f>'MM $'!N347</f>
        <v>40101956.880000003</v>
      </c>
      <c r="BI347" s="139">
        <f>'MM $'!P347</f>
        <v>3.6693347326196522E-2</v>
      </c>
      <c r="BJ347" s="431">
        <f>'MM $'!Q347</f>
        <v>4087.4306451611005</v>
      </c>
      <c r="BK347" s="124">
        <f>'MM $'!U347</f>
        <v>300.02360649443381</v>
      </c>
      <c r="BM347" s="124">
        <f>'MM $'!W347</f>
        <v>40102081.68</v>
      </c>
      <c r="BN347" s="139">
        <f>'MM $'!X347</f>
        <v>3.6869725161289814E-2</v>
      </c>
      <c r="BO347" s="431">
        <f>'MM $'!Y347</f>
        <v>4107.0909164922095</v>
      </c>
      <c r="BP347" s="124">
        <f>'MM $'!AB347</f>
        <v>319.67209115887636</v>
      </c>
      <c r="BR347" s="124">
        <f>'MM $'!AD347</f>
        <v>40103087.079999998</v>
      </c>
      <c r="BS347" s="139">
        <f>'MM $'!AE347</f>
        <v>3.7224545806451938E-2</v>
      </c>
      <c r="BT347" s="431">
        <f>'MM $'!AF347</f>
        <v>4146.7200055266412</v>
      </c>
      <c r="BU347" s="124">
        <f>'MM $'!AB347</f>
        <v>319.67209115887636</v>
      </c>
      <c r="BV347" s="439"/>
      <c r="BW347" s="120">
        <f t="shared" si="122"/>
        <v>454983303.85000002</v>
      </c>
      <c r="BX347" s="121">
        <f t="shared" si="133"/>
        <v>3.7499999999999999E-2</v>
      </c>
      <c r="BY347" s="121">
        <f t="shared" si="123"/>
        <v>3.826923809963758E-2</v>
      </c>
      <c r="BZ347" s="120">
        <f t="shared" si="124"/>
        <v>100027.24583949217</v>
      </c>
      <c r="CA347" s="120">
        <f t="shared" si="125"/>
        <v>57191.47089017996</v>
      </c>
    </row>
    <row r="348" spans="2:79" x14ac:dyDescent="0.25">
      <c r="B348" s="123" t="str">
        <f t="shared" si="116"/>
        <v>12 2025</v>
      </c>
      <c r="C348" s="122">
        <f t="shared" si="117"/>
        <v>46000</v>
      </c>
      <c r="D348" s="122">
        <f t="shared" si="121"/>
        <v>46001</v>
      </c>
      <c r="E348" s="123">
        <f t="shared" si="118"/>
        <v>1</v>
      </c>
      <c r="F348" s="123" t="s">
        <v>7</v>
      </c>
      <c r="G348" s="124">
        <f t="shared" ref="G348:H348" si="146">G347</f>
        <v>4830000</v>
      </c>
      <c r="H348" s="125">
        <f t="shared" si="146"/>
        <v>3.4000000000000002E-2</v>
      </c>
      <c r="I348" s="322">
        <f t="shared" si="115"/>
        <v>456.16666666666669</v>
      </c>
      <c r="J348" s="124">
        <f t="shared" si="119"/>
        <v>1019065.6694444452</v>
      </c>
      <c r="K348" s="9"/>
      <c r="L348" s="11" t="s">
        <v>192</v>
      </c>
      <c r="M348" s="306">
        <f t="shared" si="104"/>
        <v>5000000</v>
      </c>
      <c r="N348" s="97">
        <f t="shared" si="105"/>
        <v>3.9899999999999998E-2</v>
      </c>
      <c r="O348" s="421">
        <f t="shared" si="95"/>
        <v>554.16666666666663</v>
      </c>
      <c r="P348" s="304">
        <f t="shared" si="106"/>
        <v>19950</v>
      </c>
      <c r="Q348" s="307">
        <f t="shared" si="96"/>
        <v>81.9444444444444</v>
      </c>
      <c r="S348" s="11" t="s">
        <v>192</v>
      </c>
      <c r="T348" s="306">
        <f t="shared" si="107"/>
        <v>5000000</v>
      </c>
      <c r="U348" s="97">
        <f t="shared" si="108"/>
        <v>3.9199999999999999E-2</v>
      </c>
      <c r="V348" s="421">
        <f t="shared" si="97"/>
        <v>544.44444444444446</v>
      </c>
      <c r="W348" s="304">
        <f t="shared" si="98"/>
        <v>1088.8888888888889</v>
      </c>
      <c r="X348" s="307">
        <f t="shared" si="99"/>
        <v>72.222222222222229</v>
      </c>
      <c r="Z348" s="11" t="s">
        <v>192</v>
      </c>
      <c r="AA348" s="306">
        <f t="shared" si="109"/>
        <v>10000000</v>
      </c>
      <c r="AB348" s="97">
        <f t="shared" si="110"/>
        <v>3.7499999999999999E-2</v>
      </c>
      <c r="AC348" s="421">
        <f t="shared" si="100"/>
        <v>1041.6666666666667</v>
      </c>
      <c r="AD348" s="304">
        <f t="shared" si="111"/>
        <v>37500.000000000007</v>
      </c>
      <c r="AE348" s="307">
        <f t="shared" si="101"/>
        <v>97.222222222222285</v>
      </c>
      <c r="AG348" s="11" t="s">
        <v>192</v>
      </c>
      <c r="AH348" s="306">
        <f t="shared" si="112"/>
        <v>6000000</v>
      </c>
      <c r="AI348" s="97">
        <f t="shared" si="113"/>
        <v>3.73E-2</v>
      </c>
      <c r="AJ348" s="421">
        <f t="shared" si="102"/>
        <v>621.66666666666663</v>
      </c>
      <c r="AK348" s="304">
        <f t="shared" si="114"/>
        <v>22380.000000000004</v>
      </c>
      <c r="AL348" s="307">
        <f t="shared" si="103"/>
        <v>54.999999999999886</v>
      </c>
      <c r="AN348" s="304">
        <f>'codeis $'!AB349</f>
        <v>226601482.79999998</v>
      </c>
      <c r="AO348" s="340">
        <f>'codeis $'!AH349</f>
        <v>3.9437647784430686E-2</v>
      </c>
      <c r="AP348" s="304">
        <f>'codeis $'!AE349</f>
        <v>25216.799999982119</v>
      </c>
      <c r="AQ348" s="304">
        <f>'codeis $'!AK349</f>
        <v>3992.3349822043347</v>
      </c>
      <c r="AR348" s="9"/>
      <c r="AS348" s="9"/>
      <c r="AT348" s="123">
        <v>1</v>
      </c>
      <c r="AU348" s="123" t="s">
        <v>32</v>
      </c>
      <c r="AV348" s="124">
        <v>37171348.789999999</v>
      </c>
      <c r="AW348" s="139">
        <v>3.7499999999999999E-2</v>
      </c>
      <c r="AX348" s="123"/>
      <c r="AY348" s="140">
        <f t="shared" si="127"/>
        <v>3818.9741907534249</v>
      </c>
      <c r="AZ348" s="140">
        <f t="shared" si="93"/>
        <v>720640.105838952</v>
      </c>
      <c r="BA348" s="140">
        <f t="shared" si="120"/>
        <v>308.34680503120262</v>
      </c>
      <c r="BC348" s="124">
        <f>'MM $'!G348</f>
        <v>40102382</v>
      </c>
      <c r="BD348" s="139">
        <f>'MM $'!H348</f>
        <v>3.6932471106482984E-2</v>
      </c>
      <c r="BE348" s="431">
        <f>'MM $'!I348</f>
        <v>4114.1112903226203</v>
      </c>
      <c r="BF348" s="124">
        <f>'MM $'!L348</f>
        <v>326.66410143373105</v>
      </c>
      <c r="BH348" s="124">
        <f>'MM $'!N348</f>
        <v>40101956.880000003</v>
      </c>
      <c r="BI348" s="139">
        <f>'MM $'!P348</f>
        <v>3.6693347326196522E-2</v>
      </c>
      <c r="BJ348" s="431">
        <f>'MM $'!Q348</f>
        <v>4087.4306451611005</v>
      </c>
      <c r="BK348" s="124">
        <f>'MM $'!U348</f>
        <v>300.02360649443381</v>
      </c>
      <c r="BM348" s="124">
        <f>'MM $'!W348</f>
        <v>40102081.68</v>
      </c>
      <c r="BN348" s="139">
        <f>'MM $'!X348</f>
        <v>3.6869725161289814E-2</v>
      </c>
      <c r="BO348" s="431">
        <f>'MM $'!Y348</f>
        <v>4107.0909164922095</v>
      </c>
      <c r="BP348" s="124">
        <f>'MM $'!AB348</f>
        <v>319.67209115887636</v>
      </c>
      <c r="BR348" s="124">
        <f>'MM $'!AD348</f>
        <v>40103087.079999998</v>
      </c>
      <c r="BS348" s="139">
        <f>'MM $'!AE348</f>
        <v>3.7224545806451938E-2</v>
      </c>
      <c r="BT348" s="431">
        <f>'MM $'!AF348</f>
        <v>4146.7200055266412</v>
      </c>
      <c r="BU348" s="124">
        <f>'MM $'!AB348</f>
        <v>319.67209115887636</v>
      </c>
      <c r="BV348" s="439"/>
      <c r="BW348" s="120">
        <f t="shared" si="122"/>
        <v>455012339.22999996</v>
      </c>
      <c r="BX348" s="121">
        <f t="shared" si="133"/>
        <v>3.7499999999999999E-2</v>
      </c>
      <c r="BY348" s="121">
        <f t="shared" si="123"/>
        <v>3.8269296397300819E-2</v>
      </c>
      <c r="BZ348" s="120">
        <f t="shared" si="124"/>
        <v>48709.238159349232</v>
      </c>
      <c r="CA348" s="120">
        <f t="shared" si="125"/>
        <v>5873.102566370344</v>
      </c>
    </row>
    <row r="349" spans="2:79" x14ac:dyDescent="0.25">
      <c r="B349" s="123" t="str">
        <f t="shared" si="116"/>
        <v>12 2025</v>
      </c>
      <c r="C349" s="122">
        <f t="shared" si="117"/>
        <v>46001</v>
      </c>
      <c r="D349" s="122">
        <f t="shared" si="121"/>
        <v>46002</v>
      </c>
      <c r="E349" s="123">
        <f t="shared" si="118"/>
        <v>1</v>
      </c>
      <c r="F349" s="123" t="s">
        <v>7</v>
      </c>
      <c r="G349" s="136">
        <f>G348-930000</f>
        <v>3900000</v>
      </c>
      <c r="H349" s="125">
        <f t="shared" ref="H349" si="147">H348</f>
        <v>3.4000000000000002E-2</v>
      </c>
      <c r="I349" s="322">
        <f t="shared" si="115"/>
        <v>368.33333333333331</v>
      </c>
      <c r="J349" s="124">
        <f t="shared" si="119"/>
        <v>1019434.0027777785</v>
      </c>
      <c r="K349" s="9"/>
      <c r="L349" s="11" t="s">
        <v>192</v>
      </c>
      <c r="M349" s="306">
        <f t="shared" si="104"/>
        <v>5000000</v>
      </c>
      <c r="N349" s="97">
        <f t="shared" si="105"/>
        <v>3.9899999999999998E-2</v>
      </c>
      <c r="O349" s="421">
        <f t="shared" si="95"/>
        <v>554.16666666666663</v>
      </c>
      <c r="P349" s="304">
        <f t="shared" si="106"/>
        <v>20504.166666666668</v>
      </c>
      <c r="Q349" s="307">
        <f t="shared" si="96"/>
        <v>81.9444444444444</v>
      </c>
      <c r="S349" s="11" t="s">
        <v>192</v>
      </c>
      <c r="T349" s="306">
        <f t="shared" si="107"/>
        <v>5000000</v>
      </c>
      <c r="U349" s="97">
        <f t="shared" si="108"/>
        <v>3.9199999999999999E-2</v>
      </c>
      <c r="V349" s="421">
        <f t="shared" si="97"/>
        <v>544.44444444444446</v>
      </c>
      <c r="W349" s="304">
        <f t="shared" si="98"/>
        <v>1088.8888888888889</v>
      </c>
      <c r="X349" s="307">
        <f t="shared" si="99"/>
        <v>72.222222222222229</v>
      </c>
      <c r="Z349" s="11" t="s">
        <v>192</v>
      </c>
      <c r="AA349" s="306">
        <f t="shared" si="109"/>
        <v>10000000</v>
      </c>
      <c r="AB349" s="97">
        <f t="shared" si="110"/>
        <v>3.7499999999999999E-2</v>
      </c>
      <c r="AC349" s="421">
        <f t="shared" si="100"/>
        <v>1041.6666666666667</v>
      </c>
      <c r="AD349" s="304">
        <f t="shared" si="111"/>
        <v>38541.666666666672</v>
      </c>
      <c r="AE349" s="307">
        <f t="shared" si="101"/>
        <v>97.222222222222285</v>
      </c>
      <c r="AG349" s="11" t="s">
        <v>192</v>
      </c>
      <c r="AH349" s="306">
        <f t="shared" si="112"/>
        <v>6000000</v>
      </c>
      <c r="AI349" s="97">
        <f t="shared" si="113"/>
        <v>3.73E-2</v>
      </c>
      <c r="AJ349" s="421">
        <f t="shared" si="102"/>
        <v>621.66666666666663</v>
      </c>
      <c r="AK349" s="304">
        <f t="shared" si="114"/>
        <v>23001.666666666672</v>
      </c>
      <c r="AL349" s="307">
        <f t="shared" si="103"/>
        <v>54.999999999999886</v>
      </c>
      <c r="AN349" s="304">
        <f>'codeis $'!AB350</f>
        <v>226626920.80000001</v>
      </c>
      <c r="AO349" s="340">
        <f>'codeis $'!AH350</f>
        <v>3.9437647784430686E-2</v>
      </c>
      <c r="AP349" s="304">
        <f>'codeis $'!AE350</f>
        <v>25438.000000029802</v>
      </c>
      <c r="AQ349" s="304">
        <f>'codeis $'!AK350</f>
        <v>4213.5349822520184</v>
      </c>
      <c r="AR349" s="9"/>
      <c r="AS349" s="9"/>
      <c r="AT349" s="123">
        <v>1</v>
      </c>
      <c r="AU349" s="123" t="s">
        <v>32</v>
      </c>
      <c r="AV349" s="124">
        <v>37019141.460000001</v>
      </c>
      <c r="AW349" s="139">
        <v>3.7499999999999999E-2</v>
      </c>
      <c r="AX349" s="123"/>
      <c r="AY349" s="140">
        <f t="shared" si="127"/>
        <v>3803.3364513698625</v>
      </c>
      <c r="AZ349" s="140">
        <f t="shared" si="93"/>
        <v>724443.44229032192</v>
      </c>
      <c r="BA349" s="140">
        <f t="shared" si="120"/>
        <v>307.0842023698624</v>
      </c>
      <c r="BC349" s="124">
        <f>'MM $'!G349</f>
        <v>40102382</v>
      </c>
      <c r="BD349" s="139">
        <f>'MM $'!H349</f>
        <v>3.6932471106482984E-2</v>
      </c>
      <c r="BE349" s="431">
        <f>'MM $'!I349</f>
        <v>4114.1112903226203</v>
      </c>
      <c r="BF349" s="124">
        <f>'MM $'!L349</f>
        <v>326.66410143373105</v>
      </c>
      <c r="BH349" s="124">
        <f>'MM $'!N349</f>
        <v>40101956.880000003</v>
      </c>
      <c r="BI349" s="139">
        <f>'MM $'!P349</f>
        <v>3.6693347326196522E-2</v>
      </c>
      <c r="BJ349" s="431">
        <f>'MM $'!Q349</f>
        <v>4087.4306451611005</v>
      </c>
      <c r="BK349" s="124">
        <f>'MM $'!U349</f>
        <v>300.02360649443381</v>
      </c>
      <c r="BM349" s="124">
        <f>'MM $'!W349</f>
        <v>40102081.68</v>
      </c>
      <c r="BN349" s="139">
        <f>'MM $'!X349</f>
        <v>3.6869725161289814E-2</v>
      </c>
      <c r="BO349" s="431">
        <f>'MM $'!Y349</f>
        <v>4107.0909164922095</v>
      </c>
      <c r="BP349" s="124">
        <f>'MM $'!AB349</f>
        <v>319.67209115887636</v>
      </c>
      <c r="BR349" s="124">
        <f>'MM $'!AD349</f>
        <v>40103087.079999998</v>
      </c>
      <c r="BS349" s="139">
        <f>'MM $'!AE349</f>
        <v>3.7224545806451938E-2</v>
      </c>
      <c r="BT349" s="431">
        <f>'MM $'!AF349</f>
        <v>4146.7200055266412</v>
      </c>
      <c r="BU349" s="124">
        <f>'MM $'!AB349</f>
        <v>319.67209115887636</v>
      </c>
      <c r="BV349" s="439"/>
      <c r="BW349" s="120">
        <f t="shared" si="122"/>
        <v>453955569.89999998</v>
      </c>
      <c r="BX349" s="121">
        <f t="shared" si="133"/>
        <v>3.7499999999999999E-2</v>
      </c>
      <c r="BY349" s="121">
        <f t="shared" si="123"/>
        <v>3.8278366136710762E-2</v>
      </c>
      <c r="BZ349" s="120">
        <f t="shared" si="124"/>
        <v>48826.967086680015</v>
      </c>
      <c r="CA349" s="120">
        <f t="shared" si="125"/>
        <v>6093.039963756687</v>
      </c>
    </row>
    <row r="350" spans="2:79" x14ac:dyDescent="0.25">
      <c r="B350" s="123" t="str">
        <f t="shared" si="116"/>
        <v>12 2025</v>
      </c>
      <c r="C350" s="122">
        <f t="shared" si="117"/>
        <v>46002</v>
      </c>
      <c r="D350" s="122">
        <f t="shared" si="121"/>
        <v>46003</v>
      </c>
      <c r="E350" s="123">
        <f t="shared" si="118"/>
        <v>1</v>
      </c>
      <c r="F350" s="123" t="s">
        <v>7</v>
      </c>
      <c r="G350" s="124">
        <f t="shared" ref="G350:H362" si="148">G349</f>
        <v>3900000</v>
      </c>
      <c r="H350" s="441">
        <v>3.15E-2</v>
      </c>
      <c r="I350" s="322">
        <f t="shared" si="115"/>
        <v>341.25</v>
      </c>
      <c r="J350" s="124">
        <f t="shared" si="119"/>
        <v>1019775.2527777785</v>
      </c>
      <c r="K350" s="9"/>
      <c r="L350" s="11" t="s">
        <v>192</v>
      </c>
      <c r="M350" s="306">
        <f t="shared" si="104"/>
        <v>5000000</v>
      </c>
      <c r="N350" s="97">
        <f t="shared" si="105"/>
        <v>3.9899999999999998E-2</v>
      </c>
      <c r="O350" s="421">
        <f t="shared" si="95"/>
        <v>554.16666666666663</v>
      </c>
      <c r="P350" s="304">
        <f t="shared" si="106"/>
        <v>21058.333333333336</v>
      </c>
      <c r="Q350" s="307">
        <f t="shared" si="96"/>
        <v>116.66666666666663</v>
      </c>
      <c r="S350" s="11" t="s">
        <v>192</v>
      </c>
      <c r="T350" s="306">
        <f t="shared" si="107"/>
        <v>5000000</v>
      </c>
      <c r="U350" s="97">
        <f t="shared" si="108"/>
        <v>3.9199999999999999E-2</v>
      </c>
      <c r="V350" s="421">
        <f t="shared" si="97"/>
        <v>544.44444444444446</v>
      </c>
      <c r="W350" s="304">
        <f t="shared" si="98"/>
        <v>1088.8888888888889</v>
      </c>
      <c r="X350" s="307">
        <f t="shared" si="99"/>
        <v>106.94444444444446</v>
      </c>
      <c r="Z350" s="11" t="s">
        <v>192</v>
      </c>
      <c r="AA350" s="306">
        <f t="shared" si="109"/>
        <v>10000000</v>
      </c>
      <c r="AB350" s="97">
        <f t="shared" si="110"/>
        <v>3.7499999999999999E-2</v>
      </c>
      <c r="AC350" s="421">
        <f t="shared" si="100"/>
        <v>1041.6666666666667</v>
      </c>
      <c r="AD350" s="304">
        <f t="shared" si="111"/>
        <v>39583.333333333336</v>
      </c>
      <c r="AE350" s="307">
        <f t="shared" si="101"/>
        <v>166.66666666666674</v>
      </c>
      <c r="AG350" s="11" t="s">
        <v>192</v>
      </c>
      <c r="AH350" s="306">
        <f t="shared" si="112"/>
        <v>6000000</v>
      </c>
      <c r="AI350" s="97">
        <f t="shared" si="113"/>
        <v>3.73E-2</v>
      </c>
      <c r="AJ350" s="421">
        <f t="shared" si="102"/>
        <v>621.66666666666663</v>
      </c>
      <c r="AK350" s="304">
        <f t="shared" si="114"/>
        <v>23623.333333333339</v>
      </c>
      <c r="AL350" s="307">
        <f t="shared" si="103"/>
        <v>96.666666666666629</v>
      </c>
      <c r="AN350" s="304">
        <f>'codeis $'!AB351</f>
        <v>226652358.79999998</v>
      </c>
      <c r="AO350" s="340">
        <f>'codeis $'!AH351</f>
        <v>3.9437647784430686E-2</v>
      </c>
      <c r="AP350" s="304">
        <f>'codeis $'!AE351</f>
        <v>25437.999999970198</v>
      </c>
      <c r="AQ350" s="304">
        <f>'codeis $'!AK351</f>
        <v>5774.1574099701975</v>
      </c>
      <c r="AR350" s="9"/>
      <c r="AS350" s="9"/>
      <c r="AT350" s="123">
        <v>1</v>
      </c>
      <c r="AU350" s="123" t="s">
        <v>32</v>
      </c>
      <c r="AV350" s="124">
        <v>38067840.060000002</v>
      </c>
      <c r="AW350" s="477">
        <v>3.5000000000000003E-2</v>
      </c>
      <c r="AX350" s="123"/>
      <c r="AY350" s="140">
        <f t="shared" si="127"/>
        <v>3650.3408276712339</v>
      </c>
      <c r="AZ350" s="140">
        <f t="shared" si="93"/>
        <v>728093.78311799315</v>
      </c>
      <c r="BA350" s="140">
        <f t="shared" si="120"/>
        <v>319.40482242123335</v>
      </c>
      <c r="BC350" s="124">
        <f>'MM $'!G350</f>
        <v>40102382</v>
      </c>
      <c r="BD350" s="139">
        <f>'MM $'!H350</f>
        <v>3.6932471106482984E-2</v>
      </c>
      <c r="BE350" s="431">
        <f>'MM $'!I350</f>
        <v>4114.1112903226203</v>
      </c>
      <c r="BF350" s="124">
        <f>'MM $'!L350</f>
        <v>605.15286532262007</v>
      </c>
      <c r="BH350" s="124">
        <f>'MM $'!N350</f>
        <v>40101956.880000003</v>
      </c>
      <c r="BI350" s="139">
        <f>'MM $'!P350</f>
        <v>3.6693347326196522E-2</v>
      </c>
      <c r="BJ350" s="431">
        <f>'MM $'!Q350</f>
        <v>4087.4306451611005</v>
      </c>
      <c r="BK350" s="124">
        <f>'MM $'!U350</f>
        <v>578.5094181610998</v>
      </c>
      <c r="BM350" s="124">
        <f>'MM $'!W350</f>
        <v>40102081.68</v>
      </c>
      <c r="BN350" s="139">
        <f>'MM $'!X350</f>
        <v>3.6869725161289814E-2</v>
      </c>
      <c r="BO350" s="431">
        <f>'MM $'!Y350</f>
        <v>4107.0909164922095</v>
      </c>
      <c r="BP350" s="124">
        <f>'MM $'!AB350</f>
        <v>598.15876949220956</v>
      </c>
      <c r="BR350" s="124">
        <f>'MM $'!AD350</f>
        <v>40103087.079999998</v>
      </c>
      <c r="BS350" s="139">
        <f>'MM $'!AE350</f>
        <v>3.7224545806451938E-2</v>
      </c>
      <c r="BT350" s="431">
        <f>'MM $'!AF350</f>
        <v>4146.7200055266412</v>
      </c>
      <c r="BU350" s="124">
        <f>'MM $'!AB350</f>
        <v>598.15876949220956</v>
      </c>
      <c r="BV350" s="439"/>
      <c r="BW350" s="120">
        <f t="shared" si="122"/>
        <v>455029706.5</v>
      </c>
      <c r="BX350" s="432">
        <v>3.5000000000000003E-2</v>
      </c>
      <c r="BY350" s="121">
        <f t="shared" si="123"/>
        <v>3.8046059585487166E-2</v>
      </c>
      <c r="BZ350" s="120">
        <f t="shared" si="124"/>
        <v>48646.888129588449</v>
      </c>
      <c r="CA350" s="120">
        <f t="shared" si="125"/>
        <v>8960.4864993040137</v>
      </c>
    </row>
    <row r="351" spans="2:79" x14ac:dyDescent="0.25">
      <c r="B351" s="123" t="str">
        <f t="shared" si="116"/>
        <v>12 2025</v>
      </c>
      <c r="C351" s="122">
        <f t="shared" si="117"/>
        <v>46003</v>
      </c>
      <c r="D351" s="122">
        <f t="shared" si="121"/>
        <v>46004</v>
      </c>
      <c r="E351" s="123">
        <f t="shared" si="118"/>
        <v>1</v>
      </c>
      <c r="F351" s="123" t="s">
        <v>7</v>
      </c>
      <c r="G351" s="124">
        <f t="shared" ref="G351" si="149">G350</f>
        <v>3900000</v>
      </c>
      <c r="H351" s="125">
        <f t="shared" si="148"/>
        <v>3.15E-2</v>
      </c>
      <c r="I351" s="322">
        <f t="shared" si="115"/>
        <v>341.25</v>
      </c>
      <c r="J351" s="124">
        <f t="shared" si="119"/>
        <v>1020116.5027777785</v>
      </c>
      <c r="K351" s="9"/>
      <c r="L351" s="11" t="s">
        <v>192</v>
      </c>
      <c r="M351" s="306">
        <f t="shared" si="104"/>
        <v>5000000</v>
      </c>
      <c r="N351" s="97">
        <f t="shared" si="105"/>
        <v>3.9899999999999998E-2</v>
      </c>
      <c r="O351" s="421">
        <f t="shared" si="95"/>
        <v>554.16666666666663</v>
      </c>
      <c r="P351" s="304">
        <f t="shared" si="106"/>
        <v>21612.500000000004</v>
      </c>
      <c r="Q351" s="307">
        <f t="shared" si="96"/>
        <v>116.66666666666663</v>
      </c>
      <c r="S351" s="11" t="s">
        <v>192</v>
      </c>
      <c r="T351" s="306">
        <f t="shared" si="107"/>
        <v>5000000</v>
      </c>
      <c r="U351" s="97">
        <f t="shared" si="108"/>
        <v>3.9199999999999999E-2</v>
      </c>
      <c r="V351" s="421">
        <f t="shared" si="97"/>
        <v>544.44444444444446</v>
      </c>
      <c r="W351" s="304">
        <f t="shared" si="98"/>
        <v>1088.8888888888889</v>
      </c>
      <c r="X351" s="307">
        <f t="shared" si="99"/>
        <v>106.94444444444446</v>
      </c>
      <c r="Z351" s="11" t="s">
        <v>192</v>
      </c>
      <c r="AA351" s="306">
        <f t="shared" si="109"/>
        <v>10000000</v>
      </c>
      <c r="AB351" s="97">
        <f t="shared" si="110"/>
        <v>3.7499999999999999E-2</v>
      </c>
      <c r="AC351" s="421">
        <f t="shared" si="100"/>
        <v>1041.6666666666667</v>
      </c>
      <c r="AD351" s="304">
        <f t="shared" si="111"/>
        <v>40625</v>
      </c>
      <c r="AE351" s="307">
        <f t="shared" si="101"/>
        <v>166.66666666666674</v>
      </c>
      <c r="AG351" s="11" t="s">
        <v>192</v>
      </c>
      <c r="AH351" s="306">
        <f t="shared" si="112"/>
        <v>6000000</v>
      </c>
      <c r="AI351" s="97">
        <f t="shared" si="113"/>
        <v>3.73E-2</v>
      </c>
      <c r="AJ351" s="421">
        <f t="shared" si="102"/>
        <v>621.66666666666663</v>
      </c>
      <c r="AK351" s="304">
        <f t="shared" si="114"/>
        <v>24245.000000000007</v>
      </c>
      <c r="AL351" s="307">
        <f t="shared" si="103"/>
        <v>96.666666666666629</v>
      </c>
      <c r="AN351" s="304">
        <f>'codeis $'!AB352</f>
        <v>226677796.80000001</v>
      </c>
      <c r="AO351" s="340">
        <f>'codeis $'!AH352</f>
        <v>3.9437647784430686E-2</v>
      </c>
      <c r="AP351" s="304">
        <f>'codeis $'!AE352</f>
        <v>25438.000000029802</v>
      </c>
      <c r="AQ351" s="304">
        <f>'codeis $'!AK352</f>
        <v>5774.1574100298021</v>
      </c>
      <c r="AR351" s="9"/>
      <c r="AS351" s="9"/>
      <c r="AT351" s="123">
        <v>1</v>
      </c>
      <c r="AU351" s="123" t="s">
        <v>32</v>
      </c>
      <c r="AV351" s="124">
        <v>37728802.859999999</v>
      </c>
      <c r="AW351" s="139">
        <f>AW350</f>
        <v>3.5000000000000003E-2</v>
      </c>
      <c r="AX351" s="123"/>
      <c r="AY351" s="140">
        <f t="shared" si="127"/>
        <v>3617.8304112328769</v>
      </c>
      <c r="AZ351" s="140">
        <f t="shared" si="93"/>
        <v>731711.61352922604</v>
      </c>
      <c r="BA351" s="140">
        <f t="shared" si="120"/>
        <v>316.56016098287682</v>
      </c>
      <c r="BC351" s="124">
        <f>'MM $'!G351</f>
        <v>40102382</v>
      </c>
      <c r="BD351" s="139">
        <f>'MM $'!H351</f>
        <v>3.6932471106482984E-2</v>
      </c>
      <c r="BE351" s="431">
        <f>'MM $'!I351</f>
        <v>4114.1112903226203</v>
      </c>
      <c r="BF351" s="124">
        <f>'MM $'!L351</f>
        <v>605.15286532262007</v>
      </c>
      <c r="BH351" s="124">
        <f>'MM $'!N351</f>
        <v>40101956.880000003</v>
      </c>
      <c r="BI351" s="139">
        <f>'MM $'!P351</f>
        <v>3.6693347326196522E-2</v>
      </c>
      <c r="BJ351" s="431">
        <f>'MM $'!Q351</f>
        <v>4087.4306451611005</v>
      </c>
      <c r="BK351" s="124">
        <f>'MM $'!U351</f>
        <v>578.5094181610998</v>
      </c>
      <c r="BM351" s="124">
        <f>'MM $'!W351</f>
        <v>40102081.68</v>
      </c>
      <c r="BN351" s="139">
        <f>'MM $'!X351</f>
        <v>3.6869725161289814E-2</v>
      </c>
      <c r="BO351" s="431">
        <f>'MM $'!Y351</f>
        <v>4107.0909164922095</v>
      </c>
      <c r="BP351" s="124">
        <f>'MM $'!AB351</f>
        <v>598.15876949220956</v>
      </c>
      <c r="BR351" s="124">
        <f>'MM $'!AD351</f>
        <v>40103087.079999998</v>
      </c>
      <c r="BS351" s="139">
        <f>'MM $'!AE351</f>
        <v>3.7224545806451938E-2</v>
      </c>
      <c r="BT351" s="431">
        <f>'MM $'!AF351</f>
        <v>4146.7200055266412</v>
      </c>
      <c r="BU351" s="124">
        <f>'MM $'!AB351</f>
        <v>598.15876949220956</v>
      </c>
      <c r="BV351" s="439"/>
      <c r="BW351" s="120">
        <f t="shared" si="122"/>
        <v>454716107.30000001</v>
      </c>
      <c r="BX351" s="121">
        <f t="shared" si="133"/>
        <v>3.5000000000000003E-2</v>
      </c>
      <c r="BY351" s="121">
        <f t="shared" si="123"/>
        <v>3.8048408582402722E-2</v>
      </c>
      <c r="BZ351" s="120">
        <f t="shared" si="124"/>
        <v>48614.377713209702</v>
      </c>
      <c r="CA351" s="120">
        <f t="shared" si="125"/>
        <v>8957.6418379252627</v>
      </c>
    </row>
    <row r="352" spans="2:79" x14ac:dyDescent="0.25">
      <c r="B352" s="123" t="str">
        <f t="shared" si="116"/>
        <v>12 2025</v>
      </c>
      <c r="C352" s="122">
        <f t="shared" si="117"/>
        <v>46004</v>
      </c>
      <c r="D352" s="122">
        <f t="shared" si="121"/>
        <v>46005</v>
      </c>
      <c r="E352" s="123">
        <f t="shared" si="118"/>
        <v>1</v>
      </c>
      <c r="F352" s="123" t="s">
        <v>7</v>
      </c>
      <c r="G352" s="124">
        <f t="shared" ref="G352" si="150">G351</f>
        <v>3900000</v>
      </c>
      <c r="H352" s="125">
        <f t="shared" si="148"/>
        <v>3.15E-2</v>
      </c>
      <c r="I352" s="322">
        <f t="shared" si="115"/>
        <v>341.25</v>
      </c>
      <c r="J352" s="124">
        <f t="shared" si="119"/>
        <v>1020457.7527777785</v>
      </c>
      <c r="K352" s="9"/>
      <c r="L352" s="11" t="s">
        <v>192</v>
      </c>
      <c r="M352" s="306">
        <f t="shared" si="104"/>
        <v>5000000</v>
      </c>
      <c r="N352" s="97">
        <f t="shared" si="105"/>
        <v>3.9899999999999998E-2</v>
      </c>
      <c r="O352" s="421">
        <f t="shared" si="95"/>
        <v>554.16666666666663</v>
      </c>
      <c r="P352" s="304">
        <f t="shared" si="106"/>
        <v>22166.666666666672</v>
      </c>
      <c r="Q352" s="307">
        <f t="shared" si="96"/>
        <v>116.66666666666663</v>
      </c>
      <c r="S352" s="11" t="s">
        <v>192</v>
      </c>
      <c r="T352" s="306">
        <f t="shared" si="107"/>
        <v>5000000</v>
      </c>
      <c r="U352" s="97">
        <f t="shared" si="108"/>
        <v>3.9199999999999999E-2</v>
      </c>
      <c r="V352" s="421">
        <f t="shared" si="97"/>
        <v>544.44444444444446</v>
      </c>
      <c r="W352" s="304">
        <f t="shared" si="98"/>
        <v>1088.8888888888889</v>
      </c>
      <c r="X352" s="307">
        <f t="shared" si="99"/>
        <v>106.94444444444446</v>
      </c>
      <c r="Z352" s="11" t="s">
        <v>192</v>
      </c>
      <c r="AA352" s="306">
        <f t="shared" si="109"/>
        <v>10000000</v>
      </c>
      <c r="AB352" s="97">
        <f t="shared" si="110"/>
        <v>3.7499999999999999E-2</v>
      </c>
      <c r="AC352" s="421">
        <f t="shared" si="100"/>
        <v>1041.6666666666667</v>
      </c>
      <c r="AD352" s="304">
        <f t="shared" si="111"/>
        <v>41666.666666666664</v>
      </c>
      <c r="AE352" s="307">
        <f t="shared" si="101"/>
        <v>166.66666666666674</v>
      </c>
      <c r="AG352" s="11" t="s">
        <v>192</v>
      </c>
      <c r="AH352" s="306">
        <f t="shared" si="112"/>
        <v>6000000</v>
      </c>
      <c r="AI352" s="97">
        <f t="shared" si="113"/>
        <v>3.73E-2</v>
      </c>
      <c r="AJ352" s="421">
        <f t="shared" si="102"/>
        <v>621.66666666666663</v>
      </c>
      <c r="AK352" s="304">
        <f t="shared" si="114"/>
        <v>24866.666666666675</v>
      </c>
      <c r="AL352" s="307">
        <f t="shared" si="103"/>
        <v>96.666666666666629</v>
      </c>
      <c r="AN352" s="304">
        <f>'codeis $'!AB353</f>
        <v>226677796.80000001</v>
      </c>
      <c r="AO352" s="340">
        <f>'codeis $'!AH353</f>
        <v>3.9437647784430686E-2</v>
      </c>
      <c r="AP352" s="304">
        <f>'codeis $'!AE353</f>
        <v>0</v>
      </c>
      <c r="AQ352" s="304">
        <f>'codeis $'!AK353</f>
        <v>-19663.84259</v>
      </c>
      <c r="AR352" s="9"/>
      <c r="AS352" s="9"/>
      <c r="AT352" s="123">
        <v>1</v>
      </c>
      <c r="AU352" s="123" t="s">
        <v>32</v>
      </c>
      <c r="AV352" s="124">
        <v>37728802.859999999</v>
      </c>
      <c r="AW352" s="139">
        <f t="shared" ref="AW352:AW369" si="151">AW351</f>
        <v>3.5000000000000003E-2</v>
      </c>
      <c r="AX352" s="123"/>
      <c r="AY352" s="140">
        <f t="shared" si="127"/>
        <v>3617.8304112328769</v>
      </c>
      <c r="AZ352" s="140">
        <f t="shared" si="93"/>
        <v>735329.44394045894</v>
      </c>
      <c r="BA352" s="140">
        <f t="shared" si="120"/>
        <v>316.56016098287682</v>
      </c>
      <c r="BC352" s="124">
        <f>'MM $'!G352</f>
        <v>40102382</v>
      </c>
      <c r="BD352" s="139">
        <f>'MM $'!H352</f>
        <v>3.6932471106482984E-2</v>
      </c>
      <c r="BE352" s="431">
        <f>'MM $'!I352</f>
        <v>4114.1112903226203</v>
      </c>
      <c r="BF352" s="124">
        <f>'MM $'!L352</f>
        <v>605.15286532262007</v>
      </c>
      <c r="BH352" s="124">
        <f>'MM $'!N352</f>
        <v>40101956.880000003</v>
      </c>
      <c r="BI352" s="139">
        <f>'MM $'!P352</f>
        <v>3.6693347326196522E-2</v>
      </c>
      <c r="BJ352" s="431">
        <f>'MM $'!Q352</f>
        <v>4087.4306451611005</v>
      </c>
      <c r="BK352" s="124">
        <f>'MM $'!U352</f>
        <v>578.5094181610998</v>
      </c>
      <c r="BM352" s="124">
        <f>'MM $'!W352</f>
        <v>40102081.68</v>
      </c>
      <c r="BN352" s="139">
        <f>'MM $'!X352</f>
        <v>3.6869725161289814E-2</v>
      </c>
      <c r="BO352" s="431">
        <f>'MM $'!Y352</f>
        <v>4107.0909164922095</v>
      </c>
      <c r="BP352" s="124">
        <f>'MM $'!AB352</f>
        <v>598.15876949220956</v>
      </c>
      <c r="BR352" s="124">
        <f>'MM $'!AD352</f>
        <v>40103087.079999998</v>
      </c>
      <c r="BS352" s="139">
        <f>'MM $'!AE352</f>
        <v>3.7224545806451938E-2</v>
      </c>
      <c r="BT352" s="431">
        <f>'MM $'!AF352</f>
        <v>4146.7200055266412</v>
      </c>
      <c r="BU352" s="124">
        <f>'MM $'!AB352</f>
        <v>598.15876949220956</v>
      </c>
      <c r="BV352" s="439"/>
      <c r="BW352" s="120">
        <f t="shared" si="122"/>
        <v>454716107.30000001</v>
      </c>
      <c r="BX352" s="121">
        <f t="shared" si="133"/>
        <v>3.5000000000000003E-2</v>
      </c>
      <c r="BY352" s="121">
        <f t="shared" si="123"/>
        <v>3.8048408582402722E-2</v>
      </c>
      <c r="BZ352" s="120">
        <f t="shared" si="124"/>
        <v>23176.377713179892</v>
      </c>
      <c r="CA352" s="120">
        <f t="shared" si="125"/>
        <v>-16480.358162104541</v>
      </c>
    </row>
    <row r="353" spans="2:79" x14ac:dyDescent="0.25">
      <c r="B353" s="123" t="str">
        <f t="shared" si="116"/>
        <v>12 2025</v>
      </c>
      <c r="C353" s="122">
        <f t="shared" si="117"/>
        <v>46005</v>
      </c>
      <c r="D353" s="122">
        <f t="shared" si="121"/>
        <v>46006</v>
      </c>
      <c r="E353" s="123">
        <f t="shared" si="118"/>
        <v>1</v>
      </c>
      <c r="F353" s="123" t="s">
        <v>7</v>
      </c>
      <c r="G353" s="124">
        <f t="shared" ref="G353" si="152">G352</f>
        <v>3900000</v>
      </c>
      <c r="H353" s="125">
        <f t="shared" si="148"/>
        <v>3.15E-2</v>
      </c>
      <c r="I353" s="322">
        <f t="shared" si="115"/>
        <v>341.25</v>
      </c>
      <c r="J353" s="124">
        <f t="shared" si="119"/>
        <v>1020799.0027777785</v>
      </c>
      <c r="K353" s="9"/>
      <c r="L353" s="11" t="s">
        <v>192</v>
      </c>
      <c r="M353" s="306">
        <f t="shared" si="104"/>
        <v>5000000</v>
      </c>
      <c r="N353" s="97">
        <f t="shared" si="105"/>
        <v>3.9899999999999998E-2</v>
      </c>
      <c r="O353" s="421">
        <f t="shared" si="95"/>
        <v>554.16666666666663</v>
      </c>
      <c r="P353" s="304">
        <f t="shared" si="106"/>
        <v>22720.833333333339</v>
      </c>
      <c r="Q353" s="307">
        <f t="shared" si="96"/>
        <v>116.66666666666663</v>
      </c>
      <c r="S353" s="11" t="s">
        <v>192</v>
      </c>
      <c r="T353" s="306">
        <f t="shared" si="107"/>
        <v>5000000</v>
      </c>
      <c r="U353" s="97">
        <f t="shared" si="108"/>
        <v>3.9199999999999999E-2</v>
      </c>
      <c r="V353" s="421">
        <f t="shared" si="97"/>
        <v>544.44444444444446</v>
      </c>
      <c r="W353" s="304">
        <f t="shared" si="98"/>
        <v>1088.8888888888889</v>
      </c>
      <c r="X353" s="307">
        <f t="shared" si="99"/>
        <v>106.94444444444446</v>
      </c>
      <c r="Z353" s="11" t="s">
        <v>192</v>
      </c>
      <c r="AA353" s="306">
        <f t="shared" si="109"/>
        <v>10000000</v>
      </c>
      <c r="AB353" s="97">
        <f t="shared" si="110"/>
        <v>3.7499999999999999E-2</v>
      </c>
      <c r="AC353" s="421">
        <f t="shared" si="100"/>
        <v>1041.6666666666667</v>
      </c>
      <c r="AD353" s="304">
        <f t="shared" si="111"/>
        <v>42708.333333333328</v>
      </c>
      <c r="AE353" s="307">
        <f t="shared" si="101"/>
        <v>166.66666666666674</v>
      </c>
      <c r="AG353" s="11" t="s">
        <v>192</v>
      </c>
      <c r="AH353" s="306">
        <f t="shared" si="112"/>
        <v>6000000</v>
      </c>
      <c r="AI353" s="97">
        <f t="shared" si="113"/>
        <v>3.73E-2</v>
      </c>
      <c r="AJ353" s="421">
        <f t="shared" si="102"/>
        <v>621.66666666666663</v>
      </c>
      <c r="AK353" s="304">
        <f t="shared" si="114"/>
        <v>25488.333333333343</v>
      </c>
      <c r="AL353" s="307">
        <f t="shared" si="103"/>
        <v>96.666666666666629</v>
      </c>
      <c r="AN353" s="304">
        <f>'codeis $'!AB354</f>
        <v>226677796.80000001</v>
      </c>
      <c r="AO353" s="340">
        <f>'codeis $'!AH354</f>
        <v>3.9437647784430686E-2</v>
      </c>
      <c r="AP353" s="304">
        <f>'codeis $'!AE354</f>
        <v>0</v>
      </c>
      <c r="AQ353" s="304">
        <f>'codeis $'!AK354</f>
        <v>-19663.84259</v>
      </c>
      <c r="AR353" s="9"/>
      <c r="AS353" s="9"/>
      <c r="AT353" s="123">
        <v>1</v>
      </c>
      <c r="AU353" s="123" t="s">
        <v>32</v>
      </c>
      <c r="AV353" s="124">
        <v>37728802.859999999</v>
      </c>
      <c r="AW353" s="139">
        <f t="shared" si="151"/>
        <v>3.5000000000000003E-2</v>
      </c>
      <c r="AX353" s="123"/>
      <c r="AY353" s="140">
        <f t="shared" si="127"/>
        <v>3617.8304112328769</v>
      </c>
      <c r="AZ353" s="140">
        <f t="shared" si="93"/>
        <v>738947.27435169183</v>
      </c>
      <c r="BA353" s="140">
        <f t="shared" si="120"/>
        <v>316.56016098287682</v>
      </c>
      <c r="BC353" s="124">
        <f>'MM $'!G353</f>
        <v>40102382</v>
      </c>
      <c r="BD353" s="139">
        <f>'MM $'!H353</f>
        <v>3.6932471106482984E-2</v>
      </c>
      <c r="BE353" s="431">
        <f>'MM $'!I353</f>
        <v>4114.1112903226203</v>
      </c>
      <c r="BF353" s="124">
        <f>'MM $'!L353</f>
        <v>605.15286532262007</v>
      </c>
      <c r="BH353" s="124">
        <f>'MM $'!N353</f>
        <v>40101956.880000003</v>
      </c>
      <c r="BI353" s="139">
        <f>'MM $'!P353</f>
        <v>3.6693347326196522E-2</v>
      </c>
      <c r="BJ353" s="431">
        <f>'MM $'!Q353</f>
        <v>4087.4306451611005</v>
      </c>
      <c r="BK353" s="124">
        <f>'MM $'!U353</f>
        <v>578.5094181610998</v>
      </c>
      <c r="BM353" s="124">
        <f>'MM $'!W353</f>
        <v>40102081.68</v>
      </c>
      <c r="BN353" s="139">
        <f>'MM $'!X353</f>
        <v>3.6869725161289814E-2</v>
      </c>
      <c r="BO353" s="431">
        <f>'MM $'!Y353</f>
        <v>4107.0909164922095</v>
      </c>
      <c r="BP353" s="124">
        <f>'MM $'!AB353</f>
        <v>598.15876949220956</v>
      </c>
      <c r="BR353" s="124">
        <f>'MM $'!AD353</f>
        <v>40103087.079999998</v>
      </c>
      <c r="BS353" s="139">
        <f>'MM $'!AE353</f>
        <v>3.7224545806451938E-2</v>
      </c>
      <c r="BT353" s="431">
        <f>'MM $'!AF353</f>
        <v>4146.7200055266412</v>
      </c>
      <c r="BU353" s="124">
        <f>'MM $'!AB353</f>
        <v>598.15876949220956</v>
      </c>
      <c r="BV353" s="439"/>
      <c r="BW353" s="120">
        <f t="shared" si="122"/>
        <v>454716107.30000001</v>
      </c>
      <c r="BX353" s="121">
        <f t="shared" si="133"/>
        <v>3.5000000000000003E-2</v>
      </c>
      <c r="BY353" s="121">
        <f t="shared" si="123"/>
        <v>3.8048408582402722E-2</v>
      </c>
      <c r="BZ353" s="120">
        <f t="shared" si="124"/>
        <v>23176.377713179892</v>
      </c>
      <c r="CA353" s="120">
        <f t="shared" si="125"/>
        <v>-16480.358162104541</v>
      </c>
    </row>
    <row r="354" spans="2:79" x14ac:dyDescent="0.25">
      <c r="B354" s="123" t="str">
        <f t="shared" si="116"/>
        <v>12 2025</v>
      </c>
      <c r="C354" s="122">
        <f t="shared" si="117"/>
        <v>46006</v>
      </c>
      <c r="D354" s="122">
        <f t="shared" si="121"/>
        <v>46007</v>
      </c>
      <c r="E354" s="123">
        <f t="shared" si="118"/>
        <v>1</v>
      </c>
      <c r="F354" s="123" t="s">
        <v>7</v>
      </c>
      <c r="G354" s="124">
        <f t="shared" ref="G354" si="153">G353</f>
        <v>3900000</v>
      </c>
      <c r="H354" s="125">
        <f t="shared" si="148"/>
        <v>3.15E-2</v>
      </c>
      <c r="I354" s="322">
        <f t="shared" si="115"/>
        <v>341.25</v>
      </c>
      <c r="J354" s="124">
        <f t="shared" si="119"/>
        <v>1021140.2527777785</v>
      </c>
      <c r="K354" s="9"/>
      <c r="L354" s="11" t="s">
        <v>192</v>
      </c>
      <c r="M354" s="306">
        <f t="shared" si="104"/>
        <v>5000000</v>
      </c>
      <c r="N354" s="97">
        <f t="shared" si="105"/>
        <v>3.9899999999999998E-2</v>
      </c>
      <c r="O354" s="421">
        <f t="shared" si="95"/>
        <v>554.16666666666663</v>
      </c>
      <c r="P354" s="304">
        <f t="shared" si="106"/>
        <v>23275.000000000007</v>
      </c>
      <c r="Q354" s="307">
        <f t="shared" si="96"/>
        <v>116.66666666666663</v>
      </c>
      <c r="S354" s="11" t="s">
        <v>192</v>
      </c>
      <c r="T354" s="306">
        <f t="shared" si="107"/>
        <v>5000000</v>
      </c>
      <c r="U354" s="97">
        <f t="shared" si="108"/>
        <v>3.9199999999999999E-2</v>
      </c>
      <c r="V354" s="421">
        <f t="shared" si="97"/>
        <v>544.44444444444446</v>
      </c>
      <c r="W354" s="304">
        <f t="shared" si="98"/>
        <v>1088.8888888888889</v>
      </c>
      <c r="X354" s="307">
        <f t="shared" si="99"/>
        <v>106.94444444444446</v>
      </c>
      <c r="Z354" s="11" t="s">
        <v>192</v>
      </c>
      <c r="AA354" s="306">
        <f t="shared" si="109"/>
        <v>10000000</v>
      </c>
      <c r="AB354" s="97">
        <f t="shared" si="110"/>
        <v>3.7499999999999999E-2</v>
      </c>
      <c r="AC354" s="421">
        <f t="shared" si="100"/>
        <v>1041.6666666666667</v>
      </c>
      <c r="AD354" s="304">
        <f t="shared" si="111"/>
        <v>43749.999999999993</v>
      </c>
      <c r="AE354" s="307">
        <f t="shared" si="101"/>
        <v>166.66666666666674</v>
      </c>
      <c r="AG354" s="11" t="s">
        <v>192</v>
      </c>
      <c r="AH354" s="306">
        <f t="shared" si="112"/>
        <v>6000000</v>
      </c>
      <c r="AI354" s="97">
        <f t="shared" si="113"/>
        <v>3.73E-2</v>
      </c>
      <c r="AJ354" s="421">
        <f t="shared" si="102"/>
        <v>621.66666666666663</v>
      </c>
      <c r="AK354" s="304">
        <f t="shared" si="114"/>
        <v>26110.000000000011</v>
      </c>
      <c r="AL354" s="307">
        <f t="shared" si="103"/>
        <v>96.666666666666629</v>
      </c>
      <c r="AN354" s="304">
        <f>'codeis $'!AB355</f>
        <v>226753226</v>
      </c>
      <c r="AO354" s="340">
        <f>'codeis $'!AH355</f>
        <v>3.9437647784430686E-2</v>
      </c>
      <c r="AP354" s="304">
        <f>'codeis $'!AE355</f>
        <v>75429.199999988079</v>
      </c>
      <c r="AQ354" s="304">
        <f>'codeis $'!AK355</f>
        <v>55765.357409988079</v>
      </c>
      <c r="AR354" s="9"/>
      <c r="AS354" s="9"/>
      <c r="AT354" s="123">
        <v>1</v>
      </c>
      <c r="AU354" s="123" t="s">
        <v>32</v>
      </c>
      <c r="AV354" s="124">
        <v>37739656.350000001</v>
      </c>
      <c r="AW354" s="139">
        <f t="shared" si="151"/>
        <v>3.5000000000000003E-2</v>
      </c>
      <c r="AX354" s="123"/>
      <c r="AY354" s="140">
        <f t="shared" si="127"/>
        <v>3618.8711568493154</v>
      </c>
      <c r="AZ354" s="140">
        <f t="shared" si="93"/>
        <v>742566.14550854114</v>
      </c>
      <c r="BA354" s="140">
        <f t="shared" si="120"/>
        <v>316.65122622431545</v>
      </c>
      <c r="BC354" s="124">
        <f>'MM $'!G354</f>
        <v>40102382</v>
      </c>
      <c r="BD354" s="139">
        <f>'MM $'!H354</f>
        <v>3.6932471106482984E-2</v>
      </c>
      <c r="BE354" s="431">
        <f>'MM $'!I354</f>
        <v>4114.1112903226203</v>
      </c>
      <c r="BF354" s="124">
        <f>'MM $'!L354</f>
        <v>605.15286532262007</v>
      </c>
      <c r="BH354" s="124">
        <f>'MM $'!N354</f>
        <v>40101956.880000003</v>
      </c>
      <c r="BI354" s="139">
        <f>'MM $'!P354</f>
        <v>3.6693347326196522E-2</v>
      </c>
      <c r="BJ354" s="431">
        <f>'MM $'!Q354</f>
        <v>4087.4306451611005</v>
      </c>
      <c r="BK354" s="124">
        <f>'MM $'!U354</f>
        <v>578.5094181610998</v>
      </c>
      <c r="BM354" s="124">
        <f>'MM $'!W354</f>
        <v>40102081.68</v>
      </c>
      <c r="BN354" s="139">
        <f>'MM $'!X354</f>
        <v>3.6869725161289814E-2</v>
      </c>
      <c r="BO354" s="431">
        <f>'MM $'!Y354</f>
        <v>4107.0909164922095</v>
      </c>
      <c r="BP354" s="124">
        <f>'MM $'!AB354</f>
        <v>598.15876949220956</v>
      </c>
      <c r="BR354" s="124">
        <f>'MM $'!AD354</f>
        <v>40103087.079999998</v>
      </c>
      <c r="BS354" s="139">
        <f>'MM $'!AE354</f>
        <v>3.7224545806451938E-2</v>
      </c>
      <c r="BT354" s="431">
        <f>'MM $'!AF354</f>
        <v>4146.7200055266412</v>
      </c>
      <c r="BU354" s="124">
        <f>'MM $'!AB354</f>
        <v>598.15876949220956</v>
      </c>
      <c r="BV354" s="439"/>
      <c r="BW354" s="120">
        <f t="shared" si="122"/>
        <v>454802389.99000001</v>
      </c>
      <c r="BX354" s="121">
        <f t="shared" si="133"/>
        <v>3.5000000000000003E-2</v>
      </c>
      <c r="BY354" s="121">
        <f t="shared" si="123"/>
        <v>3.804856624061017E-2</v>
      </c>
      <c r="BZ354" s="120">
        <f t="shared" si="124"/>
        <v>98606.618458784404</v>
      </c>
      <c r="CA354" s="120">
        <f t="shared" si="125"/>
        <v>58948.93290312498</v>
      </c>
    </row>
    <row r="355" spans="2:79" x14ac:dyDescent="0.25">
      <c r="B355" s="123" t="str">
        <f t="shared" si="116"/>
        <v>12 2025</v>
      </c>
      <c r="C355" s="122">
        <f t="shared" si="117"/>
        <v>46007</v>
      </c>
      <c r="D355" s="122">
        <f t="shared" si="121"/>
        <v>46008</v>
      </c>
      <c r="E355" s="123">
        <f t="shared" si="118"/>
        <v>1</v>
      </c>
      <c r="F355" s="123" t="s">
        <v>7</v>
      </c>
      <c r="G355" s="124">
        <f t="shared" ref="G355" si="154">G354</f>
        <v>3900000</v>
      </c>
      <c r="H355" s="125">
        <f t="shared" si="148"/>
        <v>3.15E-2</v>
      </c>
      <c r="I355" s="322">
        <f t="shared" si="115"/>
        <v>341.25</v>
      </c>
      <c r="J355" s="124">
        <f t="shared" si="119"/>
        <v>1021481.5027777785</v>
      </c>
      <c r="K355" s="9"/>
      <c r="L355" s="11" t="s">
        <v>192</v>
      </c>
      <c r="M355" s="306">
        <f t="shared" si="104"/>
        <v>5000000</v>
      </c>
      <c r="N355" s="97">
        <f t="shared" si="105"/>
        <v>3.9899999999999998E-2</v>
      </c>
      <c r="O355" s="421">
        <f t="shared" si="95"/>
        <v>554.16666666666663</v>
      </c>
      <c r="P355" s="304">
        <f t="shared" si="106"/>
        <v>23829.166666666675</v>
      </c>
      <c r="Q355" s="307">
        <f t="shared" si="96"/>
        <v>116.66666666666663</v>
      </c>
      <c r="S355" s="11" t="s">
        <v>192</v>
      </c>
      <c r="T355" s="306">
        <f t="shared" si="107"/>
        <v>5000000</v>
      </c>
      <c r="U355" s="97">
        <f t="shared" si="108"/>
        <v>3.9199999999999999E-2</v>
      </c>
      <c r="V355" s="421">
        <f t="shared" si="97"/>
        <v>544.44444444444446</v>
      </c>
      <c r="W355" s="304">
        <f t="shared" si="98"/>
        <v>1088.8888888888889</v>
      </c>
      <c r="X355" s="307">
        <f t="shared" si="99"/>
        <v>106.94444444444446</v>
      </c>
      <c r="Z355" s="11" t="s">
        <v>192</v>
      </c>
      <c r="AA355" s="306">
        <f t="shared" si="109"/>
        <v>10000000</v>
      </c>
      <c r="AB355" s="97">
        <f t="shared" si="110"/>
        <v>3.7499999999999999E-2</v>
      </c>
      <c r="AC355" s="421">
        <f t="shared" si="100"/>
        <v>1041.6666666666667</v>
      </c>
      <c r="AD355" s="304">
        <f t="shared" si="111"/>
        <v>44791.666666666657</v>
      </c>
      <c r="AE355" s="307">
        <f t="shared" si="101"/>
        <v>166.66666666666674</v>
      </c>
      <c r="AG355" s="11" t="s">
        <v>192</v>
      </c>
      <c r="AH355" s="306">
        <f t="shared" si="112"/>
        <v>6000000</v>
      </c>
      <c r="AI355" s="97">
        <f t="shared" si="113"/>
        <v>3.73E-2</v>
      </c>
      <c r="AJ355" s="421">
        <f t="shared" si="102"/>
        <v>621.66666666666663</v>
      </c>
      <c r="AK355" s="304">
        <f t="shared" si="114"/>
        <v>26731.666666666679</v>
      </c>
      <c r="AL355" s="307">
        <f t="shared" si="103"/>
        <v>96.666666666666629</v>
      </c>
      <c r="AN355" s="304">
        <f>'codeis $'!AB356</f>
        <v>226776894.40000001</v>
      </c>
      <c r="AO355" s="340">
        <f>'codeis $'!AH356</f>
        <v>3.9437647784430686E-2</v>
      </c>
      <c r="AP355" s="304">
        <f>'codeis $'!AE356</f>
        <v>23668.40000000596</v>
      </c>
      <c r="AQ355" s="304">
        <f>'codeis $'!AK356</f>
        <v>4004.5574100059603</v>
      </c>
      <c r="AR355" s="9"/>
      <c r="AS355" s="9"/>
      <c r="AT355" s="123">
        <v>1</v>
      </c>
      <c r="AU355" s="123" t="s">
        <v>32</v>
      </c>
      <c r="AV355" s="124">
        <v>37743275.219999999</v>
      </c>
      <c r="AW355" s="139">
        <f t="shared" si="151"/>
        <v>3.5000000000000003E-2</v>
      </c>
      <c r="AX355" s="123"/>
      <c r="AY355" s="140">
        <f t="shared" si="127"/>
        <v>3619.2181717808226</v>
      </c>
      <c r="AZ355" s="140">
        <f t="shared" si="93"/>
        <v>746185.36368032196</v>
      </c>
      <c r="BA355" s="140">
        <f t="shared" si="120"/>
        <v>316.68159003082246</v>
      </c>
      <c r="BC355" s="124">
        <f>'MM $'!G355</f>
        <v>40102382</v>
      </c>
      <c r="BD355" s="139">
        <f>'MM $'!H355</f>
        <v>3.6932471106482984E-2</v>
      </c>
      <c r="BE355" s="431">
        <f>'MM $'!I355</f>
        <v>4114.1112903226203</v>
      </c>
      <c r="BF355" s="124">
        <f>'MM $'!L355</f>
        <v>605.15286532262007</v>
      </c>
      <c r="BH355" s="124">
        <f>'MM $'!N355</f>
        <v>40101956.880000003</v>
      </c>
      <c r="BI355" s="139">
        <f>'MM $'!P355</f>
        <v>3.6693347326196522E-2</v>
      </c>
      <c r="BJ355" s="431">
        <f>'MM $'!Q355</f>
        <v>4087.4306451611005</v>
      </c>
      <c r="BK355" s="124">
        <f>'MM $'!U355</f>
        <v>578.5094181610998</v>
      </c>
      <c r="BM355" s="124">
        <f>'MM $'!W355</f>
        <v>40102081.68</v>
      </c>
      <c r="BN355" s="139">
        <f>'MM $'!X355</f>
        <v>3.6869725161289814E-2</v>
      </c>
      <c r="BO355" s="431">
        <f>'MM $'!Y355</f>
        <v>4107.0909164922095</v>
      </c>
      <c r="BP355" s="124">
        <f>'MM $'!AB355</f>
        <v>598.15876949220956</v>
      </c>
      <c r="BR355" s="124">
        <f>'MM $'!AD355</f>
        <v>40103087.079999998</v>
      </c>
      <c r="BS355" s="139">
        <f>'MM $'!AE355</f>
        <v>3.7224545806451938E-2</v>
      </c>
      <c r="BT355" s="431">
        <f>'MM $'!AF355</f>
        <v>4146.7200055266412</v>
      </c>
      <c r="BU355" s="124">
        <f>'MM $'!AB355</f>
        <v>598.15876949220956</v>
      </c>
      <c r="BV355" s="439"/>
      <c r="BW355" s="120">
        <f t="shared" si="122"/>
        <v>454829677.25999999</v>
      </c>
      <c r="BX355" s="121">
        <f t="shared" si="133"/>
        <v>3.5000000000000003E-2</v>
      </c>
      <c r="BY355" s="121">
        <f t="shared" si="123"/>
        <v>3.8048614269518125E-2</v>
      </c>
      <c r="BZ355" s="120">
        <f t="shared" si="124"/>
        <v>46846.165473733803</v>
      </c>
      <c r="CA355" s="120">
        <f t="shared" si="125"/>
        <v>7188.1632669493665</v>
      </c>
    </row>
    <row r="356" spans="2:79" x14ac:dyDescent="0.25">
      <c r="B356" s="123" t="str">
        <f t="shared" si="116"/>
        <v>12 2025</v>
      </c>
      <c r="C356" s="122">
        <f t="shared" si="117"/>
        <v>46008</v>
      </c>
      <c r="D356" s="122">
        <f t="shared" si="121"/>
        <v>46009</v>
      </c>
      <c r="E356" s="123">
        <f t="shared" si="118"/>
        <v>1</v>
      </c>
      <c r="F356" s="123" t="s">
        <v>7</v>
      </c>
      <c r="G356" s="124">
        <f t="shared" ref="G356" si="155">G355</f>
        <v>3900000</v>
      </c>
      <c r="H356" s="125">
        <f t="shared" si="148"/>
        <v>3.15E-2</v>
      </c>
      <c r="I356" s="322">
        <f t="shared" si="115"/>
        <v>341.25</v>
      </c>
      <c r="J356" s="124">
        <f t="shared" si="119"/>
        <v>1021822.7527777785</v>
      </c>
      <c r="K356" s="9"/>
      <c r="L356" s="11" t="s">
        <v>192</v>
      </c>
      <c r="M356" s="306">
        <f t="shared" si="104"/>
        <v>5000000</v>
      </c>
      <c r="N356" s="97">
        <f t="shared" si="105"/>
        <v>3.9899999999999998E-2</v>
      </c>
      <c r="O356" s="421">
        <f t="shared" si="95"/>
        <v>554.16666666666663</v>
      </c>
      <c r="P356" s="304">
        <f t="shared" si="106"/>
        <v>24383.333333333343</v>
      </c>
      <c r="Q356" s="307">
        <f t="shared" si="96"/>
        <v>116.66666666666663</v>
      </c>
      <c r="S356" s="11" t="s">
        <v>192</v>
      </c>
      <c r="T356" s="306">
        <f t="shared" si="107"/>
        <v>5000000</v>
      </c>
      <c r="U356" s="97">
        <f t="shared" si="108"/>
        <v>3.9199999999999999E-2</v>
      </c>
      <c r="V356" s="421">
        <f t="shared" si="97"/>
        <v>544.44444444444446</v>
      </c>
      <c r="W356" s="304">
        <f t="shared" si="98"/>
        <v>1088.8888888888889</v>
      </c>
      <c r="X356" s="307">
        <f t="shared" si="99"/>
        <v>106.94444444444446</v>
      </c>
      <c r="Z356" s="11" t="s">
        <v>192</v>
      </c>
      <c r="AA356" s="306">
        <f t="shared" si="109"/>
        <v>10000000</v>
      </c>
      <c r="AB356" s="97">
        <f t="shared" si="110"/>
        <v>3.7499999999999999E-2</v>
      </c>
      <c r="AC356" s="421">
        <f t="shared" si="100"/>
        <v>1041.6666666666667</v>
      </c>
      <c r="AD356" s="304">
        <f t="shared" si="111"/>
        <v>45833.333333333321</v>
      </c>
      <c r="AE356" s="307">
        <f t="shared" si="101"/>
        <v>166.66666666666674</v>
      </c>
      <c r="AG356" s="11" t="s">
        <v>192</v>
      </c>
      <c r="AH356" s="306">
        <f t="shared" si="112"/>
        <v>6000000</v>
      </c>
      <c r="AI356" s="97">
        <f t="shared" si="113"/>
        <v>3.73E-2</v>
      </c>
      <c r="AJ356" s="421">
        <f t="shared" si="102"/>
        <v>621.66666666666663</v>
      </c>
      <c r="AK356" s="304">
        <f t="shared" si="114"/>
        <v>27353.333333333347</v>
      </c>
      <c r="AL356" s="307">
        <f t="shared" si="103"/>
        <v>96.666666666666629</v>
      </c>
      <c r="AN356" s="304">
        <f>'codeis $'!AB357</f>
        <v>226800784</v>
      </c>
      <c r="AO356" s="340">
        <f>'codeis $'!AH357</f>
        <v>3.9437647784430686E-2</v>
      </c>
      <c r="AP356" s="304">
        <f>'codeis $'!AE357</f>
        <v>23889.59999999404</v>
      </c>
      <c r="AQ356" s="304">
        <f>'codeis $'!AK357</f>
        <v>4225.7574099940393</v>
      </c>
      <c r="AR356" s="9"/>
      <c r="AS356" s="9"/>
      <c r="AT356" s="123">
        <v>1</v>
      </c>
      <c r="AU356" s="123" t="s">
        <v>32</v>
      </c>
      <c r="AV356" s="124">
        <v>37733064.670000002</v>
      </c>
      <c r="AW356" s="139">
        <f t="shared" si="151"/>
        <v>3.5000000000000003E-2</v>
      </c>
      <c r="AX356" s="123"/>
      <c r="AY356" s="140">
        <f t="shared" si="127"/>
        <v>3618.2390779452062</v>
      </c>
      <c r="AZ356" s="140">
        <f t="shared" si="93"/>
        <v>749803.6027582672</v>
      </c>
      <c r="BA356" s="140">
        <f t="shared" si="120"/>
        <v>316.59591932020567</v>
      </c>
      <c r="BC356" s="124">
        <f>'MM $'!G356</f>
        <v>40102382</v>
      </c>
      <c r="BD356" s="139">
        <f>'MM $'!H356</f>
        <v>3.6932471106482984E-2</v>
      </c>
      <c r="BE356" s="431">
        <f>'MM $'!I356</f>
        <v>4114.1112903226203</v>
      </c>
      <c r="BF356" s="124">
        <f>'MM $'!L356</f>
        <v>605.15286532262007</v>
      </c>
      <c r="BH356" s="124">
        <f>'MM $'!N356</f>
        <v>40101956.880000003</v>
      </c>
      <c r="BI356" s="139">
        <f>'MM $'!P356</f>
        <v>3.6693347326196522E-2</v>
      </c>
      <c r="BJ356" s="431">
        <f>'MM $'!Q356</f>
        <v>4087.4306451611005</v>
      </c>
      <c r="BK356" s="124">
        <f>'MM $'!U356</f>
        <v>578.5094181610998</v>
      </c>
      <c r="BM356" s="124">
        <f>'MM $'!W356</f>
        <v>40102081.68</v>
      </c>
      <c r="BN356" s="139">
        <f>'MM $'!X356</f>
        <v>3.6869725161289814E-2</v>
      </c>
      <c r="BO356" s="431">
        <f>'MM $'!Y356</f>
        <v>4107.0909164922095</v>
      </c>
      <c r="BP356" s="124">
        <f>'MM $'!AB356</f>
        <v>598.15876949220956</v>
      </c>
      <c r="BR356" s="124">
        <f>'MM $'!AD356</f>
        <v>40103087.079999998</v>
      </c>
      <c r="BS356" s="139">
        <f>'MM $'!AE356</f>
        <v>3.7224545806451938E-2</v>
      </c>
      <c r="BT356" s="431">
        <f>'MM $'!AF356</f>
        <v>4146.7200055266412</v>
      </c>
      <c r="BU356" s="124">
        <f>'MM $'!AB356</f>
        <v>598.15876949220956</v>
      </c>
      <c r="BV356" s="439"/>
      <c r="BW356" s="120">
        <f t="shared" si="122"/>
        <v>454843356.31</v>
      </c>
      <c r="BX356" s="121">
        <f t="shared" si="133"/>
        <v>3.5000000000000003E-2</v>
      </c>
      <c r="BY356" s="121">
        <f t="shared" si="123"/>
        <v>3.8048755662115366E-2</v>
      </c>
      <c r="BZ356" s="120">
        <f t="shared" si="124"/>
        <v>47066.386379886266</v>
      </c>
      <c r="CA356" s="120">
        <f t="shared" si="125"/>
        <v>7409.2775962268279</v>
      </c>
    </row>
    <row r="357" spans="2:79" x14ac:dyDescent="0.25">
      <c r="B357" s="123" t="str">
        <f t="shared" si="116"/>
        <v>12 2025</v>
      </c>
      <c r="C357" s="122">
        <f t="shared" si="117"/>
        <v>46009</v>
      </c>
      <c r="D357" s="122">
        <f t="shared" si="121"/>
        <v>46010</v>
      </c>
      <c r="E357" s="123">
        <f t="shared" si="118"/>
        <v>1</v>
      </c>
      <c r="F357" s="123" t="s">
        <v>7</v>
      </c>
      <c r="G357" s="126">
        <f>G356-2380000</f>
        <v>1520000</v>
      </c>
      <c r="H357" s="125">
        <f t="shared" si="148"/>
        <v>3.15E-2</v>
      </c>
      <c r="I357" s="322">
        <f t="shared" si="115"/>
        <v>133</v>
      </c>
      <c r="J357" s="124">
        <f t="shared" si="119"/>
        <v>1021955.7527777785</v>
      </c>
      <c r="K357" s="9"/>
      <c r="L357" s="11" t="s">
        <v>192</v>
      </c>
      <c r="M357" s="306">
        <f t="shared" si="104"/>
        <v>5000000</v>
      </c>
      <c r="N357" s="97">
        <f t="shared" si="105"/>
        <v>3.9899999999999998E-2</v>
      </c>
      <c r="O357" s="421">
        <f t="shared" si="95"/>
        <v>554.16666666666663</v>
      </c>
      <c r="P357" s="304">
        <f t="shared" si="106"/>
        <v>24937.500000000011</v>
      </c>
      <c r="Q357" s="307">
        <f t="shared" si="96"/>
        <v>116.66666666666663</v>
      </c>
      <c r="S357" s="11" t="s">
        <v>192</v>
      </c>
      <c r="T357" s="306">
        <f t="shared" si="107"/>
        <v>5000000</v>
      </c>
      <c r="U357" s="97">
        <f t="shared" si="108"/>
        <v>3.9199999999999999E-2</v>
      </c>
      <c r="V357" s="421">
        <f t="shared" si="97"/>
        <v>544.44444444444446</v>
      </c>
      <c r="W357" s="304">
        <f t="shared" si="98"/>
        <v>1088.8888888888889</v>
      </c>
      <c r="X357" s="307">
        <f t="shared" si="99"/>
        <v>106.94444444444446</v>
      </c>
      <c r="Z357" s="11" t="s">
        <v>192</v>
      </c>
      <c r="AA357" s="306">
        <f t="shared" si="109"/>
        <v>10000000</v>
      </c>
      <c r="AB357" s="97">
        <f t="shared" si="110"/>
        <v>3.7499999999999999E-2</v>
      </c>
      <c r="AC357" s="421">
        <f t="shared" si="100"/>
        <v>1041.6666666666667</v>
      </c>
      <c r="AD357" s="304">
        <f t="shared" si="111"/>
        <v>46874.999999999985</v>
      </c>
      <c r="AE357" s="307">
        <f t="shared" si="101"/>
        <v>166.66666666666674</v>
      </c>
      <c r="AG357" s="11" t="s">
        <v>192</v>
      </c>
      <c r="AH357" s="306">
        <f t="shared" si="112"/>
        <v>6000000</v>
      </c>
      <c r="AI357" s="97">
        <f t="shared" si="113"/>
        <v>3.73E-2</v>
      </c>
      <c r="AJ357" s="421">
        <f t="shared" si="102"/>
        <v>621.66666666666663</v>
      </c>
      <c r="AK357" s="304">
        <f t="shared" si="114"/>
        <v>27975.000000000015</v>
      </c>
      <c r="AL357" s="307">
        <f t="shared" si="103"/>
        <v>96.666666666666629</v>
      </c>
      <c r="AN357" s="304">
        <f>'codeis $'!AB358</f>
        <v>226824894.79999998</v>
      </c>
      <c r="AO357" s="340">
        <f>'codeis $'!AH358</f>
        <v>3.9437647784430686E-2</v>
      </c>
      <c r="AP357" s="304">
        <f>'codeis $'!AE358</f>
        <v>24110.799999982119</v>
      </c>
      <c r="AQ357" s="304">
        <f>'codeis $'!AK358</f>
        <v>4446.9574099821184</v>
      </c>
      <c r="AR357" s="9"/>
      <c r="AS357" s="9"/>
      <c r="AT357" s="123">
        <v>1</v>
      </c>
      <c r="AU357" s="123" t="s">
        <v>32</v>
      </c>
      <c r="AV357" s="124">
        <v>37731519.030000001</v>
      </c>
      <c r="AW357" s="139">
        <f t="shared" si="151"/>
        <v>3.5000000000000003E-2</v>
      </c>
      <c r="AX357" s="123"/>
      <c r="AY357" s="140">
        <f t="shared" si="127"/>
        <v>3618.0908658904114</v>
      </c>
      <c r="AZ357" s="140">
        <f t="shared" si="93"/>
        <v>753421.69362415757</v>
      </c>
      <c r="BA357" s="140">
        <f t="shared" si="120"/>
        <v>316.58295076541117</v>
      </c>
      <c r="BC357" s="124">
        <f>'MM $'!G357</f>
        <v>40102382</v>
      </c>
      <c r="BD357" s="139">
        <f>'MM $'!H357</f>
        <v>3.6932471106482984E-2</v>
      </c>
      <c r="BE357" s="431">
        <f>'MM $'!I357</f>
        <v>4114.1112903226203</v>
      </c>
      <c r="BF357" s="124">
        <f>'MM $'!L357</f>
        <v>605.15286532262007</v>
      </c>
      <c r="BH357" s="124">
        <f>'MM $'!N357</f>
        <v>40101956.880000003</v>
      </c>
      <c r="BI357" s="139">
        <f>'MM $'!P357</f>
        <v>3.6693347326196522E-2</v>
      </c>
      <c r="BJ357" s="431">
        <f>'MM $'!Q357</f>
        <v>4087.4306451611005</v>
      </c>
      <c r="BK357" s="124">
        <f>'MM $'!U357</f>
        <v>578.5094181610998</v>
      </c>
      <c r="BM357" s="124">
        <f>'MM $'!W357</f>
        <v>40102081.68</v>
      </c>
      <c r="BN357" s="139">
        <f>'MM $'!X357</f>
        <v>3.6869725161289814E-2</v>
      </c>
      <c r="BO357" s="431">
        <f>'MM $'!Y357</f>
        <v>4107.0909164922095</v>
      </c>
      <c r="BP357" s="124">
        <f>'MM $'!AB357</f>
        <v>598.15876949220956</v>
      </c>
      <c r="BR357" s="124">
        <f>'MM $'!AD357</f>
        <v>40103087.079999998</v>
      </c>
      <c r="BS357" s="139">
        <f>'MM $'!AE357</f>
        <v>3.7224545806451938E-2</v>
      </c>
      <c r="BT357" s="431">
        <f>'MM $'!AF357</f>
        <v>4146.7200055266412</v>
      </c>
      <c r="BU357" s="124">
        <f>'MM $'!AB357</f>
        <v>598.15876949220956</v>
      </c>
      <c r="BV357" s="439"/>
      <c r="BW357" s="120">
        <f t="shared" si="122"/>
        <v>452485921.46999997</v>
      </c>
      <c r="BX357" s="121">
        <f t="shared" si="133"/>
        <v>3.5000000000000003E-2</v>
      </c>
      <c r="BY357" s="121">
        <f t="shared" si="123"/>
        <v>3.8083285439315856E-2</v>
      </c>
      <c r="BZ357" s="120">
        <f t="shared" si="124"/>
        <v>47079.18816781955</v>
      </c>
      <c r="CA357" s="120">
        <f t="shared" si="125"/>
        <v>7630.4646276601125</v>
      </c>
    </row>
    <row r="358" spans="2:79" x14ac:dyDescent="0.25">
      <c r="B358" s="123" t="str">
        <f t="shared" si="116"/>
        <v>12 2025</v>
      </c>
      <c r="C358" s="122">
        <f t="shared" si="117"/>
        <v>46010</v>
      </c>
      <c r="D358" s="122">
        <f t="shared" si="121"/>
        <v>46011</v>
      </c>
      <c r="E358" s="123">
        <f t="shared" si="118"/>
        <v>1</v>
      </c>
      <c r="F358" s="123" t="s">
        <v>7</v>
      </c>
      <c r="G358" s="126">
        <f>G357+35900000</f>
        <v>37420000</v>
      </c>
      <c r="H358" s="125">
        <f t="shared" si="148"/>
        <v>3.15E-2</v>
      </c>
      <c r="I358" s="322">
        <f t="shared" si="115"/>
        <v>3274.25</v>
      </c>
      <c r="J358" s="124">
        <f t="shared" si="119"/>
        <v>1025230.0027777785</v>
      </c>
      <c r="K358" s="9"/>
      <c r="L358" s="11" t="s">
        <v>192</v>
      </c>
      <c r="M358" s="306">
        <f t="shared" si="104"/>
        <v>5000000</v>
      </c>
      <c r="N358" s="97">
        <f t="shared" si="105"/>
        <v>3.9899999999999998E-2</v>
      </c>
      <c r="O358" s="421">
        <f t="shared" si="95"/>
        <v>554.16666666666663</v>
      </c>
      <c r="P358" s="304">
        <f t="shared" si="106"/>
        <v>25491.666666666679</v>
      </c>
      <c r="Q358" s="307">
        <f t="shared" si="96"/>
        <v>116.66666666666663</v>
      </c>
      <c r="S358" s="11" t="s">
        <v>192</v>
      </c>
      <c r="T358" s="306">
        <f t="shared" si="107"/>
        <v>5000000</v>
      </c>
      <c r="U358" s="97">
        <f t="shared" si="108"/>
        <v>3.9199999999999999E-2</v>
      </c>
      <c r="V358" s="421">
        <f t="shared" si="97"/>
        <v>544.44444444444446</v>
      </c>
      <c r="W358" s="304">
        <f t="shared" si="98"/>
        <v>1088.8888888888889</v>
      </c>
      <c r="X358" s="307">
        <f t="shared" si="99"/>
        <v>106.94444444444446</v>
      </c>
      <c r="Z358" s="11" t="s">
        <v>192</v>
      </c>
      <c r="AA358" s="306">
        <f t="shared" si="109"/>
        <v>10000000</v>
      </c>
      <c r="AB358" s="97">
        <f t="shared" si="110"/>
        <v>3.7499999999999999E-2</v>
      </c>
      <c r="AC358" s="421">
        <f t="shared" si="100"/>
        <v>1041.6666666666667</v>
      </c>
      <c r="AD358" s="304">
        <f t="shared" si="111"/>
        <v>47916.66666666665</v>
      </c>
      <c r="AE358" s="307">
        <f t="shared" si="101"/>
        <v>166.66666666666674</v>
      </c>
      <c r="AG358" s="11" t="s">
        <v>192</v>
      </c>
      <c r="AH358" s="306">
        <f t="shared" si="112"/>
        <v>6000000</v>
      </c>
      <c r="AI358" s="97">
        <f t="shared" si="113"/>
        <v>3.73E-2</v>
      </c>
      <c r="AJ358" s="421">
        <f t="shared" si="102"/>
        <v>621.66666666666663</v>
      </c>
      <c r="AK358" s="304">
        <f t="shared" si="114"/>
        <v>28596.666666666682</v>
      </c>
      <c r="AL358" s="307">
        <f t="shared" si="103"/>
        <v>96.666666666666629</v>
      </c>
      <c r="AN358" s="304">
        <f>'codeis $'!AB359</f>
        <v>155676516.60000002</v>
      </c>
      <c r="AO358" s="340">
        <f>'codeis $'!AH359</f>
        <v>3.9437647784430686E-2</v>
      </c>
      <c r="AP358" s="304">
        <f>'codeis $'!AE359</f>
        <v>23889.600000053644</v>
      </c>
      <c r="AQ358" s="304">
        <f>'codeis $'!AK359</f>
        <v>4225.757410053644</v>
      </c>
      <c r="AR358" s="9"/>
      <c r="AS358" s="9"/>
      <c r="AT358" s="123">
        <v>1</v>
      </c>
      <c r="AU358" s="123" t="s">
        <v>32</v>
      </c>
      <c r="AV358" s="124">
        <v>37386850.43</v>
      </c>
      <c r="AW358" s="139">
        <f t="shared" si="151"/>
        <v>3.5000000000000003E-2</v>
      </c>
      <c r="AX358" s="123"/>
      <c r="AY358" s="140">
        <f t="shared" si="127"/>
        <v>3585.0404521917808</v>
      </c>
      <c r="AZ358" s="140">
        <f t="shared" si="93"/>
        <v>757006.7340763493</v>
      </c>
      <c r="BA358" s="140">
        <f t="shared" si="120"/>
        <v>313.691039566781</v>
      </c>
      <c r="BC358" s="124">
        <f>'MM $'!G358</f>
        <v>40102382</v>
      </c>
      <c r="BD358" s="139">
        <f>'MM $'!H358</f>
        <v>3.6932471106482984E-2</v>
      </c>
      <c r="BE358" s="431">
        <f>'MM $'!I358</f>
        <v>4114.1112903226203</v>
      </c>
      <c r="BF358" s="124">
        <f>'MM $'!L358</f>
        <v>605.15286532262007</v>
      </c>
      <c r="BH358" s="124">
        <f>'MM $'!N358</f>
        <v>40101956.880000003</v>
      </c>
      <c r="BI358" s="139">
        <f>'MM $'!P358</f>
        <v>3.6693347326196522E-2</v>
      </c>
      <c r="BJ358" s="431">
        <f>'MM $'!Q358</f>
        <v>4087.4306451611005</v>
      </c>
      <c r="BK358" s="124">
        <f>'MM $'!U358</f>
        <v>578.5094181610998</v>
      </c>
      <c r="BM358" s="124">
        <f>'MM $'!W358</f>
        <v>40102081.68</v>
      </c>
      <c r="BN358" s="139">
        <f>'MM $'!X358</f>
        <v>3.6869725161289814E-2</v>
      </c>
      <c r="BO358" s="431">
        <f>'MM $'!Y358</f>
        <v>4107.0909164922095</v>
      </c>
      <c r="BP358" s="124">
        <f>'MM $'!AB358</f>
        <v>598.15876949220956</v>
      </c>
      <c r="BR358" s="124">
        <f>'MM $'!AD358</f>
        <v>40103087.079999998</v>
      </c>
      <c r="BS358" s="139">
        <f>'MM $'!AE358</f>
        <v>3.7224545806451938E-2</v>
      </c>
      <c r="BT358" s="431">
        <f>'MM $'!AF358</f>
        <v>4146.7200055266412</v>
      </c>
      <c r="BU358" s="124">
        <f>'MM $'!AB358</f>
        <v>598.15876949220956</v>
      </c>
      <c r="BV358" s="439"/>
      <c r="BW358" s="120">
        <f t="shared" si="122"/>
        <v>416892874.67000002</v>
      </c>
      <c r="BX358" s="121">
        <f t="shared" si="133"/>
        <v>3.5000000000000003E-2</v>
      </c>
      <c r="BY358" s="121">
        <f t="shared" si="123"/>
        <v>3.7287786307294825E-2</v>
      </c>
      <c r="BZ358" s="120">
        <f t="shared" si="124"/>
        <v>49966.187754192448</v>
      </c>
      <c r="CA358" s="120">
        <f t="shared" si="125"/>
        <v>7406.3727165330074</v>
      </c>
    </row>
    <row r="359" spans="2:79" x14ac:dyDescent="0.25">
      <c r="B359" s="123" t="str">
        <f t="shared" si="116"/>
        <v>12 2025</v>
      </c>
      <c r="C359" s="122">
        <f t="shared" si="117"/>
        <v>46011</v>
      </c>
      <c r="D359" s="122">
        <f t="shared" si="121"/>
        <v>46012</v>
      </c>
      <c r="E359" s="123">
        <f t="shared" si="118"/>
        <v>1</v>
      </c>
      <c r="F359" s="123" t="s">
        <v>7</v>
      </c>
      <c r="G359" s="124">
        <f t="shared" ref="G359" si="156">G358</f>
        <v>37420000</v>
      </c>
      <c r="H359" s="125">
        <f t="shared" si="148"/>
        <v>3.15E-2</v>
      </c>
      <c r="I359" s="322">
        <f t="shared" si="115"/>
        <v>3274.25</v>
      </c>
      <c r="J359" s="124">
        <f t="shared" si="119"/>
        <v>1028504.2527777785</v>
      </c>
      <c r="K359" s="9"/>
      <c r="L359" s="11" t="s">
        <v>192</v>
      </c>
      <c r="M359" s="306">
        <f t="shared" si="104"/>
        <v>5000000</v>
      </c>
      <c r="N359" s="97">
        <f t="shared" si="105"/>
        <v>3.9899999999999998E-2</v>
      </c>
      <c r="O359" s="421">
        <f t="shared" si="95"/>
        <v>554.16666666666663</v>
      </c>
      <c r="P359" s="304">
        <f t="shared" si="106"/>
        <v>26045.833333333347</v>
      </c>
      <c r="Q359" s="307">
        <f t="shared" si="96"/>
        <v>116.66666666666663</v>
      </c>
      <c r="S359" s="11" t="s">
        <v>192</v>
      </c>
      <c r="T359" s="306">
        <f t="shared" si="107"/>
        <v>5000000</v>
      </c>
      <c r="U359" s="97">
        <f t="shared" si="108"/>
        <v>3.9199999999999999E-2</v>
      </c>
      <c r="V359" s="421">
        <f t="shared" si="97"/>
        <v>544.44444444444446</v>
      </c>
      <c r="W359" s="304">
        <f t="shared" si="98"/>
        <v>1088.8888888888889</v>
      </c>
      <c r="X359" s="307">
        <f t="shared" si="99"/>
        <v>106.94444444444446</v>
      </c>
      <c r="Z359" s="11" t="s">
        <v>192</v>
      </c>
      <c r="AA359" s="306">
        <f t="shared" si="109"/>
        <v>10000000</v>
      </c>
      <c r="AB359" s="97">
        <f t="shared" si="110"/>
        <v>3.7499999999999999E-2</v>
      </c>
      <c r="AC359" s="421">
        <f t="shared" si="100"/>
        <v>1041.6666666666667</v>
      </c>
      <c r="AD359" s="304">
        <f t="shared" si="111"/>
        <v>48958.333333333314</v>
      </c>
      <c r="AE359" s="307">
        <f t="shared" si="101"/>
        <v>166.66666666666674</v>
      </c>
      <c r="AG359" s="11" t="s">
        <v>192</v>
      </c>
      <c r="AH359" s="306">
        <f t="shared" si="112"/>
        <v>6000000</v>
      </c>
      <c r="AI359" s="97">
        <f t="shared" si="113"/>
        <v>3.73E-2</v>
      </c>
      <c r="AJ359" s="421">
        <f t="shared" si="102"/>
        <v>621.66666666666663</v>
      </c>
      <c r="AK359" s="304">
        <f t="shared" si="114"/>
        <v>29218.33333333335</v>
      </c>
      <c r="AL359" s="307">
        <f t="shared" si="103"/>
        <v>96.666666666666629</v>
      </c>
      <c r="AN359" s="304">
        <f>'codeis $'!AB360</f>
        <v>155676516.60000002</v>
      </c>
      <c r="AO359" s="340">
        <f>'codeis $'!AH360</f>
        <v>3.9437647784430686E-2</v>
      </c>
      <c r="AP359" s="304">
        <f>'codeis $'!AE360</f>
        <v>0</v>
      </c>
      <c r="AQ359" s="304">
        <f>'codeis $'!AK360</f>
        <v>-13494.780932500002</v>
      </c>
      <c r="AR359" s="9"/>
      <c r="AS359" s="9"/>
      <c r="AT359" s="123">
        <v>1</v>
      </c>
      <c r="AU359" s="123" t="s">
        <v>32</v>
      </c>
      <c r="AV359" s="124">
        <v>37386850.43</v>
      </c>
      <c r="AW359" s="139">
        <f t="shared" si="151"/>
        <v>3.5000000000000003E-2</v>
      </c>
      <c r="AX359" s="123"/>
      <c r="AY359" s="140">
        <f t="shared" si="127"/>
        <v>3585.0404521917808</v>
      </c>
      <c r="AZ359" s="140">
        <f t="shared" si="93"/>
        <v>760591.77452854114</v>
      </c>
      <c r="BA359" s="140">
        <f t="shared" si="120"/>
        <v>313.691039566781</v>
      </c>
      <c r="BC359" s="124">
        <f>'MM $'!G359</f>
        <v>40102382</v>
      </c>
      <c r="BD359" s="139">
        <f>'MM $'!H359</f>
        <v>3.6932471106482984E-2</v>
      </c>
      <c r="BE359" s="431">
        <f>'MM $'!I359</f>
        <v>4114.1112903226203</v>
      </c>
      <c r="BF359" s="124">
        <f>'MM $'!L359</f>
        <v>605.15286532262007</v>
      </c>
      <c r="BH359" s="124">
        <f>'MM $'!N359</f>
        <v>40101956.880000003</v>
      </c>
      <c r="BI359" s="139">
        <f>'MM $'!P359</f>
        <v>3.6693347326196522E-2</v>
      </c>
      <c r="BJ359" s="431">
        <f>'MM $'!Q359</f>
        <v>4087.4306451611005</v>
      </c>
      <c r="BK359" s="124">
        <f>'MM $'!U359</f>
        <v>578.5094181610998</v>
      </c>
      <c r="BM359" s="124">
        <f>'MM $'!W359</f>
        <v>40102081.68</v>
      </c>
      <c r="BN359" s="139">
        <f>'MM $'!X359</f>
        <v>3.6869725161289814E-2</v>
      </c>
      <c r="BO359" s="431">
        <f>'MM $'!Y359</f>
        <v>4107.0909164922095</v>
      </c>
      <c r="BP359" s="124">
        <f>'MM $'!AB359</f>
        <v>598.15876949220956</v>
      </c>
      <c r="BR359" s="124">
        <f>'MM $'!AD359</f>
        <v>40103087.079999998</v>
      </c>
      <c r="BS359" s="139">
        <f>'MM $'!AE359</f>
        <v>3.7224545806451938E-2</v>
      </c>
      <c r="BT359" s="431">
        <f>'MM $'!AF359</f>
        <v>4146.7200055266412</v>
      </c>
      <c r="BU359" s="124">
        <f>'MM $'!AB359</f>
        <v>598.15876949220956</v>
      </c>
      <c r="BV359" s="439"/>
      <c r="BW359" s="120">
        <f t="shared" si="122"/>
        <v>416892874.67000002</v>
      </c>
      <c r="BX359" s="121">
        <f t="shared" si="133"/>
        <v>3.5000000000000003E-2</v>
      </c>
      <c r="BY359" s="121">
        <f t="shared" si="123"/>
        <v>3.7287786307294825E-2</v>
      </c>
      <c r="BZ359" s="120">
        <f t="shared" si="124"/>
        <v>26076.587754138793</v>
      </c>
      <c r="CA359" s="120">
        <f t="shared" si="125"/>
        <v>-10314.165626020638</v>
      </c>
    </row>
    <row r="360" spans="2:79" x14ac:dyDescent="0.25">
      <c r="B360" s="123" t="str">
        <f t="shared" si="116"/>
        <v>12 2025</v>
      </c>
      <c r="C360" s="122">
        <f t="shared" si="117"/>
        <v>46012</v>
      </c>
      <c r="D360" s="122">
        <f t="shared" si="121"/>
        <v>46013</v>
      </c>
      <c r="E360" s="123">
        <f t="shared" si="118"/>
        <v>1</v>
      </c>
      <c r="F360" s="123" t="s">
        <v>7</v>
      </c>
      <c r="G360" s="124">
        <f t="shared" ref="G360" si="157">G359</f>
        <v>37420000</v>
      </c>
      <c r="H360" s="125">
        <f t="shared" si="148"/>
        <v>3.15E-2</v>
      </c>
      <c r="I360" s="322">
        <f t="shared" si="115"/>
        <v>3274.25</v>
      </c>
      <c r="J360" s="124">
        <f t="shared" si="119"/>
        <v>1031778.5027777785</v>
      </c>
      <c r="K360" s="9"/>
      <c r="L360" s="11" t="s">
        <v>192</v>
      </c>
      <c r="M360" s="306">
        <f t="shared" si="104"/>
        <v>5000000</v>
      </c>
      <c r="N360" s="97">
        <f t="shared" si="105"/>
        <v>3.9899999999999998E-2</v>
      </c>
      <c r="O360" s="421">
        <f t="shared" si="95"/>
        <v>554.16666666666663</v>
      </c>
      <c r="P360" s="304">
        <f t="shared" si="106"/>
        <v>26600.000000000015</v>
      </c>
      <c r="Q360" s="307">
        <f t="shared" si="96"/>
        <v>116.66666666666663</v>
      </c>
      <c r="S360" s="11" t="s">
        <v>192</v>
      </c>
      <c r="T360" s="306">
        <f t="shared" si="107"/>
        <v>5000000</v>
      </c>
      <c r="U360" s="97">
        <f t="shared" si="108"/>
        <v>3.9199999999999999E-2</v>
      </c>
      <c r="V360" s="421">
        <f t="shared" si="97"/>
        <v>544.44444444444446</v>
      </c>
      <c r="W360" s="304">
        <f t="shared" si="98"/>
        <v>1088.8888888888889</v>
      </c>
      <c r="X360" s="307">
        <f t="shared" si="99"/>
        <v>106.94444444444446</v>
      </c>
      <c r="Z360" s="11" t="s">
        <v>192</v>
      </c>
      <c r="AA360" s="306">
        <f t="shared" si="109"/>
        <v>10000000</v>
      </c>
      <c r="AB360" s="97">
        <f t="shared" si="110"/>
        <v>3.7499999999999999E-2</v>
      </c>
      <c r="AC360" s="421">
        <f t="shared" si="100"/>
        <v>1041.6666666666667</v>
      </c>
      <c r="AD360" s="304">
        <f t="shared" si="111"/>
        <v>49999.999999999978</v>
      </c>
      <c r="AE360" s="307">
        <f t="shared" si="101"/>
        <v>166.66666666666674</v>
      </c>
      <c r="AG360" s="11" t="s">
        <v>192</v>
      </c>
      <c r="AH360" s="306">
        <f t="shared" si="112"/>
        <v>6000000</v>
      </c>
      <c r="AI360" s="97">
        <f t="shared" si="113"/>
        <v>3.73E-2</v>
      </c>
      <c r="AJ360" s="421">
        <f t="shared" si="102"/>
        <v>621.66666666666663</v>
      </c>
      <c r="AK360" s="304">
        <f t="shared" si="114"/>
        <v>29840.000000000018</v>
      </c>
      <c r="AL360" s="307">
        <f t="shared" si="103"/>
        <v>96.666666666666629</v>
      </c>
      <c r="AN360" s="304">
        <f>'codeis $'!AB361</f>
        <v>155676516.60000002</v>
      </c>
      <c r="AO360" s="340">
        <f>'codeis $'!AH361</f>
        <v>3.9437647784430686E-2</v>
      </c>
      <c r="AP360" s="304">
        <f>'codeis $'!AE361</f>
        <v>0</v>
      </c>
      <c r="AQ360" s="304">
        <f>'codeis $'!AK361</f>
        <v>-13494.780932500002</v>
      </c>
      <c r="AR360" s="9"/>
      <c r="AS360" s="9"/>
      <c r="AT360" s="123">
        <v>1</v>
      </c>
      <c r="AU360" s="123" t="s">
        <v>32</v>
      </c>
      <c r="AV360" s="124">
        <v>37386850.43</v>
      </c>
      <c r="AW360" s="139">
        <f t="shared" si="151"/>
        <v>3.5000000000000003E-2</v>
      </c>
      <c r="AX360" s="123"/>
      <c r="AY360" s="140">
        <f t="shared" si="127"/>
        <v>3585.0404521917808</v>
      </c>
      <c r="AZ360" s="140">
        <f t="shared" si="93"/>
        <v>764176.81498073298</v>
      </c>
      <c r="BA360" s="140">
        <f t="shared" si="120"/>
        <v>313.691039566781</v>
      </c>
      <c r="BC360" s="124">
        <f>'MM $'!G360</f>
        <v>40102382</v>
      </c>
      <c r="BD360" s="139">
        <f>'MM $'!H360</f>
        <v>3.6932471106482984E-2</v>
      </c>
      <c r="BE360" s="431">
        <f>'MM $'!I360</f>
        <v>4114.1112903226203</v>
      </c>
      <c r="BF360" s="124">
        <f>'MM $'!L360</f>
        <v>605.15286532262007</v>
      </c>
      <c r="BH360" s="124">
        <f>'MM $'!N360</f>
        <v>40101956.880000003</v>
      </c>
      <c r="BI360" s="139">
        <f>'MM $'!P360</f>
        <v>3.6693347326196522E-2</v>
      </c>
      <c r="BJ360" s="431">
        <f>'MM $'!Q360</f>
        <v>4087.4306451611005</v>
      </c>
      <c r="BK360" s="124">
        <f>'MM $'!U360</f>
        <v>578.5094181610998</v>
      </c>
      <c r="BM360" s="124">
        <f>'MM $'!W360</f>
        <v>40102081.68</v>
      </c>
      <c r="BN360" s="139">
        <f>'MM $'!X360</f>
        <v>3.6869725161289814E-2</v>
      </c>
      <c r="BO360" s="431">
        <f>'MM $'!Y360</f>
        <v>4107.0909164922095</v>
      </c>
      <c r="BP360" s="124">
        <f>'MM $'!AB360</f>
        <v>598.15876949220956</v>
      </c>
      <c r="BR360" s="124">
        <f>'MM $'!AD360</f>
        <v>40103087.079999998</v>
      </c>
      <c r="BS360" s="139">
        <f>'MM $'!AE360</f>
        <v>3.7224545806451938E-2</v>
      </c>
      <c r="BT360" s="431">
        <f>'MM $'!AF360</f>
        <v>4146.7200055266412</v>
      </c>
      <c r="BU360" s="124">
        <f>'MM $'!AB360</f>
        <v>598.15876949220956</v>
      </c>
      <c r="BV360" s="439"/>
      <c r="BW360" s="120">
        <f t="shared" si="122"/>
        <v>416892874.67000002</v>
      </c>
      <c r="BX360" s="121">
        <f t="shared" si="133"/>
        <v>3.5000000000000003E-2</v>
      </c>
      <c r="BY360" s="121">
        <f t="shared" si="123"/>
        <v>3.7287786307294825E-2</v>
      </c>
      <c r="BZ360" s="120">
        <f t="shared" si="124"/>
        <v>26076.587754138793</v>
      </c>
      <c r="CA360" s="120">
        <f t="shared" si="125"/>
        <v>-10314.165626020638</v>
      </c>
    </row>
    <row r="361" spans="2:79" x14ac:dyDescent="0.25">
      <c r="B361" s="123" t="str">
        <f t="shared" si="116"/>
        <v>12 2025</v>
      </c>
      <c r="C361" s="122">
        <f t="shared" si="117"/>
        <v>46013</v>
      </c>
      <c r="D361" s="122">
        <f t="shared" si="121"/>
        <v>46014</v>
      </c>
      <c r="E361" s="123">
        <f t="shared" si="118"/>
        <v>1</v>
      </c>
      <c r="F361" s="123" t="s">
        <v>7</v>
      </c>
      <c r="G361" s="126">
        <f>G360-11700000</f>
        <v>25720000</v>
      </c>
      <c r="H361" s="125">
        <f t="shared" si="148"/>
        <v>3.15E-2</v>
      </c>
      <c r="I361" s="322">
        <f t="shared" si="115"/>
        <v>2250.5</v>
      </c>
      <c r="J361" s="124">
        <f t="shared" si="119"/>
        <v>1034029.0027777785</v>
      </c>
      <c r="K361" s="9"/>
      <c r="L361" s="11" t="s">
        <v>192</v>
      </c>
      <c r="M361" s="306">
        <f t="shared" si="104"/>
        <v>5000000</v>
      </c>
      <c r="N361" s="97">
        <f t="shared" si="105"/>
        <v>3.9899999999999998E-2</v>
      </c>
      <c r="O361" s="421">
        <f t="shared" si="95"/>
        <v>554.16666666666663</v>
      </c>
      <c r="P361" s="304">
        <f t="shared" si="106"/>
        <v>27154.166666666682</v>
      </c>
      <c r="Q361" s="307">
        <f t="shared" si="96"/>
        <v>116.66666666666663</v>
      </c>
      <c r="S361" s="11" t="s">
        <v>192</v>
      </c>
      <c r="T361" s="306">
        <f t="shared" si="107"/>
        <v>5000000</v>
      </c>
      <c r="U361" s="97">
        <f t="shared" si="108"/>
        <v>3.9199999999999999E-2</v>
      </c>
      <c r="V361" s="421">
        <f t="shared" si="97"/>
        <v>544.44444444444446</v>
      </c>
      <c r="W361" s="304">
        <f t="shared" si="98"/>
        <v>1088.8888888888889</v>
      </c>
      <c r="X361" s="307">
        <f t="shared" si="99"/>
        <v>106.94444444444446</v>
      </c>
      <c r="Z361" s="11" t="s">
        <v>192</v>
      </c>
      <c r="AA361" s="306">
        <f t="shared" si="109"/>
        <v>10000000</v>
      </c>
      <c r="AB361" s="97">
        <f t="shared" si="110"/>
        <v>3.7499999999999999E-2</v>
      </c>
      <c r="AC361" s="421">
        <f t="shared" si="100"/>
        <v>1041.6666666666667</v>
      </c>
      <c r="AD361" s="304">
        <f t="shared" si="111"/>
        <v>51041.666666666642</v>
      </c>
      <c r="AE361" s="307">
        <f t="shared" si="101"/>
        <v>166.66666666666674</v>
      </c>
      <c r="AG361" s="11" t="s">
        <v>192</v>
      </c>
      <c r="AH361" s="306">
        <f t="shared" si="112"/>
        <v>6000000</v>
      </c>
      <c r="AI361" s="97">
        <f t="shared" si="113"/>
        <v>3.73E-2</v>
      </c>
      <c r="AJ361" s="421">
        <f t="shared" si="102"/>
        <v>621.66666666666663</v>
      </c>
      <c r="AK361" s="304">
        <f t="shared" si="114"/>
        <v>30461.666666666686</v>
      </c>
      <c r="AL361" s="307">
        <f t="shared" si="103"/>
        <v>96.666666666666629</v>
      </c>
      <c r="AN361" s="304">
        <f>'codeis $'!AB362</f>
        <v>155725699.79999998</v>
      </c>
      <c r="AO361" s="340">
        <f>'codeis $'!AH362</f>
        <v>3.9437647784430686E-2</v>
      </c>
      <c r="AP361" s="304">
        <f>'codeis $'!AE362</f>
        <v>49183.199999958277</v>
      </c>
      <c r="AQ361" s="304">
        <f>'codeis $'!AK362</f>
        <v>35688.419067458279</v>
      </c>
      <c r="AR361" s="9"/>
      <c r="AS361" s="9"/>
      <c r="AT361" s="123">
        <v>1</v>
      </c>
      <c r="AU361" s="123" t="s">
        <v>32</v>
      </c>
      <c r="AV361" s="124">
        <v>37356675.049999997</v>
      </c>
      <c r="AW361" s="139">
        <f t="shared" si="151"/>
        <v>3.5000000000000003E-2</v>
      </c>
      <c r="AX361" s="123"/>
      <c r="AY361" s="140">
        <f t="shared" si="127"/>
        <v>3582.1469226027398</v>
      </c>
      <c r="AZ361" s="140">
        <f t="shared" si="93"/>
        <v>767758.96190333576</v>
      </c>
      <c r="BA361" s="140">
        <f t="shared" si="120"/>
        <v>313.43785572774004</v>
      </c>
      <c r="BC361" s="124">
        <f>'MM $'!G361</f>
        <v>40102382</v>
      </c>
      <c r="BD361" s="139">
        <f>'MM $'!H361</f>
        <v>3.6932471106482984E-2</v>
      </c>
      <c r="BE361" s="431">
        <f>'MM $'!I361</f>
        <v>4114.1112903226203</v>
      </c>
      <c r="BF361" s="124">
        <f>'MM $'!L361</f>
        <v>605.15286532262007</v>
      </c>
      <c r="BH361" s="124">
        <f>'MM $'!N361</f>
        <v>40101956.880000003</v>
      </c>
      <c r="BI361" s="139">
        <f>'MM $'!P361</f>
        <v>3.6693347326196522E-2</v>
      </c>
      <c r="BJ361" s="431">
        <f>'MM $'!Q361</f>
        <v>4087.4306451611005</v>
      </c>
      <c r="BK361" s="124">
        <f>'MM $'!U361</f>
        <v>578.5094181610998</v>
      </c>
      <c r="BM361" s="124">
        <f>'MM $'!W361</f>
        <v>40102081.68</v>
      </c>
      <c r="BN361" s="139">
        <f>'MM $'!X361</f>
        <v>3.6869725161289814E-2</v>
      </c>
      <c r="BO361" s="431">
        <f>'MM $'!Y361</f>
        <v>4107.0909164922095</v>
      </c>
      <c r="BP361" s="124">
        <f>'MM $'!AB361</f>
        <v>598.15876949220956</v>
      </c>
      <c r="BR361" s="124">
        <f>'MM $'!AD361</f>
        <v>40103087.079999998</v>
      </c>
      <c r="BS361" s="139">
        <f>'MM $'!AE361</f>
        <v>3.7224545806451938E-2</v>
      </c>
      <c r="BT361" s="431">
        <f>'MM $'!AF361</f>
        <v>4146.7200055266412</v>
      </c>
      <c r="BU361" s="124">
        <f>'MM $'!AB361</f>
        <v>598.15876949220956</v>
      </c>
      <c r="BV361" s="439"/>
      <c r="BW361" s="120">
        <f t="shared" si="122"/>
        <v>405211882.48999995</v>
      </c>
      <c r="BX361" s="121">
        <f t="shared" si="133"/>
        <v>3.5000000000000003E-2</v>
      </c>
      <c r="BY361" s="121">
        <f t="shared" si="123"/>
        <v>3.7455332903575132E-2</v>
      </c>
      <c r="BZ361" s="120">
        <f t="shared" si="124"/>
        <v>74233.14422450804</v>
      </c>
      <c r="CA361" s="120">
        <f t="shared" si="125"/>
        <v>38868.781190098605</v>
      </c>
    </row>
    <row r="362" spans="2:79" x14ac:dyDescent="0.25">
      <c r="B362" s="123" t="str">
        <f t="shared" si="116"/>
        <v>12 2025</v>
      </c>
      <c r="C362" s="122">
        <f t="shared" si="117"/>
        <v>46014</v>
      </c>
      <c r="D362" s="122">
        <f t="shared" si="121"/>
        <v>46015</v>
      </c>
      <c r="E362" s="123">
        <f t="shared" si="118"/>
        <v>1</v>
      </c>
      <c r="F362" s="123" t="s">
        <v>7</v>
      </c>
      <c r="G362" s="126">
        <f>G361-23600000</f>
        <v>2120000</v>
      </c>
      <c r="H362" s="125">
        <f t="shared" si="148"/>
        <v>3.15E-2</v>
      </c>
      <c r="I362" s="322">
        <f t="shared" si="115"/>
        <v>185.5</v>
      </c>
      <c r="J362" s="124">
        <f t="shared" si="119"/>
        <v>1034214.5027777785</v>
      </c>
      <c r="K362" s="9"/>
      <c r="L362" s="11" t="s">
        <v>192</v>
      </c>
      <c r="M362" s="306">
        <f t="shared" si="104"/>
        <v>5000000</v>
      </c>
      <c r="N362" s="97">
        <f t="shared" si="105"/>
        <v>3.9899999999999998E-2</v>
      </c>
      <c r="O362" s="421">
        <f t="shared" si="95"/>
        <v>554.16666666666663</v>
      </c>
      <c r="P362" s="304">
        <f t="shared" si="106"/>
        <v>27708.33333333335</v>
      </c>
      <c r="Q362" s="307">
        <f t="shared" si="96"/>
        <v>116.66666666666663</v>
      </c>
      <c r="S362" s="11" t="s">
        <v>192</v>
      </c>
      <c r="T362" s="306">
        <f t="shared" si="107"/>
        <v>5000000</v>
      </c>
      <c r="U362" s="97">
        <f t="shared" si="108"/>
        <v>3.9199999999999999E-2</v>
      </c>
      <c r="V362" s="421">
        <f t="shared" si="97"/>
        <v>544.44444444444446</v>
      </c>
      <c r="W362" s="304">
        <f t="shared" si="98"/>
        <v>1088.8888888888889</v>
      </c>
      <c r="X362" s="307">
        <f t="shared" si="99"/>
        <v>106.94444444444446</v>
      </c>
      <c r="Z362" s="11" t="s">
        <v>192</v>
      </c>
      <c r="AA362" s="306">
        <f t="shared" si="109"/>
        <v>10000000</v>
      </c>
      <c r="AB362" s="97">
        <f t="shared" si="110"/>
        <v>3.7499999999999999E-2</v>
      </c>
      <c r="AC362" s="421">
        <f t="shared" si="100"/>
        <v>1041.6666666666667</v>
      </c>
      <c r="AD362" s="304">
        <f t="shared" si="111"/>
        <v>52083.333333333307</v>
      </c>
      <c r="AE362" s="307">
        <f t="shared" si="101"/>
        <v>166.66666666666674</v>
      </c>
      <c r="AG362" s="11" t="s">
        <v>192</v>
      </c>
      <c r="AH362" s="306">
        <f t="shared" si="112"/>
        <v>6000000</v>
      </c>
      <c r="AI362" s="97">
        <f t="shared" si="113"/>
        <v>3.73E-2</v>
      </c>
      <c r="AJ362" s="421">
        <f t="shared" si="102"/>
        <v>621.66666666666663</v>
      </c>
      <c r="AK362" s="304">
        <f t="shared" si="114"/>
        <v>31083.333333333354</v>
      </c>
      <c r="AL362" s="307">
        <f t="shared" si="103"/>
        <v>96.666666666666629</v>
      </c>
      <c r="AN362" s="304">
        <f>'codeis $'!AB363</f>
        <v>155741942.40000001</v>
      </c>
      <c r="AO362" s="340">
        <f>'codeis $'!AH363</f>
        <v>3.9437647784430686E-2</v>
      </c>
      <c r="AP362" s="304">
        <f>'codeis $'!AE363</f>
        <v>16242.600000023842</v>
      </c>
      <c r="AQ362" s="304">
        <f>'codeis $'!AK363</f>
        <v>2747.8190675238402</v>
      </c>
      <c r="AR362" s="9"/>
      <c r="AS362" s="9"/>
      <c r="AT362" s="123">
        <v>1</v>
      </c>
      <c r="AU362" s="123" t="s">
        <v>32</v>
      </c>
      <c r="AV362" s="124">
        <v>37360257.200000003</v>
      </c>
      <c r="AW362" s="139">
        <f t="shared" si="151"/>
        <v>3.5000000000000003E-2</v>
      </c>
      <c r="AX362" s="123"/>
      <c r="AY362" s="140">
        <f t="shared" si="127"/>
        <v>3582.490416438357</v>
      </c>
      <c r="AZ362" s="140">
        <f t="shared" si="93"/>
        <v>771341.45231977408</v>
      </c>
      <c r="BA362" s="140">
        <f t="shared" si="120"/>
        <v>313.46791143835662</v>
      </c>
      <c r="BC362" s="124">
        <f>'MM $'!G362</f>
        <v>40102382</v>
      </c>
      <c r="BD362" s="139">
        <f>'MM $'!H362</f>
        <v>3.6932471106482984E-2</v>
      </c>
      <c r="BE362" s="431">
        <f>'MM $'!I362</f>
        <v>4114.1112903226203</v>
      </c>
      <c r="BF362" s="124">
        <f>'MM $'!L362</f>
        <v>605.15286532262007</v>
      </c>
      <c r="BH362" s="124">
        <f>'MM $'!N362</f>
        <v>40101956.880000003</v>
      </c>
      <c r="BI362" s="139">
        <f>'MM $'!P362</f>
        <v>3.6693347326196522E-2</v>
      </c>
      <c r="BJ362" s="431">
        <f>'MM $'!Q362</f>
        <v>4087.4306451611005</v>
      </c>
      <c r="BK362" s="124">
        <f>'MM $'!U362</f>
        <v>578.5094181610998</v>
      </c>
      <c r="BM362" s="124">
        <f>'MM $'!W362</f>
        <v>40102081.68</v>
      </c>
      <c r="BN362" s="139">
        <f>'MM $'!X362</f>
        <v>3.6869725161289814E-2</v>
      </c>
      <c r="BO362" s="431">
        <f>'MM $'!Y362</f>
        <v>4107.0909164922095</v>
      </c>
      <c r="BP362" s="124">
        <f>'MM $'!AB362</f>
        <v>598.15876949220956</v>
      </c>
      <c r="BR362" s="124">
        <f>'MM $'!AD362</f>
        <v>40103087.079999998</v>
      </c>
      <c r="BS362" s="139">
        <f>'MM $'!AE362</f>
        <v>3.7224545806451938E-2</v>
      </c>
      <c r="BT362" s="431">
        <f>'MM $'!AF362</f>
        <v>4146.7200055266412</v>
      </c>
      <c r="BU362" s="124">
        <f>'MM $'!AB362</f>
        <v>598.15876949220956</v>
      </c>
      <c r="BV362" s="439"/>
      <c r="BW362" s="120">
        <f t="shared" si="122"/>
        <v>381631707.24000001</v>
      </c>
      <c r="BX362" s="121">
        <f t="shared" si="133"/>
        <v>3.5000000000000003E-2</v>
      </c>
      <c r="BY362" s="121">
        <f t="shared" si="123"/>
        <v>3.7823670377727651E-2</v>
      </c>
      <c r="BZ362" s="120">
        <f t="shared" si="124"/>
        <v>39227.88771840922</v>
      </c>
      <c r="CA362" s="120">
        <f t="shared" si="125"/>
        <v>5928.2112458747797</v>
      </c>
    </row>
    <row r="363" spans="2:79" x14ac:dyDescent="0.25">
      <c r="B363" s="123" t="str">
        <f t="shared" si="116"/>
        <v>12 2025</v>
      </c>
      <c r="C363" s="122">
        <f t="shared" si="117"/>
        <v>46015</v>
      </c>
      <c r="D363" s="122">
        <f t="shared" si="121"/>
        <v>46016</v>
      </c>
      <c r="E363" s="123">
        <f t="shared" si="118"/>
        <v>1</v>
      </c>
      <c r="F363" s="123" t="s">
        <v>7</v>
      </c>
      <c r="G363" s="124">
        <f t="shared" ref="G363:H363" si="158">G362</f>
        <v>2120000</v>
      </c>
      <c r="H363" s="125">
        <f t="shared" si="158"/>
        <v>3.15E-2</v>
      </c>
      <c r="I363" s="322">
        <f t="shared" si="115"/>
        <v>185.5</v>
      </c>
      <c r="J363" s="124">
        <f t="shared" si="119"/>
        <v>1034400.0027777785</v>
      </c>
      <c r="K363" s="9"/>
      <c r="L363" s="11" t="s">
        <v>192</v>
      </c>
      <c r="M363" s="306">
        <f t="shared" si="104"/>
        <v>5000000</v>
      </c>
      <c r="N363" s="97">
        <f t="shared" si="105"/>
        <v>3.9899999999999998E-2</v>
      </c>
      <c r="O363" s="421">
        <f t="shared" si="95"/>
        <v>554.16666666666663</v>
      </c>
      <c r="P363" s="304">
        <f t="shared" si="106"/>
        <v>28262.500000000018</v>
      </c>
      <c r="Q363" s="307">
        <f t="shared" si="96"/>
        <v>116.66666666666663</v>
      </c>
      <c r="S363" s="11" t="s">
        <v>192</v>
      </c>
      <c r="T363" s="306">
        <f t="shared" si="107"/>
        <v>5000000</v>
      </c>
      <c r="U363" s="97">
        <f t="shared" si="108"/>
        <v>3.9199999999999999E-2</v>
      </c>
      <c r="V363" s="421">
        <f t="shared" si="97"/>
        <v>544.44444444444446</v>
      </c>
      <c r="W363" s="304">
        <f t="shared" si="98"/>
        <v>1088.8888888888889</v>
      </c>
      <c r="X363" s="307">
        <f t="shared" si="99"/>
        <v>106.94444444444446</v>
      </c>
      <c r="Z363" s="11" t="s">
        <v>192</v>
      </c>
      <c r="AA363" s="306">
        <f t="shared" si="109"/>
        <v>10000000</v>
      </c>
      <c r="AB363" s="97">
        <f t="shared" si="110"/>
        <v>3.7499999999999999E-2</v>
      </c>
      <c r="AC363" s="421">
        <f t="shared" si="100"/>
        <v>1041.6666666666667</v>
      </c>
      <c r="AD363" s="304">
        <f t="shared" si="111"/>
        <v>53124.999999999971</v>
      </c>
      <c r="AE363" s="307">
        <f t="shared" si="101"/>
        <v>166.66666666666674</v>
      </c>
      <c r="AG363" s="11" t="s">
        <v>192</v>
      </c>
      <c r="AH363" s="306">
        <f t="shared" si="112"/>
        <v>6000000</v>
      </c>
      <c r="AI363" s="97">
        <f t="shared" si="113"/>
        <v>3.73E-2</v>
      </c>
      <c r="AJ363" s="421">
        <f t="shared" si="102"/>
        <v>621.66666666666663</v>
      </c>
      <c r="AK363" s="304">
        <f t="shared" si="114"/>
        <v>31705.000000000022</v>
      </c>
      <c r="AL363" s="307">
        <f t="shared" si="103"/>
        <v>96.666666666666629</v>
      </c>
      <c r="AN363" s="304">
        <f>'codeis $'!AB364</f>
        <v>155758336.80000001</v>
      </c>
      <c r="AO363" s="340">
        <f>'codeis $'!AH364</f>
        <v>3.9437647784430686E-2</v>
      </c>
      <c r="AP363" s="304">
        <f>'codeis $'!AE364</f>
        <v>16394.40000000596</v>
      </c>
      <c r="AQ363" s="304">
        <f>'codeis $'!AK364</f>
        <v>2899.6190675059588</v>
      </c>
      <c r="AR363" s="9"/>
      <c r="AS363" s="9"/>
      <c r="AT363" s="123">
        <v>1</v>
      </c>
      <c r="AU363" s="123" t="s">
        <v>32</v>
      </c>
      <c r="AV363" s="124">
        <v>37363839.689999998</v>
      </c>
      <c r="AW363" s="139">
        <f t="shared" si="151"/>
        <v>3.5000000000000003E-2</v>
      </c>
      <c r="AX363" s="123"/>
      <c r="AY363" s="140">
        <f t="shared" si="127"/>
        <v>3582.8339428767122</v>
      </c>
      <c r="AZ363" s="140">
        <f t="shared" si="93"/>
        <v>774924.28626265074</v>
      </c>
      <c r="BA363" s="140">
        <f t="shared" si="120"/>
        <v>313.49797000171247</v>
      </c>
      <c r="BC363" s="124">
        <f>'MM $'!G363</f>
        <v>40102382</v>
      </c>
      <c r="BD363" s="139">
        <f>'MM $'!H363</f>
        <v>3.6932471106482984E-2</v>
      </c>
      <c r="BE363" s="431">
        <f>'MM $'!I363</f>
        <v>4114.1112903226203</v>
      </c>
      <c r="BF363" s="124">
        <f>'MM $'!L363</f>
        <v>605.15286532262007</v>
      </c>
      <c r="BH363" s="124">
        <f>'MM $'!N363</f>
        <v>40101956.880000003</v>
      </c>
      <c r="BI363" s="139">
        <f>'MM $'!P363</f>
        <v>3.6693347326196522E-2</v>
      </c>
      <c r="BJ363" s="431">
        <f>'MM $'!Q363</f>
        <v>4087.4306451611005</v>
      </c>
      <c r="BK363" s="124">
        <f>'MM $'!U363</f>
        <v>578.5094181610998</v>
      </c>
      <c r="BM363" s="124">
        <f>'MM $'!W363</f>
        <v>40102081.68</v>
      </c>
      <c r="BN363" s="139">
        <f>'MM $'!X363</f>
        <v>3.6869725161289814E-2</v>
      </c>
      <c r="BO363" s="431">
        <f>'MM $'!Y363</f>
        <v>4107.0909164922095</v>
      </c>
      <c r="BP363" s="124">
        <f>'MM $'!AB363</f>
        <v>598.15876949220956</v>
      </c>
      <c r="BR363" s="124">
        <f>'MM $'!AD363</f>
        <v>40103087.079999998</v>
      </c>
      <c r="BS363" s="139">
        <f>'MM $'!AE363</f>
        <v>3.7224545806451938E-2</v>
      </c>
      <c r="BT363" s="431">
        <f>'MM $'!AF363</f>
        <v>4146.7200055266412</v>
      </c>
      <c r="BU363" s="124">
        <f>'MM $'!AB363</f>
        <v>598.15876949220956</v>
      </c>
      <c r="BV363" s="439"/>
      <c r="BW363" s="120">
        <f t="shared" si="122"/>
        <v>381651684.13</v>
      </c>
      <c r="BX363" s="121">
        <f t="shared" si="133"/>
        <v>3.5000000000000003E-2</v>
      </c>
      <c r="BY363" s="121">
        <f t="shared" si="123"/>
        <v>3.7823713203217452E-2</v>
      </c>
      <c r="BZ363" s="120">
        <f t="shared" si="124"/>
        <v>39380.031244829697</v>
      </c>
      <c r="CA363" s="120">
        <f t="shared" si="125"/>
        <v>6080.0413044202542</v>
      </c>
    </row>
    <row r="364" spans="2:79" x14ac:dyDescent="0.25">
      <c r="B364" s="123" t="str">
        <f t="shared" si="116"/>
        <v>12 2025</v>
      </c>
      <c r="C364" s="122">
        <f t="shared" si="117"/>
        <v>46016</v>
      </c>
      <c r="D364" s="122">
        <f t="shared" si="121"/>
        <v>46017</v>
      </c>
      <c r="E364" s="123">
        <f t="shared" si="118"/>
        <v>1</v>
      </c>
      <c r="F364" s="123" t="s">
        <v>7</v>
      </c>
      <c r="G364" s="124">
        <f t="shared" ref="G364:H364" si="159">G363</f>
        <v>2120000</v>
      </c>
      <c r="H364" s="125">
        <f t="shared" si="159"/>
        <v>3.15E-2</v>
      </c>
      <c r="I364" s="322">
        <f t="shared" si="115"/>
        <v>185.5</v>
      </c>
      <c r="J364" s="124">
        <f t="shared" si="119"/>
        <v>1034585.5027777785</v>
      </c>
      <c r="K364" s="9"/>
      <c r="L364" s="11" t="s">
        <v>192</v>
      </c>
      <c r="M364" s="306">
        <f t="shared" si="104"/>
        <v>5000000</v>
      </c>
      <c r="N364" s="97">
        <f t="shared" si="105"/>
        <v>3.9899999999999998E-2</v>
      </c>
      <c r="O364" s="421">
        <f t="shared" si="95"/>
        <v>554.16666666666663</v>
      </c>
      <c r="P364" s="304">
        <f t="shared" si="106"/>
        <v>28816.666666666686</v>
      </c>
      <c r="Q364" s="307">
        <f t="shared" si="96"/>
        <v>116.66666666666663</v>
      </c>
      <c r="S364" s="11" t="s">
        <v>192</v>
      </c>
      <c r="T364" s="306">
        <f t="shared" si="107"/>
        <v>5000000</v>
      </c>
      <c r="U364" s="97">
        <f t="shared" si="108"/>
        <v>3.9199999999999999E-2</v>
      </c>
      <c r="V364" s="421">
        <f t="shared" si="97"/>
        <v>544.44444444444446</v>
      </c>
      <c r="W364" s="304">
        <f t="shared" si="98"/>
        <v>1088.8888888888889</v>
      </c>
      <c r="X364" s="307">
        <f t="shared" si="99"/>
        <v>106.94444444444446</v>
      </c>
      <c r="Z364" s="11" t="s">
        <v>192</v>
      </c>
      <c r="AA364" s="306">
        <f t="shared" si="109"/>
        <v>10000000</v>
      </c>
      <c r="AB364" s="97">
        <f t="shared" si="110"/>
        <v>3.7499999999999999E-2</v>
      </c>
      <c r="AC364" s="421">
        <f t="shared" si="100"/>
        <v>1041.6666666666667</v>
      </c>
      <c r="AD364" s="304">
        <f t="shared" si="111"/>
        <v>54166.666666666635</v>
      </c>
      <c r="AE364" s="307">
        <f t="shared" si="101"/>
        <v>166.66666666666674</v>
      </c>
      <c r="AG364" s="11" t="s">
        <v>192</v>
      </c>
      <c r="AH364" s="306">
        <f t="shared" si="112"/>
        <v>6000000</v>
      </c>
      <c r="AI364" s="97">
        <f t="shared" si="113"/>
        <v>3.73E-2</v>
      </c>
      <c r="AJ364" s="421">
        <f t="shared" si="102"/>
        <v>621.66666666666663</v>
      </c>
      <c r="AK364" s="304">
        <f t="shared" si="114"/>
        <v>32326.66666666669</v>
      </c>
      <c r="AL364" s="307">
        <f t="shared" si="103"/>
        <v>96.666666666666629</v>
      </c>
      <c r="AN364" s="304">
        <f>'codeis $'!AB365</f>
        <v>155758336.80000001</v>
      </c>
      <c r="AO364" s="340">
        <f>'codeis $'!AH365</f>
        <v>3.9437647784430686E-2</v>
      </c>
      <c r="AP364" s="304">
        <f>'codeis $'!AE365</f>
        <v>0</v>
      </c>
      <c r="AQ364" s="304">
        <f>'codeis $'!AK365</f>
        <v>-13494.780932500002</v>
      </c>
      <c r="AR364" s="9"/>
      <c r="AS364" s="9"/>
      <c r="AT364" s="123">
        <v>1</v>
      </c>
      <c r="AU364" s="123" t="s">
        <v>32</v>
      </c>
      <c r="AV364" s="124">
        <v>37363839.689999998</v>
      </c>
      <c r="AW364" s="139">
        <f t="shared" si="151"/>
        <v>3.5000000000000003E-2</v>
      </c>
      <c r="AX364" s="123"/>
      <c r="AY364" s="140">
        <f t="shared" si="127"/>
        <v>3582.8339428767122</v>
      </c>
      <c r="AZ364" s="140">
        <f t="shared" si="93"/>
        <v>778507.1202055274</v>
      </c>
      <c r="BA364" s="140">
        <f t="shared" si="120"/>
        <v>313.49797000171247</v>
      </c>
      <c r="BC364" s="124">
        <f>'MM $'!G364</f>
        <v>40102382</v>
      </c>
      <c r="BD364" s="139">
        <f>'MM $'!H364</f>
        <v>3.6932471106482984E-2</v>
      </c>
      <c r="BE364" s="431">
        <f>'MM $'!I364</f>
        <v>4114.1112903226203</v>
      </c>
      <c r="BF364" s="124">
        <f>'MM $'!L364</f>
        <v>605.15286532262007</v>
      </c>
      <c r="BH364" s="124">
        <f>'MM $'!N364</f>
        <v>40101956.880000003</v>
      </c>
      <c r="BI364" s="139">
        <f>'MM $'!P364</f>
        <v>3.6693347326196522E-2</v>
      </c>
      <c r="BJ364" s="431">
        <f>'MM $'!Q364</f>
        <v>4087.4306451611005</v>
      </c>
      <c r="BK364" s="124">
        <f>'MM $'!U364</f>
        <v>578.5094181610998</v>
      </c>
      <c r="BM364" s="124">
        <f>'MM $'!W364</f>
        <v>40102081.68</v>
      </c>
      <c r="BN364" s="139">
        <f>'MM $'!X364</f>
        <v>3.6869725161289814E-2</v>
      </c>
      <c r="BO364" s="431">
        <f>'MM $'!Y364</f>
        <v>4107.0909164922095</v>
      </c>
      <c r="BP364" s="124">
        <f>'MM $'!AB364</f>
        <v>598.15876949220956</v>
      </c>
      <c r="BR364" s="124">
        <f>'MM $'!AD364</f>
        <v>40103087.079999998</v>
      </c>
      <c r="BS364" s="139">
        <f>'MM $'!AE364</f>
        <v>3.7224545806451938E-2</v>
      </c>
      <c r="BT364" s="431">
        <f>'MM $'!AF364</f>
        <v>4146.7200055266412</v>
      </c>
      <c r="BU364" s="124">
        <f>'MM $'!AB364</f>
        <v>598.15876949220956</v>
      </c>
      <c r="BV364" s="439"/>
      <c r="BW364" s="120">
        <f t="shared" si="122"/>
        <v>381651684.13</v>
      </c>
      <c r="BX364" s="121">
        <f t="shared" si="133"/>
        <v>3.5000000000000003E-2</v>
      </c>
      <c r="BY364" s="121">
        <f t="shared" si="123"/>
        <v>3.7823713203217452E-2</v>
      </c>
      <c r="BZ364" s="120">
        <f t="shared" si="124"/>
        <v>22985.63124482373</v>
      </c>
      <c r="CA364" s="120">
        <f t="shared" si="125"/>
        <v>-10314.358695585706</v>
      </c>
    </row>
    <row r="365" spans="2:79" x14ac:dyDescent="0.25">
      <c r="B365" s="123" t="str">
        <f t="shared" si="116"/>
        <v>12 2025</v>
      </c>
      <c r="C365" s="122">
        <f t="shared" si="117"/>
        <v>46017</v>
      </c>
      <c r="D365" s="122">
        <f t="shared" si="121"/>
        <v>46018</v>
      </c>
      <c r="E365" s="123">
        <f t="shared" si="118"/>
        <v>1</v>
      </c>
      <c r="F365" s="123" t="s">
        <v>7</v>
      </c>
      <c r="G365" s="124">
        <f t="shared" ref="G365:H365" si="160">G364</f>
        <v>2120000</v>
      </c>
      <c r="H365" s="125">
        <f t="shared" si="160"/>
        <v>3.15E-2</v>
      </c>
      <c r="I365" s="322">
        <f t="shared" si="115"/>
        <v>185.5</v>
      </c>
      <c r="J365" s="124">
        <f t="shared" si="119"/>
        <v>1034771.0027777785</v>
      </c>
      <c r="K365" s="9"/>
      <c r="L365" s="11" t="s">
        <v>192</v>
      </c>
      <c r="M365" s="306">
        <f t="shared" si="104"/>
        <v>5000000</v>
      </c>
      <c r="N365" s="97">
        <f t="shared" si="105"/>
        <v>3.9899999999999998E-2</v>
      </c>
      <c r="O365" s="421">
        <f t="shared" si="95"/>
        <v>554.16666666666663</v>
      </c>
      <c r="P365" s="304">
        <f t="shared" si="106"/>
        <v>29370.833333333354</v>
      </c>
      <c r="Q365" s="307">
        <f t="shared" si="96"/>
        <v>116.66666666666663</v>
      </c>
      <c r="S365" s="11" t="s">
        <v>192</v>
      </c>
      <c r="T365" s="306">
        <f t="shared" si="107"/>
        <v>5000000</v>
      </c>
      <c r="U365" s="97">
        <f t="shared" si="108"/>
        <v>3.9199999999999999E-2</v>
      </c>
      <c r="V365" s="421">
        <f t="shared" si="97"/>
        <v>544.44444444444446</v>
      </c>
      <c r="W365" s="304">
        <f t="shared" si="98"/>
        <v>1088.8888888888889</v>
      </c>
      <c r="X365" s="307">
        <f t="shared" si="99"/>
        <v>106.94444444444446</v>
      </c>
      <c r="Z365" s="11" t="s">
        <v>192</v>
      </c>
      <c r="AA365" s="306">
        <f t="shared" si="109"/>
        <v>10000000</v>
      </c>
      <c r="AB365" s="97">
        <f t="shared" si="110"/>
        <v>3.7499999999999999E-2</v>
      </c>
      <c r="AC365" s="421">
        <f t="shared" si="100"/>
        <v>1041.6666666666667</v>
      </c>
      <c r="AD365" s="304">
        <f t="shared" si="111"/>
        <v>55208.333333333299</v>
      </c>
      <c r="AE365" s="307">
        <f t="shared" si="101"/>
        <v>166.66666666666674</v>
      </c>
      <c r="AG365" s="11" t="s">
        <v>192</v>
      </c>
      <c r="AH365" s="306">
        <f t="shared" si="112"/>
        <v>6000000</v>
      </c>
      <c r="AI365" s="97">
        <f t="shared" si="113"/>
        <v>3.73E-2</v>
      </c>
      <c r="AJ365" s="421">
        <f t="shared" si="102"/>
        <v>621.66666666666663</v>
      </c>
      <c r="AK365" s="304">
        <f t="shared" si="114"/>
        <v>32948.333333333358</v>
      </c>
      <c r="AL365" s="307">
        <f t="shared" si="103"/>
        <v>96.666666666666629</v>
      </c>
      <c r="AN365" s="304">
        <f>'codeis $'!AB366</f>
        <v>155758336.80000001</v>
      </c>
      <c r="AO365" s="340">
        <f>'codeis $'!AH366</f>
        <v>3.9437647784430686E-2</v>
      </c>
      <c r="AP365" s="304">
        <f>'codeis $'!AE366</f>
        <v>0</v>
      </c>
      <c r="AQ365" s="304">
        <f>'codeis $'!AK366</f>
        <v>-13494.780932500002</v>
      </c>
      <c r="AR365" s="9"/>
      <c r="AS365" s="9"/>
      <c r="AT365" s="123">
        <v>1</v>
      </c>
      <c r="AU365" s="123" t="s">
        <v>32</v>
      </c>
      <c r="AV365" s="124">
        <v>37371005.359999999</v>
      </c>
      <c r="AW365" s="139">
        <f t="shared" si="151"/>
        <v>3.5000000000000003E-2</v>
      </c>
      <c r="AX365" s="123"/>
      <c r="AY365" s="140">
        <f t="shared" si="127"/>
        <v>3583.5210619178083</v>
      </c>
      <c r="AZ365" s="140">
        <f t="shared" si="93"/>
        <v>782090.64126744517</v>
      </c>
      <c r="BA365" s="140">
        <f t="shared" si="120"/>
        <v>313.55809291780861</v>
      </c>
      <c r="BC365" s="124">
        <f>'MM $'!G365</f>
        <v>40102382</v>
      </c>
      <c r="BD365" s="139">
        <f>'MM $'!H365</f>
        <v>3.6932471106482984E-2</v>
      </c>
      <c r="BE365" s="431">
        <f>'MM $'!I365</f>
        <v>4114.1112903226203</v>
      </c>
      <c r="BF365" s="124">
        <f>'MM $'!L365</f>
        <v>605.15286532262007</v>
      </c>
      <c r="BH365" s="124">
        <f>'MM $'!N365</f>
        <v>40101956.880000003</v>
      </c>
      <c r="BI365" s="139">
        <f>'MM $'!P365</f>
        <v>3.6693347326196522E-2</v>
      </c>
      <c r="BJ365" s="431">
        <f>'MM $'!Q365</f>
        <v>4087.4306451611005</v>
      </c>
      <c r="BK365" s="124">
        <f>'MM $'!U365</f>
        <v>578.5094181610998</v>
      </c>
      <c r="BM365" s="124">
        <f>'MM $'!W365</f>
        <v>40102081.68</v>
      </c>
      <c r="BN365" s="139">
        <f>'MM $'!X365</f>
        <v>3.6869725161289814E-2</v>
      </c>
      <c r="BO365" s="431">
        <f>'MM $'!Y365</f>
        <v>4107.0909164922095</v>
      </c>
      <c r="BP365" s="124">
        <f>'MM $'!AB365</f>
        <v>598.15876949220956</v>
      </c>
      <c r="BR365" s="124">
        <f>'MM $'!AD365</f>
        <v>40103087.079999998</v>
      </c>
      <c r="BS365" s="139">
        <f>'MM $'!AE365</f>
        <v>3.7224545806451938E-2</v>
      </c>
      <c r="BT365" s="431">
        <f>'MM $'!AF365</f>
        <v>4146.7200055266412</v>
      </c>
      <c r="BU365" s="124">
        <f>'MM $'!AB365</f>
        <v>598.15876949220956</v>
      </c>
      <c r="BV365" s="439"/>
      <c r="BW365" s="120">
        <f t="shared" si="122"/>
        <v>381658849.80000001</v>
      </c>
      <c r="BX365" s="121">
        <f t="shared" si="133"/>
        <v>3.5000000000000003E-2</v>
      </c>
      <c r="BY365" s="121">
        <f t="shared" si="123"/>
        <v>3.7823660187816389E-2</v>
      </c>
      <c r="BZ365" s="120">
        <f t="shared" si="124"/>
        <v>22986.318363864822</v>
      </c>
      <c r="CA365" s="120">
        <f t="shared" si="125"/>
        <v>-10314.29857266961</v>
      </c>
    </row>
    <row r="366" spans="2:79" x14ac:dyDescent="0.25">
      <c r="B366" s="123" t="str">
        <f t="shared" si="116"/>
        <v>12 2025</v>
      </c>
      <c r="C366" s="122">
        <f t="shared" si="117"/>
        <v>46018</v>
      </c>
      <c r="D366" s="122">
        <f t="shared" si="121"/>
        <v>46019</v>
      </c>
      <c r="E366" s="123">
        <f t="shared" si="118"/>
        <v>1</v>
      </c>
      <c r="F366" s="123" t="s">
        <v>7</v>
      </c>
      <c r="G366" s="124">
        <f t="shared" ref="G366:H366" si="161">G365</f>
        <v>2120000</v>
      </c>
      <c r="H366" s="125">
        <f t="shared" si="161"/>
        <v>3.15E-2</v>
      </c>
      <c r="I366" s="322">
        <f t="shared" si="115"/>
        <v>185.5</v>
      </c>
      <c r="J366" s="124">
        <f t="shared" si="119"/>
        <v>1034956.5027777785</v>
      </c>
      <c r="K366" s="9"/>
      <c r="L366" s="11" t="s">
        <v>192</v>
      </c>
      <c r="M366" s="306">
        <f t="shared" si="104"/>
        <v>5000000</v>
      </c>
      <c r="N366" s="97">
        <f t="shared" si="105"/>
        <v>3.9899999999999998E-2</v>
      </c>
      <c r="O366" s="421">
        <f t="shared" si="95"/>
        <v>554.16666666666663</v>
      </c>
      <c r="P366" s="304">
        <f t="shared" si="106"/>
        <v>29925.000000000022</v>
      </c>
      <c r="Q366" s="307">
        <f t="shared" si="96"/>
        <v>116.66666666666663</v>
      </c>
      <c r="S366" s="11" t="s">
        <v>192</v>
      </c>
      <c r="T366" s="306">
        <f t="shared" si="107"/>
        <v>5000000</v>
      </c>
      <c r="U366" s="97">
        <f t="shared" si="108"/>
        <v>3.9199999999999999E-2</v>
      </c>
      <c r="V366" s="421">
        <f t="shared" si="97"/>
        <v>544.44444444444446</v>
      </c>
      <c r="W366" s="304">
        <f t="shared" si="98"/>
        <v>1088.8888888888889</v>
      </c>
      <c r="X366" s="307">
        <f t="shared" si="99"/>
        <v>106.94444444444446</v>
      </c>
      <c r="Z366" s="11" t="s">
        <v>192</v>
      </c>
      <c r="AA366" s="306">
        <f t="shared" si="109"/>
        <v>10000000</v>
      </c>
      <c r="AB366" s="97">
        <f t="shared" si="110"/>
        <v>3.7499999999999999E-2</v>
      </c>
      <c r="AC366" s="421">
        <f t="shared" si="100"/>
        <v>1041.6666666666667</v>
      </c>
      <c r="AD366" s="304">
        <f t="shared" si="111"/>
        <v>56249.999999999964</v>
      </c>
      <c r="AE366" s="307">
        <f t="shared" si="101"/>
        <v>166.66666666666674</v>
      </c>
      <c r="AG366" s="11" t="s">
        <v>192</v>
      </c>
      <c r="AH366" s="306">
        <f t="shared" si="112"/>
        <v>6000000</v>
      </c>
      <c r="AI366" s="97">
        <f t="shared" si="113"/>
        <v>3.73E-2</v>
      </c>
      <c r="AJ366" s="421">
        <f t="shared" si="102"/>
        <v>621.66666666666663</v>
      </c>
      <c r="AK366" s="304">
        <f t="shared" si="114"/>
        <v>33570.000000000022</v>
      </c>
      <c r="AL366" s="307">
        <f t="shared" si="103"/>
        <v>96.666666666666629</v>
      </c>
      <c r="AN366" s="304">
        <f>'codeis $'!AB367</f>
        <v>155758336.80000001</v>
      </c>
      <c r="AO366" s="340">
        <f>'codeis $'!AH367</f>
        <v>3.9437647784430686E-2</v>
      </c>
      <c r="AP366" s="304">
        <f>'codeis $'!AE367</f>
        <v>0</v>
      </c>
      <c r="AQ366" s="304">
        <f>'codeis $'!AK367</f>
        <v>-13494.780932500002</v>
      </c>
      <c r="AR366" s="9"/>
      <c r="AS366" s="9"/>
      <c r="AT366" s="123">
        <v>1</v>
      </c>
      <c r="AU366" s="123" t="s">
        <v>32</v>
      </c>
      <c r="AV366" s="124">
        <v>37371005.359999999</v>
      </c>
      <c r="AW366" s="139">
        <f t="shared" si="151"/>
        <v>3.5000000000000003E-2</v>
      </c>
      <c r="AX366" s="123"/>
      <c r="AY366" s="140">
        <f t="shared" si="127"/>
        <v>3583.5210619178083</v>
      </c>
      <c r="AZ366" s="140">
        <f t="shared" si="93"/>
        <v>785674.16232936294</v>
      </c>
      <c r="BA366" s="140">
        <f t="shared" si="120"/>
        <v>313.55809291780861</v>
      </c>
      <c r="BC366" s="124">
        <f>'MM $'!G366</f>
        <v>40102382</v>
      </c>
      <c r="BD366" s="139">
        <f>'MM $'!H366</f>
        <v>3.6932471106482984E-2</v>
      </c>
      <c r="BE366" s="431">
        <f>'MM $'!I366</f>
        <v>4114.1112903226203</v>
      </c>
      <c r="BF366" s="124">
        <f>'MM $'!L366</f>
        <v>605.15286532262007</v>
      </c>
      <c r="BH366" s="124">
        <f>'MM $'!N366</f>
        <v>40101956.880000003</v>
      </c>
      <c r="BI366" s="139">
        <f>'MM $'!P366</f>
        <v>3.6693347326196522E-2</v>
      </c>
      <c r="BJ366" s="431">
        <f>'MM $'!Q366</f>
        <v>4087.4306451611005</v>
      </c>
      <c r="BK366" s="124">
        <f>'MM $'!U366</f>
        <v>578.5094181610998</v>
      </c>
      <c r="BM366" s="124">
        <f>'MM $'!W366</f>
        <v>40102081.68</v>
      </c>
      <c r="BN366" s="139">
        <f>'MM $'!X366</f>
        <v>3.6869725161289814E-2</v>
      </c>
      <c r="BO366" s="431">
        <f>'MM $'!Y366</f>
        <v>4107.0909164922095</v>
      </c>
      <c r="BP366" s="124">
        <f>'MM $'!AB366</f>
        <v>598.15876949220956</v>
      </c>
      <c r="BR366" s="124">
        <f>'MM $'!AD366</f>
        <v>40103087.079999998</v>
      </c>
      <c r="BS366" s="139">
        <f>'MM $'!AE366</f>
        <v>3.7224545806451938E-2</v>
      </c>
      <c r="BT366" s="431">
        <f>'MM $'!AF366</f>
        <v>4146.7200055266412</v>
      </c>
      <c r="BU366" s="124">
        <f>'MM $'!AB366</f>
        <v>598.15876949220956</v>
      </c>
      <c r="BV366" s="439"/>
      <c r="BW366" s="120">
        <f t="shared" si="122"/>
        <v>381658849.80000001</v>
      </c>
      <c r="BX366" s="121">
        <f t="shared" si="133"/>
        <v>3.5000000000000003E-2</v>
      </c>
      <c r="BY366" s="121">
        <f t="shared" si="123"/>
        <v>3.7823660187816389E-2</v>
      </c>
      <c r="BZ366" s="120">
        <f t="shared" si="124"/>
        <v>22986.318363864822</v>
      </c>
      <c r="CA366" s="120">
        <f t="shared" si="125"/>
        <v>-10314.29857266961</v>
      </c>
    </row>
    <row r="367" spans="2:79" x14ac:dyDescent="0.25">
      <c r="B367" s="123" t="str">
        <f t="shared" si="116"/>
        <v>12 2025</v>
      </c>
      <c r="C367" s="122">
        <f t="shared" si="117"/>
        <v>46019</v>
      </c>
      <c r="D367" s="122">
        <f t="shared" si="121"/>
        <v>46020</v>
      </c>
      <c r="E367" s="123">
        <f t="shared" si="118"/>
        <v>1</v>
      </c>
      <c r="F367" s="123" t="s">
        <v>7</v>
      </c>
      <c r="G367" s="124">
        <f t="shared" ref="G367:H367" si="162">G366</f>
        <v>2120000</v>
      </c>
      <c r="H367" s="125">
        <f t="shared" si="162"/>
        <v>3.15E-2</v>
      </c>
      <c r="I367" s="322">
        <f t="shared" si="115"/>
        <v>185.5</v>
      </c>
      <c r="J367" s="124">
        <f t="shared" si="119"/>
        <v>1035142.0027777785</v>
      </c>
      <c r="K367" s="9"/>
      <c r="L367" s="11" t="s">
        <v>192</v>
      </c>
      <c r="M367" s="306">
        <f t="shared" si="104"/>
        <v>5000000</v>
      </c>
      <c r="N367" s="97">
        <f t="shared" si="105"/>
        <v>3.9899999999999998E-2</v>
      </c>
      <c r="O367" s="421">
        <f t="shared" si="95"/>
        <v>554.16666666666663</v>
      </c>
      <c r="P367" s="304">
        <f t="shared" si="106"/>
        <v>30479.16666666669</v>
      </c>
      <c r="Q367" s="307">
        <f t="shared" si="96"/>
        <v>116.66666666666663</v>
      </c>
      <c r="S367" s="11" t="s">
        <v>192</v>
      </c>
      <c r="T367" s="306">
        <f t="shared" si="107"/>
        <v>5000000</v>
      </c>
      <c r="U367" s="97">
        <f t="shared" si="108"/>
        <v>3.9199999999999999E-2</v>
      </c>
      <c r="V367" s="421">
        <f t="shared" si="97"/>
        <v>544.44444444444446</v>
      </c>
      <c r="W367" s="304">
        <f t="shared" si="98"/>
        <v>1088.8888888888889</v>
      </c>
      <c r="X367" s="307">
        <f t="shared" si="99"/>
        <v>106.94444444444446</v>
      </c>
      <c r="Z367" s="11" t="s">
        <v>192</v>
      </c>
      <c r="AA367" s="306">
        <f t="shared" si="109"/>
        <v>10000000</v>
      </c>
      <c r="AB367" s="97">
        <f t="shared" si="110"/>
        <v>3.7499999999999999E-2</v>
      </c>
      <c r="AC367" s="421">
        <f t="shared" si="100"/>
        <v>1041.6666666666667</v>
      </c>
      <c r="AD367" s="304">
        <f t="shared" si="111"/>
        <v>57291.666666666628</v>
      </c>
      <c r="AE367" s="307">
        <f t="shared" si="101"/>
        <v>166.66666666666674</v>
      </c>
      <c r="AG367" s="11" t="s">
        <v>192</v>
      </c>
      <c r="AH367" s="306">
        <f t="shared" si="112"/>
        <v>6000000</v>
      </c>
      <c r="AI367" s="97">
        <f t="shared" si="113"/>
        <v>3.73E-2</v>
      </c>
      <c r="AJ367" s="421">
        <f t="shared" si="102"/>
        <v>621.66666666666663</v>
      </c>
      <c r="AK367" s="304">
        <f t="shared" si="114"/>
        <v>34191.666666666686</v>
      </c>
      <c r="AL367" s="307">
        <f t="shared" si="103"/>
        <v>96.666666666666629</v>
      </c>
      <c r="AN367" s="304">
        <f>'codeis $'!AB368</f>
        <v>155758336.80000001</v>
      </c>
      <c r="AO367" s="340">
        <f>'codeis $'!AH368</f>
        <v>3.9437647784430686E-2</v>
      </c>
      <c r="AP367" s="304">
        <f>'codeis $'!AE368</f>
        <v>0</v>
      </c>
      <c r="AQ367" s="304">
        <f>'codeis $'!AK368</f>
        <v>-13494.780932500002</v>
      </c>
      <c r="AR367" s="9"/>
      <c r="AS367" s="9"/>
      <c r="AT367" s="123">
        <v>1</v>
      </c>
      <c r="AU367" s="123" t="s">
        <v>32</v>
      </c>
      <c r="AV367" s="124">
        <v>37371005.359999999</v>
      </c>
      <c r="AW367" s="139">
        <f t="shared" si="151"/>
        <v>3.5000000000000003E-2</v>
      </c>
      <c r="AX367" s="123"/>
      <c r="AY367" s="140">
        <f t="shared" si="127"/>
        <v>3583.5210619178083</v>
      </c>
      <c r="AZ367" s="140">
        <f t="shared" si="93"/>
        <v>789257.68339128071</v>
      </c>
      <c r="BA367" s="140">
        <f t="shared" si="120"/>
        <v>313.55809291780861</v>
      </c>
      <c r="BC367" s="124">
        <f>'MM $'!G367</f>
        <v>40102382</v>
      </c>
      <c r="BD367" s="139">
        <f>'MM $'!H367</f>
        <v>3.6932471106482984E-2</v>
      </c>
      <c r="BE367" s="431">
        <f>'MM $'!I367</f>
        <v>4114.1112903226203</v>
      </c>
      <c r="BF367" s="124">
        <f>'MM $'!L367</f>
        <v>605.15286532262007</v>
      </c>
      <c r="BH367" s="124">
        <f>'MM $'!N367</f>
        <v>40101956.880000003</v>
      </c>
      <c r="BI367" s="139">
        <f>'MM $'!P367</f>
        <v>3.6693347326196522E-2</v>
      </c>
      <c r="BJ367" s="431">
        <f>'MM $'!Q367</f>
        <v>4087.4306451611005</v>
      </c>
      <c r="BK367" s="124">
        <f>'MM $'!U367</f>
        <v>578.5094181610998</v>
      </c>
      <c r="BM367" s="124">
        <f>'MM $'!W367</f>
        <v>40102081.68</v>
      </c>
      <c r="BN367" s="139">
        <f>'MM $'!X367</f>
        <v>3.6869725161289814E-2</v>
      </c>
      <c r="BO367" s="431">
        <f>'MM $'!Y367</f>
        <v>4107.0909164922095</v>
      </c>
      <c r="BP367" s="124">
        <f>'MM $'!AB367</f>
        <v>598.15876949220956</v>
      </c>
      <c r="BR367" s="124">
        <f>'MM $'!AD367</f>
        <v>40103087.079999998</v>
      </c>
      <c r="BS367" s="139">
        <f>'MM $'!AE367</f>
        <v>3.7224545806451938E-2</v>
      </c>
      <c r="BT367" s="431">
        <f>'MM $'!AF367</f>
        <v>4146.7200055266412</v>
      </c>
      <c r="BU367" s="124">
        <f>'MM $'!AB367</f>
        <v>598.15876949220956</v>
      </c>
      <c r="BV367" s="439"/>
      <c r="BW367" s="120">
        <f t="shared" si="122"/>
        <v>381658849.80000001</v>
      </c>
      <c r="BX367" s="121">
        <f t="shared" si="133"/>
        <v>3.5000000000000003E-2</v>
      </c>
      <c r="BY367" s="121">
        <f t="shared" si="123"/>
        <v>3.7823660187816389E-2</v>
      </c>
      <c r="BZ367" s="120">
        <f t="shared" si="124"/>
        <v>22986.318363864822</v>
      </c>
      <c r="CA367" s="120">
        <f t="shared" si="125"/>
        <v>-10314.29857266961</v>
      </c>
    </row>
    <row r="368" spans="2:79" x14ac:dyDescent="0.25">
      <c r="B368" s="123" t="str">
        <f t="shared" si="116"/>
        <v>12 2025</v>
      </c>
      <c r="C368" s="122">
        <f t="shared" si="117"/>
        <v>46020</v>
      </c>
      <c r="D368" s="122">
        <f t="shared" si="121"/>
        <v>46021</v>
      </c>
      <c r="E368" s="123">
        <f t="shared" si="118"/>
        <v>1</v>
      </c>
      <c r="F368" s="123" t="s">
        <v>7</v>
      </c>
      <c r="G368" s="124">
        <f t="shared" ref="G368:H368" si="163">G367</f>
        <v>2120000</v>
      </c>
      <c r="H368" s="125">
        <f t="shared" si="163"/>
        <v>3.15E-2</v>
      </c>
      <c r="I368" s="322">
        <f t="shared" si="115"/>
        <v>185.5</v>
      </c>
      <c r="J368" s="124">
        <f t="shared" si="119"/>
        <v>1035327.5027777785</v>
      </c>
      <c r="K368" s="9"/>
      <c r="L368" s="11" t="s">
        <v>192</v>
      </c>
      <c r="M368" s="306">
        <f t="shared" si="104"/>
        <v>5000000</v>
      </c>
      <c r="N368" s="97">
        <f t="shared" si="105"/>
        <v>3.9899999999999998E-2</v>
      </c>
      <c r="O368" s="421">
        <f t="shared" si="95"/>
        <v>554.16666666666663</v>
      </c>
      <c r="P368" s="304">
        <f t="shared" si="106"/>
        <v>31033.333333333358</v>
      </c>
      <c r="Q368" s="307">
        <f t="shared" si="96"/>
        <v>116.66666666666663</v>
      </c>
      <c r="S368" s="11" t="s">
        <v>192</v>
      </c>
      <c r="T368" s="306">
        <f t="shared" si="107"/>
        <v>5000000</v>
      </c>
      <c r="U368" s="97">
        <f t="shared" si="108"/>
        <v>3.9199999999999999E-2</v>
      </c>
      <c r="V368" s="421">
        <f t="shared" si="97"/>
        <v>544.44444444444446</v>
      </c>
      <c r="W368" s="304">
        <f t="shared" si="98"/>
        <v>1088.8888888888889</v>
      </c>
      <c r="X368" s="307">
        <f t="shared" si="99"/>
        <v>106.94444444444446</v>
      </c>
      <c r="Z368" s="11" t="s">
        <v>192</v>
      </c>
      <c r="AA368" s="306">
        <f t="shared" si="109"/>
        <v>10000000</v>
      </c>
      <c r="AB368" s="97">
        <f t="shared" si="110"/>
        <v>3.7499999999999999E-2</v>
      </c>
      <c r="AC368" s="421">
        <f t="shared" si="100"/>
        <v>1041.6666666666667</v>
      </c>
      <c r="AD368" s="304">
        <f t="shared" si="111"/>
        <v>58333.333333333292</v>
      </c>
      <c r="AE368" s="307">
        <f t="shared" si="101"/>
        <v>166.66666666666674</v>
      </c>
      <c r="AG368" s="11" t="s">
        <v>192</v>
      </c>
      <c r="AH368" s="306">
        <f t="shared" si="112"/>
        <v>6000000</v>
      </c>
      <c r="AI368" s="97">
        <f t="shared" si="113"/>
        <v>3.73E-2</v>
      </c>
      <c r="AJ368" s="421">
        <f t="shared" si="102"/>
        <v>621.66666666666663</v>
      </c>
      <c r="AK368" s="304">
        <f t="shared" si="114"/>
        <v>34813.33333333335</v>
      </c>
      <c r="AL368" s="307">
        <f t="shared" si="103"/>
        <v>96.666666666666629</v>
      </c>
      <c r="AN368" s="304">
        <f>'codeis $'!AB369</f>
        <v>155840005.19999999</v>
      </c>
      <c r="AO368" s="340">
        <f>'codeis $'!AH369</f>
        <v>3.9437647784430686E-2</v>
      </c>
      <c r="AP368" s="304">
        <f>'codeis $'!AE369</f>
        <v>81668.399999976158</v>
      </c>
      <c r="AQ368" s="304">
        <f>'codeis $'!AK369</f>
        <v>68173.61906747616</v>
      </c>
      <c r="AR368" s="9"/>
      <c r="AS368" s="9"/>
      <c r="AT368" s="123">
        <v>1</v>
      </c>
      <c r="AU368" s="123" t="s">
        <v>32</v>
      </c>
      <c r="AV368" s="124">
        <v>37366240.369999997</v>
      </c>
      <c r="AW368" s="139">
        <f t="shared" si="151"/>
        <v>3.5000000000000003E-2</v>
      </c>
      <c r="AX368" s="123"/>
      <c r="AY368" s="140">
        <f t="shared" si="127"/>
        <v>3583.0641450684934</v>
      </c>
      <c r="AZ368" s="140">
        <f t="shared" si="93"/>
        <v>792840.74753634923</v>
      </c>
      <c r="BA368" s="140">
        <f t="shared" si="120"/>
        <v>313.518112693494</v>
      </c>
      <c r="BC368" s="124">
        <f>'MM $'!G368</f>
        <v>40102382</v>
      </c>
      <c r="BD368" s="139">
        <f>'MM $'!H368</f>
        <v>3.6932471106482984E-2</v>
      </c>
      <c r="BE368" s="431">
        <f>'MM $'!I368</f>
        <v>4114.1112903226203</v>
      </c>
      <c r="BF368" s="124">
        <f>'MM $'!L368</f>
        <v>605.15286532262007</v>
      </c>
      <c r="BH368" s="124">
        <f>'MM $'!N368</f>
        <v>40101956.880000003</v>
      </c>
      <c r="BI368" s="139">
        <f>'MM $'!P368</f>
        <v>3.6693347326196522E-2</v>
      </c>
      <c r="BJ368" s="431">
        <f>'MM $'!Q368</f>
        <v>4087.4306451611005</v>
      </c>
      <c r="BK368" s="124">
        <f>'MM $'!U368</f>
        <v>578.5094181610998</v>
      </c>
      <c r="BM368" s="124">
        <f>'MM $'!W368</f>
        <v>40102081.68</v>
      </c>
      <c r="BN368" s="139">
        <f>'MM $'!X368</f>
        <v>3.6869725161289814E-2</v>
      </c>
      <c r="BO368" s="431">
        <f>'MM $'!Y368</f>
        <v>4107.0909164922095</v>
      </c>
      <c r="BP368" s="124">
        <f>'MM $'!AB368</f>
        <v>598.15876949220956</v>
      </c>
      <c r="BR368" s="124">
        <f>'MM $'!AD368</f>
        <v>40103087.079999998</v>
      </c>
      <c r="BS368" s="139">
        <f>'MM $'!AE368</f>
        <v>3.7224545806451938E-2</v>
      </c>
      <c r="BT368" s="431">
        <f>'MM $'!AF368</f>
        <v>4146.7200055266412</v>
      </c>
      <c r="BU368" s="124">
        <f>'MM $'!AB368</f>
        <v>598.15876949220956</v>
      </c>
      <c r="BV368" s="439"/>
      <c r="BW368" s="120">
        <f t="shared" si="122"/>
        <v>381735753.20999998</v>
      </c>
      <c r="BX368" s="121">
        <f t="shared" si="133"/>
        <v>3.5000000000000003E-2</v>
      </c>
      <c r="BY368" s="121">
        <f t="shared" si="123"/>
        <v>3.7824040729843099E-2</v>
      </c>
      <c r="BZ368" s="120">
        <f t="shared" si="124"/>
        <v>104654.26144699167</v>
      </c>
      <c r="CA368" s="120">
        <f t="shared" si="125"/>
        <v>71354.061447082247</v>
      </c>
    </row>
    <row r="369" spans="2:79" x14ac:dyDescent="0.25">
      <c r="B369" s="148" t="str">
        <f t="shared" si="116"/>
        <v>12 2025</v>
      </c>
      <c r="C369" s="149">
        <f t="shared" si="117"/>
        <v>46021</v>
      </c>
      <c r="D369" s="149">
        <f t="shared" si="121"/>
        <v>46022</v>
      </c>
      <c r="E369" s="148">
        <f t="shared" si="118"/>
        <v>1</v>
      </c>
      <c r="F369" s="148" t="s">
        <v>7</v>
      </c>
      <c r="G369" s="150">
        <f t="shared" ref="G369:H369" si="164">G368</f>
        <v>2120000</v>
      </c>
      <c r="H369" s="151">
        <f t="shared" si="164"/>
        <v>3.15E-2</v>
      </c>
      <c r="I369" s="323">
        <f t="shared" si="115"/>
        <v>185.5</v>
      </c>
      <c r="J369" s="150">
        <f t="shared" si="119"/>
        <v>1035513.0027777785</v>
      </c>
      <c r="K369" s="9"/>
      <c r="L369" s="143" t="s">
        <v>192</v>
      </c>
      <c r="M369" s="418">
        <f t="shared" si="104"/>
        <v>5000000</v>
      </c>
      <c r="N369" s="175">
        <f t="shared" si="105"/>
        <v>3.9899999999999998E-2</v>
      </c>
      <c r="O369" s="422">
        <f t="shared" si="95"/>
        <v>554.16666666666663</v>
      </c>
      <c r="P369" s="444">
        <f t="shared" si="106"/>
        <v>31587.500000000025</v>
      </c>
      <c r="Q369" s="308">
        <f t="shared" si="96"/>
        <v>116.66666666666663</v>
      </c>
      <c r="R369" s="17"/>
      <c r="S369" s="143" t="s">
        <v>192</v>
      </c>
      <c r="T369" s="418">
        <f t="shared" si="107"/>
        <v>5000000</v>
      </c>
      <c r="U369" s="175">
        <f t="shared" si="108"/>
        <v>3.9199999999999999E-2</v>
      </c>
      <c r="V369" s="422">
        <f t="shared" si="97"/>
        <v>544.44444444444446</v>
      </c>
      <c r="W369" s="419">
        <f t="shared" si="98"/>
        <v>1088.8888888888889</v>
      </c>
      <c r="X369" s="308">
        <f t="shared" si="99"/>
        <v>106.94444444444446</v>
      </c>
      <c r="Y369" s="17"/>
      <c r="Z369" s="143" t="s">
        <v>192</v>
      </c>
      <c r="AA369" s="418">
        <f t="shared" si="109"/>
        <v>10000000</v>
      </c>
      <c r="AB369" s="175">
        <f t="shared" si="110"/>
        <v>3.7499999999999999E-2</v>
      </c>
      <c r="AC369" s="484">
        <f t="shared" si="100"/>
        <v>1041.6666666666667</v>
      </c>
      <c r="AD369" s="485">
        <f t="shared" si="111"/>
        <v>59374.999999999956</v>
      </c>
      <c r="AE369" s="486">
        <f t="shared" si="101"/>
        <v>166.66666666666674</v>
      </c>
      <c r="AG369" s="487" t="s">
        <v>192</v>
      </c>
      <c r="AH369" s="488">
        <f t="shared" si="112"/>
        <v>6000000</v>
      </c>
      <c r="AI369" s="489">
        <f t="shared" si="113"/>
        <v>3.73E-2</v>
      </c>
      <c r="AJ369" s="484">
        <f t="shared" si="102"/>
        <v>621.66666666666663</v>
      </c>
      <c r="AK369" s="485">
        <f t="shared" si="114"/>
        <v>35435.000000000015</v>
      </c>
      <c r="AL369" s="486">
        <f t="shared" si="103"/>
        <v>96.666666666666629</v>
      </c>
      <c r="AN369" s="490">
        <f>'codeis $'!AB370</f>
        <v>155856399.60000002</v>
      </c>
      <c r="AO369" s="491">
        <f>'codeis $'!AH370</f>
        <v>3.9437647784430686E-2</v>
      </c>
      <c r="AP369" s="490">
        <f>'codeis $'!AE370</f>
        <v>16394.400000035763</v>
      </c>
      <c r="AQ369" s="490">
        <f>'codeis $'!AK370</f>
        <v>2899.6190675357611</v>
      </c>
      <c r="AR369" s="9"/>
      <c r="AS369" s="9"/>
      <c r="AT369" s="137">
        <v>1</v>
      </c>
      <c r="AU369" s="137" t="s">
        <v>32</v>
      </c>
      <c r="AV369" s="492">
        <v>37019982.979999997</v>
      </c>
      <c r="AW369" s="478">
        <f t="shared" si="151"/>
        <v>3.5000000000000003E-2</v>
      </c>
      <c r="AX369" s="493"/>
      <c r="AY369" s="494">
        <f t="shared" si="127"/>
        <v>3549.8613816438356</v>
      </c>
      <c r="AZ369" s="494">
        <f t="shared" si="93"/>
        <v>796390.60891799303</v>
      </c>
      <c r="BA369" s="494">
        <f t="shared" si="120"/>
        <v>310.61287089383586</v>
      </c>
      <c r="BC369" s="492">
        <f>'MM $'!G369</f>
        <v>40102382</v>
      </c>
      <c r="BD369" s="478">
        <f>'MM $'!H369</f>
        <v>3.6932471106482984E-2</v>
      </c>
      <c r="BE369" s="495">
        <f>'MM $'!I369</f>
        <v>4114.1112903226203</v>
      </c>
      <c r="BF369" s="492">
        <f>'MM $'!L369</f>
        <v>605.15286532262007</v>
      </c>
      <c r="BH369" s="492">
        <f>'MM $'!N369</f>
        <v>40101956.880000003</v>
      </c>
      <c r="BI369" s="478">
        <f>'MM $'!P369</f>
        <v>3.6693347326196522E-2</v>
      </c>
      <c r="BJ369" s="495">
        <f>'MM $'!Q369</f>
        <v>4087.4306451611005</v>
      </c>
      <c r="BK369" s="492">
        <f>'MM $'!U369</f>
        <v>578.5094181610998</v>
      </c>
      <c r="BM369" s="492">
        <f>'MM $'!W369</f>
        <v>40102081.68</v>
      </c>
      <c r="BN369" s="478">
        <f>'MM $'!X369</f>
        <v>3.6869725161289814E-2</v>
      </c>
      <c r="BO369" s="495">
        <f>'MM $'!Y369</f>
        <v>4107.0909164922095</v>
      </c>
      <c r="BP369" s="492">
        <f>'MM $'!AB369</f>
        <v>598.15876949220956</v>
      </c>
      <c r="BR369" s="492">
        <f>'MM $'!AD369</f>
        <v>40103087.079999998</v>
      </c>
      <c r="BS369" s="478">
        <f>'MM $'!AE369</f>
        <v>3.7224545806451938E-2</v>
      </c>
      <c r="BT369" s="495">
        <f>'MM $'!AF369</f>
        <v>4146.7200055266412</v>
      </c>
      <c r="BU369" s="492">
        <f>'MM $'!AB369</f>
        <v>598.15876949220956</v>
      </c>
      <c r="BV369" s="439"/>
      <c r="BW369" s="120">
        <f t="shared" si="122"/>
        <v>381405890.22000003</v>
      </c>
      <c r="BX369" s="173">
        <f>BX368</f>
        <v>3.5000000000000003E-2</v>
      </c>
      <c r="BY369" s="121">
        <f t="shared" si="123"/>
        <v>3.7826673880294148E-2</v>
      </c>
      <c r="BZ369" s="120">
        <f t="shared" si="124"/>
        <v>39347.058683626623</v>
      </c>
      <c r="CA369" s="120">
        <f t="shared" si="125"/>
        <v>6077.1562053421803</v>
      </c>
    </row>
    <row r="370" spans="2:79" x14ac:dyDescent="0.25"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G370" s="26"/>
      <c r="AH370" s="26"/>
      <c r="AI370" s="26"/>
      <c r="AJ370" s="26"/>
      <c r="AK370" s="26"/>
      <c r="AL370" s="26"/>
      <c r="AN370" s="26"/>
      <c r="AO370" s="26"/>
      <c r="AP370" s="26"/>
      <c r="AQ370" s="26"/>
      <c r="AR370" s="9"/>
      <c r="AS370" s="9"/>
      <c r="AT370" s="26"/>
      <c r="AU370" s="26"/>
      <c r="AV370" s="26"/>
      <c r="AY370" s="26"/>
      <c r="AZ370" s="26"/>
      <c r="BV370" s="439"/>
      <c r="BX370" s="33">
        <f>AVERAGE(BX5:BX369)</f>
        <v>4.1226027397260334E-2</v>
      </c>
      <c r="BY370" s="33">
        <f>AVERAGE(BY5:BY369)</f>
        <v>4.0959205249247121E-2</v>
      </c>
      <c r="BZ370" s="15">
        <f>SUM(BZ5:BZ369)</f>
        <v>6046884.490754257</v>
      </c>
      <c r="CA370" s="15">
        <f>SUM(CA5:CA369)</f>
        <v>687725.24403138424</v>
      </c>
    </row>
    <row r="371" spans="2:79" x14ac:dyDescent="0.25">
      <c r="U371" s="100" t="s">
        <v>221</v>
      </c>
      <c r="AR371" s="9"/>
      <c r="AS371" s="9"/>
      <c r="BV371" s="439"/>
    </row>
    <row r="372" spans="2:79" x14ac:dyDescent="0.25">
      <c r="AR372" s="9"/>
      <c r="AS372" s="9"/>
      <c r="BV372" s="439"/>
    </row>
    <row r="373" spans="2:79" x14ac:dyDescent="0.25">
      <c r="B373" s="123" t="str">
        <f t="shared" ref="B373:B403" si="165">CONCATENATE(MONTH(D373)," ",YEAR(D373))</f>
        <v>1 2026</v>
      </c>
      <c r="C373" s="122">
        <f>D369</f>
        <v>46022</v>
      </c>
      <c r="D373" s="122">
        <f>D369+1</f>
        <v>46023</v>
      </c>
      <c r="E373" s="123">
        <f>D373-C373</f>
        <v>1</v>
      </c>
      <c r="F373" s="123" t="s">
        <v>7</v>
      </c>
      <c r="G373" s="124">
        <f>G369</f>
        <v>2120000</v>
      </c>
      <c r="H373" s="125">
        <f>H369</f>
        <v>3.15E-2</v>
      </c>
      <c r="I373" s="297">
        <f>G373*H373*E373/360</f>
        <v>185.5</v>
      </c>
      <c r="J373" s="124">
        <f>I373</f>
        <v>185.5</v>
      </c>
      <c r="K373" s="9"/>
      <c r="L373" s="11" t="s">
        <v>192</v>
      </c>
      <c r="M373" s="306">
        <f>M369</f>
        <v>5000000</v>
      </c>
      <c r="N373" s="97">
        <f>N369</f>
        <v>3.9899999999999998E-2</v>
      </c>
      <c r="O373" s="421">
        <f>M373*N373*$E373/360</f>
        <v>554.16666666666663</v>
      </c>
      <c r="P373" s="304">
        <f>O373</f>
        <v>554.16666666666663</v>
      </c>
      <c r="Q373" s="307">
        <f>O373-M373*$H373*$E373/360</f>
        <v>116.66666666666663</v>
      </c>
      <c r="S373" s="11" t="s">
        <v>192</v>
      </c>
      <c r="T373" s="306">
        <f>T369</f>
        <v>5000000</v>
      </c>
      <c r="U373" s="97">
        <f>U369</f>
        <v>3.9199999999999999E-2</v>
      </c>
      <c r="V373" s="421">
        <f>T373*U373*$E373/360</f>
        <v>544.44444444444446</v>
      </c>
      <c r="W373" s="304">
        <f>V373</f>
        <v>544.44444444444446</v>
      </c>
      <c r="X373" s="307">
        <f t="shared" ref="X373:X403" si="166">V373-T373*$H373*$E373/360</f>
        <v>106.94444444444446</v>
      </c>
      <c r="Z373" s="11" t="s">
        <v>192</v>
      </c>
      <c r="AA373" s="306">
        <f>AA369</f>
        <v>10000000</v>
      </c>
      <c r="AB373" s="97">
        <f>AB369</f>
        <v>3.7499999999999999E-2</v>
      </c>
      <c r="AC373" s="421">
        <f>AA373*AB373*$E373/360</f>
        <v>1041.6666666666667</v>
      </c>
      <c r="AD373" s="304">
        <f>AC373</f>
        <v>1041.6666666666667</v>
      </c>
      <c r="AE373" s="307">
        <f>AC373-AA373*$H373*$E373/360</f>
        <v>166.66666666666674</v>
      </c>
      <c r="AG373" s="11" t="s">
        <v>192</v>
      </c>
      <c r="AH373" s="306">
        <f>AH369</f>
        <v>6000000</v>
      </c>
      <c r="AI373" s="97">
        <f>AI369</f>
        <v>3.73E-2</v>
      </c>
      <c r="AJ373" s="421">
        <f t="shared" ref="AJ373:AJ403" si="167">AH373*AI373*$E373/360</f>
        <v>621.66666666666663</v>
      </c>
      <c r="AK373" s="304">
        <f t="shared" ref="AK373:AK403" si="168">AJ373+AJ372</f>
        <v>621.66666666666663</v>
      </c>
      <c r="AL373" s="307">
        <f t="shared" ref="AL373:AL403" si="169">AJ373-AH373*$H373*$E373/360</f>
        <v>96.666666666666629</v>
      </c>
      <c r="AN373" s="304">
        <f>'codeis $'!AB373</f>
        <v>155872642.19999999</v>
      </c>
      <c r="AO373" s="340">
        <f>'codeis $'!AH373</f>
        <v>3.9437647784430686E-2</v>
      </c>
      <c r="AP373" s="304">
        <f>'codeis $'!AE373</f>
        <v>16242.599999964237</v>
      </c>
      <c r="AQ373" s="304">
        <f>'codeis $'!AK373</f>
        <v>16242.599999964237</v>
      </c>
      <c r="AR373" s="9"/>
      <c r="AS373" s="9"/>
      <c r="AT373" s="404">
        <v>1</v>
      </c>
      <c r="AU373" s="404" t="s">
        <v>32</v>
      </c>
      <c r="AV373" s="297">
        <v>37023532.840000004</v>
      </c>
      <c r="AW373" s="479">
        <f>AW369</f>
        <v>3.5000000000000003E-2</v>
      </c>
      <c r="AX373" s="404"/>
      <c r="AY373" s="301">
        <f t="shared" ref="AY373" si="170">(AV373*AW373*AT373/365)</f>
        <v>3550.2017791780827</v>
      </c>
      <c r="AZ373" s="301">
        <f t="shared" ref="AZ373:AZ403" si="171">AZ372+AY373</f>
        <v>3550.2017791780827</v>
      </c>
      <c r="BA373" s="301">
        <f>AY373-AV373*H373*AT373/360</f>
        <v>310.64265567808206</v>
      </c>
      <c r="BC373" s="124">
        <f>'MM $'!G373</f>
        <v>40102382</v>
      </c>
      <c r="BD373" s="139">
        <f>'MM $'!H373</f>
        <v>3.6932471106482984E-2</v>
      </c>
      <c r="BE373" s="431">
        <f>'MM $'!I373</f>
        <v>4114.1112903226203</v>
      </c>
      <c r="BF373" s="124">
        <f>'MM $'!L373</f>
        <v>605.15286532262007</v>
      </c>
      <c r="BH373" s="124">
        <f>'MM $'!N373</f>
        <v>40101956.880000003</v>
      </c>
      <c r="BI373" s="139">
        <f>'MM $'!P373</f>
        <v>3.6693347326196522E-2</v>
      </c>
      <c r="BJ373" s="431">
        <f>'MM $'!Q373</f>
        <v>4087.4306451611005</v>
      </c>
      <c r="BK373" s="124">
        <f>'MM $'!U373</f>
        <v>578.5094181610998</v>
      </c>
      <c r="BM373" s="124">
        <f>'MM $'!W373</f>
        <v>40102081.68</v>
      </c>
      <c r="BN373" s="139">
        <f>'MM $'!X373</f>
        <v>3.6869725161289814E-2</v>
      </c>
      <c r="BO373" s="431">
        <f>'MM $'!Y373</f>
        <v>4107.0909164922095</v>
      </c>
      <c r="BP373" s="124">
        <f>'MM $'!AB373</f>
        <v>598.15876949220956</v>
      </c>
      <c r="BR373" s="124">
        <f>'MM $'!AD373</f>
        <v>40103087.079999998</v>
      </c>
      <c r="BS373" s="139">
        <f>'MM $'!AE373</f>
        <v>3.7224545806451938E-2</v>
      </c>
      <c r="BT373" s="431">
        <f>'MM $'!AF373</f>
        <v>4146.7200055266412</v>
      </c>
      <c r="BU373" s="124">
        <f>'MM $'!AB373</f>
        <v>598.15876949220956</v>
      </c>
      <c r="BV373" s="439"/>
      <c r="BW373" s="120">
        <f>AV373+G373+M373+T373+AA373+AH373+AN373+BC373+BH373+BM373+BR373</f>
        <v>381425682.68000001</v>
      </c>
      <c r="BX373" s="121">
        <f>BX369</f>
        <v>3.5000000000000003E-2</v>
      </c>
      <c r="BY373" s="121">
        <f>(SUM((AW373*AV373),(H373*G373),(M373*N373),(T373*U373),(AA373*AB373),(AH373*AI373),(AN373*AO373),(BC373*BD373),(BH373*BI373),(BM373*BN373),(BR373*BS373))/BW373)</f>
        <v>3.7826716174531073E-2</v>
      </c>
      <c r="BZ373" s="120">
        <f>AY373+I373+O373+V373+AC373+AJ373+AP373+BE373+BJ373+BO373+BT373</f>
        <v>39195.599081089342</v>
      </c>
      <c r="CA373" s="120">
        <f>BA373+Q373+X373+AE373+AL373+AQ373+BF373+BK373+BP373+BU373</f>
        <v>19420.166922554901</v>
      </c>
    </row>
    <row r="374" spans="2:79" x14ac:dyDescent="0.25">
      <c r="B374" s="123" t="str">
        <f t="shared" si="165"/>
        <v>1 2026</v>
      </c>
      <c r="C374" s="122">
        <f>D373</f>
        <v>46023</v>
      </c>
      <c r="D374" s="122">
        <f>D373+1</f>
        <v>46024</v>
      </c>
      <c r="E374" s="123">
        <f t="shared" ref="E374:E403" si="172">D374-C374</f>
        <v>1</v>
      </c>
      <c r="F374" s="123" t="s">
        <v>7</v>
      </c>
      <c r="G374" s="124">
        <f t="shared" ref="G374:H375" si="173">G373</f>
        <v>2120000</v>
      </c>
      <c r="H374" s="125">
        <f t="shared" si="173"/>
        <v>3.15E-2</v>
      </c>
      <c r="I374" s="297">
        <f t="shared" ref="I374:I403" si="174">G374*H374*E374/360</f>
        <v>185.5</v>
      </c>
      <c r="J374" s="124">
        <f>J373+I374</f>
        <v>371</v>
      </c>
      <c r="K374" s="9"/>
      <c r="L374" s="11" t="s">
        <v>192</v>
      </c>
      <c r="M374" s="306">
        <f t="shared" ref="M374:N388" si="175">M373</f>
        <v>5000000</v>
      </c>
      <c r="N374" s="97">
        <f t="shared" si="175"/>
        <v>3.9899999999999998E-2</v>
      </c>
      <c r="O374" s="421">
        <f>M374*N374*$E374/360</f>
        <v>554.16666666666663</v>
      </c>
      <c r="P374" s="304">
        <f>P373+O374</f>
        <v>1108.3333333333333</v>
      </c>
      <c r="Q374" s="307">
        <f t="shared" ref="Q374:Q403" si="176">O374-M374*$H374*$E374/360</f>
        <v>116.66666666666663</v>
      </c>
      <c r="S374" s="11" t="s">
        <v>192</v>
      </c>
      <c r="T374" s="306">
        <f>T373</f>
        <v>5000000</v>
      </c>
      <c r="U374" s="97">
        <f t="shared" ref="T374:U388" si="177">U373</f>
        <v>3.9199999999999999E-2</v>
      </c>
      <c r="V374" s="421">
        <f t="shared" ref="V374:V403" si="178">T374*U374*$E374/360</f>
        <v>544.44444444444446</v>
      </c>
      <c r="W374" s="304">
        <f>W373+V374</f>
        <v>1088.8888888888889</v>
      </c>
      <c r="X374" s="307">
        <f t="shared" si="166"/>
        <v>106.94444444444446</v>
      </c>
      <c r="Z374" s="11" t="s">
        <v>192</v>
      </c>
      <c r="AA374" s="306">
        <f t="shared" ref="AA374:AB388" si="179">AA373</f>
        <v>10000000</v>
      </c>
      <c r="AB374" s="97">
        <f t="shared" si="179"/>
        <v>3.7499999999999999E-2</v>
      </c>
      <c r="AC374" s="421">
        <f t="shared" ref="AC374:AC403" si="180">AA374*AB374*$E374/360</f>
        <v>1041.6666666666667</v>
      </c>
      <c r="AD374" s="304">
        <f>AD373+AC374</f>
        <v>2083.3333333333335</v>
      </c>
      <c r="AE374" s="307">
        <f>AC374-AA374*$H374*$E374/360</f>
        <v>166.66666666666674</v>
      </c>
      <c r="AG374" s="11" t="s">
        <v>192</v>
      </c>
      <c r="AH374" s="306">
        <f t="shared" ref="AH374:AI388" si="181">AH373</f>
        <v>6000000</v>
      </c>
      <c r="AI374" s="97">
        <f t="shared" si="181"/>
        <v>3.73E-2</v>
      </c>
      <c r="AJ374" s="421">
        <f t="shared" si="167"/>
        <v>621.66666666666663</v>
      </c>
      <c r="AK374" s="304">
        <f t="shared" si="168"/>
        <v>1243.3333333333333</v>
      </c>
      <c r="AL374" s="307">
        <f t="shared" si="169"/>
        <v>96.666666666666629</v>
      </c>
      <c r="AN374" s="304">
        <f>'codeis $'!AB374</f>
        <v>155872642.19999999</v>
      </c>
      <c r="AO374" s="340">
        <f>'codeis $'!AH374</f>
        <v>3.7785439798733833E-2</v>
      </c>
      <c r="AP374" s="304">
        <f>'codeis $'!AE374</f>
        <v>0</v>
      </c>
      <c r="AQ374" s="304">
        <f>'codeis $'!AK374</f>
        <v>-13494.780932500002</v>
      </c>
      <c r="AR374" s="9"/>
      <c r="AS374" s="9"/>
      <c r="AT374" s="123">
        <v>1</v>
      </c>
      <c r="AU374" s="123" t="s">
        <v>32</v>
      </c>
      <c r="AV374" s="124">
        <v>37023532.840000004</v>
      </c>
      <c r="AW374" s="139">
        <v>3.5000000000000003E-2</v>
      </c>
      <c r="AX374" s="123"/>
      <c r="AY374" s="140">
        <f t="shared" ref="AY374:AY403" si="182">AV374*AW374*AT374/365</f>
        <v>3550.2017791780827</v>
      </c>
      <c r="AZ374" s="140">
        <f t="shared" si="171"/>
        <v>7100.4035583561654</v>
      </c>
      <c r="BA374" s="140">
        <f t="shared" ref="BA374:BA403" si="183">AY374-AV374*H374*AT374/360</f>
        <v>310.64265567808206</v>
      </c>
      <c r="BC374" s="124">
        <f>'MM $'!G374</f>
        <v>40229919.450000003</v>
      </c>
      <c r="BD374" s="139">
        <f>'MM $'!H374</f>
        <v>3.5862108320285337E-2</v>
      </c>
      <c r="BE374" s="431">
        <f>'MM $'!I374</f>
        <v>4007.5825806451503</v>
      </c>
      <c r="BF374" s="124">
        <f>'MM $'!L374</f>
        <v>487.46462877015028</v>
      </c>
      <c r="BH374" s="124">
        <f>'MM $'!N374</f>
        <v>40228667.229999997</v>
      </c>
      <c r="BI374" s="139">
        <f>'MM $'!P374</f>
        <v>3.5670240000000006E-2</v>
      </c>
      <c r="BJ374" s="431">
        <f>'MM $'!Q374</f>
        <v>3986.0172638173203</v>
      </c>
      <c r="BK374" s="124">
        <f>'MM $'!U374</f>
        <v>466.00888119232059</v>
      </c>
      <c r="BM374" s="124">
        <f>'MM $'!W374</f>
        <v>40229401.498411261</v>
      </c>
      <c r="BN374" s="139">
        <f>'MM $'!X374</f>
        <v>3.5809455303371117E-2</v>
      </c>
      <c r="BO374" s="431">
        <f>'MM $'!Y374</f>
        <v>4001.6470967742471</v>
      </c>
      <c r="BP374" s="124">
        <f>'MM $'!AB374</f>
        <v>481.57446566326189</v>
      </c>
      <c r="BR374" s="124">
        <f>'MM $'!AD374</f>
        <v>40231635.400171325</v>
      </c>
      <c r="BS374" s="139">
        <f>'MM $'!AE374</f>
        <v>3.6136742730033262E-2</v>
      </c>
      <c r="BT374" s="431">
        <f>'MM $'!AF374</f>
        <v>4038.4451612902503</v>
      </c>
      <c r="BU374" s="124">
        <f>'MM $'!AB374</f>
        <v>481.57446566326189</v>
      </c>
      <c r="BV374" s="439"/>
      <c r="BW374" s="120">
        <f t="shared" ref="BW374:BW404" si="184">AV374+G374+M374+T374+AA374+AH374+AN374+BC374+BH374+BM374+BR374</f>
        <v>381935798.61858261</v>
      </c>
      <c r="BX374" s="121">
        <f t="shared" ref="BX374:BX436" si="185">BX373</f>
        <v>3.5000000000000003E-2</v>
      </c>
      <c r="BY374" s="121">
        <f t="shared" ref="BY374:BY437" si="186">(SUM((AW374*AV374),(H374*G374),(M374*N374),(T374*U374),(AA374*AB374),(AH374*AI374),(AN374*AO374),(BC374*BD374),(BH374*BI374),(BM374*BN374),(BR374*BS374))/BW374)</f>
        <v>3.6704464978490031E-2</v>
      </c>
      <c r="BZ374" s="120">
        <f t="shared" ref="BZ374:BZ404" si="187">AY374+I374+O374+V374+AC374+AJ374+AP374+BE374+BJ374+BO374+BT374</f>
        <v>22531.338326149496</v>
      </c>
      <c r="CA374" s="120">
        <f t="shared" ref="CA374:CA404" si="188">BA374+Q374+X374+AE374+AL374+AQ374+BF374+BK374+BP374+BU374</f>
        <v>-10780.571391088481</v>
      </c>
    </row>
    <row r="375" spans="2:79" x14ac:dyDescent="0.25">
      <c r="B375" s="123" t="str">
        <f t="shared" si="165"/>
        <v>1 2026</v>
      </c>
      <c r="C375" s="122">
        <f t="shared" ref="C375:C403" si="189">D374</f>
        <v>46024</v>
      </c>
      <c r="D375" s="122">
        <f t="shared" ref="D375:D438" si="190">D374+1</f>
        <v>46025</v>
      </c>
      <c r="E375" s="123">
        <f t="shared" si="172"/>
        <v>1</v>
      </c>
      <c r="F375" s="123" t="s">
        <v>7</v>
      </c>
      <c r="G375" s="124">
        <f t="shared" ref="G375" si="191">G374</f>
        <v>2120000</v>
      </c>
      <c r="H375" s="125">
        <f t="shared" si="173"/>
        <v>3.15E-2</v>
      </c>
      <c r="I375" s="297">
        <f t="shared" si="174"/>
        <v>185.5</v>
      </c>
      <c r="J375" s="124">
        <f>J374+I375</f>
        <v>556.5</v>
      </c>
      <c r="K375" s="9"/>
      <c r="L375" s="11" t="s">
        <v>192</v>
      </c>
      <c r="M375" s="306">
        <f t="shared" si="175"/>
        <v>5000000</v>
      </c>
      <c r="N375" s="97">
        <f t="shared" si="175"/>
        <v>3.9899999999999998E-2</v>
      </c>
      <c r="O375" s="421">
        <f t="shared" ref="O375:O403" si="192">M375*N375*$E375/360</f>
        <v>554.16666666666663</v>
      </c>
      <c r="P375" s="304">
        <f t="shared" ref="P375:P403" si="193">P374+O375</f>
        <v>1662.5</v>
      </c>
      <c r="Q375" s="307">
        <f t="shared" si="176"/>
        <v>116.66666666666663</v>
      </c>
      <c r="S375" s="11" t="s">
        <v>192</v>
      </c>
      <c r="T375" s="306">
        <f t="shared" si="177"/>
        <v>5000000</v>
      </c>
      <c r="U375" s="97">
        <f t="shared" si="177"/>
        <v>3.9199999999999999E-2</v>
      </c>
      <c r="V375" s="421">
        <f t="shared" si="178"/>
        <v>544.44444444444446</v>
      </c>
      <c r="W375" s="304">
        <f t="shared" ref="W375:W403" si="194">W374+V375</f>
        <v>1633.3333333333335</v>
      </c>
      <c r="X375" s="307">
        <f t="shared" si="166"/>
        <v>106.94444444444446</v>
      </c>
      <c r="Z375" s="11" t="s">
        <v>192</v>
      </c>
      <c r="AA375" s="306">
        <f t="shared" si="179"/>
        <v>10000000</v>
      </c>
      <c r="AB375" s="97">
        <f t="shared" si="179"/>
        <v>3.7499999999999999E-2</v>
      </c>
      <c r="AC375" s="421">
        <f t="shared" si="180"/>
        <v>1041.6666666666667</v>
      </c>
      <c r="AD375" s="304">
        <f t="shared" ref="AD375:AD403" si="195">AD374+AC375</f>
        <v>3125</v>
      </c>
      <c r="AE375" s="307">
        <f t="shared" ref="AE375:AE403" si="196">AC375-AA375*$H375*$E375/360</f>
        <v>166.66666666666674</v>
      </c>
      <c r="AG375" s="11" t="s">
        <v>192</v>
      </c>
      <c r="AH375" s="306">
        <f t="shared" si="181"/>
        <v>6000000</v>
      </c>
      <c r="AI375" s="97">
        <f t="shared" si="181"/>
        <v>3.73E-2</v>
      </c>
      <c r="AJ375" s="421">
        <f t="shared" si="167"/>
        <v>621.66666666666663</v>
      </c>
      <c r="AK375" s="304">
        <f t="shared" si="168"/>
        <v>1243.3333333333333</v>
      </c>
      <c r="AL375" s="307">
        <f t="shared" si="169"/>
        <v>96.666666666666629</v>
      </c>
      <c r="AN375" s="304">
        <f>'codeis $'!AB375</f>
        <v>155906190</v>
      </c>
      <c r="AO375" s="340">
        <f>'codeis $'!AH375</f>
        <v>3.7785439798733833E-2</v>
      </c>
      <c r="AP375" s="304">
        <f>'codeis $'!AE375</f>
        <v>33547.800000011921</v>
      </c>
      <c r="AQ375" s="304">
        <f>'codeis $'!AK375</f>
        <v>20053.019067511919</v>
      </c>
      <c r="AR375" s="9"/>
      <c r="AS375" s="9"/>
      <c r="AT375" s="123">
        <v>1</v>
      </c>
      <c r="AU375" s="123" t="s">
        <v>32</v>
      </c>
      <c r="AV375" s="124">
        <v>37030850.649999999</v>
      </c>
      <c r="AW375" s="139">
        <v>3.5000000000000003E-2</v>
      </c>
      <c r="AX375" s="123"/>
      <c r="AY375" s="140">
        <f t="shared" si="182"/>
        <v>3550.9034869863012</v>
      </c>
      <c r="AZ375" s="140">
        <f t="shared" si="171"/>
        <v>10651.307045342466</v>
      </c>
      <c r="BA375" s="140">
        <f t="shared" si="183"/>
        <v>310.70405511130093</v>
      </c>
      <c r="BC375" s="124">
        <f>'MM $'!G375</f>
        <v>40229919.450000003</v>
      </c>
      <c r="BD375" s="139">
        <f>'MM $'!H375</f>
        <v>3.5862108320285337E-2</v>
      </c>
      <c r="BE375" s="431">
        <f>'MM $'!I375</f>
        <v>4007.5825806451503</v>
      </c>
      <c r="BF375" s="124">
        <f>'MM $'!L375</f>
        <v>487.46462877015028</v>
      </c>
      <c r="BH375" s="124">
        <f>'MM $'!N375</f>
        <v>40228667.229999997</v>
      </c>
      <c r="BI375" s="139">
        <f>'MM $'!P375</f>
        <v>3.5670240000000006E-2</v>
      </c>
      <c r="BJ375" s="431">
        <f>'MM $'!Q375</f>
        <v>3986.0172638173203</v>
      </c>
      <c r="BK375" s="124">
        <f>'MM $'!U375</f>
        <v>466.00888119232059</v>
      </c>
      <c r="BM375" s="124">
        <f>'MM $'!W375</f>
        <v>40229401.498411261</v>
      </c>
      <c r="BN375" s="139">
        <f>'MM $'!X375</f>
        <v>3.5809455303371117E-2</v>
      </c>
      <c r="BO375" s="431">
        <f>'MM $'!Y375</f>
        <v>4001.6470967742471</v>
      </c>
      <c r="BP375" s="124">
        <f>'MM $'!AB375</f>
        <v>481.57446566326189</v>
      </c>
      <c r="BR375" s="124">
        <f>'MM $'!AD375</f>
        <v>40231635.400171325</v>
      </c>
      <c r="BS375" s="139">
        <f>'MM $'!AE375</f>
        <v>3.6136742730033262E-2</v>
      </c>
      <c r="BT375" s="431">
        <f>'MM $'!AF375</f>
        <v>4038.4451612902503</v>
      </c>
      <c r="BU375" s="124">
        <f>'MM $'!AB375</f>
        <v>481.57446566326189</v>
      </c>
      <c r="BV375" s="439"/>
      <c r="BW375" s="120">
        <f t="shared" si="184"/>
        <v>381976664.22858262</v>
      </c>
      <c r="BX375" s="121">
        <f t="shared" si="185"/>
        <v>3.5000000000000003E-2</v>
      </c>
      <c r="BY375" s="121">
        <f t="shared" si="186"/>
        <v>3.6704527263384468E-2</v>
      </c>
      <c r="BZ375" s="120">
        <f t="shared" si="187"/>
        <v>56079.840033969631</v>
      </c>
      <c r="CA375" s="120">
        <f t="shared" si="188"/>
        <v>22767.29000835666</v>
      </c>
    </row>
    <row r="376" spans="2:79" x14ac:dyDescent="0.25">
      <c r="B376" s="123" t="str">
        <f t="shared" si="165"/>
        <v>1 2026</v>
      </c>
      <c r="C376" s="122">
        <f t="shared" si="189"/>
        <v>46025</v>
      </c>
      <c r="D376" s="122">
        <f t="shared" si="190"/>
        <v>46026</v>
      </c>
      <c r="E376" s="123">
        <f t="shared" si="172"/>
        <v>1</v>
      </c>
      <c r="F376" s="123" t="s">
        <v>7</v>
      </c>
      <c r="G376" s="124">
        <f t="shared" ref="G376" si="197">G375</f>
        <v>2120000</v>
      </c>
      <c r="H376" s="125">
        <f t="shared" ref="H376" si="198">H375</f>
        <v>3.15E-2</v>
      </c>
      <c r="I376" s="297">
        <f t="shared" si="174"/>
        <v>185.5</v>
      </c>
      <c r="J376" s="124">
        <f t="shared" ref="J376:J403" si="199">J375+I376</f>
        <v>742</v>
      </c>
      <c r="K376" s="9"/>
      <c r="L376" s="11" t="s">
        <v>192</v>
      </c>
      <c r="M376" s="306">
        <f t="shared" si="175"/>
        <v>5000000</v>
      </c>
      <c r="N376" s="97">
        <f t="shared" si="175"/>
        <v>3.9899999999999998E-2</v>
      </c>
      <c r="O376" s="421">
        <f t="shared" si="192"/>
        <v>554.16666666666663</v>
      </c>
      <c r="P376" s="304">
        <f t="shared" si="193"/>
        <v>2216.6666666666665</v>
      </c>
      <c r="Q376" s="307">
        <f t="shared" si="176"/>
        <v>116.66666666666663</v>
      </c>
      <c r="S376" s="11" t="s">
        <v>192</v>
      </c>
      <c r="T376" s="306">
        <f t="shared" si="177"/>
        <v>5000000</v>
      </c>
      <c r="U376" s="97">
        <f t="shared" si="177"/>
        <v>3.9199999999999999E-2</v>
      </c>
      <c r="V376" s="421">
        <f t="shared" si="178"/>
        <v>544.44444444444446</v>
      </c>
      <c r="W376" s="304">
        <f t="shared" si="194"/>
        <v>2177.7777777777778</v>
      </c>
      <c r="X376" s="307">
        <f t="shared" si="166"/>
        <v>106.94444444444446</v>
      </c>
      <c r="Z376" s="11" t="s">
        <v>192</v>
      </c>
      <c r="AA376" s="306">
        <f t="shared" si="179"/>
        <v>10000000</v>
      </c>
      <c r="AB376" s="97">
        <f t="shared" si="179"/>
        <v>3.7499999999999999E-2</v>
      </c>
      <c r="AC376" s="421">
        <f t="shared" si="180"/>
        <v>1041.6666666666667</v>
      </c>
      <c r="AD376" s="304">
        <f t="shared" si="195"/>
        <v>4166.666666666667</v>
      </c>
      <c r="AE376" s="307">
        <f t="shared" si="196"/>
        <v>166.66666666666674</v>
      </c>
      <c r="AG376" s="11" t="s">
        <v>192</v>
      </c>
      <c r="AH376" s="306">
        <f t="shared" si="181"/>
        <v>6000000</v>
      </c>
      <c r="AI376" s="97">
        <f t="shared" si="181"/>
        <v>3.73E-2</v>
      </c>
      <c r="AJ376" s="421">
        <f t="shared" si="167"/>
        <v>621.66666666666663</v>
      </c>
      <c r="AK376" s="304">
        <f t="shared" si="168"/>
        <v>1243.3333333333333</v>
      </c>
      <c r="AL376" s="307">
        <f t="shared" si="169"/>
        <v>96.666666666666629</v>
      </c>
      <c r="AN376" s="304">
        <f>'codeis $'!AB376</f>
        <v>155906190</v>
      </c>
      <c r="AO376" s="340">
        <f>'codeis $'!AH376</f>
        <v>3.7785439798733833E-2</v>
      </c>
      <c r="AP376" s="304">
        <f>'codeis $'!AE376</f>
        <v>0</v>
      </c>
      <c r="AQ376" s="304">
        <f>'codeis $'!AK376</f>
        <v>-13494.780932500002</v>
      </c>
      <c r="AR376" s="9"/>
      <c r="AS376" s="9"/>
      <c r="AT376" s="123">
        <v>1</v>
      </c>
      <c r="AU376" s="123" t="s">
        <v>32</v>
      </c>
      <c r="AV376" s="124">
        <v>37030850.649999999</v>
      </c>
      <c r="AW376" s="139">
        <v>3.5000000000000003E-2</v>
      </c>
      <c r="AX376" s="123"/>
      <c r="AY376" s="140">
        <f t="shared" si="182"/>
        <v>3550.9034869863012</v>
      </c>
      <c r="AZ376" s="140">
        <f t="shared" si="171"/>
        <v>14202.210532328767</v>
      </c>
      <c r="BA376" s="140">
        <f t="shared" si="183"/>
        <v>310.70405511130093</v>
      </c>
      <c r="BC376" s="124">
        <f>'MM $'!G376</f>
        <v>40229919.450000003</v>
      </c>
      <c r="BD376" s="139">
        <f>'MM $'!H376</f>
        <v>3.5862108320285337E-2</v>
      </c>
      <c r="BE376" s="431">
        <f>'MM $'!I376</f>
        <v>4007.5825806451503</v>
      </c>
      <c r="BF376" s="124">
        <f>'MM $'!L376</f>
        <v>487.46462877015028</v>
      </c>
      <c r="BH376" s="124">
        <f>'MM $'!N376</f>
        <v>40228667.229999997</v>
      </c>
      <c r="BI376" s="139">
        <f>'MM $'!P376</f>
        <v>3.5670240000000006E-2</v>
      </c>
      <c r="BJ376" s="431">
        <f>'MM $'!Q376</f>
        <v>3986.0172638173203</v>
      </c>
      <c r="BK376" s="124">
        <f>'MM $'!U376</f>
        <v>466.00888119232059</v>
      </c>
      <c r="BM376" s="124">
        <f>'MM $'!W376</f>
        <v>40229401.498411261</v>
      </c>
      <c r="BN376" s="139">
        <f>'MM $'!X376</f>
        <v>3.5809455303371117E-2</v>
      </c>
      <c r="BO376" s="431">
        <f>'MM $'!Y376</f>
        <v>4001.6470967742471</v>
      </c>
      <c r="BP376" s="124">
        <f>'MM $'!AB376</f>
        <v>481.57446566326189</v>
      </c>
      <c r="BR376" s="124">
        <f>'MM $'!AD376</f>
        <v>40231635.400171325</v>
      </c>
      <c r="BS376" s="139">
        <f>'MM $'!AE376</f>
        <v>3.6136742730033262E-2</v>
      </c>
      <c r="BT376" s="431">
        <f>'MM $'!AF376</f>
        <v>4038.4451612902503</v>
      </c>
      <c r="BU376" s="124">
        <f>'MM $'!AB376</f>
        <v>481.57446566326189</v>
      </c>
      <c r="BV376" s="439"/>
      <c r="BW376" s="120">
        <f t="shared" si="184"/>
        <v>381976664.22858262</v>
      </c>
      <c r="BX376" s="121">
        <f t="shared" si="185"/>
        <v>3.5000000000000003E-2</v>
      </c>
      <c r="BY376" s="121">
        <f t="shared" si="186"/>
        <v>3.6704527263384468E-2</v>
      </c>
      <c r="BZ376" s="120">
        <f t="shared" si="187"/>
        <v>22532.040033957717</v>
      </c>
      <c r="CA376" s="120">
        <f t="shared" si="188"/>
        <v>-10780.509991655261</v>
      </c>
    </row>
    <row r="377" spans="2:79" x14ac:dyDescent="0.25">
      <c r="B377" s="123" t="str">
        <f t="shared" si="165"/>
        <v>1 2026</v>
      </c>
      <c r="C377" s="122">
        <f t="shared" si="189"/>
        <v>46026</v>
      </c>
      <c r="D377" s="122">
        <f t="shared" si="190"/>
        <v>46027</v>
      </c>
      <c r="E377" s="123">
        <f t="shared" si="172"/>
        <v>1</v>
      </c>
      <c r="F377" s="123" t="s">
        <v>7</v>
      </c>
      <c r="G377" s="124">
        <f t="shared" ref="G377" si="200">G376</f>
        <v>2120000</v>
      </c>
      <c r="H377" s="125">
        <f t="shared" ref="H377" si="201">H376</f>
        <v>3.15E-2</v>
      </c>
      <c r="I377" s="297">
        <f t="shared" si="174"/>
        <v>185.5</v>
      </c>
      <c r="J377" s="124">
        <f t="shared" si="199"/>
        <v>927.5</v>
      </c>
      <c r="K377" s="9"/>
      <c r="L377" s="11" t="s">
        <v>192</v>
      </c>
      <c r="M377" s="306">
        <f t="shared" si="175"/>
        <v>5000000</v>
      </c>
      <c r="N377" s="97">
        <f t="shared" si="175"/>
        <v>3.9899999999999998E-2</v>
      </c>
      <c r="O377" s="421">
        <f t="shared" si="192"/>
        <v>554.16666666666663</v>
      </c>
      <c r="P377" s="304">
        <f t="shared" si="193"/>
        <v>2770.833333333333</v>
      </c>
      <c r="Q377" s="307">
        <f t="shared" si="176"/>
        <v>116.66666666666663</v>
      </c>
      <c r="S377" s="11" t="s">
        <v>192</v>
      </c>
      <c r="T377" s="306">
        <f t="shared" si="177"/>
        <v>5000000</v>
      </c>
      <c r="U377" s="97">
        <f t="shared" si="177"/>
        <v>3.9199999999999999E-2</v>
      </c>
      <c r="V377" s="421">
        <f t="shared" si="178"/>
        <v>544.44444444444446</v>
      </c>
      <c r="W377" s="304">
        <f t="shared" si="194"/>
        <v>2722.2222222222222</v>
      </c>
      <c r="X377" s="307">
        <f t="shared" si="166"/>
        <v>106.94444444444446</v>
      </c>
      <c r="Z377" s="11" t="s">
        <v>192</v>
      </c>
      <c r="AA377" s="306">
        <f t="shared" si="179"/>
        <v>10000000</v>
      </c>
      <c r="AB377" s="97">
        <f t="shared" si="179"/>
        <v>3.7499999999999999E-2</v>
      </c>
      <c r="AC377" s="421">
        <f t="shared" si="180"/>
        <v>1041.6666666666667</v>
      </c>
      <c r="AD377" s="304">
        <f t="shared" si="195"/>
        <v>5208.3333333333339</v>
      </c>
      <c r="AE377" s="307">
        <f t="shared" si="196"/>
        <v>166.66666666666674</v>
      </c>
      <c r="AG377" s="11" t="s">
        <v>192</v>
      </c>
      <c r="AH377" s="306">
        <f t="shared" si="181"/>
        <v>6000000</v>
      </c>
      <c r="AI377" s="97">
        <f t="shared" si="181"/>
        <v>3.73E-2</v>
      </c>
      <c r="AJ377" s="421">
        <f t="shared" si="167"/>
        <v>621.66666666666663</v>
      </c>
      <c r="AK377" s="304">
        <f t="shared" si="168"/>
        <v>1243.3333333333333</v>
      </c>
      <c r="AL377" s="307">
        <f t="shared" si="169"/>
        <v>96.666666666666629</v>
      </c>
      <c r="AN377" s="304">
        <f>'codeis $'!AB377</f>
        <v>155906190</v>
      </c>
      <c r="AO377" s="340">
        <f>'codeis $'!AH377</f>
        <v>3.7785439798733833E-2</v>
      </c>
      <c r="AP377" s="304">
        <f>'codeis $'!AE377</f>
        <v>0</v>
      </c>
      <c r="AQ377" s="304">
        <f>'codeis $'!AK377</f>
        <v>-13494.780932500002</v>
      </c>
      <c r="AR377" s="9"/>
      <c r="AS377" s="9"/>
      <c r="AT377" s="123">
        <v>1</v>
      </c>
      <c r="AU377" s="123" t="s">
        <v>32</v>
      </c>
      <c r="AV377" s="124">
        <v>37030850.649999999</v>
      </c>
      <c r="AW377" s="139">
        <v>3.5000000000000003E-2</v>
      </c>
      <c r="AX377" s="123"/>
      <c r="AY377" s="140">
        <f t="shared" si="182"/>
        <v>3550.9034869863012</v>
      </c>
      <c r="AZ377" s="140">
        <f t="shared" si="171"/>
        <v>17753.114019315068</v>
      </c>
      <c r="BA377" s="140">
        <f t="shared" si="183"/>
        <v>310.70405511130093</v>
      </c>
      <c r="BC377" s="124">
        <f>'MM $'!G377</f>
        <v>40229919.450000003</v>
      </c>
      <c r="BD377" s="139">
        <f>'MM $'!H377</f>
        <v>3.5862108320285337E-2</v>
      </c>
      <c r="BE377" s="431">
        <f>'MM $'!I377</f>
        <v>4007.5825806451503</v>
      </c>
      <c r="BF377" s="124">
        <f>'MM $'!L377</f>
        <v>487.46462877015028</v>
      </c>
      <c r="BH377" s="124">
        <f>'MM $'!N377</f>
        <v>40228667.229999997</v>
      </c>
      <c r="BI377" s="139">
        <f>'MM $'!P377</f>
        <v>3.5670240000000006E-2</v>
      </c>
      <c r="BJ377" s="431">
        <f>'MM $'!Q377</f>
        <v>3986.0172638173203</v>
      </c>
      <c r="BK377" s="124">
        <f>'MM $'!U377</f>
        <v>466.00888119232059</v>
      </c>
      <c r="BM377" s="124">
        <f>'MM $'!W377</f>
        <v>40229401.498411261</v>
      </c>
      <c r="BN377" s="139">
        <f>'MM $'!X377</f>
        <v>3.5809455303371117E-2</v>
      </c>
      <c r="BO377" s="431">
        <f>'MM $'!Y377</f>
        <v>4001.6470967742471</v>
      </c>
      <c r="BP377" s="124">
        <f>'MM $'!AB377</f>
        <v>481.57446566326189</v>
      </c>
      <c r="BR377" s="124">
        <f>'MM $'!AD377</f>
        <v>40231635.400171325</v>
      </c>
      <c r="BS377" s="139">
        <f>'MM $'!AE377</f>
        <v>3.6136742730033262E-2</v>
      </c>
      <c r="BT377" s="431">
        <f>'MM $'!AF377</f>
        <v>4038.4451612902503</v>
      </c>
      <c r="BU377" s="124">
        <f>'MM $'!AB377</f>
        <v>481.57446566326189</v>
      </c>
      <c r="BV377" s="439"/>
      <c r="BW377" s="120">
        <f t="shared" si="184"/>
        <v>381976664.22858262</v>
      </c>
      <c r="BX377" s="121">
        <f t="shared" si="185"/>
        <v>3.5000000000000003E-2</v>
      </c>
      <c r="BY377" s="121">
        <f t="shared" si="186"/>
        <v>3.6704527263384468E-2</v>
      </c>
      <c r="BZ377" s="120">
        <f t="shared" si="187"/>
        <v>22532.040033957717</v>
      </c>
      <c r="CA377" s="120">
        <f t="shared" si="188"/>
        <v>-10780.509991655261</v>
      </c>
    </row>
    <row r="378" spans="2:79" x14ac:dyDescent="0.25">
      <c r="B378" s="123" t="str">
        <f t="shared" si="165"/>
        <v>1 2026</v>
      </c>
      <c r="C378" s="122">
        <f t="shared" si="189"/>
        <v>46027</v>
      </c>
      <c r="D378" s="122">
        <f t="shared" si="190"/>
        <v>46028</v>
      </c>
      <c r="E378" s="123">
        <f t="shared" si="172"/>
        <v>1</v>
      </c>
      <c r="F378" s="123" t="s">
        <v>7</v>
      </c>
      <c r="G378" s="126">
        <f>G377+210000</f>
        <v>2330000</v>
      </c>
      <c r="H378" s="125">
        <f t="shared" ref="H378" si="202">H377</f>
        <v>3.15E-2</v>
      </c>
      <c r="I378" s="297">
        <f t="shared" si="174"/>
        <v>203.875</v>
      </c>
      <c r="J378" s="124">
        <f t="shared" si="199"/>
        <v>1131.375</v>
      </c>
      <c r="K378" s="9"/>
      <c r="L378" s="11" t="s">
        <v>192</v>
      </c>
      <c r="M378" s="306">
        <f t="shared" si="175"/>
        <v>5000000</v>
      </c>
      <c r="N378" s="97">
        <f t="shared" si="175"/>
        <v>3.9899999999999998E-2</v>
      </c>
      <c r="O378" s="421">
        <f t="shared" si="192"/>
        <v>554.16666666666663</v>
      </c>
      <c r="P378" s="304">
        <f t="shared" si="193"/>
        <v>3324.9999999999995</v>
      </c>
      <c r="Q378" s="307">
        <f t="shared" si="176"/>
        <v>116.66666666666663</v>
      </c>
      <c r="S378" s="11" t="s">
        <v>192</v>
      </c>
      <c r="T378" s="306">
        <f t="shared" si="177"/>
        <v>5000000</v>
      </c>
      <c r="U378" s="97">
        <f t="shared" si="177"/>
        <v>3.9199999999999999E-2</v>
      </c>
      <c r="V378" s="421">
        <f t="shared" si="178"/>
        <v>544.44444444444446</v>
      </c>
      <c r="W378" s="304">
        <f t="shared" si="194"/>
        <v>3266.6666666666665</v>
      </c>
      <c r="X378" s="307">
        <f t="shared" si="166"/>
        <v>106.94444444444446</v>
      </c>
      <c r="Z378" s="11" t="s">
        <v>192</v>
      </c>
      <c r="AA378" s="306">
        <f t="shared" si="179"/>
        <v>10000000</v>
      </c>
      <c r="AB378" s="97">
        <f t="shared" si="179"/>
        <v>3.7499999999999999E-2</v>
      </c>
      <c r="AC378" s="421">
        <f t="shared" si="180"/>
        <v>1041.6666666666667</v>
      </c>
      <c r="AD378" s="304">
        <f t="shared" si="195"/>
        <v>6250.0000000000009</v>
      </c>
      <c r="AE378" s="307">
        <f t="shared" si="196"/>
        <v>166.66666666666674</v>
      </c>
      <c r="AG378" s="11" t="s">
        <v>192</v>
      </c>
      <c r="AH378" s="306">
        <f t="shared" si="181"/>
        <v>6000000</v>
      </c>
      <c r="AI378" s="97">
        <f t="shared" si="181"/>
        <v>3.73E-2</v>
      </c>
      <c r="AJ378" s="421">
        <f t="shared" si="167"/>
        <v>621.66666666666663</v>
      </c>
      <c r="AK378" s="304">
        <f t="shared" si="168"/>
        <v>1243.3333333333333</v>
      </c>
      <c r="AL378" s="307">
        <f t="shared" si="169"/>
        <v>96.666666666666629</v>
      </c>
      <c r="AN378" s="304">
        <f>'codeis $'!AB378</f>
        <v>155955676.80000001</v>
      </c>
      <c r="AO378" s="340">
        <f>'codeis $'!AH378</f>
        <v>3.7785439798733833E-2</v>
      </c>
      <c r="AP378" s="304">
        <f>'codeis $'!AE378</f>
        <v>49486.800000011921</v>
      </c>
      <c r="AQ378" s="304">
        <f>'codeis $'!AK378</f>
        <v>35992.019067511923</v>
      </c>
      <c r="AR378" s="9"/>
      <c r="AS378" s="9"/>
      <c r="AT378" s="123">
        <v>1</v>
      </c>
      <c r="AU378" s="123" t="s">
        <v>32</v>
      </c>
      <c r="AV378" s="124">
        <v>37024928.710000001</v>
      </c>
      <c r="AW378" s="139">
        <v>3.5000000000000003E-2</v>
      </c>
      <c r="AX378" s="123"/>
      <c r="AY378" s="140">
        <f t="shared" si="182"/>
        <v>3550.3356297260279</v>
      </c>
      <c r="AZ378" s="140">
        <f t="shared" si="171"/>
        <v>21303.449649041097</v>
      </c>
      <c r="BA378" s="140">
        <f t="shared" si="183"/>
        <v>310.6543676010283</v>
      </c>
      <c r="BC378" s="124">
        <f>'MM $'!G378</f>
        <v>40229919.450000003</v>
      </c>
      <c r="BD378" s="139">
        <f>'MM $'!H378</f>
        <v>3.5862108320285337E-2</v>
      </c>
      <c r="BE378" s="431">
        <f>'MM $'!I378</f>
        <v>4007.5825806451503</v>
      </c>
      <c r="BF378" s="124">
        <f>'MM $'!L378</f>
        <v>487.46462877015028</v>
      </c>
      <c r="BH378" s="124">
        <f>'MM $'!N378</f>
        <v>40228667.229999997</v>
      </c>
      <c r="BI378" s="139">
        <f>'MM $'!P378</f>
        <v>3.5670240000000006E-2</v>
      </c>
      <c r="BJ378" s="431">
        <f>'MM $'!Q378</f>
        <v>3986.0172638173203</v>
      </c>
      <c r="BK378" s="124">
        <f>'MM $'!U378</f>
        <v>466.00888119232059</v>
      </c>
      <c r="BM378" s="124">
        <f>'MM $'!W378</f>
        <v>40229401.498411261</v>
      </c>
      <c r="BN378" s="139">
        <f>'MM $'!X378</f>
        <v>3.5809455303371117E-2</v>
      </c>
      <c r="BO378" s="431">
        <f>'MM $'!Y378</f>
        <v>4001.6470967742471</v>
      </c>
      <c r="BP378" s="124">
        <f>'MM $'!AB378</f>
        <v>481.57446566326189</v>
      </c>
      <c r="BR378" s="124">
        <f>'MM $'!AD378</f>
        <v>40231635.400171325</v>
      </c>
      <c r="BS378" s="139">
        <f>'MM $'!AE378</f>
        <v>3.6136742730033262E-2</v>
      </c>
      <c r="BT378" s="431">
        <f>'MM $'!AF378</f>
        <v>4038.4451612902503</v>
      </c>
      <c r="BU378" s="124">
        <f>'MM $'!AB378</f>
        <v>481.57446566326189</v>
      </c>
      <c r="BV378" s="439"/>
      <c r="BW378" s="120">
        <f t="shared" si="184"/>
        <v>382230229.08858263</v>
      </c>
      <c r="BX378" s="121">
        <f t="shared" si="185"/>
        <v>3.5000000000000003E-2</v>
      </c>
      <c r="BY378" s="121">
        <f t="shared" si="186"/>
        <v>3.6701834211824609E-2</v>
      </c>
      <c r="BZ378" s="120">
        <f t="shared" si="187"/>
        <v>72036.647176709346</v>
      </c>
      <c r="CA378" s="120">
        <f t="shared" si="188"/>
        <v>38706.24032084638</v>
      </c>
    </row>
    <row r="379" spans="2:79" x14ac:dyDescent="0.25">
      <c r="B379" s="123" t="str">
        <f t="shared" si="165"/>
        <v>1 2026</v>
      </c>
      <c r="C379" s="122">
        <f t="shared" si="189"/>
        <v>46028</v>
      </c>
      <c r="D379" s="122">
        <f t="shared" si="190"/>
        <v>46029</v>
      </c>
      <c r="E379" s="123">
        <f t="shared" si="172"/>
        <v>1</v>
      </c>
      <c r="F379" s="123" t="s">
        <v>7</v>
      </c>
      <c r="G379" s="124">
        <f t="shared" ref="G379:H379" si="203">G378</f>
        <v>2330000</v>
      </c>
      <c r="H379" s="125">
        <f t="shared" si="203"/>
        <v>3.15E-2</v>
      </c>
      <c r="I379" s="297">
        <f t="shared" si="174"/>
        <v>203.875</v>
      </c>
      <c r="J379" s="124">
        <f t="shared" si="199"/>
        <v>1335.25</v>
      </c>
      <c r="K379" s="9"/>
      <c r="L379" s="11" t="s">
        <v>192</v>
      </c>
      <c r="M379" s="306">
        <f t="shared" si="175"/>
        <v>5000000</v>
      </c>
      <c r="N379" s="97">
        <f t="shared" si="175"/>
        <v>3.9899999999999998E-2</v>
      </c>
      <c r="O379" s="421">
        <f t="shared" si="192"/>
        <v>554.16666666666663</v>
      </c>
      <c r="P379" s="304">
        <f t="shared" si="193"/>
        <v>3879.1666666666661</v>
      </c>
      <c r="Q379" s="307">
        <f t="shared" si="176"/>
        <v>116.66666666666663</v>
      </c>
      <c r="S379" s="11" t="s">
        <v>192</v>
      </c>
      <c r="T379" s="306">
        <f t="shared" si="177"/>
        <v>5000000</v>
      </c>
      <c r="U379" s="97">
        <f t="shared" si="177"/>
        <v>3.9199999999999999E-2</v>
      </c>
      <c r="V379" s="421">
        <f t="shared" si="178"/>
        <v>544.44444444444446</v>
      </c>
      <c r="W379" s="304">
        <f t="shared" si="194"/>
        <v>3811.1111111111109</v>
      </c>
      <c r="X379" s="307">
        <f t="shared" si="166"/>
        <v>106.94444444444446</v>
      </c>
      <c r="Z379" s="11" t="s">
        <v>192</v>
      </c>
      <c r="AA379" s="306">
        <f t="shared" si="179"/>
        <v>10000000</v>
      </c>
      <c r="AB379" s="97">
        <f t="shared" si="179"/>
        <v>3.7499999999999999E-2</v>
      </c>
      <c r="AC379" s="421">
        <f t="shared" si="180"/>
        <v>1041.6666666666667</v>
      </c>
      <c r="AD379" s="304">
        <f t="shared" si="195"/>
        <v>7291.6666666666679</v>
      </c>
      <c r="AE379" s="307">
        <f t="shared" si="196"/>
        <v>166.66666666666674</v>
      </c>
      <c r="AG379" s="11" t="s">
        <v>192</v>
      </c>
      <c r="AH379" s="306">
        <f t="shared" si="181"/>
        <v>6000000</v>
      </c>
      <c r="AI379" s="97">
        <f t="shared" si="181"/>
        <v>3.73E-2</v>
      </c>
      <c r="AJ379" s="421">
        <f t="shared" si="167"/>
        <v>621.66666666666663</v>
      </c>
      <c r="AK379" s="304">
        <f t="shared" si="168"/>
        <v>1243.3333333333333</v>
      </c>
      <c r="AL379" s="307">
        <f t="shared" si="169"/>
        <v>96.666666666666629</v>
      </c>
      <c r="AN379" s="304">
        <f>'codeis $'!AB379</f>
        <v>155972830.20000002</v>
      </c>
      <c r="AO379" s="340">
        <f>'codeis $'!AH379</f>
        <v>3.7785439798733833E-2</v>
      </c>
      <c r="AP379" s="304">
        <f>'codeis $'!AE379</f>
        <v>17153.40000000596</v>
      </c>
      <c r="AQ379" s="304">
        <f>'codeis $'!AK379</f>
        <v>3658.6190675059588</v>
      </c>
      <c r="AR379" s="9"/>
      <c r="AS379" s="9"/>
      <c r="AT379" s="123">
        <v>1</v>
      </c>
      <c r="AU379" s="123" t="s">
        <v>32</v>
      </c>
      <c r="AV379" s="124">
        <v>37028479.049999997</v>
      </c>
      <c r="AW379" s="139">
        <v>3.5000000000000003E-2</v>
      </c>
      <c r="AX379" s="123"/>
      <c r="AY379" s="140">
        <f t="shared" si="182"/>
        <v>3550.676073287671</v>
      </c>
      <c r="AZ379" s="140">
        <f t="shared" si="171"/>
        <v>24854.125722328768</v>
      </c>
      <c r="BA379" s="140">
        <f t="shared" si="183"/>
        <v>310.6841564126712</v>
      </c>
      <c r="BC379" s="124">
        <f>'MM $'!G379</f>
        <v>40229919.450000003</v>
      </c>
      <c r="BD379" s="139">
        <f>'MM $'!H379</f>
        <v>3.5862108320285337E-2</v>
      </c>
      <c r="BE379" s="431">
        <f>'MM $'!I379</f>
        <v>4007.5825806451503</v>
      </c>
      <c r="BF379" s="124">
        <f>'MM $'!L379</f>
        <v>487.46462877015028</v>
      </c>
      <c r="BH379" s="124">
        <f>'MM $'!N379</f>
        <v>40228667.229999997</v>
      </c>
      <c r="BI379" s="139">
        <f>'MM $'!P379</f>
        <v>3.5670240000000006E-2</v>
      </c>
      <c r="BJ379" s="431">
        <f>'MM $'!Q379</f>
        <v>3986.0172638173203</v>
      </c>
      <c r="BK379" s="124">
        <f>'MM $'!U379</f>
        <v>466.00888119232059</v>
      </c>
      <c r="BM379" s="124">
        <f>'MM $'!W379</f>
        <v>40229401.498411261</v>
      </c>
      <c r="BN379" s="139">
        <f>'MM $'!X379</f>
        <v>3.5809455303371117E-2</v>
      </c>
      <c r="BO379" s="431">
        <f>'MM $'!Y379</f>
        <v>4001.6470967742471</v>
      </c>
      <c r="BP379" s="124">
        <f>'MM $'!AB379</f>
        <v>481.57446566326189</v>
      </c>
      <c r="BR379" s="124">
        <f>'MM $'!AD379</f>
        <v>40231635.400171325</v>
      </c>
      <c r="BS379" s="139">
        <f>'MM $'!AE379</f>
        <v>3.6136742730033262E-2</v>
      </c>
      <c r="BT379" s="431">
        <f>'MM $'!AF379</f>
        <v>4038.4451612902503</v>
      </c>
      <c r="BU379" s="124">
        <f>'MM $'!AB379</f>
        <v>481.57446566326189</v>
      </c>
      <c r="BV379" s="439"/>
      <c r="BW379" s="120">
        <f t="shared" si="184"/>
        <v>382250932.82858258</v>
      </c>
      <c r="BX379" s="121">
        <f t="shared" si="185"/>
        <v>3.5000000000000003E-2</v>
      </c>
      <c r="BY379" s="121">
        <f t="shared" si="186"/>
        <v>3.6701867031705276E-2</v>
      </c>
      <c r="BZ379" s="120">
        <f t="shared" si="187"/>
        <v>39703.587620265047</v>
      </c>
      <c r="CA379" s="120">
        <f t="shared" si="188"/>
        <v>6372.870109652069</v>
      </c>
    </row>
    <row r="380" spans="2:79" x14ac:dyDescent="0.25">
      <c r="B380" s="123" t="str">
        <f t="shared" si="165"/>
        <v>1 2026</v>
      </c>
      <c r="C380" s="122">
        <f t="shared" si="189"/>
        <v>46029</v>
      </c>
      <c r="D380" s="122">
        <f t="shared" si="190"/>
        <v>46030</v>
      </c>
      <c r="E380" s="123">
        <f t="shared" si="172"/>
        <v>1</v>
      </c>
      <c r="F380" s="123" t="s">
        <v>7</v>
      </c>
      <c r="G380" s="124">
        <f t="shared" ref="G380:H380" si="204">G379</f>
        <v>2330000</v>
      </c>
      <c r="H380" s="125">
        <f t="shared" si="204"/>
        <v>3.15E-2</v>
      </c>
      <c r="I380" s="297">
        <f t="shared" si="174"/>
        <v>203.875</v>
      </c>
      <c r="J380" s="124">
        <f t="shared" si="199"/>
        <v>1539.125</v>
      </c>
      <c r="K380" s="9"/>
      <c r="L380" s="11" t="s">
        <v>192</v>
      </c>
      <c r="M380" s="306">
        <f t="shared" si="175"/>
        <v>5000000</v>
      </c>
      <c r="N380" s="97">
        <f t="shared" si="175"/>
        <v>3.9899999999999998E-2</v>
      </c>
      <c r="O380" s="421">
        <f t="shared" si="192"/>
        <v>554.16666666666663</v>
      </c>
      <c r="P380" s="304">
        <f t="shared" si="193"/>
        <v>4433.333333333333</v>
      </c>
      <c r="Q380" s="307">
        <f t="shared" si="176"/>
        <v>116.66666666666663</v>
      </c>
      <c r="S380" s="11" t="s">
        <v>192</v>
      </c>
      <c r="T380" s="306">
        <f t="shared" si="177"/>
        <v>5000000</v>
      </c>
      <c r="U380" s="97">
        <f t="shared" si="177"/>
        <v>3.9199999999999999E-2</v>
      </c>
      <c r="V380" s="421">
        <f t="shared" si="178"/>
        <v>544.44444444444446</v>
      </c>
      <c r="W380" s="304">
        <f t="shared" si="194"/>
        <v>4355.5555555555557</v>
      </c>
      <c r="X380" s="307">
        <f t="shared" si="166"/>
        <v>106.94444444444446</v>
      </c>
      <c r="Z380" s="11" t="s">
        <v>192</v>
      </c>
      <c r="AA380" s="306">
        <f t="shared" si="179"/>
        <v>10000000</v>
      </c>
      <c r="AB380" s="97">
        <f t="shared" si="179"/>
        <v>3.7499999999999999E-2</v>
      </c>
      <c r="AC380" s="421">
        <f t="shared" si="180"/>
        <v>1041.6666666666667</v>
      </c>
      <c r="AD380" s="304">
        <f t="shared" si="195"/>
        <v>8333.3333333333339</v>
      </c>
      <c r="AE380" s="307">
        <f t="shared" si="196"/>
        <v>166.66666666666674</v>
      </c>
      <c r="AG380" s="11" t="s">
        <v>192</v>
      </c>
      <c r="AH380" s="306">
        <f t="shared" si="181"/>
        <v>6000000</v>
      </c>
      <c r="AI380" s="97">
        <f t="shared" si="181"/>
        <v>3.73E-2</v>
      </c>
      <c r="AJ380" s="421">
        <f t="shared" si="167"/>
        <v>621.66666666666663</v>
      </c>
      <c r="AK380" s="304">
        <f t="shared" si="168"/>
        <v>1243.3333333333333</v>
      </c>
      <c r="AL380" s="307">
        <f t="shared" si="169"/>
        <v>96.666666666666629</v>
      </c>
      <c r="AN380" s="304">
        <f>'codeis $'!AB380</f>
        <v>155989528.19999999</v>
      </c>
      <c r="AO380" s="340">
        <f>'codeis $'!AH380</f>
        <v>3.7785439798733833E-2</v>
      </c>
      <c r="AP380" s="304">
        <f>'codeis $'!AE380</f>
        <v>16697.999999970198</v>
      </c>
      <c r="AQ380" s="304">
        <f>'codeis $'!AK380</f>
        <v>3203.219067470196</v>
      </c>
      <c r="AR380" s="9"/>
      <c r="AS380" s="9"/>
      <c r="AT380" s="123">
        <v>1</v>
      </c>
      <c r="AU380" s="123" t="s">
        <v>32</v>
      </c>
      <c r="AV380" s="124">
        <v>37015606.079999998</v>
      </c>
      <c r="AW380" s="139">
        <v>3.5000000000000003E-2</v>
      </c>
      <c r="AX380" s="123"/>
      <c r="AY380" s="140">
        <f t="shared" si="182"/>
        <v>3549.4416789041097</v>
      </c>
      <c r="AZ380" s="140">
        <f t="shared" si="171"/>
        <v>28403.567401232878</v>
      </c>
      <c r="BA380" s="140">
        <f t="shared" si="183"/>
        <v>310.57614690410946</v>
      </c>
      <c r="BC380" s="124">
        <f>'MM $'!G380</f>
        <v>40229919.450000003</v>
      </c>
      <c r="BD380" s="139">
        <f>'MM $'!H380</f>
        <v>3.5862108320285337E-2</v>
      </c>
      <c r="BE380" s="431">
        <f>'MM $'!I380</f>
        <v>4007.5825806451503</v>
      </c>
      <c r="BF380" s="124">
        <f>'MM $'!L380</f>
        <v>487.46462877015028</v>
      </c>
      <c r="BH380" s="124">
        <f>'MM $'!N380</f>
        <v>40228667.229999997</v>
      </c>
      <c r="BI380" s="139">
        <f>'MM $'!P380</f>
        <v>3.5670240000000006E-2</v>
      </c>
      <c r="BJ380" s="431">
        <f>'MM $'!Q380</f>
        <v>3986.0172638173203</v>
      </c>
      <c r="BK380" s="124">
        <f>'MM $'!U380</f>
        <v>466.00888119232059</v>
      </c>
      <c r="BM380" s="124">
        <f>'MM $'!W380</f>
        <v>40229401.498411261</v>
      </c>
      <c r="BN380" s="139">
        <f>'MM $'!X380</f>
        <v>3.5809455303371117E-2</v>
      </c>
      <c r="BO380" s="431">
        <f>'MM $'!Y380</f>
        <v>4001.6470967742471</v>
      </c>
      <c r="BP380" s="124">
        <f>'MM $'!AB380</f>
        <v>481.57446566326189</v>
      </c>
      <c r="BR380" s="124">
        <f>'MM $'!AD380</f>
        <v>40231635.400171325</v>
      </c>
      <c r="BS380" s="139">
        <f>'MM $'!AE380</f>
        <v>3.6136742730033262E-2</v>
      </c>
      <c r="BT380" s="431">
        <f>'MM $'!AF380</f>
        <v>4038.4451612902503</v>
      </c>
      <c r="BU380" s="124">
        <f>'MM $'!AB380</f>
        <v>481.57446566326189</v>
      </c>
      <c r="BV380" s="439"/>
      <c r="BW380" s="120">
        <f t="shared" si="184"/>
        <v>382254757.85858256</v>
      </c>
      <c r="BX380" s="121">
        <f t="shared" si="185"/>
        <v>3.5000000000000003E-2</v>
      </c>
      <c r="BY380" s="121">
        <f t="shared" si="186"/>
        <v>3.6701971678097467E-2</v>
      </c>
      <c r="BZ380" s="120">
        <f t="shared" si="187"/>
        <v>39246.953225845718</v>
      </c>
      <c r="CA380" s="120">
        <f t="shared" si="188"/>
        <v>5917.3621001077445</v>
      </c>
    </row>
    <row r="381" spans="2:79" x14ac:dyDescent="0.25">
      <c r="B381" s="123" t="str">
        <f t="shared" si="165"/>
        <v>1 2026</v>
      </c>
      <c r="C381" s="122">
        <f t="shared" si="189"/>
        <v>46030</v>
      </c>
      <c r="D381" s="122">
        <f t="shared" si="190"/>
        <v>46031</v>
      </c>
      <c r="E381" s="123">
        <f t="shared" si="172"/>
        <v>1</v>
      </c>
      <c r="F381" s="123" t="s">
        <v>7</v>
      </c>
      <c r="G381" s="124">
        <f t="shared" ref="G381:H381" si="205">G380</f>
        <v>2330000</v>
      </c>
      <c r="H381" s="125">
        <f t="shared" si="205"/>
        <v>3.15E-2</v>
      </c>
      <c r="I381" s="297">
        <f t="shared" si="174"/>
        <v>203.875</v>
      </c>
      <c r="J381" s="124">
        <f t="shared" si="199"/>
        <v>1743</v>
      </c>
      <c r="K381" s="9"/>
      <c r="L381" s="11" t="s">
        <v>192</v>
      </c>
      <c r="M381" s="306">
        <f t="shared" si="175"/>
        <v>5000000</v>
      </c>
      <c r="N381" s="97">
        <f t="shared" si="175"/>
        <v>3.9899999999999998E-2</v>
      </c>
      <c r="O381" s="421">
        <f t="shared" si="192"/>
        <v>554.16666666666663</v>
      </c>
      <c r="P381" s="304">
        <f t="shared" si="193"/>
        <v>4987.5</v>
      </c>
      <c r="Q381" s="307">
        <f t="shared" si="176"/>
        <v>116.66666666666663</v>
      </c>
      <c r="S381" s="11" t="s">
        <v>192</v>
      </c>
      <c r="T381" s="306">
        <f t="shared" si="177"/>
        <v>5000000</v>
      </c>
      <c r="U381" s="97">
        <f t="shared" si="177"/>
        <v>3.9199999999999999E-2</v>
      </c>
      <c r="V381" s="421">
        <f t="shared" si="178"/>
        <v>544.44444444444446</v>
      </c>
      <c r="W381" s="304">
        <f t="shared" si="194"/>
        <v>4900</v>
      </c>
      <c r="X381" s="307">
        <f t="shared" si="166"/>
        <v>106.94444444444446</v>
      </c>
      <c r="Z381" s="11" t="s">
        <v>192</v>
      </c>
      <c r="AA381" s="306">
        <f t="shared" si="179"/>
        <v>10000000</v>
      </c>
      <c r="AB381" s="97">
        <f t="shared" si="179"/>
        <v>3.7499999999999999E-2</v>
      </c>
      <c r="AC381" s="421">
        <f t="shared" si="180"/>
        <v>1041.6666666666667</v>
      </c>
      <c r="AD381" s="304">
        <f t="shared" si="195"/>
        <v>9375</v>
      </c>
      <c r="AE381" s="307">
        <f t="shared" si="196"/>
        <v>166.66666666666674</v>
      </c>
      <c r="AG381" s="11" t="s">
        <v>192</v>
      </c>
      <c r="AH381" s="306">
        <f t="shared" si="181"/>
        <v>6000000</v>
      </c>
      <c r="AI381" s="97">
        <f t="shared" si="181"/>
        <v>3.73E-2</v>
      </c>
      <c r="AJ381" s="421">
        <f t="shared" si="167"/>
        <v>621.66666666666663</v>
      </c>
      <c r="AK381" s="304">
        <f t="shared" si="168"/>
        <v>1243.3333333333333</v>
      </c>
      <c r="AL381" s="307">
        <f t="shared" si="169"/>
        <v>96.666666666666629</v>
      </c>
      <c r="AN381" s="304">
        <f>'codeis $'!AB381</f>
        <v>156005922.60000002</v>
      </c>
      <c r="AO381" s="340">
        <f>'codeis $'!AH381</f>
        <v>3.7785439798733833E-2</v>
      </c>
      <c r="AP381" s="304">
        <f>'codeis $'!AE381</f>
        <v>16394.400000035763</v>
      </c>
      <c r="AQ381" s="304">
        <f>'codeis $'!AK381</f>
        <v>2899.6190675357611</v>
      </c>
      <c r="AR381" s="9"/>
      <c r="AS381" s="9"/>
      <c r="AT381" s="123">
        <v>1</v>
      </c>
      <c r="AU381" s="123" t="s">
        <v>32</v>
      </c>
      <c r="AV381" s="124">
        <v>37019155.520000003</v>
      </c>
      <c r="AW381" s="139">
        <v>3.5000000000000003E-2</v>
      </c>
      <c r="AX381" s="123"/>
      <c r="AY381" s="140">
        <f t="shared" si="182"/>
        <v>3549.7820361643844</v>
      </c>
      <c r="AZ381" s="140">
        <f t="shared" si="171"/>
        <v>31953.349437397264</v>
      </c>
      <c r="BA381" s="140">
        <f t="shared" si="183"/>
        <v>310.60592816438384</v>
      </c>
      <c r="BC381" s="124">
        <f>'MM $'!G381</f>
        <v>40229919.450000003</v>
      </c>
      <c r="BD381" s="139">
        <f>'MM $'!H381</f>
        <v>3.5862108320285337E-2</v>
      </c>
      <c r="BE381" s="431">
        <f>'MM $'!I381</f>
        <v>4007.5825806451503</v>
      </c>
      <c r="BF381" s="124">
        <f>'MM $'!L381</f>
        <v>487.46462877015028</v>
      </c>
      <c r="BH381" s="124">
        <f>'MM $'!N381</f>
        <v>40228691.289999999</v>
      </c>
      <c r="BI381" s="139">
        <f>'MM $'!P381</f>
        <v>3.5670240000000006E-2</v>
      </c>
      <c r="BJ381" s="431">
        <f>'MM $'!Q381</f>
        <v>3986.0196477783606</v>
      </c>
      <c r="BK381" s="124">
        <f>'MM $'!U381</f>
        <v>466.00915990336034</v>
      </c>
      <c r="BM381" s="124">
        <f>'MM $'!W381</f>
        <v>40229401.498411261</v>
      </c>
      <c r="BN381" s="139">
        <f>'MM $'!X381</f>
        <v>3.5809455303371117E-2</v>
      </c>
      <c r="BO381" s="431">
        <f>'MM $'!Y381</f>
        <v>4001.6470967742471</v>
      </c>
      <c r="BP381" s="124">
        <f>'MM $'!AB381</f>
        <v>481.57446566326189</v>
      </c>
      <c r="BR381" s="124">
        <f>'MM $'!AD381</f>
        <v>40231635.400171325</v>
      </c>
      <c r="BS381" s="139">
        <f>'MM $'!AE381</f>
        <v>3.6136742730033262E-2</v>
      </c>
      <c r="BT381" s="431">
        <f>'MM $'!AF381</f>
        <v>4038.4451612902503</v>
      </c>
      <c r="BU381" s="124">
        <f>'MM $'!AB381</f>
        <v>481.57446566326189</v>
      </c>
      <c r="BV381" s="439"/>
      <c r="BW381" s="120">
        <f t="shared" si="184"/>
        <v>382274725.75858265</v>
      </c>
      <c r="BX381" s="121">
        <f t="shared" si="185"/>
        <v>3.5000000000000003E-2</v>
      </c>
      <c r="BY381" s="121">
        <f t="shared" si="186"/>
        <v>3.6702002276353507E-2</v>
      </c>
      <c r="BZ381" s="120">
        <f t="shared" si="187"/>
        <v>38943.695967132597</v>
      </c>
      <c r="CA381" s="120">
        <f t="shared" si="188"/>
        <v>5613.7921601446233</v>
      </c>
    </row>
    <row r="382" spans="2:79" x14ac:dyDescent="0.25">
      <c r="B382" s="123" t="str">
        <f t="shared" si="165"/>
        <v>1 2026</v>
      </c>
      <c r="C382" s="122">
        <f t="shared" si="189"/>
        <v>46031</v>
      </c>
      <c r="D382" s="122">
        <f t="shared" si="190"/>
        <v>46032</v>
      </c>
      <c r="E382" s="123">
        <f t="shared" si="172"/>
        <v>1</v>
      </c>
      <c r="F382" s="123" t="s">
        <v>7</v>
      </c>
      <c r="G382" s="124">
        <f t="shared" ref="G382:H382" si="206">G381</f>
        <v>2330000</v>
      </c>
      <c r="H382" s="125">
        <f t="shared" si="206"/>
        <v>3.15E-2</v>
      </c>
      <c r="I382" s="297">
        <f t="shared" si="174"/>
        <v>203.875</v>
      </c>
      <c r="J382" s="124">
        <f t="shared" si="199"/>
        <v>1946.875</v>
      </c>
      <c r="K382" s="9"/>
      <c r="L382" s="11" t="s">
        <v>192</v>
      </c>
      <c r="M382" s="306">
        <f t="shared" si="175"/>
        <v>5000000</v>
      </c>
      <c r="N382" s="97">
        <f t="shared" si="175"/>
        <v>3.9899999999999998E-2</v>
      </c>
      <c r="O382" s="421">
        <f t="shared" si="192"/>
        <v>554.16666666666663</v>
      </c>
      <c r="P382" s="304">
        <f t="shared" si="193"/>
        <v>5541.666666666667</v>
      </c>
      <c r="Q382" s="307">
        <f t="shared" si="176"/>
        <v>116.66666666666663</v>
      </c>
      <c r="S382" s="11" t="s">
        <v>192</v>
      </c>
      <c r="T382" s="306">
        <f t="shared" si="177"/>
        <v>5000000</v>
      </c>
      <c r="U382" s="97">
        <f t="shared" si="177"/>
        <v>3.9199999999999999E-2</v>
      </c>
      <c r="V382" s="421">
        <f t="shared" si="178"/>
        <v>544.44444444444446</v>
      </c>
      <c r="W382" s="304">
        <f t="shared" si="194"/>
        <v>5444.4444444444443</v>
      </c>
      <c r="X382" s="307">
        <f t="shared" si="166"/>
        <v>106.94444444444446</v>
      </c>
      <c r="Z382" s="11" t="s">
        <v>192</v>
      </c>
      <c r="AA382" s="306">
        <f t="shared" si="179"/>
        <v>10000000</v>
      </c>
      <c r="AB382" s="97">
        <f t="shared" si="179"/>
        <v>3.7499999999999999E-2</v>
      </c>
      <c r="AC382" s="421">
        <f t="shared" si="180"/>
        <v>1041.6666666666667</v>
      </c>
      <c r="AD382" s="304">
        <f t="shared" si="195"/>
        <v>10416.666666666666</v>
      </c>
      <c r="AE382" s="307">
        <f t="shared" si="196"/>
        <v>166.66666666666674</v>
      </c>
      <c r="AG382" s="11" t="s">
        <v>192</v>
      </c>
      <c r="AH382" s="306">
        <f t="shared" si="181"/>
        <v>6000000</v>
      </c>
      <c r="AI382" s="97">
        <f t="shared" si="181"/>
        <v>3.73E-2</v>
      </c>
      <c r="AJ382" s="421">
        <f t="shared" si="167"/>
        <v>621.66666666666663</v>
      </c>
      <c r="AK382" s="304">
        <f t="shared" si="168"/>
        <v>1243.3333333333333</v>
      </c>
      <c r="AL382" s="307">
        <f t="shared" si="169"/>
        <v>96.666666666666629</v>
      </c>
      <c r="AN382" s="304">
        <f>'codeis $'!AB382</f>
        <v>156022317</v>
      </c>
      <c r="AO382" s="340">
        <f>'codeis $'!AH382</f>
        <v>3.7785439798733833E-2</v>
      </c>
      <c r="AP382" s="304">
        <f>'codeis $'!AE382</f>
        <v>16394.399999976158</v>
      </c>
      <c r="AQ382" s="304">
        <f>'codeis $'!AK382</f>
        <v>2899.6190674761565</v>
      </c>
      <c r="AR382" s="9"/>
      <c r="AS382" s="9"/>
      <c r="AT382" s="123">
        <v>1</v>
      </c>
      <c r="AU382" s="123" t="s">
        <v>32</v>
      </c>
      <c r="AV382" s="124">
        <v>36849523.890000001</v>
      </c>
      <c r="AW382" s="139">
        <v>3.5000000000000003E-2</v>
      </c>
      <c r="AX382" s="123"/>
      <c r="AY382" s="140">
        <f t="shared" si="182"/>
        <v>3533.5159894520552</v>
      </c>
      <c r="AZ382" s="140">
        <f t="shared" si="171"/>
        <v>35486.865426849319</v>
      </c>
      <c r="BA382" s="140">
        <f t="shared" si="183"/>
        <v>309.18264907705543</v>
      </c>
      <c r="BC382" s="124">
        <f>'MM $'!G382</f>
        <v>40229919.450000003</v>
      </c>
      <c r="BD382" s="139">
        <f>'MM $'!H382</f>
        <v>3.5862108320285337E-2</v>
      </c>
      <c r="BE382" s="431">
        <f>'MM $'!I382</f>
        <v>4007.5825806451503</v>
      </c>
      <c r="BF382" s="124">
        <f>'MM $'!L382</f>
        <v>487.46462877015028</v>
      </c>
      <c r="BH382" s="124">
        <f>'MM $'!N382</f>
        <v>40228691.289999999</v>
      </c>
      <c r="BI382" s="139">
        <f>'MM $'!P382</f>
        <v>3.5670240000000006E-2</v>
      </c>
      <c r="BJ382" s="431">
        <f>'MM $'!Q382</f>
        <v>3986.0196477783606</v>
      </c>
      <c r="BK382" s="124">
        <f>'MM $'!U382</f>
        <v>466.00915990336034</v>
      </c>
      <c r="BM382" s="124">
        <f>'MM $'!W382</f>
        <v>40229401.498411261</v>
      </c>
      <c r="BN382" s="139">
        <f>'MM $'!X382</f>
        <v>3.5809455303371117E-2</v>
      </c>
      <c r="BO382" s="431">
        <f>'MM $'!Y382</f>
        <v>4001.6470967742471</v>
      </c>
      <c r="BP382" s="124">
        <f>'MM $'!AB382</f>
        <v>481.57446566326189</v>
      </c>
      <c r="BR382" s="124">
        <f>'MM $'!AD382</f>
        <v>40231635.400171325</v>
      </c>
      <c r="BS382" s="139">
        <f>'MM $'!AE382</f>
        <v>3.6136742730033262E-2</v>
      </c>
      <c r="BT382" s="431">
        <f>'MM $'!AF382</f>
        <v>4038.4451612902503</v>
      </c>
      <c r="BU382" s="124">
        <f>'MM $'!AB382</f>
        <v>481.57446566326189</v>
      </c>
      <c r="BV382" s="439"/>
      <c r="BW382" s="120">
        <f t="shared" si="184"/>
        <v>382121488.52858257</v>
      </c>
      <c r="BX382" s="121">
        <f t="shared" si="185"/>
        <v>3.5000000000000003E-2</v>
      </c>
      <c r="BY382" s="121">
        <f t="shared" si="186"/>
        <v>3.6702804313762341E-2</v>
      </c>
      <c r="BZ382" s="120">
        <f t="shared" si="187"/>
        <v>38927.429920360664</v>
      </c>
      <c r="CA382" s="120">
        <f t="shared" si="188"/>
        <v>5612.3688809976902</v>
      </c>
    </row>
    <row r="383" spans="2:79" x14ac:dyDescent="0.25">
      <c r="B383" s="123" t="str">
        <f t="shared" si="165"/>
        <v>1 2026</v>
      </c>
      <c r="C383" s="122">
        <f t="shared" si="189"/>
        <v>46032</v>
      </c>
      <c r="D383" s="122">
        <f t="shared" si="190"/>
        <v>46033</v>
      </c>
      <c r="E383" s="123">
        <f t="shared" si="172"/>
        <v>1</v>
      </c>
      <c r="F383" s="123" t="s">
        <v>7</v>
      </c>
      <c r="G383" s="124">
        <f t="shared" ref="G383:H383" si="207">G382</f>
        <v>2330000</v>
      </c>
      <c r="H383" s="125">
        <f t="shared" si="207"/>
        <v>3.15E-2</v>
      </c>
      <c r="I383" s="297">
        <f t="shared" si="174"/>
        <v>203.875</v>
      </c>
      <c r="J383" s="124">
        <f t="shared" si="199"/>
        <v>2150.75</v>
      </c>
      <c r="K383" s="9"/>
      <c r="L383" s="11" t="s">
        <v>192</v>
      </c>
      <c r="M383" s="306">
        <f t="shared" si="175"/>
        <v>5000000</v>
      </c>
      <c r="N383" s="97">
        <f t="shared" si="175"/>
        <v>3.9899999999999998E-2</v>
      </c>
      <c r="O383" s="421">
        <f t="shared" si="192"/>
        <v>554.16666666666663</v>
      </c>
      <c r="P383" s="304">
        <f t="shared" si="193"/>
        <v>6095.8333333333339</v>
      </c>
      <c r="Q383" s="307">
        <f t="shared" si="176"/>
        <v>116.66666666666663</v>
      </c>
      <c r="S383" s="11" t="s">
        <v>192</v>
      </c>
      <c r="T383" s="306">
        <f t="shared" si="177"/>
        <v>5000000</v>
      </c>
      <c r="U383" s="97">
        <f t="shared" si="177"/>
        <v>3.9199999999999999E-2</v>
      </c>
      <c r="V383" s="421">
        <f t="shared" si="178"/>
        <v>544.44444444444446</v>
      </c>
      <c r="W383" s="304">
        <f t="shared" si="194"/>
        <v>5988.8888888888887</v>
      </c>
      <c r="X383" s="307">
        <f t="shared" si="166"/>
        <v>106.94444444444446</v>
      </c>
      <c r="Z383" s="11" t="s">
        <v>192</v>
      </c>
      <c r="AA383" s="306">
        <f t="shared" si="179"/>
        <v>10000000</v>
      </c>
      <c r="AB383" s="97">
        <f t="shared" si="179"/>
        <v>3.7499999999999999E-2</v>
      </c>
      <c r="AC383" s="421">
        <f t="shared" si="180"/>
        <v>1041.6666666666667</v>
      </c>
      <c r="AD383" s="304">
        <f t="shared" si="195"/>
        <v>11458.333333333332</v>
      </c>
      <c r="AE383" s="307">
        <f t="shared" si="196"/>
        <v>166.66666666666674</v>
      </c>
      <c r="AG383" s="11" t="s">
        <v>192</v>
      </c>
      <c r="AH383" s="306">
        <f t="shared" si="181"/>
        <v>6000000</v>
      </c>
      <c r="AI383" s="97">
        <f t="shared" si="181"/>
        <v>3.73E-2</v>
      </c>
      <c r="AJ383" s="421">
        <f t="shared" si="167"/>
        <v>621.66666666666663</v>
      </c>
      <c r="AK383" s="304">
        <f t="shared" si="168"/>
        <v>1243.3333333333333</v>
      </c>
      <c r="AL383" s="307">
        <f t="shared" si="169"/>
        <v>96.666666666666629</v>
      </c>
      <c r="AN383" s="304">
        <f>'codeis $'!AB383</f>
        <v>156022317</v>
      </c>
      <c r="AO383" s="340">
        <f>'codeis $'!AH383</f>
        <v>3.7785439798733833E-2</v>
      </c>
      <c r="AP383" s="304">
        <f>'codeis $'!AE383</f>
        <v>0</v>
      </c>
      <c r="AQ383" s="304">
        <f>'codeis $'!AK383</f>
        <v>-13494.780932500002</v>
      </c>
      <c r="AR383" s="9"/>
      <c r="AS383" s="9"/>
      <c r="AT383" s="123">
        <v>1</v>
      </c>
      <c r="AU383" s="123" t="s">
        <v>32</v>
      </c>
      <c r="AV383" s="124">
        <v>36849523.890000001</v>
      </c>
      <c r="AW383" s="139">
        <v>3.5000000000000003E-2</v>
      </c>
      <c r="AX383" s="123"/>
      <c r="AY383" s="140">
        <f t="shared" si="182"/>
        <v>3533.5159894520552</v>
      </c>
      <c r="AZ383" s="140">
        <f t="shared" si="171"/>
        <v>39020.381416301374</v>
      </c>
      <c r="BA383" s="140">
        <f t="shared" si="183"/>
        <v>309.18264907705543</v>
      </c>
      <c r="BC383" s="124">
        <f>'MM $'!G383</f>
        <v>40229919.450000003</v>
      </c>
      <c r="BD383" s="139">
        <f>'MM $'!H383</f>
        <v>3.5862108320285337E-2</v>
      </c>
      <c r="BE383" s="431">
        <f>'MM $'!I383</f>
        <v>4007.5825806451503</v>
      </c>
      <c r="BF383" s="124">
        <f>'MM $'!L383</f>
        <v>487.46462877015028</v>
      </c>
      <c r="BH383" s="124">
        <f>'MM $'!N383</f>
        <v>40228691.289999999</v>
      </c>
      <c r="BI383" s="139">
        <f>'MM $'!P383</f>
        <v>3.5670240000000006E-2</v>
      </c>
      <c r="BJ383" s="431">
        <f>'MM $'!Q383</f>
        <v>3986.0196477783606</v>
      </c>
      <c r="BK383" s="124">
        <f>'MM $'!U383</f>
        <v>466.00915990336034</v>
      </c>
      <c r="BM383" s="124">
        <f>'MM $'!W383</f>
        <v>40229401.498411261</v>
      </c>
      <c r="BN383" s="139">
        <f>'MM $'!X383</f>
        <v>3.5809455303371117E-2</v>
      </c>
      <c r="BO383" s="431">
        <f>'MM $'!Y383</f>
        <v>4001.6470967742471</v>
      </c>
      <c r="BP383" s="124">
        <f>'MM $'!AB383</f>
        <v>481.57446566326189</v>
      </c>
      <c r="BR383" s="124">
        <f>'MM $'!AD383</f>
        <v>40231635.400171325</v>
      </c>
      <c r="BS383" s="139">
        <f>'MM $'!AE383</f>
        <v>3.6136742730033262E-2</v>
      </c>
      <c r="BT383" s="431">
        <f>'MM $'!AF383</f>
        <v>4038.4451612902503</v>
      </c>
      <c r="BU383" s="124">
        <f>'MM $'!AB383</f>
        <v>481.57446566326189</v>
      </c>
      <c r="BV383" s="439"/>
      <c r="BW383" s="120">
        <f t="shared" si="184"/>
        <v>382121488.52858257</v>
      </c>
      <c r="BX383" s="121">
        <f t="shared" si="185"/>
        <v>3.5000000000000003E-2</v>
      </c>
      <c r="BY383" s="121">
        <f t="shared" si="186"/>
        <v>3.6702804313762341E-2</v>
      </c>
      <c r="BZ383" s="120">
        <f t="shared" si="187"/>
        <v>22533.029920384506</v>
      </c>
      <c r="CA383" s="120">
        <f t="shared" si="188"/>
        <v>-10782.031118978468</v>
      </c>
    </row>
    <row r="384" spans="2:79" x14ac:dyDescent="0.25">
      <c r="B384" s="123" t="str">
        <f t="shared" si="165"/>
        <v>1 2026</v>
      </c>
      <c r="C384" s="122">
        <f t="shared" si="189"/>
        <v>46033</v>
      </c>
      <c r="D384" s="122">
        <f t="shared" si="190"/>
        <v>46034</v>
      </c>
      <c r="E384" s="123">
        <f t="shared" si="172"/>
        <v>1</v>
      </c>
      <c r="F384" s="123" t="s">
        <v>7</v>
      </c>
      <c r="G384" s="124">
        <f t="shared" ref="G384:H384" si="208">G383</f>
        <v>2330000</v>
      </c>
      <c r="H384" s="125">
        <f t="shared" si="208"/>
        <v>3.15E-2</v>
      </c>
      <c r="I384" s="297">
        <f t="shared" si="174"/>
        <v>203.875</v>
      </c>
      <c r="J384" s="124">
        <f t="shared" si="199"/>
        <v>2354.625</v>
      </c>
      <c r="K384" s="9"/>
      <c r="L384" s="11" t="s">
        <v>192</v>
      </c>
      <c r="M384" s="306">
        <f t="shared" si="175"/>
        <v>5000000</v>
      </c>
      <c r="N384" s="97">
        <f t="shared" si="175"/>
        <v>3.9899999999999998E-2</v>
      </c>
      <c r="O384" s="421">
        <f t="shared" si="192"/>
        <v>554.16666666666663</v>
      </c>
      <c r="P384" s="304">
        <f t="shared" si="193"/>
        <v>6650.0000000000009</v>
      </c>
      <c r="Q384" s="307">
        <f t="shared" si="176"/>
        <v>116.66666666666663</v>
      </c>
      <c r="S384" s="11" t="s">
        <v>192</v>
      </c>
      <c r="T384" s="306">
        <f t="shared" si="177"/>
        <v>5000000</v>
      </c>
      <c r="U384" s="97">
        <f t="shared" si="177"/>
        <v>3.9199999999999999E-2</v>
      </c>
      <c r="V384" s="421">
        <f t="shared" si="178"/>
        <v>544.44444444444446</v>
      </c>
      <c r="W384" s="304">
        <f t="shared" si="194"/>
        <v>6533.333333333333</v>
      </c>
      <c r="X384" s="307">
        <f t="shared" si="166"/>
        <v>106.94444444444446</v>
      </c>
      <c r="Z384" s="11" t="s">
        <v>192</v>
      </c>
      <c r="AA384" s="306">
        <f t="shared" si="179"/>
        <v>10000000</v>
      </c>
      <c r="AB384" s="97">
        <f t="shared" si="179"/>
        <v>3.7499999999999999E-2</v>
      </c>
      <c r="AC384" s="421">
        <f t="shared" si="180"/>
        <v>1041.6666666666667</v>
      </c>
      <c r="AD384" s="304">
        <f t="shared" si="195"/>
        <v>12499.999999999998</v>
      </c>
      <c r="AE384" s="307">
        <f t="shared" si="196"/>
        <v>166.66666666666674</v>
      </c>
      <c r="AG384" s="11" t="s">
        <v>192</v>
      </c>
      <c r="AH384" s="306">
        <f t="shared" si="181"/>
        <v>6000000</v>
      </c>
      <c r="AI384" s="97">
        <f t="shared" si="181"/>
        <v>3.73E-2</v>
      </c>
      <c r="AJ384" s="421">
        <f t="shared" si="167"/>
        <v>621.66666666666663</v>
      </c>
      <c r="AK384" s="304">
        <f t="shared" si="168"/>
        <v>1243.3333333333333</v>
      </c>
      <c r="AL384" s="307">
        <f t="shared" si="169"/>
        <v>96.666666666666629</v>
      </c>
      <c r="AN384" s="304">
        <f>'codeis $'!AB384</f>
        <v>156022317</v>
      </c>
      <c r="AO384" s="340">
        <f>'codeis $'!AH384</f>
        <v>3.7785439798733833E-2</v>
      </c>
      <c r="AP384" s="304">
        <f>'codeis $'!AE384</f>
        <v>0</v>
      </c>
      <c r="AQ384" s="304">
        <f>'codeis $'!AK384</f>
        <v>-13494.780932500002</v>
      </c>
      <c r="AR384" s="9"/>
      <c r="AS384" s="9"/>
      <c r="AT384" s="123">
        <v>1</v>
      </c>
      <c r="AU384" s="123" t="s">
        <v>32</v>
      </c>
      <c r="AV384" s="124">
        <v>36849523.890000001</v>
      </c>
      <c r="AW384" s="139">
        <v>3.5000000000000003E-2</v>
      </c>
      <c r="AX384" s="123"/>
      <c r="AY384" s="140">
        <f t="shared" si="182"/>
        <v>3533.5159894520552</v>
      </c>
      <c r="AZ384" s="140">
        <f t="shared" si="171"/>
        <v>42553.897405753429</v>
      </c>
      <c r="BA384" s="140">
        <f t="shared" si="183"/>
        <v>309.18264907705543</v>
      </c>
      <c r="BC384" s="124">
        <f>'MM $'!G384</f>
        <v>40229919.450000003</v>
      </c>
      <c r="BD384" s="139">
        <f>'MM $'!H384</f>
        <v>3.5862108320285337E-2</v>
      </c>
      <c r="BE384" s="431">
        <f>'MM $'!I384</f>
        <v>4007.5825806451503</v>
      </c>
      <c r="BF384" s="124">
        <f>'MM $'!L384</f>
        <v>487.46462877015028</v>
      </c>
      <c r="BH384" s="124">
        <f>'MM $'!N384</f>
        <v>40228691.289999999</v>
      </c>
      <c r="BI384" s="139">
        <f>'MM $'!P384</f>
        <v>3.5670240000000006E-2</v>
      </c>
      <c r="BJ384" s="431">
        <f>'MM $'!Q384</f>
        <v>3986.0196477783606</v>
      </c>
      <c r="BK384" s="124">
        <f>'MM $'!U384</f>
        <v>466.00915990336034</v>
      </c>
      <c r="BM384" s="124">
        <f>'MM $'!W384</f>
        <v>40229401.498411261</v>
      </c>
      <c r="BN384" s="139">
        <f>'MM $'!X384</f>
        <v>3.5809455303371117E-2</v>
      </c>
      <c r="BO384" s="431">
        <f>'MM $'!Y384</f>
        <v>4001.6470967742471</v>
      </c>
      <c r="BP384" s="124">
        <f>'MM $'!AB384</f>
        <v>481.57446566326189</v>
      </c>
      <c r="BR384" s="124">
        <f>'MM $'!AD384</f>
        <v>40231635.400171325</v>
      </c>
      <c r="BS384" s="139">
        <f>'MM $'!AE384</f>
        <v>3.6136742730033262E-2</v>
      </c>
      <c r="BT384" s="431">
        <f>'MM $'!AF384</f>
        <v>4038.4451612902503</v>
      </c>
      <c r="BU384" s="124">
        <f>'MM $'!AB384</f>
        <v>481.57446566326189</v>
      </c>
      <c r="BV384" s="439"/>
      <c r="BW384" s="120">
        <f t="shared" si="184"/>
        <v>382121488.52858257</v>
      </c>
      <c r="BX384" s="432">
        <v>3.5000000000000003E-2</v>
      </c>
      <c r="BY384" s="121">
        <f t="shared" si="186"/>
        <v>3.6702804313762341E-2</v>
      </c>
      <c r="BZ384" s="120">
        <f t="shared" si="187"/>
        <v>22533.029920384506</v>
      </c>
      <c r="CA384" s="120">
        <f t="shared" si="188"/>
        <v>-10782.031118978468</v>
      </c>
    </row>
    <row r="385" spans="2:79" x14ac:dyDescent="0.25">
      <c r="B385" s="123" t="str">
        <f t="shared" si="165"/>
        <v>1 2026</v>
      </c>
      <c r="C385" s="122">
        <f t="shared" si="189"/>
        <v>46034</v>
      </c>
      <c r="D385" s="122">
        <f t="shared" si="190"/>
        <v>46035</v>
      </c>
      <c r="E385" s="123">
        <f t="shared" si="172"/>
        <v>1</v>
      </c>
      <c r="F385" s="123" t="s">
        <v>7</v>
      </c>
      <c r="G385" s="136">
        <f>G384-790000</f>
        <v>1540000</v>
      </c>
      <c r="H385" s="125">
        <f t="shared" ref="H385" si="209">H384</f>
        <v>3.15E-2</v>
      </c>
      <c r="I385" s="297">
        <f t="shared" si="174"/>
        <v>134.75</v>
      </c>
      <c r="J385" s="124">
        <f t="shared" si="199"/>
        <v>2489.375</v>
      </c>
      <c r="K385" s="9"/>
      <c r="L385" s="11" t="s">
        <v>192</v>
      </c>
      <c r="M385" s="306">
        <f t="shared" si="175"/>
        <v>5000000</v>
      </c>
      <c r="N385" s="97">
        <f t="shared" si="175"/>
        <v>3.9899999999999998E-2</v>
      </c>
      <c r="O385" s="421">
        <f t="shared" si="192"/>
        <v>554.16666666666663</v>
      </c>
      <c r="P385" s="304">
        <f t="shared" si="193"/>
        <v>7204.1666666666679</v>
      </c>
      <c r="Q385" s="307">
        <f t="shared" si="176"/>
        <v>116.66666666666663</v>
      </c>
      <c r="S385" s="11" t="s">
        <v>192</v>
      </c>
      <c r="T385" s="306">
        <f t="shared" si="177"/>
        <v>5000000</v>
      </c>
      <c r="U385" s="97">
        <f t="shared" si="177"/>
        <v>3.9199999999999999E-2</v>
      </c>
      <c r="V385" s="421">
        <f t="shared" si="178"/>
        <v>544.44444444444446</v>
      </c>
      <c r="W385" s="304">
        <f t="shared" si="194"/>
        <v>7077.7777777777774</v>
      </c>
      <c r="X385" s="307">
        <f t="shared" si="166"/>
        <v>106.94444444444446</v>
      </c>
      <c r="Z385" s="11" t="s">
        <v>192</v>
      </c>
      <c r="AA385" s="306">
        <f t="shared" si="179"/>
        <v>10000000</v>
      </c>
      <c r="AB385" s="97">
        <f t="shared" si="179"/>
        <v>3.7499999999999999E-2</v>
      </c>
      <c r="AC385" s="421">
        <f t="shared" si="180"/>
        <v>1041.6666666666667</v>
      </c>
      <c r="AD385" s="304">
        <f t="shared" si="195"/>
        <v>13541.666666666664</v>
      </c>
      <c r="AE385" s="307">
        <f t="shared" si="196"/>
        <v>166.66666666666674</v>
      </c>
      <c r="AG385" s="11" t="s">
        <v>192</v>
      </c>
      <c r="AH385" s="306">
        <f t="shared" si="181"/>
        <v>6000000</v>
      </c>
      <c r="AI385" s="97">
        <f t="shared" si="181"/>
        <v>3.73E-2</v>
      </c>
      <c r="AJ385" s="421">
        <f t="shared" si="167"/>
        <v>621.66666666666663</v>
      </c>
      <c r="AK385" s="304">
        <f t="shared" si="168"/>
        <v>1243.3333333333333</v>
      </c>
      <c r="AL385" s="307">
        <f t="shared" si="169"/>
        <v>96.666666666666629</v>
      </c>
      <c r="AN385" s="304">
        <f>'codeis $'!AB385</f>
        <v>156071044.79999998</v>
      </c>
      <c r="AO385" s="340">
        <f>'codeis $'!AH385</f>
        <v>3.7785439798733833E-2</v>
      </c>
      <c r="AP385" s="304">
        <f>'codeis $'!AE385</f>
        <v>48727.799999982119</v>
      </c>
      <c r="AQ385" s="304">
        <f>'codeis $'!AK385</f>
        <v>35233.019067482121</v>
      </c>
      <c r="AR385" s="9"/>
      <c r="AS385" s="9"/>
      <c r="AT385" s="123">
        <v>1</v>
      </c>
      <c r="AU385" s="123" t="s">
        <v>32</v>
      </c>
      <c r="AV385" s="124">
        <v>36816284</v>
      </c>
      <c r="AW385" s="139">
        <v>3.5000000000000003E-2</v>
      </c>
      <c r="AX385" s="123"/>
      <c r="AY385" s="140">
        <f t="shared" si="182"/>
        <v>3530.3286027397266</v>
      </c>
      <c r="AZ385" s="140">
        <f t="shared" si="171"/>
        <v>46084.226008493155</v>
      </c>
      <c r="BA385" s="140">
        <f t="shared" si="183"/>
        <v>308.90375273972677</v>
      </c>
      <c r="BC385" s="124">
        <f>'MM $'!G385</f>
        <v>40229919.450000003</v>
      </c>
      <c r="BD385" s="139">
        <f>'MM $'!H385</f>
        <v>3.5862108320285337E-2</v>
      </c>
      <c r="BE385" s="431">
        <f>'MM $'!I385</f>
        <v>4007.5825806451503</v>
      </c>
      <c r="BF385" s="124">
        <f>'MM $'!L385</f>
        <v>487.46462877015028</v>
      </c>
      <c r="BH385" s="124">
        <f>'MM $'!N385</f>
        <v>40228691.289999999</v>
      </c>
      <c r="BI385" s="139">
        <f>'MM $'!P385</f>
        <v>3.5670240000000006E-2</v>
      </c>
      <c r="BJ385" s="431">
        <f>'MM $'!Q385</f>
        <v>3986.0196477783606</v>
      </c>
      <c r="BK385" s="124">
        <f>'MM $'!U385</f>
        <v>466.00915990336034</v>
      </c>
      <c r="BM385" s="124">
        <f>'MM $'!W385</f>
        <v>40229401.498411261</v>
      </c>
      <c r="BN385" s="139">
        <f>'MM $'!X385</f>
        <v>3.5809455303371117E-2</v>
      </c>
      <c r="BO385" s="431">
        <f>'MM $'!Y385</f>
        <v>4001.6470967742471</v>
      </c>
      <c r="BP385" s="124">
        <f>'MM $'!AB385</f>
        <v>481.57446566326189</v>
      </c>
      <c r="BR385" s="124">
        <f>'MM $'!AD385</f>
        <v>40231635.400171325</v>
      </c>
      <c r="BS385" s="139">
        <f>'MM $'!AE385</f>
        <v>3.6136742730033262E-2</v>
      </c>
      <c r="BT385" s="431">
        <f>'MM $'!AF385</f>
        <v>4038.4451612902503</v>
      </c>
      <c r="BU385" s="124">
        <f>'MM $'!AB385</f>
        <v>481.57446566326189</v>
      </c>
      <c r="BV385" s="439"/>
      <c r="BW385" s="120">
        <f t="shared" si="184"/>
        <v>381346976.4385826</v>
      </c>
      <c r="BX385" s="121">
        <f t="shared" si="185"/>
        <v>3.5000000000000003E-2</v>
      </c>
      <c r="BY385" s="121">
        <f t="shared" si="186"/>
        <v>3.6713869226144086E-2</v>
      </c>
      <c r="BZ385" s="120">
        <f t="shared" si="187"/>
        <v>71188.517533654303</v>
      </c>
      <c r="CA385" s="120">
        <f t="shared" si="188"/>
        <v>37945.489984666317</v>
      </c>
    </row>
    <row r="386" spans="2:79" x14ac:dyDescent="0.25">
      <c r="B386" s="123" t="str">
        <f t="shared" si="165"/>
        <v>1 2026</v>
      </c>
      <c r="C386" s="122">
        <f t="shared" si="189"/>
        <v>46035</v>
      </c>
      <c r="D386" s="122">
        <f t="shared" si="190"/>
        <v>46036</v>
      </c>
      <c r="E386" s="123">
        <f t="shared" si="172"/>
        <v>1</v>
      </c>
      <c r="F386" s="123" t="s">
        <v>7</v>
      </c>
      <c r="G386" s="124">
        <f t="shared" ref="G386:H386" si="210">G385</f>
        <v>1540000</v>
      </c>
      <c r="H386" s="125">
        <f t="shared" si="210"/>
        <v>3.15E-2</v>
      </c>
      <c r="I386" s="297">
        <f t="shared" si="174"/>
        <v>134.75</v>
      </c>
      <c r="J386" s="124">
        <f t="shared" si="199"/>
        <v>2624.125</v>
      </c>
      <c r="K386" s="9"/>
      <c r="L386" s="11" t="s">
        <v>192</v>
      </c>
      <c r="M386" s="306">
        <f t="shared" si="175"/>
        <v>5000000</v>
      </c>
      <c r="N386" s="97">
        <f t="shared" si="175"/>
        <v>3.9899999999999998E-2</v>
      </c>
      <c r="O386" s="421">
        <f t="shared" si="192"/>
        <v>554.16666666666663</v>
      </c>
      <c r="P386" s="304">
        <f t="shared" si="193"/>
        <v>7758.3333333333348</v>
      </c>
      <c r="Q386" s="307">
        <f t="shared" si="176"/>
        <v>116.66666666666663</v>
      </c>
      <c r="S386" s="11" t="s">
        <v>192</v>
      </c>
      <c r="T386" s="306">
        <f t="shared" si="177"/>
        <v>5000000</v>
      </c>
      <c r="U386" s="97">
        <f t="shared" si="177"/>
        <v>3.9199999999999999E-2</v>
      </c>
      <c r="V386" s="421">
        <f t="shared" si="178"/>
        <v>544.44444444444446</v>
      </c>
      <c r="W386" s="304">
        <f t="shared" si="194"/>
        <v>7622.2222222222217</v>
      </c>
      <c r="X386" s="307">
        <f t="shared" si="166"/>
        <v>106.94444444444446</v>
      </c>
      <c r="Z386" s="11" t="s">
        <v>192</v>
      </c>
      <c r="AA386" s="306">
        <f t="shared" si="179"/>
        <v>10000000</v>
      </c>
      <c r="AB386" s="97">
        <f t="shared" si="179"/>
        <v>3.7499999999999999E-2</v>
      </c>
      <c r="AC386" s="421">
        <f t="shared" si="180"/>
        <v>1041.6666666666667</v>
      </c>
      <c r="AD386" s="304">
        <f t="shared" si="195"/>
        <v>14583.33333333333</v>
      </c>
      <c r="AE386" s="307">
        <f t="shared" si="196"/>
        <v>166.66666666666674</v>
      </c>
      <c r="AG386" s="11" t="s">
        <v>192</v>
      </c>
      <c r="AH386" s="306">
        <f t="shared" si="181"/>
        <v>6000000</v>
      </c>
      <c r="AI386" s="97">
        <f t="shared" si="181"/>
        <v>3.73E-2</v>
      </c>
      <c r="AJ386" s="421">
        <f t="shared" si="167"/>
        <v>621.66666666666663</v>
      </c>
      <c r="AK386" s="304">
        <f t="shared" si="168"/>
        <v>1243.3333333333333</v>
      </c>
      <c r="AL386" s="307">
        <f t="shared" si="169"/>
        <v>96.666666666666629</v>
      </c>
      <c r="AN386" s="304">
        <f>'codeis $'!AB386</f>
        <v>156087287.40000001</v>
      </c>
      <c r="AO386" s="340">
        <f>'codeis $'!AH386</f>
        <v>3.7785439798733833E-2</v>
      </c>
      <c r="AP386" s="304">
        <f>'codeis $'!AE386</f>
        <v>16242.600000023842</v>
      </c>
      <c r="AQ386" s="304">
        <f>'codeis $'!AK386</f>
        <v>2747.8190675238402</v>
      </c>
      <c r="AR386" s="9"/>
      <c r="AS386" s="9"/>
      <c r="AT386" s="123">
        <v>1</v>
      </c>
      <c r="AU386" s="123" t="s">
        <v>32</v>
      </c>
      <c r="AV386" s="124">
        <v>36812222.399999999</v>
      </c>
      <c r="AW386" s="139">
        <v>3.5000000000000003E-2</v>
      </c>
      <c r="AX386" s="123"/>
      <c r="AY386" s="140">
        <f t="shared" si="182"/>
        <v>3529.9391342465751</v>
      </c>
      <c r="AZ386" s="140">
        <f t="shared" si="171"/>
        <v>49614.16514273973</v>
      </c>
      <c r="BA386" s="140">
        <f t="shared" si="183"/>
        <v>308.86967424657496</v>
      </c>
      <c r="BC386" s="124">
        <f>'MM $'!G386</f>
        <v>40229919.450000003</v>
      </c>
      <c r="BD386" s="139">
        <f>'MM $'!H386</f>
        <v>3.5862108320285337E-2</v>
      </c>
      <c r="BE386" s="431">
        <f>'MM $'!I386</f>
        <v>4007.5825806451503</v>
      </c>
      <c r="BF386" s="124">
        <f>'MM $'!L386</f>
        <v>487.46462877015028</v>
      </c>
      <c r="BH386" s="124">
        <f>'MM $'!N386</f>
        <v>40228691.289999999</v>
      </c>
      <c r="BI386" s="139">
        <f>'MM $'!P386</f>
        <v>3.5670240000000006E-2</v>
      </c>
      <c r="BJ386" s="431">
        <f>'MM $'!Q386</f>
        <v>3986.0196477783606</v>
      </c>
      <c r="BK386" s="124">
        <f>'MM $'!U386</f>
        <v>466.00915990336034</v>
      </c>
      <c r="BM386" s="124">
        <f>'MM $'!W386</f>
        <v>40229401.498411261</v>
      </c>
      <c r="BN386" s="139">
        <f>'MM $'!X386</f>
        <v>3.5809455303371117E-2</v>
      </c>
      <c r="BO386" s="431">
        <f>'MM $'!Y386</f>
        <v>4001.6470967742471</v>
      </c>
      <c r="BP386" s="124">
        <f>'MM $'!AB386</f>
        <v>481.57446566326189</v>
      </c>
      <c r="BR386" s="124">
        <f>'MM $'!AD386</f>
        <v>40231635.400171325</v>
      </c>
      <c r="BS386" s="139">
        <f>'MM $'!AE386</f>
        <v>3.6136742730033262E-2</v>
      </c>
      <c r="BT386" s="431">
        <f>'MM $'!AF386</f>
        <v>4038.4451612902503</v>
      </c>
      <c r="BU386" s="124">
        <f>'MM $'!AB386</f>
        <v>481.57446566326189</v>
      </c>
      <c r="BV386" s="439"/>
      <c r="BW386" s="120">
        <f t="shared" si="184"/>
        <v>381359157.4385826</v>
      </c>
      <c r="BX386" s="121">
        <f t="shared" si="185"/>
        <v>3.5000000000000003E-2</v>
      </c>
      <c r="BY386" s="121">
        <f t="shared" si="186"/>
        <v>3.6713933119046506E-2</v>
      </c>
      <c r="BZ386" s="120">
        <f t="shared" si="187"/>
        <v>38702.928065202868</v>
      </c>
      <c r="CA386" s="120">
        <f t="shared" si="188"/>
        <v>5460.2559062148939</v>
      </c>
    </row>
    <row r="387" spans="2:79" x14ac:dyDescent="0.25">
      <c r="B387" s="123" t="str">
        <f t="shared" si="165"/>
        <v>1 2026</v>
      </c>
      <c r="C387" s="122">
        <f t="shared" si="189"/>
        <v>46036</v>
      </c>
      <c r="D387" s="122">
        <f t="shared" si="190"/>
        <v>46037</v>
      </c>
      <c r="E387" s="123">
        <f t="shared" si="172"/>
        <v>1</v>
      </c>
      <c r="F387" s="123" t="s">
        <v>7</v>
      </c>
      <c r="G387" s="124">
        <f t="shared" ref="G387:H387" si="211">G386</f>
        <v>1540000</v>
      </c>
      <c r="H387" s="125">
        <f t="shared" si="211"/>
        <v>3.15E-2</v>
      </c>
      <c r="I387" s="297">
        <f t="shared" si="174"/>
        <v>134.75</v>
      </c>
      <c r="J387" s="124">
        <f t="shared" si="199"/>
        <v>2758.875</v>
      </c>
      <c r="K387" s="9"/>
      <c r="L387" s="11" t="s">
        <v>192</v>
      </c>
      <c r="M387" s="306">
        <f t="shared" si="175"/>
        <v>5000000</v>
      </c>
      <c r="N387" s="97">
        <f t="shared" si="175"/>
        <v>3.9899999999999998E-2</v>
      </c>
      <c r="O387" s="421">
        <f t="shared" si="192"/>
        <v>554.16666666666663</v>
      </c>
      <c r="P387" s="304">
        <f t="shared" si="193"/>
        <v>8312.5000000000018</v>
      </c>
      <c r="Q387" s="307">
        <f t="shared" si="176"/>
        <v>116.66666666666663</v>
      </c>
      <c r="S387" s="11" t="s">
        <v>192</v>
      </c>
      <c r="T387" s="306">
        <f t="shared" si="177"/>
        <v>5000000</v>
      </c>
      <c r="U387" s="97">
        <f t="shared" si="177"/>
        <v>3.9199999999999999E-2</v>
      </c>
      <c r="V387" s="421">
        <f t="shared" si="178"/>
        <v>544.44444444444446</v>
      </c>
      <c r="W387" s="304">
        <f t="shared" si="194"/>
        <v>8166.6666666666661</v>
      </c>
      <c r="X387" s="307">
        <f t="shared" si="166"/>
        <v>106.94444444444446</v>
      </c>
      <c r="Z387" s="11" t="s">
        <v>192</v>
      </c>
      <c r="AA387" s="306">
        <f t="shared" si="179"/>
        <v>10000000</v>
      </c>
      <c r="AB387" s="97">
        <f t="shared" si="179"/>
        <v>3.7499999999999999E-2</v>
      </c>
      <c r="AC387" s="421">
        <f t="shared" si="180"/>
        <v>1041.6666666666667</v>
      </c>
      <c r="AD387" s="304">
        <f t="shared" si="195"/>
        <v>15624.999999999996</v>
      </c>
      <c r="AE387" s="307">
        <f t="shared" si="196"/>
        <v>166.66666666666674</v>
      </c>
      <c r="AG387" s="11" t="s">
        <v>192</v>
      </c>
      <c r="AH387" s="306">
        <f t="shared" si="181"/>
        <v>6000000</v>
      </c>
      <c r="AI387" s="97">
        <f t="shared" si="181"/>
        <v>3.73E-2</v>
      </c>
      <c r="AJ387" s="421">
        <f t="shared" si="167"/>
        <v>621.66666666666663</v>
      </c>
      <c r="AK387" s="304">
        <f t="shared" si="168"/>
        <v>1243.3333333333333</v>
      </c>
      <c r="AL387" s="307">
        <f t="shared" si="169"/>
        <v>96.666666666666629</v>
      </c>
      <c r="AN387" s="304">
        <f>'codeis $'!AB387</f>
        <v>156103378.19999999</v>
      </c>
      <c r="AO387" s="340">
        <f>'codeis $'!AH387</f>
        <v>3.7785439798733833E-2</v>
      </c>
      <c r="AP387" s="304">
        <f>'codeis $'!AE387</f>
        <v>16090.799999982119</v>
      </c>
      <c r="AQ387" s="304">
        <f>'codeis $'!AK387</f>
        <v>2596.019067482117</v>
      </c>
      <c r="AR387" s="9"/>
      <c r="AS387" s="9"/>
      <c r="AT387" s="123">
        <v>1</v>
      </c>
      <c r="AU387" s="123" t="s">
        <v>32</v>
      </c>
      <c r="AV387" s="124">
        <v>36440877.210000001</v>
      </c>
      <c r="AW387" s="139">
        <v>3.5000000000000003E-2</v>
      </c>
      <c r="AX387" s="123"/>
      <c r="AY387" s="140">
        <f t="shared" si="182"/>
        <v>3494.3306913698634</v>
      </c>
      <c r="AZ387" s="140">
        <f t="shared" si="171"/>
        <v>53108.495834109592</v>
      </c>
      <c r="BA387" s="140">
        <f t="shared" si="183"/>
        <v>305.75393549486353</v>
      </c>
      <c r="BC387" s="124">
        <f>'MM $'!G387</f>
        <v>40229919.450000003</v>
      </c>
      <c r="BD387" s="139">
        <f>'MM $'!H387</f>
        <v>3.5862108320285337E-2</v>
      </c>
      <c r="BE387" s="431">
        <f>'MM $'!I387</f>
        <v>4007.5825806451503</v>
      </c>
      <c r="BF387" s="124">
        <f>'MM $'!L387</f>
        <v>487.46462877015028</v>
      </c>
      <c r="BH387" s="124">
        <f>'MM $'!N387</f>
        <v>40228691.289999999</v>
      </c>
      <c r="BI387" s="139">
        <f>'MM $'!P387</f>
        <v>3.5670240000000006E-2</v>
      </c>
      <c r="BJ387" s="431">
        <f>'MM $'!Q387</f>
        <v>3986.0196477783606</v>
      </c>
      <c r="BK387" s="124">
        <f>'MM $'!U387</f>
        <v>466.00915990336034</v>
      </c>
      <c r="BM387" s="124">
        <f>'MM $'!W387</f>
        <v>40229401.498411261</v>
      </c>
      <c r="BN387" s="139">
        <f>'MM $'!X387</f>
        <v>3.5809455303371117E-2</v>
      </c>
      <c r="BO387" s="431">
        <f>'MM $'!Y387</f>
        <v>4001.6470967742471</v>
      </c>
      <c r="BP387" s="124">
        <f>'MM $'!AB387</f>
        <v>481.57446566326189</v>
      </c>
      <c r="BR387" s="124">
        <f>'MM $'!AD387</f>
        <v>40231635.400171325</v>
      </c>
      <c r="BS387" s="139">
        <f>'MM $'!AE387</f>
        <v>3.6136742730033262E-2</v>
      </c>
      <c r="BT387" s="431">
        <f>'MM $'!AF387</f>
        <v>4038.4451612902503</v>
      </c>
      <c r="BU387" s="124">
        <f>'MM $'!AB387</f>
        <v>481.57446566326189</v>
      </c>
      <c r="BV387" s="439"/>
      <c r="BW387" s="120">
        <f t="shared" si="184"/>
        <v>381003903.04858261</v>
      </c>
      <c r="BX387" s="121">
        <f t="shared" si="185"/>
        <v>3.5000000000000003E-2</v>
      </c>
      <c r="BY387" s="121">
        <f t="shared" si="186"/>
        <v>3.6715648855326868E-2</v>
      </c>
      <c r="BZ387" s="120">
        <f t="shared" si="187"/>
        <v>38515.519622284432</v>
      </c>
      <c r="CA387" s="120">
        <f t="shared" si="188"/>
        <v>5305.3401674214583</v>
      </c>
    </row>
    <row r="388" spans="2:79" x14ac:dyDescent="0.25">
      <c r="B388" s="123" t="str">
        <f t="shared" si="165"/>
        <v>1 2026</v>
      </c>
      <c r="C388" s="122">
        <f t="shared" si="189"/>
        <v>46037</v>
      </c>
      <c r="D388" s="122">
        <f t="shared" si="190"/>
        <v>46038</v>
      </c>
      <c r="E388" s="123">
        <f t="shared" si="172"/>
        <v>1</v>
      </c>
      <c r="F388" s="123" t="s">
        <v>7</v>
      </c>
      <c r="G388" s="124">
        <f t="shared" ref="G388:H388" si="212">G387</f>
        <v>1540000</v>
      </c>
      <c r="H388" s="125">
        <f t="shared" si="212"/>
        <v>3.15E-2</v>
      </c>
      <c r="I388" s="297">
        <f t="shared" si="174"/>
        <v>134.75</v>
      </c>
      <c r="J388" s="124">
        <f t="shared" si="199"/>
        <v>2893.625</v>
      </c>
      <c r="K388" s="9"/>
      <c r="L388" s="11" t="s">
        <v>192</v>
      </c>
      <c r="M388" s="306">
        <f t="shared" si="175"/>
        <v>5000000</v>
      </c>
      <c r="N388" s="97">
        <f t="shared" si="175"/>
        <v>3.9899999999999998E-2</v>
      </c>
      <c r="O388" s="421">
        <f t="shared" si="192"/>
        <v>554.16666666666663</v>
      </c>
      <c r="P388" s="304">
        <f t="shared" si="193"/>
        <v>8866.6666666666679</v>
      </c>
      <c r="Q388" s="307">
        <f t="shared" si="176"/>
        <v>116.66666666666663</v>
      </c>
      <c r="S388" s="11" t="s">
        <v>192</v>
      </c>
      <c r="T388" s="306">
        <f t="shared" si="177"/>
        <v>5000000</v>
      </c>
      <c r="U388" s="97">
        <f t="shared" si="177"/>
        <v>3.9199999999999999E-2</v>
      </c>
      <c r="V388" s="421">
        <f t="shared" si="178"/>
        <v>544.44444444444446</v>
      </c>
      <c r="W388" s="304">
        <f t="shared" si="194"/>
        <v>8711.1111111111113</v>
      </c>
      <c r="X388" s="307">
        <f t="shared" si="166"/>
        <v>106.94444444444446</v>
      </c>
      <c r="Z388" s="11" t="s">
        <v>192</v>
      </c>
      <c r="AA388" s="306">
        <f t="shared" si="179"/>
        <v>10000000</v>
      </c>
      <c r="AB388" s="97">
        <f t="shared" si="179"/>
        <v>3.7499999999999999E-2</v>
      </c>
      <c r="AC388" s="421">
        <f t="shared" si="180"/>
        <v>1041.6666666666667</v>
      </c>
      <c r="AD388" s="304">
        <f t="shared" si="195"/>
        <v>16666.666666666664</v>
      </c>
      <c r="AE388" s="307">
        <f t="shared" si="196"/>
        <v>166.66666666666674</v>
      </c>
      <c r="AG388" s="11" t="s">
        <v>192</v>
      </c>
      <c r="AH388" s="306">
        <f t="shared" si="181"/>
        <v>6000000</v>
      </c>
      <c r="AI388" s="97">
        <f t="shared" si="181"/>
        <v>3.73E-2</v>
      </c>
      <c r="AJ388" s="421">
        <f t="shared" si="167"/>
        <v>621.66666666666663</v>
      </c>
      <c r="AK388" s="304">
        <f t="shared" si="168"/>
        <v>1243.3333333333333</v>
      </c>
      <c r="AL388" s="307">
        <f t="shared" si="169"/>
        <v>96.666666666666629</v>
      </c>
      <c r="AN388" s="304">
        <f>'codeis $'!AB388</f>
        <v>156119620.80000001</v>
      </c>
      <c r="AO388" s="340">
        <f>'codeis $'!AH388</f>
        <v>3.7785439798733833E-2</v>
      </c>
      <c r="AP388" s="304">
        <f>'codeis $'!AE388</f>
        <v>16242.600000023842</v>
      </c>
      <c r="AQ388" s="304">
        <f>'codeis $'!AK388</f>
        <v>2747.8190675238402</v>
      </c>
      <c r="AR388" s="9"/>
      <c r="AS388" s="9"/>
      <c r="AT388" s="123">
        <v>1</v>
      </c>
      <c r="AU388" s="123" t="s">
        <v>32</v>
      </c>
      <c r="AV388" s="124">
        <v>36444371.539999999</v>
      </c>
      <c r="AW388" s="139">
        <v>3.5000000000000003E-2</v>
      </c>
      <c r="AX388" s="123"/>
      <c r="AY388" s="140">
        <f t="shared" si="182"/>
        <v>3494.6657641095894</v>
      </c>
      <c r="AZ388" s="140">
        <f t="shared" si="171"/>
        <v>56603.16159821918</v>
      </c>
      <c r="BA388" s="140">
        <f t="shared" si="183"/>
        <v>305.78325435958959</v>
      </c>
      <c r="BC388" s="124">
        <f>'MM $'!G388</f>
        <v>40229919.450000003</v>
      </c>
      <c r="BD388" s="139">
        <f>'MM $'!H388</f>
        <v>3.5862108320285337E-2</v>
      </c>
      <c r="BE388" s="431">
        <f>'MM $'!I388</f>
        <v>4007.5825806451503</v>
      </c>
      <c r="BF388" s="124">
        <f>'MM $'!L388</f>
        <v>487.46462877015028</v>
      </c>
      <c r="BH388" s="124">
        <f>'MM $'!N388</f>
        <v>40228691.289999999</v>
      </c>
      <c r="BI388" s="139">
        <f>'MM $'!P388</f>
        <v>3.5670240000000006E-2</v>
      </c>
      <c r="BJ388" s="431">
        <f>'MM $'!Q388</f>
        <v>3986.0196477783606</v>
      </c>
      <c r="BK388" s="124">
        <f>'MM $'!U388</f>
        <v>466.00915990336034</v>
      </c>
      <c r="BM388" s="124">
        <f>'MM $'!W388</f>
        <v>40229401.498411261</v>
      </c>
      <c r="BN388" s="139">
        <f>'MM $'!X388</f>
        <v>3.5809455303371117E-2</v>
      </c>
      <c r="BO388" s="431">
        <f>'MM $'!Y388</f>
        <v>4001.6470967742471</v>
      </c>
      <c r="BP388" s="124">
        <f>'MM $'!AB388</f>
        <v>481.57446566326189</v>
      </c>
      <c r="BR388" s="124">
        <f>'MM $'!AD388</f>
        <v>40231635.400171325</v>
      </c>
      <c r="BS388" s="139">
        <f>'MM $'!AE388</f>
        <v>3.6136742730033262E-2</v>
      </c>
      <c r="BT388" s="431">
        <f>'MM $'!AF388</f>
        <v>4038.4451612902503</v>
      </c>
      <c r="BU388" s="124">
        <f>'MM $'!AB388</f>
        <v>481.57446566326189</v>
      </c>
      <c r="BV388" s="439"/>
      <c r="BW388" s="120">
        <f t="shared" si="184"/>
        <v>381023639.97858262</v>
      </c>
      <c r="BX388" s="121">
        <f t="shared" si="185"/>
        <v>3.5000000000000003E-2</v>
      </c>
      <c r="BY388" s="121">
        <f t="shared" si="186"/>
        <v>3.6715678725240224E-2</v>
      </c>
      <c r="BZ388" s="120">
        <f t="shared" si="187"/>
        <v>38667.654695065881</v>
      </c>
      <c r="CA388" s="120">
        <f t="shared" si="188"/>
        <v>5457.1694863279081</v>
      </c>
    </row>
    <row r="389" spans="2:79" x14ac:dyDescent="0.25">
      <c r="B389" s="123" t="str">
        <f t="shared" si="165"/>
        <v>1 2026</v>
      </c>
      <c r="C389" s="122">
        <f t="shared" si="189"/>
        <v>46038</v>
      </c>
      <c r="D389" s="122">
        <f t="shared" si="190"/>
        <v>46039</v>
      </c>
      <c r="E389" s="123">
        <f t="shared" si="172"/>
        <v>1</v>
      </c>
      <c r="F389" s="123" t="s">
        <v>7</v>
      </c>
      <c r="G389" s="124">
        <f t="shared" ref="G389:H389" si="213">G388</f>
        <v>1540000</v>
      </c>
      <c r="H389" s="125">
        <f t="shared" si="213"/>
        <v>3.15E-2</v>
      </c>
      <c r="I389" s="297">
        <f t="shared" si="174"/>
        <v>134.75</v>
      </c>
      <c r="J389" s="124">
        <f t="shared" si="199"/>
        <v>3028.375</v>
      </c>
      <c r="K389" s="9"/>
      <c r="L389" s="11" t="s">
        <v>192</v>
      </c>
      <c r="M389" s="306">
        <f t="shared" ref="M389:N404" si="214">M388</f>
        <v>5000000</v>
      </c>
      <c r="N389" s="97">
        <f t="shared" si="214"/>
        <v>3.9899999999999998E-2</v>
      </c>
      <c r="O389" s="421">
        <f t="shared" si="192"/>
        <v>554.16666666666663</v>
      </c>
      <c r="P389" s="304">
        <f t="shared" si="193"/>
        <v>9420.8333333333339</v>
      </c>
      <c r="Q389" s="307">
        <f t="shared" si="176"/>
        <v>116.66666666666663</v>
      </c>
      <c r="S389" s="11" t="s">
        <v>192</v>
      </c>
      <c r="T389" s="306">
        <f t="shared" ref="T389:U404" si="215">T388</f>
        <v>5000000</v>
      </c>
      <c r="U389" s="97">
        <f t="shared" si="215"/>
        <v>3.9199999999999999E-2</v>
      </c>
      <c r="V389" s="421">
        <f t="shared" si="178"/>
        <v>544.44444444444446</v>
      </c>
      <c r="W389" s="304">
        <f t="shared" si="194"/>
        <v>9255.5555555555566</v>
      </c>
      <c r="X389" s="307">
        <f t="shared" si="166"/>
        <v>106.94444444444446</v>
      </c>
      <c r="Z389" s="11" t="s">
        <v>192</v>
      </c>
      <c r="AA389" s="306">
        <f t="shared" ref="AA389:AB404" si="216">AA388</f>
        <v>10000000</v>
      </c>
      <c r="AB389" s="97">
        <f t="shared" si="216"/>
        <v>3.7499999999999999E-2</v>
      </c>
      <c r="AC389" s="421">
        <f t="shared" si="180"/>
        <v>1041.6666666666667</v>
      </c>
      <c r="AD389" s="304">
        <f t="shared" si="195"/>
        <v>17708.333333333332</v>
      </c>
      <c r="AE389" s="307">
        <f t="shared" si="196"/>
        <v>166.66666666666674</v>
      </c>
      <c r="AG389" s="11" t="s">
        <v>192</v>
      </c>
      <c r="AH389" s="306">
        <f t="shared" ref="AH389:AI404" si="217">AH388</f>
        <v>6000000</v>
      </c>
      <c r="AI389" s="97">
        <f t="shared" si="217"/>
        <v>3.73E-2</v>
      </c>
      <c r="AJ389" s="421">
        <f t="shared" si="167"/>
        <v>621.66666666666663</v>
      </c>
      <c r="AK389" s="304">
        <f t="shared" si="168"/>
        <v>1243.3333333333333</v>
      </c>
      <c r="AL389" s="307">
        <f t="shared" si="169"/>
        <v>96.666666666666629</v>
      </c>
      <c r="AN389" s="304">
        <f>'codeis $'!AB389</f>
        <v>156135863.40000001</v>
      </c>
      <c r="AO389" s="340">
        <f>'codeis $'!AH389</f>
        <v>3.7785439798733833E-2</v>
      </c>
      <c r="AP389" s="304">
        <f>'codeis $'!AE389</f>
        <v>16242.59999999404</v>
      </c>
      <c r="AQ389" s="304">
        <f>'codeis $'!AK389</f>
        <v>2747.8190674940379</v>
      </c>
      <c r="AR389" s="9"/>
      <c r="AS389" s="9"/>
      <c r="AT389" s="123">
        <v>1</v>
      </c>
      <c r="AU389" s="123" t="s">
        <v>32</v>
      </c>
      <c r="AV389" s="124">
        <v>36447866.210000001</v>
      </c>
      <c r="AW389" s="139">
        <v>3.5000000000000003E-2</v>
      </c>
      <c r="AX389" s="123"/>
      <c r="AY389" s="140">
        <f t="shared" si="182"/>
        <v>3495.0008694520552</v>
      </c>
      <c r="AZ389" s="140">
        <f t="shared" si="171"/>
        <v>60098.162467671238</v>
      </c>
      <c r="BA389" s="140">
        <f t="shared" si="183"/>
        <v>305.81257607705538</v>
      </c>
      <c r="BC389" s="124">
        <f>'MM $'!G389</f>
        <v>40229919.450000003</v>
      </c>
      <c r="BD389" s="139">
        <f>'MM $'!H389</f>
        <v>3.5862108320285337E-2</v>
      </c>
      <c r="BE389" s="431">
        <f>'MM $'!I389</f>
        <v>4007.5825806451503</v>
      </c>
      <c r="BF389" s="124">
        <f>'MM $'!L389</f>
        <v>487.46462877015028</v>
      </c>
      <c r="BH389" s="124">
        <f>'MM $'!N389</f>
        <v>40228691.289999999</v>
      </c>
      <c r="BI389" s="139">
        <f>'MM $'!P389</f>
        <v>3.5670240000000006E-2</v>
      </c>
      <c r="BJ389" s="431">
        <f>'MM $'!Q389</f>
        <v>3986.0196477783606</v>
      </c>
      <c r="BK389" s="124">
        <f>'MM $'!U389</f>
        <v>466.00915990336034</v>
      </c>
      <c r="BM389" s="124">
        <f>'MM $'!W389</f>
        <v>40229401.498411261</v>
      </c>
      <c r="BN389" s="139">
        <f>'MM $'!X389</f>
        <v>3.5809455303371117E-2</v>
      </c>
      <c r="BO389" s="431">
        <f>'MM $'!Y389</f>
        <v>4001.6470967742471</v>
      </c>
      <c r="BP389" s="124">
        <f>'MM $'!AB389</f>
        <v>481.57446566326189</v>
      </c>
      <c r="BR389" s="124">
        <f>'MM $'!AD389</f>
        <v>40231635.400171325</v>
      </c>
      <c r="BS389" s="139">
        <f>'MM $'!AE389</f>
        <v>3.6136742730033262E-2</v>
      </c>
      <c r="BT389" s="431">
        <f>'MM $'!AF389</f>
        <v>4038.4451612902503</v>
      </c>
      <c r="BU389" s="124">
        <f>'MM $'!AB389</f>
        <v>481.57446566326189</v>
      </c>
      <c r="BV389" s="439"/>
      <c r="BW389" s="120">
        <f t="shared" si="184"/>
        <v>381043377.2485826</v>
      </c>
      <c r="BX389" s="121">
        <f t="shared" si="185"/>
        <v>3.5000000000000003E-2</v>
      </c>
      <c r="BY389" s="121">
        <f t="shared" si="186"/>
        <v>3.6715708590528327E-2</v>
      </c>
      <c r="BZ389" s="120">
        <f t="shared" si="187"/>
        <v>38667.989800378549</v>
      </c>
      <c r="CA389" s="120">
        <f t="shared" si="188"/>
        <v>5457.1988080155716</v>
      </c>
    </row>
    <row r="390" spans="2:79" x14ac:dyDescent="0.25">
      <c r="B390" s="123" t="str">
        <f t="shared" si="165"/>
        <v>1 2026</v>
      </c>
      <c r="C390" s="122">
        <f t="shared" si="189"/>
        <v>46039</v>
      </c>
      <c r="D390" s="122">
        <f t="shared" si="190"/>
        <v>46040</v>
      </c>
      <c r="E390" s="123">
        <f t="shared" si="172"/>
        <v>1</v>
      </c>
      <c r="F390" s="123" t="s">
        <v>7</v>
      </c>
      <c r="G390" s="124">
        <f t="shared" ref="G390:H390" si="218">G389</f>
        <v>1540000</v>
      </c>
      <c r="H390" s="125">
        <f t="shared" si="218"/>
        <v>3.15E-2</v>
      </c>
      <c r="I390" s="297">
        <f t="shared" si="174"/>
        <v>134.75</v>
      </c>
      <c r="J390" s="124">
        <f t="shared" si="199"/>
        <v>3163.125</v>
      </c>
      <c r="K390" s="9"/>
      <c r="L390" s="11" t="s">
        <v>192</v>
      </c>
      <c r="M390" s="306">
        <f t="shared" si="214"/>
        <v>5000000</v>
      </c>
      <c r="N390" s="97">
        <f t="shared" si="214"/>
        <v>3.9899999999999998E-2</v>
      </c>
      <c r="O390" s="421">
        <f t="shared" si="192"/>
        <v>554.16666666666663</v>
      </c>
      <c r="P390" s="304">
        <f t="shared" si="193"/>
        <v>9975</v>
      </c>
      <c r="Q390" s="307">
        <f t="shared" si="176"/>
        <v>116.66666666666663</v>
      </c>
      <c r="S390" s="11" t="s">
        <v>192</v>
      </c>
      <c r="T390" s="306">
        <f t="shared" si="215"/>
        <v>5000000</v>
      </c>
      <c r="U390" s="97">
        <f t="shared" si="215"/>
        <v>3.9199999999999999E-2</v>
      </c>
      <c r="V390" s="421">
        <f t="shared" si="178"/>
        <v>544.44444444444446</v>
      </c>
      <c r="W390" s="304">
        <f t="shared" si="194"/>
        <v>9800.0000000000018</v>
      </c>
      <c r="X390" s="307">
        <f t="shared" si="166"/>
        <v>106.94444444444446</v>
      </c>
      <c r="Z390" s="11" t="s">
        <v>192</v>
      </c>
      <c r="AA390" s="306">
        <f t="shared" si="216"/>
        <v>10000000</v>
      </c>
      <c r="AB390" s="97">
        <f t="shared" si="216"/>
        <v>3.7499999999999999E-2</v>
      </c>
      <c r="AC390" s="421">
        <f t="shared" si="180"/>
        <v>1041.6666666666667</v>
      </c>
      <c r="AD390" s="304">
        <f t="shared" si="195"/>
        <v>18750</v>
      </c>
      <c r="AE390" s="307">
        <f t="shared" si="196"/>
        <v>166.66666666666674</v>
      </c>
      <c r="AG390" s="11" t="s">
        <v>192</v>
      </c>
      <c r="AH390" s="306">
        <f t="shared" si="217"/>
        <v>6000000</v>
      </c>
      <c r="AI390" s="97">
        <f t="shared" si="217"/>
        <v>3.73E-2</v>
      </c>
      <c r="AJ390" s="421">
        <f t="shared" si="167"/>
        <v>621.66666666666663</v>
      </c>
      <c r="AK390" s="304">
        <f t="shared" si="168"/>
        <v>1243.3333333333333</v>
      </c>
      <c r="AL390" s="307">
        <f t="shared" si="169"/>
        <v>96.666666666666629</v>
      </c>
      <c r="AN390" s="304">
        <f>'codeis $'!AB390</f>
        <v>156135863.40000001</v>
      </c>
      <c r="AO390" s="340">
        <f>'codeis $'!AH390</f>
        <v>3.7785439798733833E-2</v>
      </c>
      <c r="AP390" s="304">
        <f>'codeis $'!AE390</f>
        <v>0</v>
      </c>
      <c r="AQ390" s="304">
        <f>'codeis $'!AK390</f>
        <v>-13494.780932500002</v>
      </c>
      <c r="AR390" s="9"/>
      <c r="AS390" s="9"/>
      <c r="AT390" s="123">
        <v>1</v>
      </c>
      <c r="AU390" s="123" t="s">
        <v>32</v>
      </c>
      <c r="AV390" s="124">
        <v>36447866.210000001</v>
      </c>
      <c r="AW390" s="139">
        <v>3.5000000000000003E-2</v>
      </c>
      <c r="AX390" s="123"/>
      <c r="AY390" s="140">
        <f t="shared" si="182"/>
        <v>3495.0008694520552</v>
      </c>
      <c r="AZ390" s="140">
        <f t="shared" si="171"/>
        <v>63593.163337123297</v>
      </c>
      <c r="BA390" s="140">
        <f t="shared" si="183"/>
        <v>305.81257607705538</v>
      </c>
      <c r="BC390" s="124">
        <f>'MM $'!G390</f>
        <v>40229919.450000003</v>
      </c>
      <c r="BD390" s="139">
        <f>'MM $'!H390</f>
        <v>3.5862108320285337E-2</v>
      </c>
      <c r="BE390" s="431">
        <f>'MM $'!I390</f>
        <v>4007.5825806451503</v>
      </c>
      <c r="BF390" s="124">
        <f>'MM $'!L390</f>
        <v>487.46462877015028</v>
      </c>
      <c r="BH390" s="124">
        <f>'MM $'!N390</f>
        <v>40228691.289999999</v>
      </c>
      <c r="BI390" s="139">
        <f>'MM $'!P390</f>
        <v>3.5670240000000006E-2</v>
      </c>
      <c r="BJ390" s="431">
        <f>'MM $'!Q390</f>
        <v>3986.0196477783606</v>
      </c>
      <c r="BK390" s="124">
        <f>'MM $'!U390</f>
        <v>466.00915990336034</v>
      </c>
      <c r="BM390" s="124">
        <f>'MM $'!W390</f>
        <v>40229401.498411261</v>
      </c>
      <c r="BN390" s="139">
        <f>'MM $'!X390</f>
        <v>3.5809455303371117E-2</v>
      </c>
      <c r="BO390" s="431">
        <f>'MM $'!Y390</f>
        <v>4001.6470967742471</v>
      </c>
      <c r="BP390" s="124">
        <f>'MM $'!AB390</f>
        <v>481.57446566326189</v>
      </c>
      <c r="BR390" s="124">
        <f>'MM $'!AD390</f>
        <v>40231635.400171325</v>
      </c>
      <c r="BS390" s="139">
        <f>'MM $'!AE390</f>
        <v>3.6136742730033262E-2</v>
      </c>
      <c r="BT390" s="431">
        <f>'MM $'!AF390</f>
        <v>4038.4451612902503</v>
      </c>
      <c r="BU390" s="124">
        <f>'MM $'!AB390</f>
        <v>481.57446566326189</v>
      </c>
      <c r="BV390" s="439"/>
      <c r="BW390" s="120">
        <f t="shared" si="184"/>
        <v>381043377.2485826</v>
      </c>
      <c r="BX390" s="121">
        <f t="shared" si="185"/>
        <v>3.5000000000000003E-2</v>
      </c>
      <c r="BY390" s="121">
        <f t="shared" si="186"/>
        <v>3.6715708590528327E-2</v>
      </c>
      <c r="BZ390" s="120">
        <f t="shared" si="187"/>
        <v>22425.38980038451</v>
      </c>
      <c r="CA390" s="120">
        <f t="shared" si="188"/>
        <v>-10785.401191978468</v>
      </c>
    </row>
    <row r="391" spans="2:79" x14ac:dyDescent="0.25">
      <c r="B391" s="123" t="str">
        <f t="shared" si="165"/>
        <v>1 2026</v>
      </c>
      <c r="C391" s="122">
        <f t="shared" si="189"/>
        <v>46040</v>
      </c>
      <c r="D391" s="122">
        <f t="shared" si="190"/>
        <v>46041</v>
      </c>
      <c r="E391" s="123">
        <f t="shared" si="172"/>
        <v>1</v>
      </c>
      <c r="F391" s="123" t="s">
        <v>7</v>
      </c>
      <c r="G391" s="124">
        <f t="shared" ref="G391:H391" si="219">G390</f>
        <v>1540000</v>
      </c>
      <c r="H391" s="125">
        <f t="shared" si="219"/>
        <v>3.15E-2</v>
      </c>
      <c r="I391" s="297">
        <f t="shared" si="174"/>
        <v>134.75</v>
      </c>
      <c r="J391" s="124">
        <f t="shared" si="199"/>
        <v>3297.875</v>
      </c>
      <c r="K391" s="9"/>
      <c r="L391" s="11" t="s">
        <v>192</v>
      </c>
      <c r="M391" s="306">
        <f t="shared" si="214"/>
        <v>5000000</v>
      </c>
      <c r="N391" s="97">
        <f t="shared" si="214"/>
        <v>3.9899999999999998E-2</v>
      </c>
      <c r="O391" s="421">
        <f t="shared" si="192"/>
        <v>554.16666666666663</v>
      </c>
      <c r="P391" s="304">
        <f t="shared" si="193"/>
        <v>10529.166666666666</v>
      </c>
      <c r="Q391" s="307">
        <f t="shared" si="176"/>
        <v>116.66666666666663</v>
      </c>
      <c r="S391" s="11" t="s">
        <v>192</v>
      </c>
      <c r="T391" s="306">
        <f t="shared" si="215"/>
        <v>5000000</v>
      </c>
      <c r="U391" s="97">
        <f t="shared" si="215"/>
        <v>3.9199999999999999E-2</v>
      </c>
      <c r="V391" s="421">
        <f t="shared" si="178"/>
        <v>544.44444444444446</v>
      </c>
      <c r="W391" s="304">
        <f t="shared" si="194"/>
        <v>10344.444444444447</v>
      </c>
      <c r="X391" s="307">
        <f t="shared" si="166"/>
        <v>106.94444444444446</v>
      </c>
      <c r="Z391" s="11" t="s">
        <v>192</v>
      </c>
      <c r="AA391" s="306">
        <f t="shared" si="216"/>
        <v>10000000</v>
      </c>
      <c r="AB391" s="97">
        <f t="shared" si="216"/>
        <v>3.7499999999999999E-2</v>
      </c>
      <c r="AC391" s="421">
        <f t="shared" si="180"/>
        <v>1041.6666666666667</v>
      </c>
      <c r="AD391" s="304">
        <f t="shared" si="195"/>
        <v>19791.666666666668</v>
      </c>
      <c r="AE391" s="307">
        <f t="shared" si="196"/>
        <v>166.66666666666674</v>
      </c>
      <c r="AG391" s="11" t="s">
        <v>192</v>
      </c>
      <c r="AH391" s="306">
        <f t="shared" si="217"/>
        <v>6000000</v>
      </c>
      <c r="AI391" s="97">
        <f t="shared" si="217"/>
        <v>3.73E-2</v>
      </c>
      <c r="AJ391" s="421">
        <f t="shared" si="167"/>
        <v>621.66666666666663</v>
      </c>
      <c r="AK391" s="304">
        <f t="shared" si="168"/>
        <v>1243.3333333333333</v>
      </c>
      <c r="AL391" s="307">
        <f t="shared" si="169"/>
        <v>96.666666666666629</v>
      </c>
      <c r="AN391" s="304">
        <f>'codeis $'!AB391</f>
        <v>156135863.40000001</v>
      </c>
      <c r="AO391" s="340">
        <f>'codeis $'!AH391</f>
        <v>3.7785439798733833E-2</v>
      </c>
      <c r="AP391" s="304">
        <f>'codeis $'!AE391</f>
        <v>0</v>
      </c>
      <c r="AQ391" s="304">
        <f>'codeis $'!AK391</f>
        <v>-13494.780932500002</v>
      </c>
      <c r="AR391" s="9"/>
      <c r="AS391" s="9"/>
      <c r="AT391" s="123">
        <v>1</v>
      </c>
      <c r="AU391" s="123" t="s">
        <v>32</v>
      </c>
      <c r="AV391" s="124">
        <v>36447866.210000001</v>
      </c>
      <c r="AW391" s="139">
        <v>3.5000000000000003E-2</v>
      </c>
      <c r="AX391" s="123"/>
      <c r="AY391" s="140">
        <f t="shared" si="182"/>
        <v>3495.0008694520552</v>
      </c>
      <c r="AZ391" s="140">
        <f t="shared" si="171"/>
        <v>67088.164206575355</v>
      </c>
      <c r="BA391" s="140">
        <f t="shared" si="183"/>
        <v>305.81257607705538</v>
      </c>
      <c r="BC391" s="124">
        <f>'MM $'!G391</f>
        <v>40229919.450000003</v>
      </c>
      <c r="BD391" s="139">
        <f>'MM $'!H391</f>
        <v>3.5862108320285337E-2</v>
      </c>
      <c r="BE391" s="431">
        <f>'MM $'!I391</f>
        <v>4007.5825806451503</v>
      </c>
      <c r="BF391" s="124">
        <f>'MM $'!L391</f>
        <v>487.46462877015028</v>
      </c>
      <c r="BH391" s="124">
        <f>'MM $'!N391</f>
        <v>40228691.289999999</v>
      </c>
      <c r="BI391" s="139">
        <f>'MM $'!P391</f>
        <v>3.5670240000000006E-2</v>
      </c>
      <c r="BJ391" s="431">
        <f>'MM $'!Q391</f>
        <v>3986.0196477783606</v>
      </c>
      <c r="BK391" s="124">
        <f>'MM $'!U391</f>
        <v>466.00915990336034</v>
      </c>
      <c r="BM391" s="124">
        <f>'MM $'!W391</f>
        <v>40229401.498411261</v>
      </c>
      <c r="BN391" s="139">
        <f>'MM $'!X391</f>
        <v>3.5809455303371117E-2</v>
      </c>
      <c r="BO391" s="431">
        <f>'MM $'!Y391</f>
        <v>4001.6470967742471</v>
      </c>
      <c r="BP391" s="124">
        <f>'MM $'!AB391</f>
        <v>481.57446566326189</v>
      </c>
      <c r="BR391" s="124">
        <f>'MM $'!AD391</f>
        <v>40231635.400171325</v>
      </c>
      <c r="BS391" s="139">
        <f>'MM $'!AE391</f>
        <v>3.6136742730033262E-2</v>
      </c>
      <c r="BT391" s="431">
        <f>'MM $'!AF391</f>
        <v>4038.4451612902503</v>
      </c>
      <c r="BU391" s="124">
        <f>'MM $'!AB391</f>
        <v>481.57446566326189</v>
      </c>
      <c r="BV391" s="439"/>
      <c r="BW391" s="120">
        <f t="shared" si="184"/>
        <v>381043377.2485826</v>
      </c>
      <c r="BX391" s="121">
        <f t="shared" si="185"/>
        <v>3.5000000000000003E-2</v>
      </c>
      <c r="BY391" s="121">
        <f t="shared" si="186"/>
        <v>3.6715708590528327E-2</v>
      </c>
      <c r="BZ391" s="120">
        <f t="shared" si="187"/>
        <v>22425.38980038451</v>
      </c>
      <c r="CA391" s="120">
        <f t="shared" si="188"/>
        <v>-10785.401191978468</v>
      </c>
    </row>
    <row r="392" spans="2:79" x14ac:dyDescent="0.25">
      <c r="B392" s="123" t="str">
        <f t="shared" si="165"/>
        <v>1 2026</v>
      </c>
      <c r="C392" s="122">
        <f t="shared" si="189"/>
        <v>46041</v>
      </c>
      <c r="D392" s="122">
        <f t="shared" si="190"/>
        <v>46042</v>
      </c>
      <c r="E392" s="123">
        <f t="shared" si="172"/>
        <v>1</v>
      </c>
      <c r="F392" s="123" t="s">
        <v>7</v>
      </c>
      <c r="G392" s="124">
        <f t="shared" ref="G392:H392" si="220">G391</f>
        <v>1540000</v>
      </c>
      <c r="H392" s="125">
        <f t="shared" si="220"/>
        <v>3.15E-2</v>
      </c>
      <c r="I392" s="297">
        <f t="shared" si="174"/>
        <v>134.75</v>
      </c>
      <c r="J392" s="124">
        <f t="shared" si="199"/>
        <v>3432.625</v>
      </c>
      <c r="K392" s="9"/>
      <c r="L392" s="11" t="s">
        <v>192</v>
      </c>
      <c r="M392" s="306">
        <f t="shared" si="214"/>
        <v>5000000</v>
      </c>
      <c r="N392" s="97">
        <f t="shared" si="214"/>
        <v>3.9899999999999998E-2</v>
      </c>
      <c r="O392" s="421">
        <f t="shared" si="192"/>
        <v>554.16666666666663</v>
      </c>
      <c r="P392" s="304">
        <f t="shared" si="193"/>
        <v>11083.333333333332</v>
      </c>
      <c r="Q392" s="307">
        <f t="shared" si="176"/>
        <v>116.66666666666663</v>
      </c>
      <c r="S392" s="11" t="s">
        <v>192</v>
      </c>
      <c r="T392" s="306">
        <f t="shared" si="215"/>
        <v>5000000</v>
      </c>
      <c r="U392" s="97">
        <f t="shared" si="215"/>
        <v>3.9199999999999999E-2</v>
      </c>
      <c r="V392" s="421">
        <f t="shared" si="178"/>
        <v>544.44444444444446</v>
      </c>
      <c r="W392" s="304">
        <f t="shared" si="194"/>
        <v>10888.888888888892</v>
      </c>
      <c r="X392" s="307">
        <f t="shared" si="166"/>
        <v>106.94444444444446</v>
      </c>
      <c r="Z392" s="11" t="s">
        <v>192</v>
      </c>
      <c r="AA392" s="306">
        <f t="shared" si="216"/>
        <v>10000000</v>
      </c>
      <c r="AB392" s="97">
        <f t="shared" si="216"/>
        <v>3.7499999999999999E-2</v>
      </c>
      <c r="AC392" s="421">
        <f t="shared" si="180"/>
        <v>1041.6666666666667</v>
      </c>
      <c r="AD392" s="304">
        <f t="shared" si="195"/>
        <v>20833.333333333336</v>
      </c>
      <c r="AE392" s="307">
        <f t="shared" si="196"/>
        <v>166.66666666666674</v>
      </c>
      <c r="AG392" s="11" t="s">
        <v>192</v>
      </c>
      <c r="AH392" s="306">
        <f t="shared" si="217"/>
        <v>6000000</v>
      </c>
      <c r="AI392" s="97">
        <f t="shared" si="217"/>
        <v>3.73E-2</v>
      </c>
      <c r="AJ392" s="421">
        <f t="shared" si="167"/>
        <v>621.66666666666663</v>
      </c>
      <c r="AK392" s="304">
        <f t="shared" si="168"/>
        <v>1243.3333333333333</v>
      </c>
      <c r="AL392" s="307">
        <f t="shared" si="169"/>
        <v>96.666666666666629</v>
      </c>
      <c r="AN392" s="304">
        <f>'codeis $'!AB392</f>
        <v>156184591.20000002</v>
      </c>
      <c r="AO392" s="340">
        <f>'codeis $'!AH392</f>
        <v>3.7785439798733833E-2</v>
      </c>
      <c r="AP392" s="304">
        <f>'codeis $'!AE392</f>
        <v>48727.800000011921</v>
      </c>
      <c r="AQ392" s="304">
        <f>'codeis $'!AK392</f>
        <v>35233.019067511923</v>
      </c>
      <c r="AR392" s="9"/>
      <c r="AS392" s="9"/>
      <c r="AT392" s="123">
        <v>1</v>
      </c>
      <c r="AU392" s="123" t="s">
        <v>32</v>
      </c>
      <c r="AV392" s="124">
        <v>36447866.210000001</v>
      </c>
      <c r="AW392" s="139">
        <v>3.5000000000000003E-2</v>
      </c>
      <c r="AX392" s="123"/>
      <c r="AY392" s="140">
        <f t="shared" si="182"/>
        <v>3495.0008694520552</v>
      </c>
      <c r="AZ392" s="140">
        <f t="shared" si="171"/>
        <v>70583.165076027406</v>
      </c>
      <c r="BA392" s="140">
        <f t="shared" si="183"/>
        <v>305.81257607705538</v>
      </c>
      <c r="BC392" s="124">
        <f>'MM $'!G392</f>
        <v>40229919.450000003</v>
      </c>
      <c r="BD392" s="139">
        <f>'MM $'!H392</f>
        <v>3.5862108320285337E-2</v>
      </c>
      <c r="BE392" s="431">
        <f>'MM $'!I392</f>
        <v>4007.5825806451503</v>
      </c>
      <c r="BF392" s="124">
        <f>'MM $'!L392</f>
        <v>487.46462877015028</v>
      </c>
      <c r="BH392" s="124">
        <f>'MM $'!N392</f>
        <v>40228691.289999999</v>
      </c>
      <c r="BI392" s="139">
        <f>'MM $'!P392</f>
        <v>3.5670240000000006E-2</v>
      </c>
      <c r="BJ392" s="431">
        <f>'MM $'!Q392</f>
        <v>3986.0196477783606</v>
      </c>
      <c r="BK392" s="124">
        <f>'MM $'!U392</f>
        <v>466.00915990336034</v>
      </c>
      <c r="BM392" s="124">
        <f>'MM $'!W392</f>
        <v>40229401.498411261</v>
      </c>
      <c r="BN392" s="139">
        <f>'MM $'!X392</f>
        <v>3.5809455303371117E-2</v>
      </c>
      <c r="BO392" s="431">
        <f>'MM $'!Y392</f>
        <v>4001.6470967742471</v>
      </c>
      <c r="BP392" s="124">
        <f>'MM $'!AB392</f>
        <v>481.57446566326189</v>
      </c>
      <c r="BR392" s="124">
        <f>'MM $'!AD392</f>
        <v>40231635.400171325</v>
      </c>
      <c r="BS392" s="139">
        <f>'MM $'!AE392</f>
        <v>3.6136742730033262E-2</v>
      </c>
      <c r="BT392" s="431">
        <f>'MM $'!AF392</f>
        <v>4038.4451612902503</v>
      </c>
      <c r="BU392" s="124">
        <f>'MM $'!AB392</f>
        <v>481.57446566326189</v>
      </c>
      <c r="BV392" s="439"/>
      <c r="BW392" s="120">
        <f t="shared" si="184"/>
        <v>381092105.04858261</v>
      </c>
      <c r="BX392" s="121">
        <f t="shared" si="185"/>
        <v>3.5000000000000003E-2</v>
      </c>
      <c r="BY392" s="121">
        <f t="shared" si="186"/>
        <v>3.6715845370187829E-2</v>
      </c>
      <c r="BZ392" s="120">
        <f t="shared" si="187"/>
        <v>71153.189800396431</v>
      </c>
      <c r="CA392" s="120">
        <f t="shared" si="188"/>
        <v>37942.398808033453</v>
      </c>
    </row>
    <row r="393" spans="2:79" x14ac:dyDescent="0.25">
      <c r="B393" s="123" t="str">
        <f t="shared" si="165"/>
        <v>1 2026</v>
      </c>
      <c r="C393" s="122">
        <f t="shared" si="189"/>
        <v>46042</v>
      </c>
      <c r="D393" s="122">
        <f t="shared" si="190"/>
        <v>46043</v>
      </c>
      <c r="E393" s="123">
        <f t="shared" si="172"/>
        <v>1</v>
      </c>
      <c r="F393" s="123" t="s">
        <v>7</v>
      </c>
      <c r="G393" s="124">
        <f t="shared" ref="G393:H393" si="221">G392</f>
        <v>1540000</v>
      </c>
      <c r="H393" s="125">
        <f t="shared" si="221"/>
        <v>3.15E-2</v>
      </c>
      <c r="I393" s="297">
        <f t="shared" si="174"/>
        <v>134.75</v>
      </c>
      <c r="J393" s="124">
        <f t="shared" si="199"/>
        <v>3567.375</v>
      </c>
      <c r="K393" s="9"/>
      <c r="L393" s="11" t="s">
        <v>192</v>
      </c>
      <c r="M393" s="306">
        <f t="shared" si="214"/>
        <v>5000000</v>
      </c>
      <c r="N393" s="97">
        <f t="shared" si="214"/>
        <v>3.9899999999999998E-2</v>
      </c>
      <c r="O393" s="421">
        <f t="shared" si="192"/>
        <v>554.16666666666663</v>
      </c>
      <c r="P393" s="304">
        <f t="shared" si="193"/>
        <v>11637.499999999998</v>
      </c>
      <c r="Q393" s="307">
        <f t="shared" si="176"/>
        <v>116.66666666666663</v>
      </c>
      <c r="S393" s="11" t="s">
        <v>192</v>
      </c>
      <c r="T393" s="306">
        <f t="shared" si="215"/>
        <v>5000000</v>
      </c>
      <c r="U393" s="97">
        <f t="shared" si="215"/>
        <v>3.9199999999999999E-2</v>
      </c>
      <c r="V393" s="421">
        <f t="shared" si="178"/>
        <v>544.44444444444446</v>
      </c>
      <c r="W393" s="304">
        <f t="shared" si="194"/>
        <v>11433.333333333338</v>
      </c>
      <c r="X393" s="307">
        <f t="shared" si="166"/>
        <v>106.94444444444446</v>
      </c>
      <c r="Z393" s="11" t="s">
        <v>192</v>
      </c>
      <c r="AA393" s="306">
        <f t="shared" si="216"/>
        <v>10000000</v>
      </c>
      <c r="AB393" s="97">
        <f t="shared" si="216"/>
        <v>3.7499999999999999E-2</v>
      </c>
      <c r="AC393" s="421">
        <f t="shared" si="180"/>
        <v>1041.6666666666667</v>
      </c>
      <c r="AD393" s="304">
        <f t="shared" si="195"/>
        <v>21875.000000000004</v>
      </c>
      <c r="AE393" s="307">
        <f t="shared" si="196"/>
        <v>166.66666666666674</v>
      </c>
      <c r="AG393" s="11" t="s">
        <v>192</v>
      </c>
      <c r="AH393" s="306">
        <f t="shared" si="217"/>
        <v>6000000</v>
      </c>
      <c r="AI393" s="97">
        <f t="shared" si="217"/>
        <v>3.73E-2</v>
      </c>
      <c r="AJ393" s="421">
        <f t="shared" si="167"/>
        <v>621.66666666666663</v>
      </c>
      <c r="AK393" s="304">
        <f t="shared" si="168"/>
        <v>1243.3333333333333</v>
      </c>
      <c r="AL393" s="307">
        <f t="shared" si="169"/>
        <v>96.666666666666629</v>
      </c>
      <c r="AN393" s="304">
        <f>'codeis $'!AB393</f>
        <v>156200833.80000001</v>
      </c>
      <c r="AO393" s="340">
        <f>'codeis $'!AH393</f>
        <v>3.7785439798733833E-2</v>
      </c>
      <c r="AP393" s="304">
        <f>'codeis $'!AE393</f>
        <v>16242.59999999404</v>
      </c>
      <c r="AQ393" s="304">
        <f>'codeis $'!AK393</f>
        <v>2747.8190674940379</v>
      </c>
      <c r="AR393" s="9"/>
      <c r="AS393" s="9"/>
      <c r="AT393" s="123">
        <v>1</v>
      </c>
      <c r="AU393" s="123" t="s">
        <v>32</v>
      </c>
      <c r="AV393" s="124">
        <v>36423666.189999998</v>
      </c>
      <c r="AW393" s="139">
        <v>3.5000000000000003E-2</v>
      </c>
      <c r="AX393" s="123"/>
      <c r="AY393" s="140">
        <f t="shared" si="182"/>
        <v>3492.6803195890411</v>
      </c>
      <c r="AZ393" s="140">
        <f t="shared" si="171"/>
        <v>74075.845395616445</v>
      </c>
      <c r="BA393" s="140">
        <f t="shared" si="183"/>
        <v>305.60952796404126</v>
      </c>
      <c r="BC393" s="124">
        <f>'MM $'!G393</f>
        <v>40229919.450000003</v>
      </c>
      <c r="BD393" s="139">
        <f>'MM $'!H393</f>
        <v>3.5862108320285337E-2</v>
      </c>
      <c r="BE393" s="431">
        <f>'MM $'!I393</f>
        <v>4007.5825806451503</v>
      </c>
      <c r="BF393" s="124">
        <f>'MM $'!L393</f>
        <v>487.46462877015028</v>
      </c>
      <c r="BH393" s="124">
        <f>'MM $'!N393</f>
        <v>40228691.289999999</v>
      </c>
      <c r="BI393" s="139">
        <f>'MM $'!P393</f>
        <v>3.5670240000000006E-2</v>
      </c>
      <c r="BJ393" s="431">
        <f>'MM $'!Q393</f>
        <v>3986.0196477783606</v>
      </c>
      <c r="BK393" s="124">
        <f>'MM $'!U393</f>
        <v>466.00915990336034</v>
      </c>
      <c r="BM393" s="124">
        <f>'MM $'!W393</f>
        <v>40229401.498411261</v>
      </c>
      <c r="BN393" s="139">
        <f>'MM $'!X393</f>
        <v>3.5809455303371117E-2</v>
      </c>
      <c r="BO393" s="431">
        <f>'MM $'!Y393</f>
        <v>4001.6470967742471</v>
      </c>
      <c r="BP393" s="124">
        <f>'MM $'!AB393</f>
        <v>481.57446566326189</v>
      </c>
      <c r="BR393" s="124">
        <f>'MM $'!AD393</f>
        <v>40231635.400171325</v>
      </c>
      <c r="BS393" s="139">
        <f>'MM $'!AE393</f>
        <v>3.6136742730033262E-2</v>
      </c>
      <c r="BT393" s="431">
        <f>'MM $'!AF393</f>
        <v>4038.4451612902503</v>
      </c>
      <c r="BU393" s="124">
        <f>'MM $'!AB393</f>
        <v>481.57446566326189</v>
      </c>
      <c r="BV393" s="439"/>
      <c r="BW393" s="120">
        <f t="shared" si="184"/>
        <v>381084147.6285826</v>
      </c>
      <c r="BX393" s="121">
        <f t="shared" si="185"/>
        <v>3.5000000000000003E-2</v>
      </c>
      <c r="BY393" s="121">
        <f t="shared" si="186"/>
        <v>3.6715999920008673E-2</v>
      </c>
      <c r="BZ393" s="120">
        <f t="shared" si="187"/>
        <v>38665.66925051553</v>
      </c>
      <c r="CA393" s="120">
        <f t="shared" si="188"/>
        <v>5456.9957599025565</v>
      </c>
    </row>
    <row r="394" spans="2:79" x14ac:dyDescent="0.25">
      <c r="B394" s="123" t="str">
        <f t="shared" si="165"/>
        <v>1 2026</v>
      </c>
      <c r="C394" s="122">
        <f t="shared" si="189"/>
        <v>46043</v>
      </c>
      <c r="D394" s="122">
        <f t="shared" si="190"/>
        <v>46044</v>
      </c>
      <c r="E394" s="123">
        <f t="shared" si="172"/>
        <v>1</v>
      </c>
      <c r="F394" s="123" t="s">
        <v>7</v>
      </c>
      <c r="G394" s="124">
        <f t="shared" ref="G394:H394" si="222">G393</f>
        <v>1540000</v>
      </c>
      <c r="H394" s="125">
        <f t="shared" si="222"/>
        <v>3.15E-2</v>
      </c>
      <c r="I394" s="297">
        <f t="shared" si="174"/>
        <v>134.75</v>
      </c>
      <c r="J394" s="124">
        <f t="shared" si="199"/>
        <v>3702.125</v>
      </c>
      <c r="K394" s="9"/>
      <c r="L394" s="11" t="s">
        <v>192</v>
      </c>
      <c r="M394" s="306">
        <f t="shared" si="214"/>
        <v>5000000</v>
      </c>
      <c r="N394" s="97">
        <f t="shared" si="214"/>
        <v>3.9899999999999998E-2</v>
      </c>
      <c r="O394" s="421">
        <f t="shared" si="192"/>
        <v>554.16666666666663</v>
      </c>
      <c r="P394" s="304">
        <f t="shared" si="193"/>
        <v>12191.666666666664</v>
      </c>
      <c r="Q394" s="307">
        <f t="shared" si="176"/>
        <v>116.66666666666663</v>
      </c>
      <c r="S394" s="11" t="s">
        <v>192</v>
      </c>
      <c r="T394" s="306">
        <f t="shared" si="215"/>
        <v>5000000</v>
      </c>
      <c r="U394" s="97">
        <f t="shared" si="215"/>
        <v>3.9199999999999999E-2</v>
      </c>
      <c r="V394" s="421">
        <f t="shared" si="178"/>
        <v>544.44444444444446</v>
      </c>
      <c r="W394" s="304">
        <f t="shared" si="194"/>
        <v>11977.777777777783</v>
      </c>
      <c r="X394" s="307">
        <f t="shared" si="166"/>
        <v>106.94444444444446</v>
      </c>
      <c r="Z394" s="11" t="s">
        <v>192</v>
      </c>
      <c r="AA394" s="306">
        <f t="shared" si="216"/>
        <v>10000000</v>
      </c>
      <c r="AB394" s="97">
        <f t="shared" si="216"/>
        <v>3.7499999999999999E-2</v>
      </c>
      <c r="AC394" s="421">
        <f t="shared" si="180"/>
        <v>1041.6666666666667</v>
      </c>
      <c r="AD394" s="304">
        <f t="shared" si="195"/>
        <v>22916.666666666672</v>
      </c>
      <c r="AE394" s="307">
        <f t="shared" si="196"/>
        <v>166.66666666666674</v>
      </c>
      <c r="AG394" s="11" t="s">
        <v>192</v>
      </c>
      <c r="AH394" s="306">
        <f t="shared" si="217"/>
        <v>6000000</v>
      </c>
      <c r="AI394" s="97">
        <f t="shared" si="217"/>
        <v>3.73E-2</v>
      </c>
      <c r="AJ394" s="421">
        <f t="shared" si="167"/>
        <v>621.66666666666663</v>
      </c>
      <c r="AK394" s="304">
        <f t="shared" si="168"/>
        <v>1243.3333333333333</v>
      </c>
      <c r="AL394" s="307">
        <f t="shared" si="169"/>
        <v>96.666666666666629</v>
      </c>
      <c r="AN394" s="304">
        <f>'codeis $'!AB394</f>
        <v>156217228.19999999</v>
      </c>
      <c r="AO394" s="340">
        <f>'codeis $'!AH394</f>
        <v>3.7785439798733833E-2</v>
      </c>
      <c r="AP394" s="304">
        <f>'codeis $'!AE394</f>
        <v>16394.399999976158</v>
      </c>
      <c r="AQ394" s="304">
        <f>'codeis $'!AK394</f>
        <v>2899.6190674761565</v>
      </c>
      <c r="AR394" s="9"/>
      <c r="AS394" s="9"/>
      <c r="AT394" s="123">
        <v>1</v>
      </c>
      <c r="AU394" s="123" t="s">
        <v>32</v>
      </c>
      <c r="AV394" s="124">
        <v>36413903.549999997</v>
      </c>
      <c r="AW394" s="139">
        <v>3.5000000000000003E-2</v>
      </c>
      <c r="AX394" s="123"/>
      <c r="AY394" s="140">
        <f t="shared" si="182"/>
        <v>3491.7441760273978</v>
      </c>
      <c r="AZ394" s="140">
        <f t="shared" si="171"/>
        <v>77567.589571643839</v>
      </c>
      <c r="BA394" s="140">
        <f t="shared" si="183"/>
        <v>305.52761540239817</v>
      </c>
      <c r="BC394" s="124">
        <f>'MM $'!G394</f>
        <v>40229919.450000003</v>
      </c>
      <c r="BD394" s="139">
        <f>'MM $'!H394</f>
        <v>3.5862108320285337E-2</v>
      </c>
      <c r="BE394" s="431">
        <f>'MM $'!I394</f>
        <v>4007.5825806451503</v>
      </c>
      <c r="BF394" s="124">
        <f>'MM $'!L394</f>
        <v>487.46462877015028</v>
      </c>
      <c r="BH394" s="124">
        <f>'MM $'!N394</f>
        <v>40228691.289999999</v>
      </c>
      <c r="BI394" s="139">
        <f>'MM $'!P394</f>
        <v>3.5670240000000006E-2</v>
      </c>
      <c r="BJ394" s="431">
        <f>'MM $'!Q394</f>
        <v>3986.0196477783606</v>
      </c>
      <c r="BK394" s="124">
        <f>'MM $'!U394</f>
        <v>466.00915990336034</v>
      </c>
      <c r="BM394" s="124">
        <f>'MM $'!W394</f>
        <v>40229401.498411261</v>
      </c>
      <c r="BN394" s="139">
        <f>'MM $'!X394</f>
        <v>3.5809455303371117E-2</v>
      </c>
      <c r="BO394" s="431">
        <f>'MM $'!Y394</f>
        <v>4001.6470967742471</v>
      </c>
      <c r="BP394" s="124">
        <f>'MM $'!AB394</f>
        <v>481.57446566326189</v>
      </c>
      <c r="BR394" s="124">
        <f>'MM $'!AD394</f>
        <v>40231635.400171325</v>
      </c>
      <c r="BS394" s="139">
        <f>'MM $'!AE394</f>
        <v>3.6136742730033262E-2</v>
      </c>
      <c r="BT394" s="431">
        <f>'MM $'!AF394</f>
        <v>4038.4451612902503</v>
      </c>
      <c r="BU394" s="124">
        <f>'MM $'!AB394</f>
        <v>481.57446566326189</v>
      </c>
      <c r="BV394" s="439"/>
      <c r="BW394" s="120">
        <f t="shared" si="184"/>
        <v>381090779.38858259</v>
      </c>
      <c r="BX394" s="121">
        <f t="shared" si="185"/>
        <v>3.5000000000000003E-2</v>
      </c>
      <c r="BY394" s="121">
        <f t="shared" si="186"/>
        <v>3.6716089886799946E-2</v>
      </c>
      <c r="BZ394" s="120">
        <f t="shared" si="187"/>
        <v>38816.533106936011</v>
      </c>
      <c r="CA394" s="120">
        <f t="shared" si="188"/>
        <v>5608.7138473230334</v>
      </c>
    </row>
    <row r="395" spans="2:79" x14ac:dyDescent="0.25">
      <c r="B395" s="123" t="str">
        <f t="shared" si="165"/>
        <v>1 2026</v>
      </c>
      <c r="C395" s="122">
        <f t="shared" si="189"/>
        <v>46044</v>
      </c>
      <c r="D395" s="122">
        <f t="shared" si="190"/>
        <v>46045</v>
      </c>
      <c r="E395" s="123">
        <f t="shared" si="172"/>
        <v>1</v>
      </c>
      <c r="F395" s="123" t="s">
        <v>7</v>
      </c>
      <c r="G395" s="124">
        <f t="shared" ref="G395:H395" si="223">G394</f>
        <v>1540000</v>
      </c>
      <c r="H395" s="125">
        <f t="shared" si="223"/>
        <v>3.15E-2</v>
      </c>
      <c r="I395" s="297">
        <f t="shared" si="174"/>
        <v>134.75</v>
      </c>
      <c r="J395" s="124">
        <f t="shared" si="199"/>
        <v>3836.875</v>
      </c>
      <c r="K395" s="9"/>
      <c r="L395" s="11" t="s">
        <v>192</v>
      </c>
      <c r="M395" s="306">
        <f t="shared" si="214"/>
        <v>5000000</v>
      </c>
      <c r="N395" s="97">
        <f t="shared" si="214"/>
        <v>3.9899999999999998E-2</v>
      </c>
      <c r="O395" s="421">
        <f t="shared" si="192"/>
        <v>554.16666666666663</v>
      </c>
      <c r="P395" s="304">
        <f t="shared" si="193"/>
        <v>12745.83333333333</v>
      </c>
      <c r="Q395" s="307">
        <f t="shared" si="176"/>
        <v>116.66666666666663</v>
      </c>
      <c r="S395" s="11" t="s">
        <v>192</v>
      </c>
      <c r="T395" s="306">
        <f t="shared" si="215"/>
        <v>5000000</v>
      </c>
      <c r="U395" s="97">
        <f t="shared" si="215"/>
        <v>3.9199999999999999E-2</v>
      </c>
      <c r="V395" s="421">
        <f t="shared" si="178"/>
        <v>544.44444444444446</v>
      </c>
      <c r="W395" s="304">
        <f t="shared" si="194"/>
        <v>12522.222222222228</v>
      </c>
      <c r="X395" s="307">
        <f t="shared" si="166"/>
        <v>106.94444444444446</v>
      </c>
      <c r="Z395" s="11" t="s">
        <v>192</v>
      </c>
      <c r="AA395" s="306">
        <f t="shared" si="216"/>
        <v>10000000</v>
      </c>
      <c r="AB395" s="97">
        <f t="shared" si="216"/>
        <v>3.7499999999999999E-2</v>
      </c>
      <c r="AC395" s="421">
        <f t="shared" si="180"/>
        <v>1041.6666666666667</v>
      </c>
      <c r="AD395" s="304">
        <f t="shared" si="195"/>
        <v>23958.333333333339</v>
      </c>
      <c r="AE395" s="307">
        <f t="shared" si="196"/>
        <v>166.66666666666674</v>
      </c>
      <c r="AG395" s="11" t="s">
        <v>192</v>
      </c>
      <c r="AH395" s="306">
        <f t="shared" si="217"/>
        <v>6000000</v>
      </c>
      <c r="AI395" s="97">
        <f t="shared" si="217"/>
        <v>3.73E-2</v>
      </c>
      <c r="AJ395" s="421">
        <f t="shared" si="167"/>
        <v>621.66666666666663</v>
      </c>
      <c r="AK395" s="304">
        <f t="shared" si="168"/>
        <v>1243.3333333333333</v>
      </c>
      <c r="AL395" s="307">
        <f t="shared" si="169"/>
        <v>96.666666666666629</v>
      </c>
      <c r="AN395" s="304">
        <f>'codeis $'!AB395</f>
        <v>156233470.79999998</v>
      </c>
      <c r="AO395" s="340">
        <f>'codeis $'!AH395</f>
        <v>3.7785439798733833E-2</v>
      </c>
      <c r="AP395" s="304">
        <f>'codeis $'!AE395</f>
        <v>16242.59999999404</v>
      </c>
      <c r="AQ395" s="304">
        <f>'codeis $'!AK395</f>
        <v>2747.8190674940379</v>
      </c>
      <c r="AR395" s="9"/>
      <c r="AS395" s="9"/>
      <c r="AT395" s="123">
        <v>1</v>
      </c>
      <c r="AU395" s="123" t="s">
        <v>32</v>
      </c>
      <c r="AV395" s="124">
        <v>36417395.289999999</v>
      </c>
      <c r="AW395" s="139">
        <v>3.5000000000000003E-2</v>
      </c>
      <c r="AX395" s="123"/>
      <c r="AY395" s="140">
        <f t="shared" si="182"/>
        <v>3492.0790004109595</v>
      </c>
      <c r="AZ395" s="140">
        <f t="shared" si="171"/>
        <v>81059.668572054798</v>
      </c>
      <c r="BA395" s="140">
        <f t="shared" si="183"/>
        <v>305.55691253595933</v>
      </c>
      <c r="BC395" s="124">
        <f>'MM $'!G395</f>
        <v>40229919.450000003</v>
      </c>
      <c r="BD395" s="139">
        <f>'MM $'!H395</f>
        <v>3.5862108320285337E-2</v>
      </c>
      <c r="BE395" s="431">
        <f>'MM $'!I395</f>
        <v>4007.5825806451503</v>
      </c>
      <c r="BF395" s="124">
        <f>'MM $'!L395</f>
        <v>487.46462877015028</v>
      </c>
      <c r="BH395" s="124">
        <f>'MM $'!N395</f>
        <v>40228691.289999999</v>
      </c>
      <c r="BI395" s="139">
        <f>'MM $'!P395</f>
        <v>3.5670240000000006E-2</v>
      </c>
      <c r="BJ395" s="431">
        <f>'MM $'!Q395</f>
        <v>3986.0196477783606</v>
      </c>
      <c r="BK395" s="124">
        <f>'MM $'!U395</f>
        <v>466.00915990336034</v>
      </c>
      <c r="BM395" s="124">
        <f>'MM $'!W395</f>
        <v>40229401.498411261</v>
      </c>
      <c r="BN395" s="139">
        <f>'MM $'!X395</f>
        <v>3.5809455303371117E-2</v>
      </c>
      <c r="BO395" s="431">
        <f>'MM $'!Y395</f>
        <v>4001.6470967742471</v>
      </c>
      <c r="BP395" s="124">
        <f>'MM $'!AB395</f>
        <v>481.57446566326189</v>
      </c>
      <c r="BR395" s="124">
        <f>'MM $'!AD395</f>
        <v>40231635.400171325</v>
      </c>
      <c r="BS395" s="139">
        <f>'MM $'!AE395</f>
        <v>3.6136742730033262E-2</v>
      </c>
      <c r="BT395" s="431">
        <f>'MM $'!AF395</f>
        <v>4038.4451612902503</v>
      </c>
      <c r="BU395" s="124">
        <f>'MM $'!AB395</f>
        <v>481.57446566326189</v>
      </c>
      <c r="BV395" s="439"/>
      <c r="BW395" s="120">
        <f t="shared" si="184"/>
        <v>381110513.72858256</v>
      </c>
      <c r="BX395" s="121">
        <f t="shared" si="185"/>
        <v>3.5000000000000003E-2</v>
      </c>
      <c r="BY395" s="121">
        <f t="shared" si="186"/>
        <v>3.67161197387268E-2</v>
      </c>
      <c r="BZ395" s="120">
        <f t="shared" si="187"/>
        <v>38665.067931337449</v>
      </c>
      <c r="CA395" s="120">
        <f t="shared" si="188"/>
        <v>5456.943144474475</v>
      </c>
    </row>
    <row r="396" spans="2:79" x14ac:dyDescent="0.25">
      <c r="B396" s="123" t="str">
        <f t="shared" si="165"/>
        <v>1 2026</v>
      </c>
      <c r="C396" s="122">
        <f t="shared" si="189"/>
        <v>46045</v>
      </c>
      <c r="D396" s="122">
        <f t="shared" si="190"/>
        <v>46046</v>
      </c>
      <c r="E396" s="123">
        <f t="shared" si="172"/>
        <v>1</v>
      </c>
      <c r="F396" s="123" t="s">
        <v>7</v>
      </c>
      <c r="G396" s="124">
        <f t="shared" ref="G396:H396" si="224">G395</f>
        <v>1540000</v>
      </c>
      <c r="H396" s="125">
        <f t="shared" si="224"/>
        <v>3.15E-2</v>
      </c>
      <c r="I396" s="297">
        <f t="shared" si="174"/>
        <v>134.75</v>
      </c>
      <c r="J396" s="124">
        <f t="shared" si="199"/>
        <v>3971.625</v>
      </c>
      <c r="K396" s="9"/>
      <c r="L396" s="11" t="s">
        <v>192</v>
      </c>
      <c r="M396" s="306">
        <f t="shared" si="214"/>
        <v>5000000</v>
      </c>
      <c r="N396" s="97">
        <f t="shared" si="214"/>
        <v>3.9899999999999998E-2</v>
      </c>
      <c r="O396" s="421">
        <f t="shared" si="192"/>
        <v>554.16666666666663</v>
      </c>
      <c r="P396" s="304">
        <f t="shared" si="193"/>
        <v>13299.999999999996</v>
      </c>
      <c r="Q396" s="307">
        <f t="shared" si="176"/>
        <v>116.66666666666663</v>
      </c>
      <c r="S396" s="11" t="s">
        <v>192</v>
      </c>
      <c r="T396" s="306">
        <f t="shared" si="215"/>
        <v>5000000</v>
      </c>
      <c r="U396" s="97">
        <f t="shared" si="215"/>
        <v>3.9199999999999999E-2</v>
      </c>
      <c r="V396" s="421">
        <f t="shared" si="178"/>
        <v>544.44444444444446</v>
      </c>
      <c r="W396" s="304">
        <f t="shared" si="194"/>
        <v>13066.666666666673</v>
      </c>
      <c r="X396" s="307">
        <f t="shared" si="166"/>
        <v>106.94444444444446</v>
      </c>
      <c r="Z396" s="11" t="s">
        <v>192</v>
      </c>
      <c r="AA396" s="306">
        <f t="shared" si="216"/>
        <v>10000000</v>
      </c>
      <c r="AB396" s="97">
        <f t="shared" si="216"/>
        <v>3.7499999999999999E-2</v>
      </c>
      <c r="AC396" s="421">
        <f t="shared" si="180"/>
        <v>1041.6666666666667</v>
      </c>
      <c r="AD396" s="304">
        <f t="shared" si="195"/>
        <v>25000.000000000007</v>
      </c>
      <c r="AE396" s="307">
        <f t="shared" si="196"/>
        <v>166.66666666666674</v>
      </c>
      <c r="AG396" s="11" t="s">
        <v>192</v>
      </c>
      <c r="AH396" s="306">
        <f t="shared" si="217"/>
        <v>6000000</v>
      </c>
      <c r="AI396" s="97">
        <f t="shared" si="217"/>
        <v>3.73E-2</v>
      </c>
      <c r="AJ396" s="421">
        <f t="shared" si="167"/>
        <v>621.66666666666663</v>
      </c>
      <c r="AK396" s="304">
        <f t="shared" si="168"/>
        <v>1243.3333333333333</v>
      </c>
      <c r="AL396" s="307">
        <f t="shared" si="169"/>
        <v>96.666666666666629</v>
      </c>
      <c r="AN396" s="304">
        <f>'codeis $'!AB396</f>
        <v>156249713.39999998</v>
      </c>
      <c r="AO396" s="340">
        <f>'codeis $'!AH396</f>
        <v>3.7785439798733833E-2</v>
      </c>
      <c r="AP396" s="304">
        <f>'codeis $'!AE396</f>
        <v>16242.59999999404</v>
      </c>
      <c r="AQ396" s="304">
        <f>'codeis $'!AK396</f>
        <v>2747.8190674940379</v>
      </c>
      <c r="AR396" s="9"/>
      <c r="AS396" s="9"/>
      <c r="AT396" s="123">
        <v>1</v>
      </c>
      <c r="AU396" s="123" t="s">
        <v>32</v>
      </c>
      <c r="AV396" s="124">
        <v>36032493.270000003</v>
      </c>
      <c r="AW396" s="139">
        <v>3.5000000000000003E-2</v>
      </c>
      <c r="AX396" s="123"/>
      <c r="AY396" s="140">
        <f t="shared" si="182"/>
        <v>3455.1705875342468</v>
      </c>
      <c r="AZ396" s="140">
        <f t="shared" si="171"/>
        <v>84514.839159589043</v>
      </c>
      <c r="BA396" s="140">
        <f t="shared" si="183"/>
        <v>302.32742640924607</v>
      </c>
      <c r="BC396" s="124">
        <f>'MM $'!G396</f>
        <v>40229919.450000003</v>
      </c>
      <c r="BD396" s="139">
        <f>'MM $'!H396</f>
        <v>3.5862108320285337E-2</v>
      </c>
      <c r="BE396" s="431">
        <f>'MM $'!I396</f>
        <v>4007.5825806451503</v>
      </c>
      <c r="BF396" s="124">
        <f>'MM $'!L396</f>
        <v>487.46462877015028</v>
      </c>
      <c r="BH396" s="124">
        <f>'MM $'!N396</f>
        <v>40228691.289999999</v>
      </c>
      <c r="BI396" s="139">
        <f>'MM $'!P396</f>
        <v>3.5670240000000006E-2</v>
      </c>
      <c r="BJ396" s="431">
        <f>'MM $'!Q396</f>
        <v>3986.0196477783606</v>
      </c>
      <c r="BK396" s="124">
        <f>'MM $'!U396</f>
        <v>466.00915990336034</v>
      </c>
      <c r="BM396" s="124">
        <f>'MM $'!W396</f>
        <v>40229401.498411261</v>
      </c>
      <c r="BN396" s="139">
        <f>'MM $'!X396</f>
        <v>3.5809455303371117E-2</v>
      </c>
      <c r="BO396" s="431">
        <f>'MM $'!Y396</f>
        <v>4001.6470967742471</v>
      </c>
      <c r="BP396" s="124">
        <f>'MM $'!AB396</f>
        <v>481.57446566326189</v>
      </c>
      <c r="BR396" s="124">
        <f>'MM $'!AD396</f>
        <v>40231635.400171325</v>
      </c>
      <c r="BS396" s="139">
        <f>'MM $'!AE396</f>
        <v>3.6136742730033262E-2</v>
      </c>
      <c r="BT396" s="431">
        <f>'MM $'!AF396</f>
        <v>4038.4451612902503</v>
      </c>
      <c r="BU396" s="124">
        <f>'MM $'!AB396</f>
        <v>481.57446566326189</v>
      </c>
      <c r="BV396" s="439"/>
      <c r="BW396" s="120">
        <f t="shared" si="184"/>
        <v>380741854.3085826</v>
      </c>
      <c r="BX396" s="121">
        <f t="shared" si="185"/>
        <v>3.5000000000000003E-2</v>
      </c>
      <c r="BY396" s="121">
        <f t="shared" si="186"/>
        <v>3.6717900227224008E-2</v>
      </c>
      <c r="BZ396" s="120">
        <f t="shared" si="187"/>
        <v>38628.159518460736</v>
      </c>
      <c r="CA396" s="120">
        <f t="shared" si="188"/>
        <v>5453.7136583477622</v>
      </c>
    </row>
    <row r="397" spans="2:79" x14ac:dyDescent="0.25">
      <c r="B397" s="123" t="str">
        <f t="shared" si="165"/>
        <v>1 2026</v>
      </c>
      <c r="C397" s="122">
        <f t="shared" si="189"/>
        <v>46046</v>
      </c>
      <c r="D397" s="122">
        <f t="shared" si="190"/>
        <v>46047</v>
      </c>
      <c r="E397" s="123">
        <f t="shared" si="172"/>
        <v>1</v>
      </c>
      <c r="F397" s="123" t="s">
        <v>7</v>
      </c>
      <c r="G397" s="124">
        <f t="shared" ref="G397:H397" si="225">G396</f>
        <v>1540000</v>
      </c>
      <c r="H397" s="125">
        <f t="shared" si="225"/>
        <v>3.15E-2</v>
      </c>
      <c r="I397" s="297">
        <f t="shared" si="174"/>
        <v>134.75</v>
      </c>
      <c r="J397" s="124">
        <f t="shared" si="199"/>
        <v>4106.375</v>
      </c>
      <c r="K397" s="9"/>
      <c r="L397" s="11" t="s">
        <v>192</v>
      </c>
      <c r="M397" s="306">
        <f t="shared" si="214"/>
        <v>5000000</v>
      </c>
      <c r="N397" s="97">
        <f t="shared" si="214"/>
        <v>3.9899999999999998E-2</v>
      </c>
      <c r="O397" s="421">
        <f t="shared" si="192"/>
        <v>554.16666666666663</v>
      </c>
      <c r="P397" s="304">
        <f t="shared" si="193"/>
        <v>13854.166666666662</v>
      </c>
      <c r="Q397" s="307">
        <f t="shared" si="176"/>
        <v>116.66666666666663</v>
      </c>
      <c r="S397" s="11" t="s">
        <v>192</v>
      </c>
      <c r="T397" s="306">
        <f t="shared" si="215"/>
        <v>5000000</v>
      </c>
      <c r="U397" s="97">
        <f t="shared" si="215"/>
        <v>3.9199999999999999E-2</v>
      </c>
      <c r="V397" s="421">
        <f t="shared" si="178"/>
        <v>544.44444444444446</v>
      </c>
      <c r="W397" s="304">
        <f t="shared" si="194"/>
        <v>13611.111111111119</v>
      </c>
      <c r="X397" s="307">
        <f t="shared" si="166"/>
        <v>106.94444444444446</v>
      </c>
      <c r="Z397" s="11" t="s">
        <v>192</v>
      </c>
      <c r="AA397" s="306">
        <f t="shared" si="216"/>
        <v>10000000</v>
      </c>
      <c r="AB397" s="97">
        <f t="shared" si="216"/>
        <v>3.7499999999999999E-2</v>
      </c>
      <c r="AC397" s="421">
        <f t="shared" si="180"/>
        <v>1041.6666666666667</v>
      </c>
      <c r="AD397" s="304">
        <f t="shared" si="195"/>
        <v>26041.666666666675</v>
      </c>
      <c r="AE397" s="307">
        <f t="shared" si="196"/>
        <v>166.66666666666674</v>
      </c>
      <c r="AG397" s="11" t="s">
        <v>192</v>
      </c>
      <c r="AH397" s="306">
        <f t="shared" si="217"/>
        <v>6000000</v>
      </c>
      <c r="AI397" s="97">
        <f t="shared" si="217"/>
        <v>3.73E-2</v>
      </c>
      <c r="AJ397" s="421">
        <f t="shared" si="167"/>
        <v>621.66666666666663</v>
      </c>
      <c r="AK397" s="304">
        <f t="shared" si="168"/>
        <v>1243.3333333333333</v>
      </c>
      <c r="AL397" s="307">
        <f t="shared" si="169"/>
        <v>96.666666666666629</v>
      </c>
      <c r="AN397" s="304">
        <f>'codeis $'!AB397</f>
        <v>156249713.39999998</v>
      </c>
      <c r="AO397" s="340">
        <f>'codeis $'!AH397</f>
        <v>3.7785439798733833E-2</v>
      </c>
      <c r="AP397" s="304">
        <f>'codeis $'!AE397</f>
        <v>0</v>
      </c>
      <c r="AQ397" s="304">
        <f>'codeis $'!AK397</f>
        <v>-13494.780932500002</v>
      </c>
      <c r="AR397" s="9"/>
      <c r="AS397" s="9"/>
      <c r="AT397" s="123">
        <v>1</v>
      </c>
      <c r="AU397" s="123" t="s">
        <v>32</v>
      </c>
      <c r="AV397" s="124">
        <v>36032493.270000003</v>
      </c>
      <c r="AW397" s="139">
        <v>3.5000000000000003E-2</v>
      </c>
      <c r="AX397" s="123"/>
      <c r="AY397" s="140">
        <f t="shared" si="182"/>
        <v>3455.1705875342468</v>
      </c>
      <c r="AZ397" s="140">
        <f t="shared" si="171"/>
        <v>87970.009747123288</v>
      </c>
      <c r="BA397" s="140">
        <f t="shared" si="183"/>
        <v>302.32742640924607</v>
      </c>
      <c r="BC397" s="124">
        <f>'MM $'!G397</f>
        <v>40229919.450000003</v>
      </c>
      <c r="BD397" s="139">
        <f>'MM $'!H397</f>
        <v>3.5862108320285337E-2</v>
      </c>
      <c r="BE397" s="431">
        <f>'MM $'!I397</f>
        <v>4007.5825806451503</v>
      </c>
      <c r="BF397" s="124">
        <f>'MM $'!L397</f>
        <v>487.46462877015028</v>
      </c>
      <c r="BH397" s="124">
        <f>'MM $'!N397</f>
        <v>40228691.289999999</v>
      </c>
      <c r="BI397" s="139">
        <f>'MM $'!P397</f>
        <v>3.5670240000000006E-2</v>
      </c>
      <c r="BJ397" s="431">
        <f>'MM $'!Q397</f>
        <v>3986.0196477783606</v>
      </c>
      <c r="BK397" s="124">
        <f>'MM $'!U397</f>
        <v>466.00915990336034</v>
      </c>
      <c r="BM397" s="124">
        <f>'MM $'!W397</f>
        <v>40229401.498411261</v>
      </c>
      <c r="BN397" s="139">
        <f>'MM $'!X397</f>
        <v>3.5809455303371117E-2</v>
      </c>
      <c r="BO397" s="431">
        <f>'MM $'!Y397</f>
        <v>4001.6470967742471</v>
      </c>
      <c r="BP397" s="124">
        <f>'MM $'!AB397</f>
        <v>481.57446566326189</v>
      </c>
      <c r="BR397" s="124">
        <f>'MM $'!AD397</f>
        <v>40231635.400171325</v>
      </c>
      <c r="BS397" s="139">
        <f>'MM $'!AE397</f>
        <v>3.6136742730033262E-2</v>
      </c>
      <c r="BT397" s="431">
        <f>'MM $'!AF397</f>
        <v>4038.4451612902503</v>
      </c>
      <c r="BU397" s="124">
        <f>'MM $'!AB397</f>
        <v>481.57446566326189</v>
      </c>
      <c r="BV397" s="439"/>
      <c r="BW397" s="120">
        <f t="shared" si="184"/>
        <v>380741854.3085826</v>
      </c>
      <c r="BX397" s="121">
        <f t="shared" si="185"/>
        <v>3.5000000000000003E-2</v>
      </c>
      <c r="BY397" s="121">
        <f t="shared" si="186"/>
        <v>3.6717900227224008E-2</v>
      </c>
      <c r="BZ397" s="120">
        <f t="shared" si="187"/>
        <v>22385.559518466704</v>
      </c>
      <c r="CA397" s="120">
        <f t="shared" si="188"/>
        <v>-10788.886341646277</v>
      </c>
    </row>
    <row r="398" spans="2:79" x14ac:dyDescent="0.25">
      <c r="B398" s="123" t="str">
        <f t="shared" si="165"/>
        <v>1 2026</v>
      </c>
      <c r="C398" s="122">
        <f t="shared" si="189"/>
        <v>46047</v>
      </c>
      <c r="D398" s="122">
        <f t="shared" si="190"/>
        <v>46048</v>
      </c>
      <c r="E398" s="123">
        <f t="shared" si="172"/>
        <v>1</v>
      </c>
      <c r="F398" s="123" t="s">
        <v>7</v>
      </c>
      <c r="G398" s="124">
        <f t="shared" ref="G398:H398" si="226">G397</f>
        <v>1540000</v>
      </c>
      <c r="H398" s="125">
        <f t="shared" si="226"/>
        <v>3.15E-2</v>
      </c>
      <c r="I398" s="297">
        <f t="shared" si="174"/>
        <v>134.75</v>
      </c>
      <c r="J398" s="124">
        <f t="shared" si="199"/>
        <v>4241.125</v>
      </c>
      <c r="K398" s="9"/>
      <c r="L398" s="11" t="s">
        <v>192</v>
      </c>
      <c r="M398" s="306">
        <f t="shared" si="214"/>
        <v>5000000</v>
      </c>
      <c r="N398" s="97">
        <f t="shared" si="214"/>
        <v>3.9899999999999998E-2</v>
      </c>
      <c r="O398" s="421">
        <f t="shared" si="192"/>
        <v>554.16666666666663</v>
      </c>
      <c r="P398" s="304">
        <f t="shared" si="193"/>
        <v>14408.333333333328</v>
      </c>
      <c r="Q398" s="307">
        <f t="shared" si="176"/>
        <v>116.66666666666663</v>
      </c>
      <c r="S398" s="11" t="s">
        <v>192</v>
      </c>
      <c r="T398" s="306">
        <f t="shared" si="215"/>
        <v>5000000</v>
      </c>
      <c r="U398" s="97">
        <f t="shared" si="215"/>
        <v>3.9199999999999999E-2</v>
      </c>
      <c r="V398" s="421">
        <f t="shared" si="178"/>
        <v>544.44444444444446</v>
      </c>
      <c r="W398" s="304">
        <f t="shared" si="194"/>
        <v>14155.555555555564</v>
      </c>
      <c r="X398" s="307">
        <f t="shared" si="166"/>
        <v>106.94444444444446</v>
      </c>
      <c r="Z398" s="11" t="s">
        <v>192</v>
      </c>
      <c r="AA398" s="306">
        <f t="shared" si="216"/>
        <v>10000000</v>
      </c>
      <c r="AB398" s="97">
        <f t="shared" si="216"/>
        <v>3.7499999999999999E-2</v>
      </c>
      <c r="AC398" s="421">
        <f t="shared" si="180"/>
        <v>1041.6666666666667</v>
      </c>
      <c r="AD398" s="304">
        <f t="shared" si="195"/>
        <v>27083.333333333343</v>
      </c>
      <c r="AE398" s="307">
        <f t="shared" si="196"/>
        <v>166.66666666666674</v>
      </c>
      <c r="AG398" s="11" t="s">
        <v>192</v>
      </c>
      <c r="AH398" s="306">
        <f t="shared" si="217"/>
        <v>6000000</v>
      </c>
      <c r="AI398" s="97">
        <f t="shared" si="217"/>
        <v>3.73E-2</v>
      </c>
      <c r="AJ398" s="421">
        <f t="shared" si="167"/>
        <v>621.66666666666663</v>
      </c>
      <c r="AK398" s="304">
        <f t="shared" si="168"/>
        <v>1243.3333333333333</v>
      </c>
      <c r="AL398" s="307">
        <f t="shared" si="169"/>
        <v>96.666666666666629</v>
      </c>
      <c r="AN398" s="304">
        <f>'codeis $'!AB398</f>
        <v>156249713.39999998</v>
      </c>
      <c r="AO398" s="340">
        <f>'codeis $'!AH398</f>
        <v>3.7785439798733833E-2</v>
      </c>
      <c r="AP398" s="304">
        <f>'codeis $'!AE398</f>
        <v>0</v>
      </c>
      <c r="AQ398" s="304">
        <f>'codeis $'!AK398</f>
        <v>-13494.780932500002</v>
      </c>
      <c r="AR398" s="9"/>
      <c r="AS398" s="9"/>
      <c r="AT398" s="123">
        <v>1</v>
      </c>
      <c r="AU398" s="123" t="s">
        <v>32</v>
      </c>
      <c r="AV398" s="124">
        <v>36032493.270000003</v>
      </c>
      <c r="AW398" s="139">
        <v>3.5000000000000003E-2</v>
      </c>
      <c r="AX398" s="123"/>
      <c r="AY398" s="140">
        <f t="shared" si="182"/>
        <v>3455.1705875342468</v>
      </c>
      <c r="AZ398" s="140">
        <f t="shared" si="171"/>
        <v>91425.180334657533</v>
      </c>
      <c r="BA398" s="140">
        <f t="shared" si="183"/>
        <v>302.32742640924607</v>
      </c>
      <c r="BC398" s="124">
        <f>'MM $'!G398</f>
        <v>40229919.450000003</v>
      </c>
      <c r="BD398" s="139">
        <f>'MM $'!H398</f>
        <v>3.5862108320285337E-2</v>
      </c>
      <c r="BE398" s="431">
        <f>'MM $'!I398</f>
        <v>4007.5825806451503</v>
      </c>
      <c r="BF398" s="124">
        <f>'MM $'!L398</f>
        <v>487.46462877015028</v>
      </c>
      <c r="BH398" s="124">
        <f>'MM $'!N398</f>
        <v>40228691.289999999</v>
      </c>
      <c r="BI398" s="139">
        <f>'MM $'!P398</f>
        <v>3.5670240000000006E-2</v>
      </c>
      <c r="BJ398" s="431">
        <f>'MM $'!Q398</f>
        <v>3986.0196477783606</v>
      </c>
      <c r="BK398" s="124">
        <f>'MM $'!U398</f>
        <v>466.00915990336034</v>
      </c>
      <c r="BM398" s="124">
        <f>'MM $'!W398</f>
        <v>40229401.498411261</v>
      </c>
      <c r="BN398" s="139">
        <f>'MM $'!X398</f>
        <v>3.5809455303371117E-2</v>
      </c>
      <c r="BO398" s="431">
        <f>'MM $'!Y398</f>
        <v>4001.6470967742471</v>
      </c>
      <c r="BP398" s="124">
        <f>'MM $'!AB398</f>
        <v>481.57446566326189</v>
      </c>
      <c r="BR398" s="124">
        <f>'MM $'!AD398</f>
        <v>40231635.400171325</v>
      </c>
      <c r="BS398" s="139">
        <f>'MM $'!AE398</f>
        <v>3.6136742730033262E-2</v>
      </c>
      <c r="BT398" s="431">
        <f>'MM $'!AF398</f>
        <v>4038.4451612902503</v>
      </c>
      <c r="BU398" s="124">
        <f>'MM $'!AB398</f>
        <v>481.57446566326189</v>
      </c>
      <c r="BV398" s="439"/>
      <c r="BW398" s="120">
        <f t="shared" si="184"/>
        <v>380741854.3085826</v>
      </c>
      <c r="BX398" s="121">
        <f t="shared" si="185"/>
        <v>3.5000000000000003E-2</v>
      </c>
      <c r="BY398" s="121">
        <f t="shared" si="186"/>
        <v>3.6717900227224008E-2</v>
      </c>
      <c r="BZ398" s="120">
        <f t="shared" si="187"/>
        <v>22385.559518466704</v>
      </c>
      <c r="CA398" s="120">
        <f t="shared" si="188"/>
        <v>-10788.886341646277</v>
      </c>
    </row>
    <row r="399" spans="2:79" x14ac:dyDescent="0.25">
      <c r="B399" s="123" t="str">
        <f t="shared" si="165"/>
        <v>1 2026</v>
      </c>
      <c r="C399" s="122">
        <f t="shared" si="189"/>
        <v>46048</v>
      </c>
      <c r="D399" s="122">
        <f t="shared" si="190"/>
        <v>46049</v>
      </c>
      <c r="E399" s="123">
        <f t="shared" si="172"/>
        <v>1</v>
      </c>
      <c r="F399" s="123" t="s">
        <v>7</v>
      </c>
      <c r="G399" s="126">
        <f>G398-1350000</f>
        <v>190000</v>
      </c>
      <c r="H399" s="125">
        <f t="shared" ref="H399" si="227">H398</f>
        <v>3.15E-2</v>
      </c>
      <c r="I399" s="297">
        <f t="shared" si="174"/>
        <v>16.625</v>
      </c>
      <c r="J399" s="124">
        <f t="shared" si="199"/>
        <v>4257.75</v>
      </c>
      <c r="K399" s="9"/>
      <c r="L399" s="11" t="s">
        <v>192</v>
      </c>
      <c r="M399" s="306">
        <f t="shared" si="214"/>
        <v>5000000</v>
      </c>
      <c r="N399" s="97">
        <f t="shared" si="214"/>
        <v>3.9899999999999998E-2</v>
      </c>
      <c r="O399" s="421">
        <f t="shared" si="192"/>
        <v>554.16666666666663</v>
      </c>
      <c r="P399" s="304">
        <f t="shared" si="193"/>
        <v>14962.499999999995</v>
      </c>
      <c r="Q399" s="307">
        <f t="shared" si="176"/>
        <v>116.66666666666663</v>
      </c>
      <c r="S399" s="11" t="s">
        <v>192</v>
      </c>
      <c r="T399" s="306">
        <f t="shared" si="215"/>
        <v>5000000</v>
      </c>
      <c r="U399" s="97">
        <f t="shared" si="215"/>
        <v>3.9199999999999999E-2</v>
      </c>
      <c r="V399" s="421">
        <f t="shared" si="178"/>
        <v>544.44444444444446</v>
      </c>
      <c r="W399" s="304">
        <f t="shared" si="194"/>
        <v>14700.000000000009</v>
      </c>
      <c r="X399" s="307">
        <f t="shared" si="166"/>
        <v>106.94444444444446</v>
      </c>
      <c r="Z399" s="11" t="s">
        <v>192</v>
      </c>
      <c r="AA399" s="306">
        <f t="shared" si="216"/>
        <v>10000000</v>
      </c>
      <c r="AB399" s="97">
        <f t="shared" si="216"/>
        <v>3.7499999999999999E-2</v>
      </c>
      <c r="AC399" s="421">
        <f t="shared" si="180"/>
        <v>1041.6666666666667</v>
      </c>
      <c r="AD399" s="304">
        <f t="shared" si="195"/>
        <v>28125.000000000011</v>
      </c>
      <c r="AE399" s="307">
        <f t="shared" si="196"/>
        <v>166.66666666666674</v>
      </c>
      <c r="AG399" s="11" t="s">
        <v>192</v>
      </c>
      <c r="AH399" s="306">
        <f t="shared" si="217"/>
        <v>6000000</v>
      </c>
      <c r="AI399" s="97">
        <f t="shared" si="217"/>
        <v>3.73E-2</v>
      </c>
      <c r="AJ399" s="421">
        <f t="shared" si="167"/>
        <v>621.66666666666663</v>
      </c>
      <c r="AK399" s="304">
        <f t="shared" si="168"/>
        <v>1243.3333333333333</v>
      </c>
      <c r="AL399" s="307">
        <f t="shared" si="169"/>
        <v>96.666666666666629</v>
      </c>
      <c r="AN399" s="304">
        <f>'codeis $'!AB399</f>
        <v>156298289.40000001</v>
      </c>
      <c r="AO399" s="340">
        <f>'codeis $'!AH399</f>
        <v>3.7785439798733833E-2</v>
      </c>
      <c r="AP399" s="304">
        <f>'codeis $'!AE399</f>
        <v>48576.000000029802</v>
      </c>
      <c r="AQ399" s="304">
        <f>'codeis $'!AK399</f>
        <v>35081.219067529804</v>
      </c>
      <c r="AR399" s="9"/>
      <c r="AS399" s="9"/>
      <c r="AT399" s="123">
        <v>1</v>
      </c>
      <c r="AU399" s="123" t="s">
        <v>32</v>
      </c>
      <c r="AV399" s="124">
        <v>35662849.549999997</v>
      </c>
      <c r="AW399" s="139">
        <v>3.5000000000000003E-2</v>
      </c>
      <c r="AX399" s="123"/>
      <c r="AY399" s="140">
        <f t="shared" si="182"/>
        <v>3419.7252993150682</v>
      </c>
      <c r="AZ399" s="140">
        <f t="shared" si="171"/>
        <v>94844.905633972594</v>
      </c>
      <c r="BA399" s="140">
        <f t="shared" si="183"/>
        <v>299.22596369006806</v>
      </c>
      <c r="BC399" s="124">
        <f>'MM $'!G399</f>
        <v>40229919.450000003</v>
      </c>
      <c r="BD399" s="139">
        <f>'MM $'!H399</f>
        <v>3.5862108320285337E-2</v>
      </c>
      <c r="BE399" s="431">
        <f>'MM $'!I399</f>
        <v>4007.5825806451503</v>
      </c>
      <c r="BF399" s="124">
        <f>'MM $'!L399</f>
        <v>487.46462877015028</v>
      </c>
      <c r="BH399" s="124">
        <f>'MM $'!N399</f>
        <v>40228691.289999999</v>
      </c>
      <c r="BI399" s="139">
        <f>'MM $'!P399</f>
        <v>3.5670240000000006E-2</v>
      </c>
      <c r="BJ399" s="431">
        <f>'MM $'!Q399</f>
        <v>3986.0196477783606</v>
      </c>
      <c r="BK399" s="124">
        <f>'MM $'!U399</f>
        <v>466.00915990336034</v>
      </c>
      <c r="BM399" s="124">
        <f>'MM $'!W399</f>
        <v>40229401.498411261</v>
      </c>
      <c r="BN399" s="139">
        <f>'MM $'!X399</f>
        <v>3.5809455303371117E-2</v>
      </c>
      <c r="BO399" s="431">
        <f>'MM $'!Y399</f>
        <v>4001.6470967742471</v>
      </c>
      <c r="BP399" s="124">
        <f>'MM $'!AB399</f>
        <v>481.57446566326189</v>
      </c>
      <c r="BR399" s="124">
        <f>'MM $'!AD399</f>
        <v>40231635.400171325</v>
      </c>
      <c r="BS399" s="139">
        <f>'MM $'!AE399</f>
        <v>3.6136742730033262E-2</v>
      </c>
      <c r="BT399" s="431">
        <f>'MM $'!AF399</f>
        <v>4038.4451612902503</v>
      </c>
      <c r="BU399" s="124">
        <f>'MM $'!AB399</f>
        <v>481.57446566326189</v>
      </c>
      <c r="BV399" s="439"/>
      <c r="BW399" s="120">
        <f t="shared" si="184"/>
        <v>379070786.58858258</v>
      </c>
      <c r="BX399" s="121">
        <f t="shared" si="185"/>
        <v>3.5000000000000003E-2</v>
      </c>
      <c r="BY399" s="121">
        <f t="shared" si="186"/>
        <v>3.6738294922391987E-2</v>
      </c>
      <c r="BZ399" s="120">
        <f t="shared" si="187"/>
        <v>70807.989230277322</v>
      </c>
      <c r="CA399" s="120">
        <f t="shared" si="188"/>
        <v>37784.012195664349</v>
      </c>
    </row>
    <row r="400" spans="2:79" x14ac:dyDescent="0.25">
      <c r="B400" s="123" t="str">
        <f t="shared" si="165"/>
        <v>1 2026</v>
      </c>
      <c r="C400" s="122">
        <f t="shared" si="189"/>
        <v>46049</v>
      </c>
      <c r="D400" s="122">
        <f t="shared" si="190"/>
        <v>46050</v>
      </c>
      <c r="E400" s="123">
        <f t="shared" si="172"/>
        <v>1</v>
      </c>
      <c r="F400" s="123" t="s">
        <v>7</v>
      </c>
      <c r="G400" s="124">
        <f t="shared" ref="G400:H400" si="228">G399</f>
        <v>190000</v>
      </c>
      <c r="H400" s="125">
        <f t="shared" si="228"/>
        <v>3.15E-2</v>
      </c>
      <c r="I400" s="297">
        <f t="shared" si="174"/>
        <v>16.625</v>
      </c>
      <c r="J400" s="124">
        <f t="shared" si="199"/>
        <v>4274.375</v>
      </c>
      <c r="K400" s="9"/>
      <c r="L400" s="11" t="s">
        <v>192</v>
      </c>
      <c r="M400" s="306">
        <f t="shared" si="214"/>
        <v>5000000</v>
      </c>
      <c r="N400" s="97">
        <f t="shared" si="214"/>
        <v>3.9899999999999998E-2</v>
      </c>
      <c r="O400" s="421">
        <f t="shared" si="192"/>
        <v>554.16666666666663</v>
      </c>
      <c r="P400" s="304">
        <f t="shared" si="193"/>
        <v>15516.666666666661</v>
      </c>
      <c r="Q400" s="307">
        <f t="shared" si="176"/>
        <v>116.66666666666663</v>
      </c>
      <c r="S400" s="11" t="s">
        <v>192</v>
      </c>
      <c r="T400" s="306">
        <f t="shared" si="215"/>
        <v>5000000</v>
      </c>
      <c r="U400" s="97">
        <f t="shared" si="215"/>
        <v>3.9199999999999999E-2</v>
      </c>
      <c r="V400" s="421">
        <f t="shared" si="178"/>
        <v>544.44444444444446</v>
      </c>
      <c r="W400" s="304">
        <f t="shared" si="194"/>
        <v>15244.444444444454</v>
      </c>
      <c r="X400" s="307">
        <f t="shared" si="166"/>
        <v>106.94444444444446</v>
      </c>
      <c r="Z400" s="11" t="s">
        <v>192</v>
      </c>
      <c r="AA400" s="306">
        <f t="shared" si="216"/>
        <v>10000000</v>
      </c>
      <c r="AB400" s="97">
        <f t="shared" si="216"/>
        <v>3.7499999999999999E-2</v>
      </c>
      <c r="AC400" s="421">
        <f t="shared" si="180"/>
        <v>1041.6666666666667</v>
      </c>
      <c r="AD400" s="304">
        <f t="shared" si="195"/>
        <v>29166.666666666679</v>
      </c>
      <c r="AE400" s="307">
        <f t="shared" si="196"/>
        <v>166.66666666666674</v>
      </c>
      <c r="AG400" s="11" t="s">
        <v>192</v>
      </c>
      <c r="AH400" s="306">
        <f t="shared" si="217"/>
        <v>6000000</v>
      </c>
      <c r="AI400" s="97">
        <f t="shared" si="217"/>
        <v>3.73E-2</v>
      </c>
      <c r="AJ400" s="421">
        <f t="shared" si="167"/>
        <v>621.66666666666663</v>
      </c>
      <c r="AK400" s="304">
        <f t="shared" si="168"/>
        <v>1243.3333333333333</v>
      </c>
      <c r="AL400" s="307">
        <f t="shared" si="169"/>
        <v>96.666666666666629</v>
      </c>
      <c r="AN400" s="304">
        <f>'codeis $'!AB400</f>
        <v>156314532.00000003</v>
      </c>
      <c r="AO400" s="340">
        <f>'codeis $'!AH400</f>
        <v>3.7785439798733833E-2</v>
      </c>
      <c r="AP400" s="304">
        <f>'codeis $'!AE400</f>
        <v>16242.600000023842</v>
      </c>
      <c r="AQ400" s="304">
        <f>'codeis $'!AK400</f>
        <v>2747.8190675238402</v>
      </c>
      <c r="AR400" s="9"/>
      <c r="AS400" s="9"/>
      <c r="AT400" s="123">
        <v>1</v>
      </c>
      <c r="AU400" s="123" t="s">
        <v>32</v>
      </c>
      <c r="AV400" s="124">
        <v>35663536.090000004</v>
      </c>
      <c r="AW400" s="139">
        <v>3.5000000000000003E-2</v>
      </c>
      <c r="AX400" s="123"/>
      <c r="AY400" s="140">
        <f t="shared" si="182"/>
        <v>3419.7911319178088</v>
      </c>
      <c r="AZ400" s="140">
        <f t="shared" si="171"/>
        <v>98264.696765890403</v>
      </c>
      <c r="BA400" s="140">
        <f t="shared" si="183"/>
        <v>299.23172404280876</v>
      </c>
      <c r="BC400" s="124">
        <f>'MM $'!G400</f>
        <v>40229919.450000003</v>
      </c>
      <c r="BD400" s="139">
        <f>'MM $'!H400</f>
        <v>3.5862108320285337E-2</v>
      </c>
      <c r="BE400" s="431">
        <f>'MM $'!I400</f>
        <v>4007.5825806451503</v>
      </c>
      <c r="BF400" s="124">
        <f>'MM $'!L400</f>
        <v>487.46462877015028</v>
      </c>
      <c r="BH400" s="124">
        <f>'MM $'!N400</f>
        <v>40228691.289999999</v>
      </c>
      <c r="BI400" s="139">
        <f>'MM $'!P400</f>
        <v>3.5670240000000006E-2</v>
      </c>
      <c r="BJ400" s="431">
        <f>'MM $'!Q400</f>
        <v>3986.0196477783606</v>
      </c>
      <c r="BK400" s="124">
        <f>'MM $'!U400</f>
        <v>466.00915990336034</v>
      </c>
      <c r="BM400" s="124">
        <f>'MM $'!W400</f>
        <v>40229401.498411261</v>
      </c>
      <c r="BN400" s="139">
        <f>'MM $'!X400</f>
        <v>3.5809455303371117E-2</v>
      </c>
      <c r="BO400" s="431">
        <f>'MM $'!Y400</f>
        <v>4001.6470967742471</v>
      </c>
      <c r="BP400" s="124">
        <f>'MM $'!AB400</f>
        <v>481.57446566326189</v>
      </c>
      <c r="BR400" s="124">
        <f>'MM $'!AD400</f>
        <v>40231635.400171325</v>
      </c>
      <c r="BS400" s="139">
        <f>'MM $'!AE400</f>
        <v>3.6136742730033262E-2</v>
      </c>
      <c r="BT400" s="431">
        <f>'MM $'!AF400</f>
        <v>4038.4451612902503</v>
      </c>
      <c r="BU400" s="124">
        <f>'MM $'!AB400</f>
        <v>481.57446566326189</v>
      </c>
      <c r="BV400" s="439"/>
      <c r="BW400" s="120">
        <f t="shared" si="184"/>
        <v>379087715.72858262</v>
      </c>
      <c r="BX400" s="121">
        <f t="shared" si="185"/>
        <v>3.5000000000000003E-2</v>
      </c>
      <c r="BY400" s="121">
        <f t="shared" si="186"/>
        <v>3.6738336640827367E-2</v>
      </c>
      <c r="BZ400" s="120">
        <f t="shared" si="187"/>
        <v>38474.655062874102</v>
      </c>
      <c r="CA400" s="120">
        <f t="shared" si="188"/>
        <v>5450.6179560111268</v>
      </c>
    </row>
    <row r="401" spans="2:79" x14ac:dyDescent="0.25">
      <c r="B401" s="123" t="str">
        <f t="shared" si="165"/>
        <v>1 2026</v>
      </c>
      <c r="C401" s="122">
        <f t="shared" si="189"/>
        <v>46050</v>
      </c>
      <c r="D401" s="122">
        <f t="shared" si="190"/>
        <v>46051</v>
      </c>
      <c r="E401" s="123">
        <f t="shared" si="172"/>
        <v>1</v>
      </c>
      <c r="F401" s="123" t="s">
        <v>7</v>
      </c>
      <c r="G401" s="124">
        <f t="shared" ref="G401:H401" si="229">G400</f>
        <v>190000</v>
      </c>
      <c r="H401" s="125">
        <f t="shared" si="229"/>
        <v>3.15E-2</v>
      </c>
      <c r="I401" s="297">
        <f t="shared" si="174"/>
        <v>16.625</v>
      </c>
      <c r="J401" s="124">
        <f t="shared" si="199"/>
        <v>4291</v>
      </c>
      <c r="K401" s="9"/>
      <c r="L401" s="11" t="s">
        <v>192</v>
      </c>
      <c r="M401" s="306">
        <f t="shared" si="214"/>
        <v>5000000</v>
      </c>
      <c r="N401" s="97">
        <f t="shared" si="214"/>
        <v>3.9899999999999998E-2</v>
      </c>
      <c r="O401" s="421">
        <f t="shared" si="192"/>
        <v>554.16666666666663</v>
      </c>
      <c r="P401" s="304">
        <f t="shared" si="193"/>
        <v>16070.833333333327</v>
      </c>
      <c r="Q401" s="307">
        <f t="shared" si="176"/>
        <v>116.66666666666663</v>
      </c>
      <c r="S401" s="11" t="s">
        <v>192</v>
      </c>
      <c r="T401" s="306">
        <f t="shared" si="215"/>
        <v>5000000</v>
      </c>
      <c r="U401" s="97">
        <f t="shared" si="215"/>
        <v>3.9199999999999999E-2</v>
      </c>
      <c r="V401" s="421">
        <f t="shared" si="178"/>
        <v>544.44444444444446</v>
      </c>
      <c r="W401" s="304">
        <f t="shared" si="194"/>
        <v>15788.8888888889</v>
      </c>
      <c r="X401" s="307">
        <f t="shared" si="166"/>
        <v>106.94444444444446</v>
      </c>
      <c r="Z401" s="11" t="s">
        <v>192</v>
      </c>
      <c r="AA401" s="306">
        <f t="shared" si="216"/>
        <v>10000000</v>
      </c>
      <c r="AB401" s="97">
        <f t="shared" si="216"/>
        <v>3.7499999999999999E-2</v>
      </c>
      <c r="AC401" s="421">
        <f t="shared" si="180"/>
        <v>1041.6666666666667</v>
      </c>
      <c r="AD401" s="304">
        <f t="shared" si="195"/>
        <v>30208.333333333347</v>
      </c>
      <c r="AE401" s="307">
        <f t="shared" si="196"/>
        <v>166.66666666666674</v>
      </c>
      <c r="AG401" s="11" t="s">
        <v>192</v>
      </c>
      <c r="AH401" s="306">
        <f t="shared" si="217"/>
        <v>6000000</v>
      </c>
      <c r="AI401" s="97">
        <f t="shared" si="217"/>
        <v>3.73E-2</v>
      </c>
      <c r="AJ401" s="421">
        <f t="shared" si="167"/>
        <v>621.66666666666663</v>
      </c>
      <c r="AK401" s="304">
        <f t="shared" si="168"/>
        <v>1243.3333333333333</v>
      </c>
      <c r="AL401" s="307">
        <f t="shared" si="169"/>
        <v>96.666666666666629</v>
      </c>
      <c r="AN401" s="304">
        <f>'codeis $'!AB401</f>
        <v>156330774.59999999</v>
      </c>
      <c r="AO401" s="340">
        <f>'codeis $'!AH401</f>
        <v>3.7785439798733833E-2</v>
      </c>
      <c r="AP401" s="304">
        <f>'codeis $'!AE401</f>
        <v>16242.599999964237</v>
      </c>
      <c r="AQ401" s="304">
        <f>'codeis $'!AK401</f>
        <v>2747.8190674642356</v>
      </c>
      <c r="AR401" s="9"/>
      <c r="AS401" s="9"/>
      <c r="AT401" s="123">
        <v>1</v>
      </c>
      <c r="AU401" s="123" t="s">
        <v>32</v>
      </c>
      <c r="AV401" s="124">
        <v>25473067.77</v>
      </c>
      <c r="AW401" s="139">
        <v>3.5000000000000003E-2</v>
      </c>
      <c r="AX401" s="123"/>
      <c r="AY401" s="140">
        <f t="shared" si="182"/>
        <v>2442.622936849315</v>
      </c>
      <c r="AZ401" s="140">
        <f t="shared" si="171"/>
        <v>100707.31970273971</v>
      </c>
      <c r="BA401" s="140">
        <f t="shared" si="183"/>
        <v>213.72950697431497</v>
      </c>
      <c r="BC401" s="124">
        <f>'MM $'!G401</f>
        <v>40229919.450000003</v>
      </c>
      <c r="BD401" s="139">
        <f>'MM $'!H401</f>
        <v>3.5862108320285337E-2</v>
      </c>
      <c r="BE401" s="431">
        <f>'MM $'!I401</f>
        <v>4007.5825806451503</v>
      </c>
      <c r="BF401" s="124">
        <f>'MM $'!L401</f>
        <v>487.46462877015028</v>
      </c>
      <c r="BH401" s="124">
        <f>'MM $'!N401</f>
        <v>40228691.289999999</v>
      </c>
      <c r="BI401" s="139">
        <f>'MM $'!P401</f>
        <v>3.5670240000000006E-2</v>
      </c>
      <c r="BJ401" s="431">
        <f>'MM $'!Q401</f>
        <v>3986.0196477783606</v>
      </c>
      <c r="BK401" s="124">
        <f>'MM $'!U401</f>
        <v>466.00915990336034</v>
      </c>
      <c r="BM401" s="124">
        <f>'MM $'!W401</f>
        <v>40229401.498411261</v>
      </c>
      <c r="BN401" s="139">
        <f>'MM $'!X401</f>
        <v>3.5809455303371117E-2</v>
      </c>
      <c r="BO401" s="431">
        <f>'MM $'!Y401</f>
        <v>4001.6470967742471</v>
      </c>
      <c r="BP401" s="124">
        <f>'MM $'!AB401</f>
        <v>481.57446566326189</v>
      </c>
      <c r="BR401" s="124">
        <f>'MM $'!AD401</f>
        <v>40231635.400171325</v>
      </c>
      <c r="BS401" s="139">
        <f>'MM $'!AE401</f>
        <v>3.6136742730033262E-2</v>
      </c>
      <c r="BT401" s="431">
        <f>'MM $'!AF401</f>
        <v>4038.4451612902503</v>
      </c>
      <c r="BU401" s="124">
        <f>'MM $'!AB401</f>
        <v>481.57446566326189</v>
      </c>
      <c r="BV401" s="439"/>
      <c r="BW401" s="120">
        <f t="shared" si="184"/>
        <v>368913490.00858259</v>
      </c>
      <c r="BX401" s="121">
        <f t="shared" si="185"/>
        <v>3.5000000000000003E-2</v>
      </c>
      <c r="BY401" s="121">
        <f t="shared" si="186"/>
        <v>3.6786400679215299E-2</v>
      </c>
      <c r="BZ401" s="120">
        <f t="shared" si="187"/>
        <v>37497.486867746004</v>
      </c>
      <c r="CA401" s="120">
        <f t="shared" si="188"/>
        <v>5365.1157388830288</v>
      </c>
    </row>
    <row r="402" spans="2:79" x14ac:dyDescent="0.25">
      <c r="B402" s="123" t="str">
        <f t="shared" si="165"/>
        <v>1 2026</v>
      </c>
      <c r="C402" s="122">
        <f t="shared" si="189"/>
        <v>46051</v>
      </c>
      <c r="D402" s="122">
        <f t="shared" si="190"/>
        <v>46052</v>
      </c>
      <c r="E402" s="123">
        <f t="shared" si="172"/>
        <v>1</v>
      </c>
      <c r="F402" s="123" t="s">
        <v>7</v>
      </c>
      <c r="G402" s="124">
        <f t="shared" ref="G402:H404" si="230">G401</f>
        <v>190000</v>
      </c>
      <c r="H402" s="125">
        <f t="shared" si="230"/>
        <v>3.15E-2</v>
      </c>
      <c r="I402" s="297">
        <f t="shared" si="174"/>
        <v>16.625</v>
      </c>
      <c r="J402" s="124">
        <f t="shared" si="199"/>
        <v>4307.625</v>
      </c>
      <c r="K402" s="9"/>
      <c r="L402" s="11" t="s">
        <v>192</v>
      </c>
      <c r="M402" s="306">
        <f t="shared" si="214"/>
        <v>5000000</v>
      </c>
      <c r="N402" s="97">
        <f t="shared" si="214"/>
        <v>3.9899999999999998E-2</v>
      </c>
      <c r="O402" s="421">
        <f t="shared" si="192"/>
        <v>554.16666666666663</v>
      </c>
      <c r="P402" s="304">
        <f t="shared" si="193"/>
        <v>16624.999999999993</v>
      </c>
      <c r="Q402" s="307">
        <f t="shared" si="176"/>
        <v>116.66666666666663</v>
      </c>
      <c r="S402" s="11" t="s">
        <v>192</v>
      </c>
      <c r="T402" s="306">
        <f t="shared" si="215"/>
        <v>5000000</v>
      </c>
      <c r="U402" s="97">
        <f t="shared" si="215"/>
        <v>3.9199999999999999E-2</v>
      </c>
      <c r="V402" s="421">
        <f t="shared" si="178"/>
        <v>544.44444444444446</v>
      </c>
      <c r="W402" s="304">
        <f t="shared" si="194"/>
        <v>16333.333333333345</v>
      </c>
      <c r="X402" s="307">
        <f t="shared" si="166"/>
        <v>106.94444444444446</v>
      </c>
      <c r="Z402" s="11" t="s">
        <v>192</v>
      </c>
      <c r="AA402" s="306">
        <f t="shared" si="216"/>
        <v>10000000</v>
      </c>
      <c r="AB402" s="97">
        <f t="shared" si="216"/>
        <v>3.7499999999999999E-2</v>
      </c>
      <c r="AC402" s="421">
        <f t="shared" si="180"/>
        <v>1041.6666666666667</v>
      </c>
      <c r="AD402" s="304">
        <f t="shared" si="195"/>
        <v>31250.000000000015</v>
      </c>
      <c r="AE402" s="307">
        <f t="shared" si="196"/>
        <v>166.66666666666674</v>
      </c>
      <c r="AG402" s="11" t="s">
        <v>192</v>
      </c>
      <c r="AH402" s="306">
        <f t="shared" si="217"/>
        <v>6000000</v>
      </c>
      <c r="AI402" s="97">
        <f t="shared" si="217"/>
        <v>3.73E-2</v>
      </c>
      <c r="AJ402" s="421">
        <f t="shared" si="167"/>
        <v>621.66666666666663</v>
      </c>
      <c r="AK402" s="304">
        <f t="shared" si="168"/>
        <v>1243.3333333333333</v>
      </c>
      <c r="AL402" s="307">
        <f t="shared" si="169"/>
        <v>96.666666666666629</v>
      </c>
      <c r="AN402" s="304">
        <f>'codeis $'!AB402</f>
        <v>156347017.20000002</v>
      </c>
      <c r="AO402" s="340">
        <f>'codeis $'!AH402</f>
        <v>3.7785439798733833E-2</v>
      </c>
      <c r="AP402" s="304">
        <f>'codeis $'!AE402</f>
        <v>16242.600000023842</v>
      </c>
      <c r="AQ402" s="304">
        <f>'codeis $'!AK402</f>
        <v>2747.8190675238402</v>
      </c>
      <c r="AR402" s="9"/>
      <c r="AS402" s="9"/>
      <c r="AT402" s="123">
        <v>1</v>
      </c>
      <c r="AU402" s="123" t="s">
        <v>32</v>
      </c>
      <c r="AV402" s="124">
        <v>25461304.600000001</v>
      </c>
      <c r="AW402" s="139">
        <v>3.5000000000000003E-2</v>
      </c>
      <c r="AX402" s="123"/>
      <c r="AY402" s="140">
        <f t="shared" si="182"/>
        <v>2441.4949616438357</v>
      </c>
      <c r="AZ402" s="140">
        <f t="shared" si="171"/>
        <v>103148.81466438355</v>
      </c>
      <c r="BA402" s="140">
        <f t="shared" si="183"/>
        <v>213.63080914383545</v>
      </c>
      <c r="BC402" s="124">
        <f>'MM $'!G402</f>
        <v>40229919.450000003</v>
      </c>
      <c r="BD402" s="139">
        <f>'MM $'!H402</f>
        <v>3.5862108320285337E-2</v>
      </c>
      <c r="BE402" s="431">
        <f>'MM $'!I402</f>
        <v>4007.5825806451503</v>
      </c>
      <c r="BF402" s="124">
        <f>'MM $'!L402</f>
        <v>487.46462877015028</v>
      </c>
      <c r="BH402" s="124">
        <f>'MM $'!N402</f>
        <v>40228691.289999999</v>
      </c>
      <c r="BI402" s="139">
        <f>'MM $'!P402</f>
        <v>3.5670240000000006E-2</v>
      </c>
      <c r="BJ402" s="431">
        <f>'MM $'!Q402</f>
        <v>3986.0196477783606</v>
      </c>
      <c r="BK402" s="124">
        <f>'MM $'!U402</f>
        <v>466.00915990336034</v>
      </c>
      <c r="BM402" s="124">
        <f>'MM $'!W402</f>
        <v>40229401.498411261</v>
      </c>
      <c r="BN402" s="139">
        <f>'MM $'!X402</f>
        <v>3.5809455303371117E-2</v>
      </c>
      <c r="BO402" s="431">
        <f>'MM $'!Y402</f>
        <v>4001.6470967742471</v>
      </c>
      <c r="BP402" s="124">
        <f>'MM $'!AB402</f>
        <v>481.57446566326189</v>
      </c>
      <c r="BR402" s="124">
        <f>'MM $'!AD402</f>
        <v>40231635.400171325</v>
      </c>
      <c r="BS402" s="139">
        <f>'MM $'!AE402</f>
        <v>3.6136742730033262E-2</v>
      </c>
      <c r="BT402" s="431">
        <f>'MM $'!AF402</f>
        <v>4038.4451612902503</v>
      </c>
      <c r="BU402" s="124">
        <f>'MM $'!AB402</f>
        <v>481.57446566326189</v>
      </c>
      <c r="BV402" s="439"/>
      <c r="BW402" s="120">
        <f t="shared" si="184"/>
        <v>368917969.4385826</v>
      </c>
      <c r="BX402" s="121">
        <f t="shared" si="185"/>
        <v>3.5000000000000003E-2</v>
      </c>
      <c r="BY402" s="121">
        <f t="shared" si="186"/>
        <v>3.678650162503732E-2</v>
      </c>
      <c r="BZ402" s="120">
        <f t="shared" si="187"/>
        <v>37496.358892600132</v>
      </c>
      <c r="CA402" s="120">
        <f t="shared" si="188"/>
        <v>5365.0170411121544</v>
      </c>
    </row>
    <row r="403" spans="2:79" x14ac:dyDescent="0.25">
      <c r="B403" s="148" t="str">
        <f t="shared" si="165"/>
        <v>1 2026</v>
      </c>
      <c r="C403" s="149">
        <f t="shared" si="189"/>
        <v>46052</v>
      </c>
      <c r="D403" s="149">
        <f t="shared" si="190"/>
        <v>46053</v>
      </c>
      <c r="E403" s="148">
        <f t="shared" si="172"/>
        <v>1</v>
      </c>
      <c r="F403" s="148" t="s">
        <v>7</v>
      </c>
      <c r="G403" s="205">
        <f t="shared" ref="G403:H403" si="231">G402</f>
        <v>190000</v>
      </c>
      <c r="H403" s="443">
        <f t="shared" si="231"/>
        <v>3.15E-2</v>
      </c>
      <c r="I403" s="150">
        <f t="shared" si="174"/>
        <v>16.625</v>
      </c>
      <c r="J403" s="150">
        <f t="shared" si="199"/>
        <v>4324.25</v>
      </c>
      <c r="K403" s="9"/>
      <c r="L403" s="143" t="s">
        <v>192</v>
      </c>
      <c r="M403" s="418">
        <f t="shared" si="214"/>
        <v>5000000</v>
      </c>
      <c r="N403" s="175">
        <f t="shared" si="214"/>
        <v>3.9899999999999998E-2</v>
      </c>
      <c r="O403" s="422">
        <f t="shared" si="192"/>
        <v>554.16666666666663</v>
      </c>
      <c r="P403" s="444">
        <f t="shared" si="193"/>
        <v>17179.166666666661</v>
      </c>
      <c r="Q403" s="308">
        <f t="shared" si="176"/>
        <v>116.66666666666663</v>
      </c>
      <c r="R403" s="17"/>
      <c r="S403" s="143" t="s">
        <v>192</v>
      </c>
      <c r="T403" s="418">
        <f t="shared" si="215"/>
        <v>5000000</v>
      </c>
      <c r="U403" s="175">
        <f t="shared" si="215"/>
        <v>3.9199999999999999E-2</v>
      </c>
      <c r="V403" s="422">
        <f t="shared" si="178"/>
        <v>544.44444444444446</v>
      </c>
      <c r="W403" s="444">
        <f t="shared" si="194"/>
        <v>16877.777777777788</v>
      </c>
      <c r="X403" s="308">
        <f t="shared" si="166"/>
        <v>106.94444444444446</v>
      </c>
      <c r="Y403" s="17"/>
      <c r="Z403" s="143" t="s">
        <v>192</v>
      </c>
      <c r="AA403" s="418">
        <f t="shared" si="216"/>
        <v>10000000</v>
      </c>
      <c r="AB403" s="175">
        <f t="shared" si="216"/>
        <v>3.7499999999999999E-2</v>
      </c>
      <c r="AC403" s="422">
        <f t="shared" si="180"/>
        <v>1041.6666666666667</v>
      </c>
      <c r="AD403" s="444">
        <f t="shared" si="195"/>
        <v>32291.666666666682</v>
      </c>
      <c r="AE403" s="308">
        <f t="shared" si="196"/>
        <v>166.66666666666674</v>
      </c>
      <c r="AF403" s="17"/>
      <c r="AG403" s="143" t="s">
        <v>192</v>
      </c>
      <c r="AH403" s="418">
        <f t="shared" si="217"/>
        <v>6000000</v>
      </c>
      <c r="AI403" s="175">
        <f t="shared" si="217"/>
        <v>3.73E-2</v>
      </c>
      <c r="AJ403" s="422">
        <f t="shared" si="167"/>
        <v>621.66666666666663</v>
      </c>
      <c r="AK403" s="419">
        <f t="shared" si="168"/>
        <v>1243.3333333333333</v>
      </c>
      <c r="AL403" s="308">
        <f t="shared" si="169"/>
        <v>96.666666666666629</v>
      </c>
      <c r="AM403" s="17"/>
      <c r="AN403" s="339">
        <f>'codeis $'!AB403</f>
        <v>156363411.59999999</v>
      </c>
      <c r="AO403" s="341">
        <f>'codeis $'!AH403</f>
        <v>3.7785439798733833E-2</v>
      </c>
      <c r="AP403" s="339">
        <f>'codeis $'!AE403</f>
        <v>16394.399999976158</v>
      </c>
      <c r="AQ403" s="339">
        <f>'codeis $'!AK403</f>
        <v>2899.6190674761565</v>
      </c>
      <c r="AR403" s="9"/>
      <c r="AS403" s="9"/>
      <c r="AT403" s="204">
        <v>1</v>
      </c>
      <c r="AU403" s="204" t="s">
        <v>32</v>
      </c>
      <c r="AV403" s="205">
        <v>25462493.68</v>
      </c>
      <c r="AW403" s="152">
        <v>3.5000000000000003E-2</v>
      </c>
      <c r="AX403" s="152"/>
      <c r="AY403" s="201">
        <f t="shared" si="182"/>
        <v>2441.6089830136989</v>
      </c>
      <c r="AZ403" s="153">
        <f t="shared" si="171"/>
        <v>105590.42364739726</v>
      </c>
      <c r="BA403" s="153">
        <f t="shared" si="183"/>
        <v>213.6407860136992</v>
      </c>
      <c r="BC403" s="124">
        <f>'MM $'!G403</f>
        <v>40229919.450000003</v>
      </c>
      <c r="BD403" s="139">
        <f>'MM $'!H403</f>
        <v>3.5862108320285337E-2</v>
      </c>
      <c r="BE403" s="431">
        <f>'MM $'!I403</f>
        <v>4007.5825806451503</v>
      </c>
      <c r="BF403" s="124">
        <f>'MM $'!L403</f>
        <v>487.46462877015028</v>
      </c>
      <c r="BH403" s="124">
        <f>'MM $'!N403</f>
        <v>40228691.289999999</v>
      </c>
      <c r="BI403" s="139">
        <f>'MM $'!P403</f>
        <v>3.5670240000000006E-2</v>
      </c>
      <c r="BJ403" s="431">
        <f>'MM $'!Q403</f>
        <v>3986.0196477783606</v>
      </c>
      <c r="BK403" s="124">
        <f>'MM $'!U403</f>
        <v>466.00915990336034</v>
      </c>
      <c r="BM403" s="124">
        <f>'MM $'!W403</f>
        <v>40229401.498411261</v>
      </c>
      <c r="BN403" s="139">
        <f>'MM $'!X403</f>
        <v>3.5809455303371117E-2</v>
      </c>
      <c r="BO403" s="431">
        <f>'MM $'!Y403</f>
        <v>4001.6470967742471</v>
      </c>
      <c r="BP403" s="124">
        <f>'MM $'!AB403</f>
        <v>481.57446566326189</v>
      </c>
      <c r="BR403" s="124">
        <f>'MM $'!AD403</f>
        <v>40231635.400171325</v>
      </c>
      <c r="BS403" s="139">
        <f>'MM $'!AE403</f>
        <v>3.6136742730033262E-2</v>
      </c>
      <c r="BT403" s="431">
        <f>'MM $'!AF403</f>
        <v>4038.4451612902503</v>
      </c>
      <c r="BU403" s="124">
        <f>'MM $'!AB403</f>
        <v>481.57446566326189</v>
      </c>
      <c r="BV403" s="439"/>
      <c r="BW403" s="120">
        <f t="shared" si="184"/>
        <v>368935552.91858262</v>
      </c>
      <c r="BX403" s="173">
        <f t="shared" si="185"/>
        <v>3.5000000000000003E-2</v>
      </c>
      <c r="BY403" s="121">
        <f t="shared" si="186"/>
        <v>3.6786540256984079E-2</v>
      </c>
      <c r="BZ403" s="120">
        <f t="shared" si="187"/>
        <v>37648.272913922308</v>
      </c>
      <c r="CA403" s="120">
        <f t="shared" si="188"/>
        <v>5516.8270179343344</v>
      </c>
    </row>
    <row r="404" spans="2:79" x14ac:dyDescent="0.25">
      <c r="B404" s="123" t="str">
        <f t="shared" ref="B404" si="232">CONCATENATE(MONTH(D404)," ",YEAR(D404))</f>
        <v>2 2026</v>
      </c>
      <c r="C404" s="122">
        <f t="shared" ref="C404" si="233">D403</f>
        <v>46053</v>
      </c>
      <c r="D404" s="122">
        <f t="shared" si="190"/>
        <v>46054</v>
      </c>
      <c r="E404" s="123">
        <f t="shared" ref="E404" si="234">D404-C404</f>
        <v>1</v>
      </c>
      <c r="F404" s="123" t="s">
        <v>7</v>
      </c>
      <c r="G404" s="124">
        <f t="shared" si="230"/>
        <v>190000</v>
      </c>
      <c r="H404" s="125">
        <f t="shared" si="230"/>
        <v>3.15E-2</v>
      </c>
      <c r="I404" s="124">
        <f t="shared" ref="I404" si="235">G404*H404*E404/360</f>
        <v>16.625</v>
      </c>
      <c r="J404" s="124">
        <f t="shared" ref="J404" si="236">J403+I404</f>
        <v>4340.875</v>
      </c>
      <c r="K404" s="9"/>
      <c r="L404" s="11" t="s">
        <v>192</v>
      </c>
      <c r="M404" s="306">
        <f t="shared" si="214"/>
        <v>5000000</v>
      </c>
      <c r="N404" s="97">
        <f t="shared" si="214"/>
        <v>3.9899999999999998E-2</v>
      </c>
      <c r="O404" s="421">
        <f t="shared" ref="O404" si="237">M404*N404*$E404/360</f>
        <v>554.16666666666663</v>
      </c>
      <c r="P404" s="304">
        <f t="shared" ref="P404" si="238">P403+O404</f>
        <v>17733.333333333328</v>
      </c>
      <c r="Q404" s="307">
        <f t="shared" ref="Q404" si="239">O404-M404*$H404*$E404/360</f>
        <v>116.66666666666663</v>
      </c>
      <c r="S404" s="11" t="s">
        <v>192</v>
      </c>
      <c r="T404" s="306">
        <f t="shared" si="215"/>
        <v>5000000</v>
      </c>
      <c r="U404" s="97">
        <f t="shared" si="215"/>
        <v>3.9199999999999999E-2</v>
      </c>
      <c r="V404" s="421">
        <f t="shared" ref="V404" si="240">T404*U404*$E404/360</f>
        <v>544.44444444444446</v>
      </c>
      <c r="W404" s="304">
        <f t="shared" ref="W404" si="241">W403+V404</f>
        <v>17422.222222222234</v>
      </c>
      <c r="X404" s="307">
        <f t="shared" ref="X404" si="242">V404-T404*$H404*$E404/360</f>
        <v>106.94444444444446</v>
      </c>
      <c r="Z404" s="11" t="s">
        <v>192</v>
      </c>
      <c r="AA404" s="306">
        <f t="shared" si="216"/>
        <v>10000000</v>
      </c>
      <c r="AB404" s="97">
        <f t="shared" si="216"/>
        <v>3.7499999999999999E-2</v>
      </c>
      <c r="AC404" s="421">
        <f t="shared" ref="AC404" si="243">AA404*AB404*$E404/360</f>
        <v>1041.6666666666667</v>
      </c>
      <c r="AD404" s="304">
        <f t="shared" ref="AD404" si="244">AD403+AC404</f>
        <v>33333.33333333335</v>
      </c>
      <c r="AE404" s="307">
        <f t="shared" ref="AE404" si="245">AC404-AA404*$H404*$E404/360</f>
        <v>166.66666666666674</v>
      </c>
      <c r="AG404" s="11" t="s">
        <v>192</v>
      </c>
      <c r="AH404" s="306">
        <f t="shared" si="217"/>
        <v>6000000</v>
      </c>
      <c r="AI404" s="97">
        <f t="shared" si="217"/>
        <v>3.73E-2</v>
      </c>
      <c r="AJ404" s="421">
        <f t="shared" ref="AJ404" si="246">AH404*AI404*$E404/360</f>
        <v>621.66666666666663</v>
      </c>
      <c r="AK404" s="304">
        <f t="shared" ref="AK404" si="247">AJ404+AJ403</f>
        <v>1243.3333333333333</v>
      </c>
      <c r="AL404" s="307">
        <f t="shared" ref="AL404" si="248">AJ404-AH404*$H404*$E404/360</f>
        <v>96.666666666666629</v>
      </c>
      <c r="AN404" s="304">
        <f>'codeis $'!AB404</f>
        <v>156363411.59999999</v>
      </c>
      <c r="AO404" s="340">
        <f>'codeis $'!AH404</f>
        <v>0</v>
      </c>
      <c r="AP404" s="304">
        <f>'codeis $'!AE404</f>
        <v>0</v>
      </c>
      <c r="AQ404" s="304">
        <f>'codeis $'!AK404</f>
        <v>-13494.780932500002</v>
      </c>
      <c r="AR404" s="9"/>
      <c r="AS404" s="9"/>
      <c r="AT404" s="123"/>
      <c r="AU404" s="123"/>
      <c r="AV404" s="140">
        <f>AV403</f>
        <v>25462493.68</v>
      </c>
      <c r="AW404" s="123"/>
      <c r="AX404" s="123"/>
      <c r="AY404" s="123"/>
      <c r="AZ404" s="123"/>
      <c r="BA404" s="123"/>
      <c r="BC404" s="124">
        <f>'MM $'!G404</f>
        <v>40229919.450000003</v>
      </c>
      <c r="BD404" s="139">
        <f>'MM $'!H404</f>
        <v>3.5862108320285337E-2</v>
      </c>
      <c r="BE404" s="431">
        <f>'MM $'!I404</f>
        <v>4007.5825806451503</v>
      </c>
      <c r="BF404" s="124">
        <f>'MM $'!L404</f>
        <v>487.46462877015028</v>
      </c>
      <c r="BH404" s="124">
        <f>'MM $'!N404</f>
        <v>40228691.289999999</v>
      </c>
      <c r="BI404" s="139">
        <f>'MM $'!P404</f>
        <v>3.5670240000000006E-2</v>
      </c>
      <c r="BJ404" s="431">
        <f>'MM $'!Q404</f>
        <v>3986.0196477783606</v>
      </c>
      <c r="BK404" s="124">
        <f>'MM $'!U404</f>
        <v>466.00915990336034</v>
      </c>
      <c r="BM404" s="124">
        <f>'MM $'!W404</f>
        <v>40229401.498411261</v>
      </c>
      <c r="BN404" s="139">
        <f>'MM $'!X404</f>
        <v>3.5809455303371117E-2</v>
      </c>
      <c r="BO404" s="431">
        <f>'MM $'!Y404</f>
        <v>4001.6470967742471</v>
      </c>
      <c r="BP404" s="124">
        <f>'MM $'!AB404</f>
        <v>481.57446566326189</v>
      </c>
      <c r="BR404" s="124">
        <f>'MM $'!AD404</f>
        <v>40231635.400171325</v>
      </c>
      <c r="BS404" s="139">
        <f>'MM $'!AE404</f>
        <v>3.6136742730033262E-2</v>
      </c>
      <c r="BT404" s="431">
        <f>'MM $'!AF404</f>
        <v>4038.4451612902503</v>
      </c>
      <c r="BU404" s="124">
        <f>'MM $'!AB404</f>
        <v>481.57446566326189</v>
      </c>
      <c r="BV404" s="439"/>
      <c r="BW404" s="120">
        <f t="shared" si="184"/>
        <v>368935552.91858262</v>
      </c>
      <c r="BX404" s="121">
        <f t="shared" si="185"/>
        <v>3.5000000000000003E-2</v>
      </c>
      <c r="BY404" s="121">
        <f t="shared" si="186"/>
        <v>1.8356634272734977E-2</v>
      </c>
      <c r="BZ404" s="120">
        <f t="shared" si="187"/>
        <v>18812.263930932451</v>
      </c>
      <c r="CA404" s="120">
        <f t="shared" si="188"/>
        <v>-11091.213768055522</v>
      </c>
    </row>
    <row r="405" spans="2:79" x14ac:dyDescent="0.25">
      <c r="B405" s="123" t="str">
        <f t="shared" ref="B405:B468" si="249">CONCATENATE(MONTH(D405)," ",YEAR(D405))</f>
        <v>2 2026</v>
      </c>
      <c r="C405" s="122">
        <f t="shared" ref="C405:C468" si="250">D404</f>
        <v>46054</v>
      </c>
      <c r="D405" s="122">
        <f t="shared" si="190"/>
        <v>46055</v>
      </c>
      <c r="E405" s="123">
        <f t="shared" ref="E405:E468" si="251">D405-C405</f>
        <v>1</v>
      </c>
      <c r="F405" s="123" t="s">
        <v>7</v>
      </c>
      <c r="G405" s="124">
        <f t="shared" ref="G405:H405" si="252">G404</f>
        <v>190000</v>
      </c>
      <c r="H405" s="125">
        <f t="shared" si="252"/>
        <v>3.15E-2</v>
      </c>
      <c r="I405" s="124">
        <f t="shared" ref="I405:I468" si="253">G405*H405*E405/360</f>
        <v>16.625</v>
      </c>
      <c r="J405" s="124">
        <f t="shared" ref="J405:J468" si="254">J404+I405</f>
        <v>4357.5</v>
      </c>
      <c r="K405" s="9"/>
      <c r="L405" s="11" t="s">
        <v>192</v>
      </c>
      <c r="M405" s="306">
        <f t="shared" ref="M405:N405" si="255">M404</f>
        <v>5000000</v>
      </c>
      <c r="N405" s="97">
        <f t="shared" si="255"/>
        <v>3.9899999999999998E-2</v>
      </c>
      <c r="O405" s="421">
        <f t="shared" ref="O405:O407" si="256">M405*N405*$E405/360</f>
        <v>554.16666666666663</v>
      </c>
      <c r="P405" s="304">
        <f t="shared" ref="P405:P407" si="257">P404+O405</f>
        <v>18287.499999999996</v>
      </c>
      <c r="Q405" s="307">
        <f t="shared" ref="Q405:Q407" si="258">O405-M405*$H405*$E405/360</f>
        <v>116.66666666666663</v>
      </c>
      <c r="S405" s="11" t="s">
        <v>192</v>
      </c>
      <c r="T405" s="306">
        <f t="shared" ref="T405:U405" si="259">T404</f>
        <v>5000000</v>
      </c>
      <c r="U405" s="97">
        <f t="shared" si="259"/>
        <v>3.9199999999999999E-2</v>
      </c>
      <c r="V405" s="421">
        <f t="shared" ref="V405:V468" si="260">T405*U405*$E405/360</f>
        <v>544.44444444444446</v>
      </c>
      <c r="W405" s="304">
        <f t="shared" ref="W405:W468" si="261">W404+V405</f>
        <v>17966.666666666679</v>
      </c>
      <c r="X405" s="307">
        <f t="shared" ref="X405:X468" si="262">V405-T405*$H405*$E405/360</f>
        <v>106.94444444444446</v>
      </c>
      <c r="Z405" s="11" t="s">
        <v>192</v>
      </c>
      <c r="AA405" s="306">
        <f t="shared" ref="AA405:AB405" si="263">AA404</f>
        <v>10000000</v>
      </c>
      <c r="AB405" s="97">
        <f t="shared" si="263"/>
        <v>3.7499999999999999E-2</v>
      </c>
      <c r="AC405" s="421">
        <f t="shared" ref="AC405:AC468" si="264">AA405*AB405*$E405/360</f>
        <v>1041.6666666666667</v>
      </c>
      <c r="AD405" s="304">
        <f t="shared" ref="AD405:AD468" si="265">AD404+AC405</f>
        <v>34375.000000000015</v>
      </c>
      <c r="AE405" s="307">
        <f t="shared" ref="AE405:AE468" si="266">AC405-AA405*$H405*$E405/360</f>
        <v>166.66666666666674</v>
      </c>
      <c r="AG405" s="11" t="s">
        <v>192</v>
      </c>
      <c r="AH405" s="306">
        <f t="shared" ref="AH405:AI405" si="267">AH404</f>
        <v>6000000</v>
      </c>
      <c r="AI405" s="97">
        <f t="shared" si="267"/>
        <v>3.73E-2</v>
      </c>
      <c r="AJ405" s="421">
        <f t="shared" ref="AJ405:AJ468" si="268">AH405*AI405*$E405/360</f>
        <v>621.66666666666663</v>
      </c>
      <c r="AK405" s="304">
        <f t="shared" ref="AK405:AK468" si="269">AJ405+AJ404</f>
        <v>1243.3333333333333</v>
      </c>
      <c r="AL405" s="307">
        <f t="shared" ref="AL405:AL468" si="270">AJ405-AH405*$H405*$E405/360</f>
        <v>96.666666666666629</v>
      </c>
      <c r="AN405" s="304">
        <f>'codeis $'!AB405</f>
        <v>156363411.59999999</v>
      </c>
      <c r="AO405" s="340">
        <f>'codeis $'!AH405</f>
        <v>0</v>
      </c>
      <c r="AP405" s="304">
        <f>'codeis $'!AE405</f>
        <v>0</v>
      </c>
      <c r="AQ405" s="304">
        <f>'codeis $'!AK405</f>
        <v>-13494.780932500002</v>
      </c>
      <c r="AR405" s="9"/>
      <c r="AS405" s="9"/>
      <c r="AT405" s="123"/>
      <c r="AU405" s="123"/>
      <c r="AV405" s="123"/>
      <c r="AW405" s="123"/>
      <c r="AX405" s="123"/>
      <c r="AY405" s="123"/>
      <c r="AZ405" s="123"/>
      <c r="BA405" s="123"/>
      <c r="BC405" s="124">
        <f>'MM $'!G405</f>
        <v>40354154.510000005</v>
      </c>
      <c r="BD405" s="139">
        <f>'MM $'!H405</f>
        <v>0</v>
      </c>
      <c r="BE405" s="431">
        <f>'MM $'!I405</f>
        <v>0</v>
      </c>
      <c r="BF405" s="124">
        <f>'MM $'!L405</f>
        <v>0</v>
      </c>
      <c r="BH405" s="124">
        <f>'MM $'!N405</f>
        <v>40352257.880000003</v>
      </c>
      <c r="BI405" s="139">
        <f>'MM $'!P405</f>
        <v>0</v>
      </c>
      <c r="BJ405" s="431">
        <f>'MM $'!Q405</f>
        <v>0</v>
      </c>
      <c r="BK405" s="124">
        <f>'MM $'!U405</f>
        <v>0</v>
      </c>
      <c r="BM405" s="124">
        <f>'MM $'!W405</f>
        <v>40353452.558411263</v>
      </c>
      <c r="BN405" s="139">
        <f>'MM $'!X405</f>
        <v>0</v>
      </c>
      <c r="BO405" s="431">
        <f>'MM $'!Y405</f>
        <v>0</v>
      </c>
      <c r="BP405" s="124">
        <f>'MM $'!AB405</f>
        <v>0</v>
      </c>
      <c r="BR405" s="124">
        <f>'MM $'!AD405</f>
        <v>40356827.200171322</v>
      </c>
      <c r="BS405" s="139">
        <f>'MM $'!AE405</f>
        <v>0</v>
      </c>
      <c r="BT405" s="431">
        <f>'MM $'!AF405</f>
        <v>0</v>
      </c>
      <c r="BU405" s="124">
        <f>'MM $'!AB405</f>
        <v>0</v>
      </c>
      <c r="BV405" s="439"/>
      <c r="BW405" s="120">
        <f t="shared" ref="BW405:BW468" si="271">AV405+G405+M405+T405+AA405+AH405+AN405+BC405+BH405+BM405+BR405</f>
        <v>343970103.7485826</v>
      </c>
      <c r="BX405" s="121">
        <f t="shared" si="185"/>
        <v>3.5000000000000003E-2</v>
      </c>
      <c r="BY405" s="121">
        <f t="shared" si="186"/>
        <v>2.9080579652094891E-3</v>
      </c>
      <c r="BZ405" s="120">
        <f t="shared" ref="BZ405:BZ468" si="272">AY405+I405+O405+V405+AC405+AJ405+AP405+BE405+BJ405+BO405+BT405</f>
        <v>2778.5694444444443</v>
      </c>
      <c r="CA405" s="120">
        <f t="shared" ref="CA405:CA468" si="273">BA405+Q405+X405+AE405+AL405+AQ405+BF405+BK405+BP405+BU405</f>
        <v>-13007.836488055556</v>
      </c>
    </row>
    <row r="406" spans="2:79" x14ac:dyDescent="0.25">
      <c r="B406" s="123" t="str">
        <f t="shared" si="249"/>
        <v>2 2026</v>
      </c>
      <c r="C406" s="122">
        <f t="shared" si="250"/>
        <v>46055</v>
      </c>
      <c r="D406" s="122">
        <f t="shared" si="190"/>
        <v>46056</v>
      </c>
      <c r="E406" s="123">
        <f t="shared" si="251"/>
        <v>1</v>
      </c>
      <c r="F406" s="123" t="s">
        <v>7</v>
      </c>
      <c r="G406" s="124">
        <f t="shared" ref="G406:H406" si="274">G405</f>
        <v>190000</v>
      </c>
      <c r="H406" s="125">
        <f t="shared" si="274"/>
        <v>3.15E-2</v>
      </c>
      <c r="I406" s="124">
        <f t="shared" si="253"/>
        <v>16.625</v>
      </c>
      <c r="J406" s="124">
        <f t="shared" si="254"/>
        <v>4374.125</v>
      </c>
      <c r="K406" s="9"/>
      <c r="L406" s="11" t="s">
        <v>192</v>
      </c>
      <c r="M406" s="306">
        <f t="shared" ref="M406:N406" si="275">M405</f>
        <v>5000000</v>
      </c>
      <c r="N406" s="97">
        <f t="shared" si="275"/>
        <v>3.9899999999999998E-2</v>
      </c>
      <c r="O406" s="421">
        <f t="shared" si="256"/>
        <v>554.16666666666663</v>
      </c>
      <c r="P406" s="304">
        <f t="shared" si="257"/>
        <v>18841.666666666664</v>
      </c>
      <c r="Q406" s="307">
        <f t="shared" si="258"/>
        <v>116.66666666666663</v>
      </c>
      <c r="S406" s="11" t="s">
        <v>192</v>
      </c>
      <c r="T406" s="306">
        <f t="shared" ref="T406:U406" si="276">T405</f>
        <v>5000000</v>
      </c>
      <c r="U406" s="97">
        <f t="shared" si="276"/>
        <v>3.9199999999999999E-2</v>
      </c>
      <c r="V406" s="421">
        <f t="shared" si="260"/>
        <v>544.44444444444446</v>
      </c>
      <c r="W406" s="304">
        <f t="shared" si="261"/>
        <v>18511.111111111124</v>
      </c>
      <c r="X406" s="307">
        <f t="shared" si="262"/>
        <v>106.94444444444446</v>
      </c>
      <c r="Z406" s="11" t="s">
        <v>192</v>
      </c>
      <c r="AA406" s="306">
        <f t="shared" ref="AA406:AB406" si="277">AA405</f>
        <v>10000000</v>
      </c>
      <c r="AB406" s="97">
        <f t="shared" si="277"/>
        <v>3.7499999999999999E-2</v>
      </c>
      <c r="AC406" s="421">
        <f t="shared" si="264"/>
        <v>1041.6666666666667</v>
      </c>
      <c r="AD406" s="304">
        <f t="shared" si="265"/>
        <v>35416.666666666679</v>
      </c>
      <c r="AE406" s="307">
        <f t="shared" si="266"/>
        <v>166.66666666666674</v>
      </c>
      <c r="AG406" s="11" t="s">
        <v>192</v>
      </c>
      <c r="AH406" s="306">
        <f t="shared" ref="AH406:AI406" si="278">AH405</f>
        <v>6000000</v>
      </c>
      <c r="AI406" s="97">
        <f t="shared" si="278"/>
        <v>3.73E-2</v>
      </c>
      <c r="AJ406" s="421">
        <f t="shared" si="268"/>
        <v>621.66666666666663</v>
      </c>
      <c r="AK406" s="304">
        <f t="shared" si="269"/>
        <v>1243.3333333333333</v>
      </c>
      <c r="AL406" s="307">
        <f t="shared" si="270"/>
        <v>96.666666666666629</v>
      </c>
      <c r="AN406" s="304">
        <f>'codeis $'!AB406</f>
        <v>156412139.40000001</v>
      </c>
      <c r="AO406" s="340">
        <f>'codeis $'!AH406</f>
        <v>0</v>
      </c>
      <c r="AP406" s="304">
        <f>'codeis $'!AE406</f>
        <v>48727.800000011921</v>
      </c>
      <c r="AQ406" s="304">
        <f>'codeis $'!AK406</f>
        <v>35233.019067511923</v>
      </c>
      <c r="AR406" s="9"/>
      <c r="AS406" s="9"/>
      <c r="AT406" s="123"/>
      <c r="AU406" s="123"/>
      <c r="AV406" s="123"/>
      <c r="AW406" s="123"/>
      <c r="AX406" s="123"/>
      <c r="AY406" s="123"/>
      <c r="AZ406" s="123"/>
      <c r="BA406" s="123"/>
      <c r="BC406" s="124">
        <f>'MM $'!G406</f>
        <v>0</v>
      </c>
      <c r="BD406" s="139">
        <f>'MM $'!H406</f>
        <v>0</v>
      </c>
      <c r="BE406" s="431">
        <f>'MM $'!I406</f>
        <v>0</v>
      </c>
      <c r="BF406" s="124">
        <f>'MM $'!L406</f>
        <v>0</v>
      </c>
      <c r="BH406" s="124">
        <f>'MM $'!N406</f>
        <v>0</v>
      </c>
      <c r="BI406" s="139">
        <f>'MM $'!P406</f>
        <v>0</v>
      </c>
      <c r="BJ406" s="431">
        <f>'MM $'!Q406</f>
        <v>0</v>
      </c>
      <c r="BK406" s="124">
        <f>'MM $'!U406</f>
        <v>0</v>
      </c>
      <c r="BM406" s="124">
        <f>'MM $'!W406</f>
        <v>0</v>
      </c>
      <c r="BN406" s="139">
        <f>'MM $'!X406</f>
        <v>0</v>
      </c>
      <c r="BO406" s="431">
        <f>'MM $'!Y406</f>
        <v>0</v>
      </c>
      <c r="BP406" s="124">
        <f>'MM $'!AB406</f>
        <v>0</v>
      </c>
      <c r="BR406" s="124">
        <f>'MM $'!AD406</f>
        <v>0</v>
      </c>
      <c r="BS406" s="139">
        <f>'MM $'!AE406</f>
        <v>0</v>
      </c>
      <c r="BT406" s="431">
        <f>'MM $'!AF406</f>
        <v>0</v>
      </c>
      <c r="BU406" s="124">
        <f>'MM $'!AB406</f>
        <v>0</v>
      </c>
      <c r="BV406" s="439"/>
      <c r="BW406" s="120">
        <f t="shared" si="271"/>
        <v>182602139.40000001</v>
      </c>
      <c r="BX406" s="121">
        <f t="shared" si="185"/>
        <v>3.5000000000000003E-2</v>
      </c>
      <c r="BY406" s="121">
        <f t="shared" si="186"/>
        <v>5.4779478668035798E-3</v>
      </c>
      <c r="BZ406" s="120">
        <f t="shared" si="272"/>
        <v>51506.369444456366</v>
      </c>
      <c r="CA406" s="120">
        <f t="shared" si="273"/>
        <v>35719.963511956368</v>
      </c>
    </row>
    <row r="407" spans="2:79" x14ac:dyDescent="0.25">
      <c r="B407" s="123" t="str">
        <f t="shared" si="249"/>
        <v>2 2026</v>
      </c>
      <c r="C407" s="122">
        <f t="shared" si="250"/>
        <v>46056</v>
      </c>
      <c r="D407" s="122">
        <f t="shared" si="190"/>
        <v>46057</v>
      </c>
      <c r="E407" s="123">
        <f t="shared" si="251"/>
        <v>1</v>
      </c>
      <c r="F407" s="123" t="s">
        <v>7</v>
      </c>
      <c r="G407" s="124">
        <f t="shared" ref="G407:H407" si="279">G406</f>
        <v>190000</v>
      </c>
      <c r="H407" s="125">
        <f t="shared" si="279"/>
        <v>3.15E-2</v>
      </c>
      <c r="I407" s="124">
        <f t="shared" si="253"/>
        <v>16.625</v>
      </c>
      <c r="J407" s="124">
        <f t="shared" si="254"/>
        <v>4390.75</v>
      </c>
      <c r="K407" s="9"/>
      <c r="L407" s="11" t="s">
        <v>192</v>
      </c>
      <c r="M407" s="306">
        <f t="shared" ref="M407:N407" si="280">M406</f>
        <v>5000000</v>
      </c>
      <c r="N407" s="97">
        <f t="shared" si="280"/>
        <v>3.9899999999999998E-2</v>
      </c>
      <c r="O407" s="421">
        <f t="shared" si="256"/>
        <v>554.16666666666663</v>
      </c>
      <c r="P407" s="304">
        <f t="shared" si="257"/>
        <v>19395.833333333332</v>
      </c>
      <c r="Q407" s="307">
        <f t="shared" si="258"/>
        <v>116.66666666666663</v>
      </c>
      <c r="S407" s="11" t="s">
        <v>192</v>
      </c>
      <c r="T407" s="306">
        <f t="shared" ref="T407:U407" si="281">T406</f>
        <v>5000000</v>
      </c>
      <c r="U407" s="97">
        <f t="shared" si="281"/>
        <v>3.9199999999999999E-2</v>
      </c>
      <c r="V407" s="421">
        <f t="shared" si="260"/>
        <v>544.44444444444446</v>
      </c>
      <c r="W407" s="304">
        <f t="shared" si="261"/>
        <v>19055.555555555569</v>
      </c>
      <c r="X407" s="307">
        <f t="shared" si="262"/>
        <v>106.94444444444446</v>
      </c>
      <c r="Z407" s="11" t="s">
        <v>192</v>
      </c>
      <c r="AA407" s="306">
        <f t="shared" ref="AA407:AB407" si="282">AA406</f>
        <v>10000000</v>
      </c>
      <c r="AB407" s="97">
        <f t="shared" si="282"/>
        <v>3.7499999999999999E-2</v>
      </c>
      <c r="AC407" s="421">
        <f t="shared" si="264"/>
        <v>1041.6666666666667</v>
      </c>
      <c r="AD407" s="304">
        <f t="shared" si="265"/>
        <v>36458.333333333343</v>
      </c>
      <c r="AE407" s="307">
        <f t="shared" si="266"/>
        <v>166.66666666666674</v>
      </c>
      <c r="AG407" s="11" t="s">
        <v>192</v>
      </c>
      <c r="AH407" s="306">
        <f t="shared" ref="AH407:AI407" si="283">AH406</f>
        <v>6000000</v>
      </c>
      <c r="AI407" s="97">
        <f t="shared" si="283"/>
        <v>3.73E-2</v>
      </c>
      <c r="AJ407" s="421">
        <f t="shared" si="268"/>
        <v>621.66666666666663</v>
      </c>
      <c r="AK407" s="304">
        <f t="shared" si="269"/>
        <v>1243.3333333333333</v>
      </c>
      <c r="AL407" s="307">
        <f t="shared" si="270"/>
        <v>96.666666666666629</v>
      </c>
      <c r="AN407" s="304">
        <f>'codeis $'!AB407</f>
        <v>156428382.00000003</v>
      </c>
      <c r="AO407" s="340">
        <f>'codeis $'!AH407</f>
        <v>0</v>
      </c>
      <c r="AP407" s="304">
        <f>'codeis $'!AE407</f>
        <v>16242.600000023842</v>
      </c>
      <c r="AQ407" s="304">
        <f>'codeis $'!AK407</f>
        <v>2747.8190675238402</v>
      </c>
      <c r="AR407" s="9"/>
      <c r="AS407" s="9"/>
      <c r="AT407" s="123"/>
      <c r="AU407" s="123"/>
      <c r="AV407" s="123"/>
      <c r="AW407" s="123"/>
      <c r="AX407" s="123"/>
      <c r="AY407" s="123"/>
      <c r="AZ407" s="123"/>
      <c r="BA407" s="123"/>
      <c r="BC407" s="124">
        <f>'MM $'!G407</f>
        <v>0</v>
      </c>
      <c r="BD407" s="139">
        <f>'MM $'!H407</f>
        <v>0</v>
      </c>
      <c r="BE407" s="431">
        <f>'MM $'!I407</f>
        <v>0</v>
      </c>
      <c r="BF407" s="124">
        <f>'MM $'!L407</f>
        <v>0</v>
      </c>
      <c r="BH407" s="124">
        <f>'MM $'!N407</f>
        <v>0</v>
      </c>
      <c r="BI407" s="139">
        <f>'MM $'!P407</f>
        <v>0</v>
      </c>
      <c r="BJ407" s="431">
        <f>'MM $'!Q407</f>
        <v>0</v>
      </c>
      <c r="BK407" s="124">
        <f>'MM $'!U407</f>
        <v>0</v>
      </c>
      <c r="BM407" s="124">
        <f>'MM $'!W407</f>
        <v>0</v>
      </c>
      <c r="BN407" s="139">
        <f>'MM $'!X407</f>
        <v>0</v>
      </c>
      <c r="BO407" s="431">
        <f>'MM $'!Y407</f>
        <v>0</v>
      </c>
      <c r="BP407" s="124">
        <f>'MM $'!AB407</f>
        <v>0</v>
      </c>
      <c r="BR407" s="124">
        <f>'MM $'!AD407</f>
        <v>0</v>
      </c>
      <c r="BS407" s="139">
        <f>'MM $'!AE407</f>
        <v>0</v>
      </c>
      <c r="BT407" s="431">
        <f>'MM $'!AF407</f>
        <v>0</v>
      </c>
      <c r="BU407" s="124">
        <f>'MM $'!AB407</f>
        <v>0</v>
      </c>
      <c r="BV407" s="439"/>
      <c r="BW407" s="120">
        <f t="shared" si="271"/>
        <v>182618382.00000003</v>
      </c>
      <c r="BX407" s="121">
        <f t="shared" si="185"/>
        <v>3.5000000000000003E-2</v>
      </c>
      <c r="BY407" s="121">
        <f t="shared" si="186"/>
        <v>5.4774606424888806E-3</v>
      </c>
      <c r="BZ407" s="120">
        <f t="shared" si="272"/>
        <v>19021.169444468287</v>
      </c>
      <c r="CA407" s="120">
        <f t="shared" si="273"/>
        <v>3234.7635119682845</v>
      </c>
    </row>
    <row r="408" spans="2:79" x14ac:dyDescent="0.25">
      <c r="B408" s="123" t="str">
        <f t="shared" si="249"/>
        <v>2 2026</v>
      </c>
      <c r="C408" s="122">
        <f t="shared" si="250"/>
        <v>46057</v>
      </c>
      <c r="D408" s="122">
        <f t="shared" si="190"/>
        <v>46058</v>
      </c>
      <c r="E408" s="123">
        <f t="shared" si="251"/>
        <v>1</v>
      </c>
      <c r="F408" s="123" t="s">
        <v>7</v>
      </c>
      <c r="G408" s="126">
        <f>G407+5060000</f>
        <v>5250000</v>
      </c>
      <c r="H408" s="125">
        <f t="shared" ref="H408" si="284">H407</f>
        <v>3.15E-2</v>
      </c>
      <c r="I408" s="124">
        <f t="shared" si="253"/>
        <v>459.375</v>
      </c>
      <c r="J408" s="124">
        <f t="shared" si="254"/>
        <v>4850.125</v>
      </c>
      <c r="K408" s="9"/>
      <c r="L408" s="11"/>
      <c r="M408" s="306"/>
      <c r="N408" s="97"/>
      <c r="O408" s="421"/>
      <c r="P408" s="304"/>
      <c r="Q408" s="307"/>
      <c r="S408" s="11" t="s">
        <v>192</v>
      </c>
      <c r="T408" s="306">
        <f t="shared" ref="T408:U408" si="285">T407</f>
        <v>5000000</v>
      </c>
      <c r="U408" s="97">
        <f t="shared" si="285"/>
        <v>3.9199999999999999E-2</v>
      </c>
      <c r="V408" s="421">
        <f t="shared" si="260"/>
        <v>544.44444444444446</v>
      </c>
      <c r="W408" s="304">
        <f t="shared" si="261"/>
        <v>19600.000000000015</v>
      </c>
      <c r="X408" s="307">
        <f t="shared" si="262"/>
        <v>106.94444444444446</v>
      </c>
      <c r="Z408" s="11" t="s">
        <v>192</v>
      </c>
      <c r="AA408" s="306">
        <f t="shared" ref="AA408:AB408" si="286">AA407</f>
        <v>10000000</v>
      </c>
      <c r="AB408" s="97">
        <f t="shared" si="286"/>
        <v>3.7499999999999999E-2</v>
      </c>
      <c r="AC408" s="421">
        <f t="shared" si="264"/>
        <v>1041.6666666666667</v>
      </c>
      <c r="AD408" s="304">
        <f t="shared" si="265"/>
        <v>37500.000000000007</v>
      </c>
      <c r="AE408" s="307">
        <f t="shared" si="266"/>
        <v>166.66666666666674</v>
      </c>
      <c r="AG408" s="11" t="s">
        <v>192</v>
      </c>
      <c r="AH408" s="306">
        <f t="shared" ref="AH408:AI408" si="287">AH407</f>
        <v>6000000</v>
      </c>
      <c r="AI408" s="97">
        <f t="shared" si="287"/>
        <v>3.73E-2</v>
      </c>
      <c r="AJ408" s="421">
        <f t="shared" si="268"/>
        <v>621.66666666666663</v>
      </c>
      <c r="AK408" s="304">
        <f t="shared" si="269"/>
        <v>1243.3333333333333</v>
      </c>
      <c r="AL408" s="307">
        <f t="shared" si="270"/>
        <v>96.666666666666629</v>
      </c>
      <c r="AN408" s="304">
        <f>'codeis $'!AB408</f>
        <v>0</v>
      </c>
      <c r="AO408" s="340">
        <f>'codeis $'!AH408</f>
        <v>0</v>
      </c>
      <c r="AP408" s="304">
        <f>'codeis $'!AE408</f>
        <v>0</v>
      </c>
      <c r="AQ408" s="304">
        <f>'codeis $'!AK408</f>
        <v>0</v>
      </c>
      <c r="AR408" s="9"/>
      <c r="AS408" s="9"/>
      <c r="AT408" s="123"/>
      <c r="AU408" s="123"/>
      <c r="AV408" s="123"/>
      <c r="AW408" s="123"/>
      <c r="AX408" s="123"/>
      <c r="AY408" s="123"/>
      <c r="AZ408" s="123"/>
      <c r="BA408" s="123"/>
      <c r="BC408" s="124">
        <f>'MM $'!G408</f>
        <v>0</v>
      </c>
      <c r="BD408" s="139">
        <f>'MM $'!H408</f>
        <v>0</v>
      </c>
      <c r="BE408" s="431">
        <f>'MM $'!I408</f>
        <v>0</v>
      </c>
      <c r="BF408" s="124">
        <f>'MM $'!L408</f>
        <v>0</v>
      </c>
      <c r="BH408" s="124">
        <f>'MM $'!N408</f>
        <v>0</v>
      </c>
      <c r="BI408" s="139">
        <f>'MM $'!P408</f>
        <v>0</v>
      </c>
      <c r="BJ408" s="431">
        <f>'MM $'!Q408</f>
        <v>0</v>
      </c>
      <c r="BK408" s="124">
        <f>'MM $'!U408</f>
        <v>0</v>
      </c>
      <c r="BM408" s="124">
        <f>'MM $'!W408</f>
        <v>0</v>
      </c>
      <c r="BN408" s="139">
        <f>'MM $'!X408</f>
        <v>0</v>
      </c>
      <c r="BO408" s="431">
        <f>'MM $'!Y408</f>
        <v>0</v>
      </c>
      <c r="BP408" s="124">
        <f>'MM $'!AB408</f>
        <v>0</v>
      </c>
      <c r="BR408" s="124">
        <f>'MM $'!AD408</f>
        <v>0</v>
      </c>
      <c r="BS408" s="139">
        <f>'MM $'!AE408</f>
        <v>0</v>
      </c>
      <c r="BT408" s="431">
        <f>'MM $'!AF408</f>
        <v>0</v>
      </c>
      <c r="BU408" s="124">
        <f>'MM $'!AB408</f>
        <v>0</v>
      </c>
      <c r="BV408" s="439"/>
      <c r="BW408" s="120">
        <f t="shared" si="271"/>
        <v>26250000</v>
      </c>
      <c r="BX408" s="121">
        <f t="shared" si="185"/>
        <v>3.5000000000000003E-2</v>
      </c>
      <c r="BY408" s="121">
        <f t="shared" si="186"/>
        <v>3.6578095238095236E-2</v>
      </c>
      <c r="BZ408" s="120">
        <f t="shared" si="272"/>
        <v>2667.1527777777778</v>
      </c>
      <c r="CA408" s="120">
        <f t="shared" si="273"/>
        <v>370.27777777777783</v>
      </c>
    </row>
    <row r="409" spans="2:79" x14ac:dyDescent="0.25">
      <c r="B409" s="123" t="str">
        <f t="shared" si="249"/>
        <v>2 2026</v>
      </c>
      <c r="C409" s="122">
        <f t="shared" si="250"/>
        <v>46058</v>
      </c>
      <c r="D409" s="122">
        <f t="shared" si="190"/>
        <v>46059</v>
      </c>
      <c r="E409" s="123">
        <f t="shared" si="251"/>
        <v>1</v>
      </c>
      <c r="F409" s="123" t="s">
        <v>7</v>
      </c>
      <c r="G409" s="124">
        <f t="shared" ref="G409:H410" si="288">G408</f>
        <v>5250000</v>
      </c>
      <c r="H409" s="125">
        <f t="shared" ref="H409" si="289">H408</f>
        <v>3.15E-2</v>
      </c>
      <c r="I409" s="124">
        <f t="shared" si="253"/>
        <v>459.375</v>
      </c>
      <c r="J409" s="124">
        <f t="shared" si="254"/>
        <v>5309.5</v>
      </c>
      <c r="K409" s="9"/>
      <c r="L409" s="11"/>
      <c r="M409" s="306"/>
      <c r="N409" s="97"/>
      <c r="O409" s="421"/>
      <c r="P409" s="304"/>
      <c r="Q409" s="307"/>
      <c r="S409" s="11" t="s">
        <v>192</v>
      </c>
      <c r="T409" s="306">
        <f t="shared" ref="T409:U409" si="290">T408</f>
        <v>5000000</v>
      </c>
      <c r="U409" s="97">
        <f t="shared" si="290"/>
        <v>3.9199999999999999E-2</v>
      </c>
      <c r="V409" s="421">
        <f t="shared" si="260"/>
        <v>544.44444444444446</v>
      </c>
      <c r="W409" s="304">
        <f t="shared" si="261"/>
        <v>20144.44444444446</v>
      </c>
      <c r="X409" s="307">
        <f t="shared" si="262"/>
        <v>106.94444444444446</v>
      </c>
      <c r="Z409" s="11" t="s">
        <v>192</v>
      </c>
      <c r="AA409" s="306">
        <f t="shared" ref="AA409:AB409" si="291">AA408</f>
        <v>10000000</v>
      </c>
      <c r="AB409" s="97">
        <f t="shared" si="291"/>
        <v>3.7499999999999999E-2</v>
      </c>
      <c r="AC409" s="421">
        <f t="shared" si="264"/>
        <v>1041.6666666666667</v>
      </c>
      <c r="AD409" s="304">
        <f t="shared" si="265"/>
        <v>38541.666666666672</v>
      </c>
      <c r="AE409" s="307">
        <f t="shared" si="266"/>
        <v>166.66666666666674</v>
      </c>
      <c r="AG409" s="11" t="s">
        <v>192</v>
      </c>
      <c r="AH409" s="306">
        <f t="shared" ref="AH409:AI409" si="292">AH408</f>
        <v>6000000</v>
      </c>
      <c r="AI409" s="97">
        <f t="shared" si="292"/>
        <v>3.73E-2</v>
      </c>
      <c r="AJ409" s="421">
        <f t="shared" si="268"/>
        <v>621.66666666666663</v>
      </c>
      <c r="AK409" s="304">
        <f t="shared" si="269"/>
        <v>1243.3333333333333</v>
      </c>
      <c r="AL409" s="307">
        <f t="shared" si="270"/>
        <v>96.666666666666629</v>
      </c>
      <c r="AN409" s="304">
        <f>'codeis $'!AB409</f>
        <v>0</v>
      </c>
      <c r="AO409" s="340">
        <f>'codeis $'!AH409</f>
        <v>0</v>
      </c>
      <c r="AP409" s="304">
        <f>'codeis $'!AE409</f>
        <v>0</v>
      </c>
      <c r="AQ409" s="304">
        <f>'codeis $'!AK409</f>
        <v>0</v>
      </c>
      <c r="AR409" s="9"/>
      <c r="AS409" s="9"/>
      <c r="AT409" s="123"/>
      <c r="AU409" s="123"/>
      <c r="AV409" s="123"/>
      <c r="AW409" s="123"/>
      <c r="AX409" s="123"/>
      <c r="AY409" s="123"/>
      <c r="AZ409" s="123"/>
      <c r="BA409" s="123"/>
      <c r="BC409" s="124">
        <f>'MM $'!G409</f>
        <v>0</v>
      </c>
      <c r="BD409" s="139">
        <f>'MM $'!H409</f>
        <v>0</v>
      </c>
      <c r="BE409" s="431">
        <f>'MM $'!I409</f>
        <v>0</v>
      </c>
      <c r="BF409" s="124">
        <f>'MM $'!L409</f>
        <v>0</v>
      </c>
      <c r="BH409" s="124">
        <f>'MM $'!N409</f>
        <v>0</v>
      </c>
      <c r="BI409" s="139">
        <f>'MM $'!P409</f>
        <v>0</v>
      </c>
      <c r="BJ409" s="431">
        <f>'MM $'!Q409</f>
        <v>0</v>
      </c>
      <c r="BK409" s="124">
        <f>'MM $'!U409</f>
        <v>0</v>
      </c>
      <c r="BM409" s="124">
        <f>'MM $'!W409</f>
        <v>0</v>
      </c>
      <c r="BN409" s="139">
        <f>'MM $'!X409</f>
        <v>0</v>
      </c>
      <c r="BO409" s="431">
        <f>'MM $'!Y409</f>
        <v>0</v>
      </c>
      <c r="BP409" s="124">
        <f>'MM $'!AB409</f>
        <v>0</v>
      </c>
      <c r="BR409" s="124">
        <f>'MM $'!AD409</f>
        <v>0</v>
      </c>
      <c r="BS409" s="139">
        <f>'MM $'!AE409</f>
        <v>0</v>
      </c>
      <c r="BT409" s="431">
        <f>'MM $'!AF409</f>
        <v>0</v>
      </c>
      <c r="BU409" s="124">
        <f>'MM $'!AB409</f>
        <v>0</v>
      </c>
      <c r="BV409" s="439"/>
      <c r="BW409" s="120">
        <f t="shared" si="271"/>
        <v>26250000</v>
      </c>
      <c r="BX409" s="121">
        <f t="shared" si="185"/>
        <v>3.5000000000000003E-2</v>
      </c>
      <c r="BY409" s="121">
        <f t="shared" si="186"/>
        <v>3.6578095238095236E-2</v>
      </c>
      <c r="BZ409" s="120">
        <f t="shared" si="272"/>
        <v>2667.1527777777778</v>
      </c>
      <c r="CA409" s="120">
        <f t="shared" si="273"/>
        <v>370.27777777777783</v>
      </c>
    </row>
    <row r="410" spans="2:79" x14ac:dyDescent="0.25">
      <c r="B410" s="123" t="str">
        <f t="shared" si="249"/>
        <v>2 2026</v>
      </c>
      <c r="C410" s="122">
        <f t="shared" si="250"/>
        <v>46059</v>
      </c>
      <c r="D410" s="122">
        <f t="shared" si="190"/>
        <v>46060</v>
      </c>
      <c r="E410" s="123">
        <f t="shared" si="251"/>
        <v>1</v>
      </c>
      <c r="F410" s="123" t="s">
        <v>7</v>
      </c>
      <c r="G410" s="126">
        <f>G409-4530000</f>
        <v>720000</v>
      </c>
      <c r="H410" s="125">
        <f t="shared" si="288"/>
        <v>3.15E-2</v>
      </c>
      <c r="I410" s="124">
        <f t="shared" si="253"/>
        <v>63</v>
      </c>
      <c r="J410" s="124">
        <f t="shared" si="254"/>
        <v>5372.5</v>
      </c>
      <c r="K410" s="9"/>
      <c r="L410" s="11"/>
      <c r="M410" s="306"/>
      <c r="N410" s="97"/>
      <c r="O410" s="421"/>
      <c r="P410" s="304"/>
      <c r="Q410" s="307"/>
      <c r="S410" s="11" t="s">
        <v>192</v>
      </c>
      <c r="T410" s="306">
        <f t="shared" ref="T410:U410" si="293">T409</f>
        <v>5000000</v>
      </c>
      <c r="U410" s="97">
        <f t="shared" si="293"/>
        <v>3.9199999999999999E-2</v>
      </c>
      <c r="V410" s="421">
        <f t="shared" si="260"/>
        <v>544.44444444444446</v>
      </c>
      <c r="W410" s="304">
        <f t="shared" si="261"/>
        <v>20688.888888888905</v>
      </c>
      <c r="X410" s="307">
        <f t="shared" si="262"/>
        <v>106.94444444444446</v>
      </c>
      <c r="Z410" s="11" t="s">
        <v>192</v>
      </c>
      <c r="AA410" s="306">
        <f t="shared" ref="AA410:AB410" si="294">AA409</f>
        <v>10000000</v>
      </c>
      <c r="AB410" s="97">
        <f t="shared" si="294"/>
        <v>3.7499999999999999E-2</v>
      </c>
      <c r="AC410" s="421">
        <f t="shared" si="264"/>
        <v>1041.6666666666667</v>
      </c>
      <c r="AD410" s="304">
        <f t="shared" si="265"/>
        <v>39583.333333333336</v>
      </c>
      <c r="AE410" s="307">
        <f t="shared" si="266"/>
        <v>166.66666666666674</v>
      </c>
      <c r="AG410" s="11" t="s">
        <v>192</v>
      </c>
      <c r="AH410" s="306">
        <f t="shared" ref="AH410:AI410" si="295">AH409</f>
        <v>6000000</v>
      </c>
      <c r="AI410" s="97">
        <f t="shared" si="295"/>
        <v>3.73E-2</v>
      </c>
      <c r="AJ410" s="421">
        <f t="shared" si="268"/>
        <v>621.66666666666663</v>
      </c>
      <c r="AK410" s="304">
        <f t="shared" si="269"/>
        <v>1243.3333333333333</v>
      </c>
      <c r="AL410" s="307">
        <f t="shared" si="270"/>
        <v>96.666666666666629</v>
      </c>
      <c r="AN410" s="304">
        <f>'codeis $'!AB410</f>
        <v>0</v>
      </c>
      <c r="AO410" s="340">
        <f>'codeis $'!AH410</f>
        <v>0</v>
      </c>
      <c r="AP410" s="304">
        <f>'codeis $'!AE410</f>
        <v>0</v>
      </c>
      <c r="AQ410" s="304">
        <f>'codeis $'!AK410</f>
        <v>0</v>
      </c>
      <c r="AR410" s="9"/>
      <c r="AS410" s="9"/>
      <c r="AT410" s="123"/>
      <c r="AU410" s="123"/>
      <c r="AV410" s="123"/>
      <c r="AW410" s="123"/>
      <c r="AX410" s="123"/>
      <c r="AY410" s="123"/>
      <c r="AZ410" s="123"/>
      <c r="BA410" s="123"/>
      <c r="BC410" s="124">
        <f>'MM $'!G410</f>
        <v>0</v>
      </c>
      <c r="BD410" s="139">
        <f>'MM $'!H410</f>
        <v>0</v>
      </c>
      <c r="BE410" s="431">
        <f>'MM $'!I410</f>
        <v>0</v>
      </c>
      <c r="BF410" s="124">
        <f>'MM $'!L410</f>
        <v>0</v>
      </c>
      <c r="BH410" s="124">
        <f>'MM $'!N410</f>
        <v>0</v>
      </c>
      <c r="BI410" s="139">
        <f>'MM $'!P410</f>
        <v>0</v>
      </c>
      <c r="BJ410" s="431">
        <f>'MM $'!Q410</f>
        <v>0</v>
      </c>
      <c r="BK410" s="124">
        <f>'MM $'!U410</f>
        <v>0</v>
      </c>
      <c r="BM410" s="124">
        <f>'MM $'!W410</f>
        <v>0</v>
      </c>
      <c r="BN410" s="139">
        <f>'MM $'!X410</f>
        <v>0</v>
      </c>
      <c r="BO410" s="431">
        <f>'MM $'!Y410</f>
        <v>0</v>
      </c>
      <c r="BP410" s="124">
        <f>'MM $'!AB410</f>
        <v>0</v>
      </c>
      <c r="BR410" s="124">
        <f>'MM $'!AD410</f>
        <v>0</v>
      </c>
      <c r="BS410" s="139">
        <f>'MM $'!AE410</f>
        <v>0</v>
      </c>
      <c r="BT410" s="431">
        <f>'MM $'!AF410</f>
        <v>0</v>
      </c>
      <c r="BU410" s="124">
        <f>'MM $'!AB410</f>
        <v>0</v>
      </c>
      <c r="BV410" s="439"/>
      <c r="BW410" s="120">
        <f t="shared" si="271"/>
        <v>21720000</v>
      </c>
      <c r="BX410" s="121">
        <f t="shared" si="185"/>
        <v>3.5000000000000003E-2</v>
      </c>
      <c r="BY410" s="121">
        <f t="shared" si="186"/>
        <v>3.7637200736648252E-2</v>
      </c>
      <c r="BZ410" s="120">
        <f t="shared" si="272"/>
        <v>2270.7777777777778</v>
      </c>
      <c r="CA410" s="120">
        <f t="shared" si="273"/>
        <v>370.27777777777783</v>
      </c>
    </row>
    <row r="411" spans="2:79" x14ac:dyDescent="0.25">
      <c r="B411" s="123" t="str">
        <f t="shared" si="249"/>
        <v>2 2026</v>
      </c>
      <c r="C411" s="122">
        <f t="shared" si="250"/>
        <v>46060</v>
      </c>
      <c r="D411" s="122">
        <f t="shared" si="190"/>
        <v>46061</v>
      </c>
      <c r="E411" s="123">
        <f t="shared" si="251"/>
        <v>1</v>
      </c>
      <c r="F411" s="123" t="s">
        <v>7</v>
      </c>
      <c r="G411" s="124">
        <f t="shared" ref="G411:H411" si="296">G410</f>
        <v>720000</v>
      </c>
      <c r="H411" s="125">
        <f t="shared" si="296"/>
        <v>3.15E-2</v>
      </c>
      <c r="I411" s="124">
        <f t="shared" si="253"/>
        <v>63</v>
      </c>
      <c r="J411" s="124">
        <f t="shared" si="254"/>
        <v>5435.5</v>
      </c>
      <c r="K411" s="9"/>
      <c r="L411" s="11"/>
      <c r="M411" s="306"/>
      <c r="N411" s="97"/>
      <c r="O411" s="421"/>
      <c r="P411" s="304"/>
      <c r="Q411" s="307"/>
      <c r="S411" s="11" t="s">
        <v>192</v>
      </c>
      <c r="T411" s="306">
        <f t="shared" ref="T411:U411" si="297">T410</f>
        <v>5000000</v>
      </c>
      <c r="U411" s="97">
        <f t="shared" si="297"/>
        <v>3.9199999999999999E-2</v>
      </c>
      <c r="V411" s="421">
        <f t="shared" si="260"/>
        <v>544.44444444444446</v>
      </c>
      <c r="W411" s="304">
        <f t="shared" si="261"/>
        <v>21233.33333333335</v>
      </c>
      <c r="X411" s="307">
        <f t="shared" si="262"/>
        <v>106.94444444444446</v>
      </c>
      <c r="Z411" s="11" t="s">
        <v>192</v>
      </c>
      <c r="AA411" s="306">
        <f t="shared" ref="AA411:AB411" si="298">AA410</f>
        <v>10000000</v>
      </c>
      <c r="AB411" s="97">
        <f t="shared" si="298"/>
        <v>3.7499999999999999E-2</v>
      </c>
      <c r="AC411" s="421">
        <f t="shared" si="264"/>
        <v>1041.6666666666667</v>
      </c>
      <c r="AD411" s="304">
        <f t="shared" si="265"/>
        <v>40625</v>
      </c>
      <c r="AE411" s="307">
        <f t="shared" si="266"/>
        <v>166.66666666666674</v>
      </c>
      <c r="AG411" s="11" t="s">
        <v>192</v>
      </c>
      <c r="AH411" s="306">
        <f t="shared" ref="AH411:AI411" si="299">AH410</f>
        <v>6000000</v>
      </c>
      <c r="AI411" s="97">
        <f t="shared" si="299"/>
        <v>3.73E-2</v>
      </c>
      <c r="AJ411" s="421">
        <f t="shared" si="268"/>
        <v>621.66666666666663</v>
      </c>
      <c r="AK411" s="304">
        <f t="shared" si="269"/>
        <v>1243.3333333333333</v>
      </c>
      <c r="AL411" s="307">
        <f t="shared" si="270"/>
        <v>96.666666666666629</v>
      </c>
      <c r="AN411" s="304">
        <f>'codeis $'!AB411</f>
        <v>0</v>
      </c>
      <c r="AO411" s="340">
        <f>'codeis $'!AH411</f>
        <v>0</v>
      </c>
      <c r="AP411" s="304">
        <f>'codeis $'!AE411</f>
        <v>0</v>
      </c>
      <c r="AQ411" s="304">
        <f>'codeis $'!AK411</f>
        <v>0</v>
      </c>
      <c r="AR411" s="9"/>
      <c r="AS411" s="9"/>
      <c r="AT411" s="123"/>
      <c r="AU411" s="123"/>
      <c r="AV411" s="123"/>
      <c r="AW411" s="123"/>
      <c r="AX411" s="123"/>
      <c r="AY411" s="123"/>
      <c r="AZ411" s="123"/>
      <c r="BA411" s="123"/>
      <c r="BC411" s="124">
        <f>'MM $'!G411</f>
        <v>0</v>
      </c>
      <c r="BD411" s="139">
        <f>'MM $'!H411</f>
        <v>0</v>
      </c>
      <c r="BE411" s="431">
        <f>'MM $'!I411</f>
        <v>0</v>
      </c>
      <c r="BF411" s="124">
        <f>'MM $'!L411</f>
        <v>0</v>
      </c>
      <c r="BH411" s="124">
        <f>'MM $'!N411</f>
        <v>0</v>
      </c>
      <c r="BI411" s="139">
        <f>'MM $'!P411</f>
        <v>0</v>
      </c>
      <c r="BJ411" s="431">
        <f>'MM $'!Q411</f>
        <v>0</v>
      </c>
      <c r="BK411" s="124">
        <f>'MM $'!U411</f>
        <v>0</v>
      </c>
      <c r="BM411" s="124">
        <f>'MM $'!W411</f>
        <v>0</v>
      </c>
      <c r="BN411" s="139">
        <f>'MM $'!X411</f>
        <v>0</v>
      </c>
      <c r="BO411" s="431">
        <f>'MM $'!Y411</f>
        <v>0</v>
      </c>
      <c r="BP411" s="124">
        <f>'MM $'!AB411</f>
        <v>0</v>
      </c>
      <c r="BR411" s="124">
        <f>'MM $'!AD411</f>
        <v>0</v>
      </c>
      <c r="BS411" s="139">
        <f>'MM $'!AE411</f>
        <v>0</v>
      </c>
      <c r="BT411" s="431">
        <f>'MM $'!AF411</f>
        <v>0</v>
      </c>
      <c r="BU411" s="124">
        <f>'MM $'!AB411</f>
        <v>0</v>
      </c>
      <c r="BV411" s="439"/>
      <c r="BW411" s="120">
        <f t="shared" si="271"/>
        <v>21720000</v>
      </c>
      <c r="BX411" s="121">
        <f t="shared" si="185"/>
        <v>3.5000000000000003E-2</v>
      </c>
      <c r="BY411" s="121">
        <f t="shared" si="186"/>
        <v>3.7637200736648252E-2</v>
      </c>
      <c r="BZ411" s="120">
        <f t="shared" si="272"/>
        <v>2270.7777777777778</v>
      </c>
      <c r="CA411" s="120">
        <f t="shared" si="273"/>
        <v>370.27777777777783</v>
      </c>
    </row>
    <row r="412" spans="2:79" x14ac:dyDescent="0.25">
      <c r="B412" s="123" t="str">
        <f t="shared" si="249"/>
        <v>2 2026</v>
      </c>
      <c r="C412" s="122">
        <f t="shared" si="250"/>
        <v>46061</v>
      </c>
      <c r="D412" s="122">
        <f t="shared" si="190"/>
        <v>46062</v>
      </c>
      <c r="E412" s="123">
        <f t="shared" si="251"/>
        <v>1</v>
      </c>
      <c r="F412" s="123" t="s">
        <v>7</v>
      </c>
      <c r="G412" s="124">
        <f t="shared" ref="G412:H412" si="300">G411</f>
        <v>720000</v>
      </c>
      <c r="H412" s="125">
        <f t="shared" si="300"/>
        <v>3.15E-2</v>
      </c>
      <c r="I412" s="124">
        <f t="shared" si="253"/>
        <v>63</v>
      </c>
      <c r="J412" s="124">
        <f t="shared" si="254"/>
        <v>5498.5</v>
      </c>
      <c r="K412" s="9"/>
      <c r="L412" s="11"/>
      <c r="M412" s="306"/>
      <c r="N412" s="97"/>
      <c r="O412" s="421"/>
      <c r="P412" s="304"/>
      <c r="Q412" s="307"/>
      <c r="S412" s="11" t="s">
        <v>192</v>
      </c>
      <c r="T412" s="306">
        <f t="shared" ref="T412:U412" si="301">T411</f>
        <v>5000000</v>
      </c>
      <c r="U412" s="97">
        <f t="shared" si="301"/>
        <v>3.9199999999999999E-2</v>
      </c>
      <c r="V412" s="421">
        <f t="shared" si="260"/>
        <v>544.44444444444446</v>
      </c>
      <c r="W412" s="304">
        <f t="shared" si="261"/>
        <v>21777.777777777796</v>
      </c>
      <c r="X412" s="307">
        <f t="shared" si="262"/>
        <v>106.94444444444446</v>
      </c>
      <c r="Z412" s="11" t="s">
        <v>192</v>
      </c>
      <c r="AA412" s="306">
        <f t="shared" ref="AA412:AB412" si="302">AA411</f>
        <v>10000000</v>
      </c>
      <c r="AB412" s="97">
        <f t="shared" si="302"/>
        <v>3.7499999999999999E-2</v>
      </c>
      <c r="AC412" s="421">
        <f t="shared" si="264"/>
        <v>1041.6666666666667</v>
      </c>
      <c r="AD412" s="304">
        <f t="shared" si="265"/>
        <v>41666.666666666664</v>
      </c>
      <c r="AE412" s="307">
        <f t="shared" si="266"/>
        <v>166.66666666666674</v>
      </c>
      <c r="AG412" s="11" t="s">
        <v>192</v>
      </c>
      <c r="AH412" s="306">
        <f t="shared" ref="AH412:AI412" si="303">AH411</f>
        <v>6000000</v>
      </c>
      <c r="AI412" s="97">
        <f t="shared" si="303"/>
        <v>3.73E-2</v>
      </c>
      <c r="AJ412" s="421">
        <f t="shared" si="268"/>
        <v>621.66666666666663</v>
      </c>
      <c r="AK412" s="304">
        <f t="shared" si="269"/>
        <v>1243.3333333333333</v>
      </c>
      <c r="AL412" s="307">
        <f t="shared" si="270"/>
        <v>96.666666666666629</v>
      </c>
      <c r="AN412" s="304">
        <f>'codeis $'!AB412</f>
        <v>0</v>
      </c>
      <c r="AO412" s="340">
        <f>'codeis $'!AH412</f>
        <v>0</v>
      </c>
      <c r="AP412" s="304">
        <f>'codeis $'!AE412</f>
        <v>0</v>
      </c>
      <c r="AQ412" s="304">
        <f>'codeis $'!AK412</f>
        <v>0</v>
      </c>
      <c r="AR412" s="9"/>
      <c r="AS412" s="9"/>
      <c r="AT412" s="123"/>
      <c r="AU412" s="123"/>
      <c r="AV412" s="123"/>
      <c r="AW412" s="123"/>
      <c r="AX412" s="123"/>
      <c r="AY412" s="123"/>
      <c r="AZ412" s="123"/>
      <c r="BA412" s="123"/>
      <c r="BC412" s="124">
        <f>'MM $'!G412</f>
        <v>0</v>
      </c>
      <c r="BD412" s="139">
        <f>'MM $'!H412</f>
        <v>0</v>
      </c>
      <c r="BE412" s="431">
        <f>'MM $'!I412</f>
        <v>0</v>
      </c>
      <c r="BF412" s="124">
        <f>'MM $'!L412</f>
        <v>0</v>
      </c>
      <c r="BH412" s="124">
        <f>'MM $'!N412</f>
        <v>0</v>
      </c>
      <c r="BI412" s="139">
        <f>'MM $'!P412</f>
        <v>0</v>
      </c>
      <c r="BJ412" s="431">
        <f>'MM $'!Q412</f>
        <v>0</v>
      </c>
      <c r="BK412" s="124">
        <f>'MM $'!U412</f>
        <v>0</v>
      </c>
      <c r="BM412" s="124">
        <f>'MM $'!W412</f>
        <v>0</v>
      </c>
      <c r="BN412" s="139">
        <f>'MM $'!X412</f>
        <v>0</v>
      </c>
      <c r="BO412" s="431">
        <f>'MM $'!Y412</f>
        <v>0</v>
      </c>
      <c r="BP412" s="124">
        <f>'MM $'!AB412</f>
        <v>0</v>
      </c>
      <c r="BR412" s="124">
        <f>'MM $'!AD412</f>
        <v>0</v>
      </c>
      <c r="BS412" s="139">
        <f>'MM $'!AE412</f>
        <v>0</v>
      </c>
      <c r="BT412" s="431">
        <f>'MM $'!AF412</f>
        <v>0</v>
      </c>
      <c r="BU412" s="124">
        <f>'MM $'!AB412</f>
        <v>0</v>
      </c>
      <c r="BV412" s="439"/>
      <c r="BW412" s="120">
        <f t="shared" si="271"/>
        <v>21720000</v>
      </c>
      <c r="BX412" s="121">
        <f t="shared" si="185"/>
        <v>3.5000000000000003E-2</v>
      </c>
      <c r="BY412" s="121">
        <f t="shared" si="186"/>
        <v>3.7637200736648252E-2</v>
      </c>
      <c r="BZ412" s="120">
        <f t="shared" si="272"/>
        <v>2270.7777777777778</v>
      </c>
      <c r="CA412" s="120">
        <f t="shared" si="273"/>
        <v>370.27777777777783</v>
      </c>
    </row>
    <row r="413" spans="2:79" x14ac:dyDescent="0.25">
      <c r="B413" s="123" t="str">
        <f t="shared" si="249"/>
        <v>2 2026</v>
      </c>
      <c r="C413" s="122">
        <f t="shared" si="250"/>
        <v>46062</v>
      </c>
      <c r="D413" s="122">
        <f t="shared" si="190"/>
        <v>46063</v>
      </c>
      <c r="E413" s="123">
        <f t="shared" si="251"/>
        <v>1</v>
      </c>
      <c r="F413" s="123" t="s">
        <v>7</v>
      </c>
      <c r="G413" s="124">
        <f t="shared" ref="G413:H413" si="304">G412</f>
        <v>720000</v>
      </c>
      <c r="H413" s="125">
        <f t="shared" si="304"/>
        <v>3.15E-2</v>
      </c>
      <c r="I413" s="124">
        <f t="shared" si="253"/>
        <v>63</v>
      </c>
      <c r="J413" s="124">
        <f t="shared" si="254"/>
        <v>5561.5</v>
      </c>
      <c r="K413" s="9"/>
      <c r="L413" s="11"/>
      <c r="M413" s="306"/>
      <c r="N413" s="97"/>
      <c r="O413" s="421"/>
      <c r="P413" s="304"/>
      <c r="Q413" s="307"/>
      <c r="S413" s="11" t="s">
        <v>192</v>
      </c>
      <c r="T413" s="306">
        <f t="shared" ref="T413:U413" si="305">T412</f>
        <v>5000000</v>
      </c>
      <c r="U413" s="97">
        <f t="shared" si="305"/>
        <v>3.9199999999999999E-2</v>
      </c>
      <c r="V413" s="421">
        <f t="shared" si="260"/>
        <v>544.44444444444446</v>
      </c>
      <c r="W413" s="304">
        <f t="shared" si="261"/>
        <v>22322.222222222241</v>
      </c>
      <c r="X413" s="307">
        <f t="shared" si="262"/>
        <v>106.94444444444446</v>
      </c>
      <c r="Z413" s="11" t="s">
        <v>192</v>
      </c>
      <c r="AA413" s="306">
        <f t="shared" ref="AA413:AB413" si="306">AA412</f>
        <v>10000000</v>
      </c>
      <c r="AB413" s="97">
        <f t="shared" si="306"/>
        <v>3.7499999999999999E-2</v>
      </c>
      <c r="AC413" s="421">
        <f t="shared" si="264"/>
        <v>1041.6666666666667</v>
      </c>
      <c r="AD413" s="304">
        <f t="shared" si="265"/>
        <v>42708.333333333328</v>
      </c>
      <c r="AE413" s="307">
        <f t="shared" si="266"/>
        <v>166.66666666666674</v>
      </c>
      <c r="AG413" s="11" t="s">
        <v>192</v>
      </c>
      <c r="AH413" s="306">
        <f t="shared" ref="AH413:AI413" si="307">AH412</f>
        <v>6000000</v>
      </c>
      <c r="AI413" s="97">
        <f t="shared" si="307"/>
        <v>3.73E-2</v>
      </c>
      <c r="AJ413" s="421">
        <f t="shared" si="268"/>
        <v>621.66666666666663</v>
      </c>
      <c r="AK413" s="304">
        <f t="shared" si="269"/>
        <v>1243.3333333333333</v>
      </c>
      <c r="AL413" s="307">
        <f t="shared" si="270"/>
        <v>96.666666666666629</v>
      </c>
      <c r="AN413" s="304">
        <f>'codeis $'!AB413</f>
        <v>0</v>
      </c>
      <c r="AO413" s="340">
        <f>'codeis $'!AH413</f>
        <v>0</v>
      </c>
      <c r="AP413" s="304">
        <f>'codeis $'!AE413</f>
        <v>0</v>
      </c>
      <c r="AQ413" s="304">
        <f>'codeis $'!AK413</f>
        <v>0</v>
      </c>
      <c r="AR413" s="9"/>
      <c r="AS413" s="9"/>
      <c r="AT413" s="123"/>
      <c r="AU413" s="123"/>
      <c r="AV413" s="123"/>
      <c r="AW413" s="123"/>
      <c r="AX413" s="123"/>
      <c r="AY413" s="123"/>
      <c r="AZ413" s="123"/>
      <c r="BA413" s="123"/>
      <c r="BC413" s="124">
        <f>'MM $'!G413</f>
        <v>0</v>
      </c>
      <c r="BD413" s="139">
        <f>'MM $'!H413</f>
        <v>0</v>
      </c>
      <c r="BE413" s="431">
        <f>'MM $'!I413</f>
        <v>0</v>
      </c>
      <c r="BF413" s="124">
        <f>'MM $'!L413</f>
        <v>0</v>
      </c>
      <c r="BH413" s="124">
        <f>'MM $'!N413</f>
        <v>0</v>
      </c>
      <c r="BI413" s="139">
        <f>'MM $'!P413</f>
        <v>0</v>
      </c>
      <c r="BJ413" s="431">
        <f>'MM $'!Q413</f>
        <v>0</v>
      </c>
      <c r="BK413" s="124">
        <f>'MM $'!U413</f>
        <v>0</v>
      </c>
      <c r="BM413" s="124">
        <f>'MM $'!W413</f>
        <v>0</v>
      </c>
      <c r="BN413" s="139">
        <f>'MM $'!X413</f>
        <v>0</v>
      </c>
      <c r="BO413" s="431">
        <f>'MM $'!Y413</f>
        <v>0</v>
      </c>
      <c r="BP413" s="124">
        <f>'MM $'!AB413</f>
        <v>0</v>
      </c>
      <c r="BR413" s="124">
        <f>'MM $'!AD413</f>
        <v>0</v>
      </c>
      <c r="BS413" s="139">
        <f>'MM $'!AE413</f>
        <v>0</v>
      </c>
      <c r="BT413" s="431">
        <f>'MM $'!AF413</f>
        <v>0</v>
      </c>
      <c r="BU413" s="124">
        <f>'MM $'!AB413</f>
        <v>0</v>
      </c>
      <c r="BV413" s="439"/>
      <c r="BW413" s="120">
        <f t="shared" si="271"/>
        <v>21720000</v>
      </c>
      <c r="BX413" s="121">
        <f t="shared" si="185"/>
        <v>3.5000000000000003E-2</v>
      </c>
      <c r="BY413" s="121">
        <f t="shared" si="186"/>
        <v>3.7637200736648252E-2</v>
      </c>
      <c r="BZ413" s="120">
        <f t="shared" si="272"/>
        <v>2270.7777777777778</v>
      </c>
      <c r="CA413" s="120">
        <f t="shared" si="273"/>
        <v>370.27777777777783</v>
      </c>
    </row>
    <row r="414" spans="2:79" x14ac:dyDescent="0.25">
      <c r="B414" s="123" t="str">
        <f t="shared" si="249"/>
        <v>2 2026</v>
      </c>
      <c r="C414" s="122">
        <f t="shared" si="250"/>
        <v>46063</v>
      </c>
      <c r="D414" s="122">
        <f t="shared" si="190"/>
        <v>46064</v>
      </c>
      <c r="E414" s="123">
        <f t="shared" si="251"/>
        <v>1</v>
      </c>
      <c r="F414" s="123" t="s">
        <v>7</v>
      </c>
      <c r="G414" s="126">
        <f>G413-480000</f>
        <v>240000</v>
      </c>
      <c r="H414" s="125">
        <f t="shared" ref="H414" si="308">H413</f>
        <v>3.15E-2</v>
      </c>
      <c r="I414" s="124">
        <f t="shared" si="253"/>
        <v>21</v>
      </c>
      <c r="J414" s="124">
        <f t="shared" si="254"/>
        <v>5582.5</v>
      </c>
      <c r="K414" s="9"/>
      <c r="L414" s="11"/>
      <c r="M414" s="306"/>
      <c r="N414" s="97"/>
      <c r="O414" s="421"/>
      <c r="P414" s="304"/>
      <c r="Q414" s="307"/>
      <c r="S414" s="11" t="s">
        <v>192</v>
      </c>
      <c r="T414" s="306">
        <f t="shared" ref="T414:U414" si="309">T413</f>
        <v>5000000</v>
      </c>
      <c r="U414" s="97">
        <f t="shared" si="309"/>
        <v>3.9199999999999999E-2</v>
      </c>
      <c r="V414" s="421">
        <f t="shared" si="260"/>
        <v>544.44444444444446</v>
      </c>
      <c r="W414" s="304">
        <f t="shared" si="261"/>
        <v>22866.666666666686</v>
      </c>
      <c r="X414" s="307">
        <f t="shared" si="262"/>
        <v>106.94444444444446</v>
      </c>
      <c r="Z414" s="11" t="s">
        <v>192</v>
      </c>
      <c r="AA414" s="306">
        <f t="shared" ref="AA414:AB414" si="310">AA413</f>
        <v>10000000</v>
      </c>
      <c r="AB414" s="97">
        <f t="shared" si="310"/>
        <v>3.7499999999999999E-2</v>
      </c>
      <c r="AC414" s="421">
        <f t="shared" si="264"/>
        <v>1041.6666666666667</v>
      </c>
      <c r="AD414" s="304">
        <f t="shared" si="265"/>
        <v>43749.999999999993</v>
      </c>
      <c r="AE414" s="307">
        <f t="shared" si="266"/>
        <v>166.66666666666674</v>
      </c>
      <c r="AG414" s="11" t="s">
        <v>192</v>
      </c>
      <c r="AH414" s="306">
        <f t="shared" ref="AH414:AI414" si="311">AH413</f>
        <v>6000000</v>
      </c>
      <c r="AI414" s="97">
        <f t="shared" si="311"/>
        <v>3.73E-2</v>
      </c>
      <c r="AJ414" s="421">
        <f t="shared" si="268"/>
        <v>621.66666666666663</v>
      </c>
      <c r="AK414" s="304">
        <f t="shared" si="269"/>
        <v>1243.3333333333333</v>
      </c>
      <c r="AL414" s="307">
        <f t="shared" si="270"/>
        <v>96.666666666666629</v>
      </c>
      <c r="AN414" s="304">
        <f>'codeis $'!AB414</f>
        <v>0</v>
      </c>
      <c r="AO414" s="340">
        <f>'codeis $'!AH414</f>
        <v>0</v>
      </c>
      <c r="AP414" s="304">
        <f>'codeis $'!AE414</f>
        <v>0</v>
      </c>
      <c r="AQ414" s="304">
        <f>'codeis $'!AK414</f>
        <v>0</v>
      </c>
      <c r="AR414" s="9"/>
      <c r="AS414" s="9"/>
      <c r="AT414" s="123"/>
      <c r="AU414" s="123"/>
      <c r="AV414" s="123"/>
      <c r="AW414" s="123"/>
      <c r="AX414" s="123"/>
      <c r="AY414" s="123"/>
      <c r="AZ414" s="123"/>
      <c r="BA414" s="123"/>
      <c r="BC414" s="124">
        <f>'MM $'!G414</f>
        <v>0</v>
      </c>
      <c r="BD414" s="139">
        <f>'MM $'!H414</f>
        <v>0</v>
      </c>
      <c r="BE414" s="431">
        <f>'MM $'!I414</f>
        <v>0</v>
      </c>
      <c r="BF414" s="124">
        <f>'MM $'!L414</f>
        <v>0</v>
      </c>
      <c r="BH414" s="124">
        <f>'MM $'!N414</f>
        <v>0</v>
      </c>
      <c r="BI414" s="139">
        <f>'MM $'!P414</f>
        <v>0</v>
      </c>
      <c r="BJ414" s="431">
        <f>'MM $'!Q414</f>
        <v>0</v>
      </c>
      <c r="BK414" s="124">
        <f>'MM $'!U414</f>
        <v>0</v>
      </c>
      <c r="BM414" s="124">
        <f>'MM $'!W414</f>
        <v>0</v>
      </c>
      <c r="BN414" s="139">
        <f>'MM $'!X414</f>
        <v>0</v>
      </c>
      <c r="BO414" s="431">
        <f>'MM $'!Y414</f>
        <v>0</v>
      </c>
      <c r="BP414" s="124">
        <f>'MM $'!AB414</f>
        <v>0</v>
      </c>
      <c r="BR414" s="124">
        <f>'MM $'!AD414</f>
        <v>0</v>
      </c>
      <c r="BS414" s="139">
        <f>'MM $'!AE414</f>
        <v>0</v>
      </c>
      <c r="BT414" s="431">
        <f>'MM $'!AF414</f>
        <v>0</v>
      </c>
      <c r="BU414" s="124">
        <f>'MM $'!AB414</f>
        <v>0</v>
      </c>
      <c r="BV414" s="439"/>
      <c r="BW414" s="120">
        <f t="shared" si="271"/>
        <v>21240000</v>
      </c>
      <c r="BX414" s="121">
        <f t="shared" si="185"/>
        <v>3.5000000000000003E-2</v>
      </c>
      <c r="BY414" s="121">
        <f t="shared" si="186"/>
        <v>3.77758945386064E-2</v>
      </c>
      <c r="BZ414" s="120">
        <f t="shared" si="272"/>
        <v>2228.7777777777778</v>
      </c>
      <c r="CA414" s="120">
        <f t="shared" si="273"/>
        <v>370.27777777777783</v>
      </c>
    </row>
    <row r="415" spans="2:79" x14ac:dyDescent="0.25">
      <c r="B415" s="123" t="str">
        <f t="shared" si="249"/>
        <v>2 2026</v>
      </c>
      <c r="C415" s="122">
        <f t="shared" si="250"/>
        <v>46064</v>
      </c>
      <c r="D415" s="122">
        <f t="shared" si="190"/>
        <v>46065</v>
      </c>
      <c r="E415" s="123">
        <f t="shared" si="251"/>
        <v>1</v>
      </c>
      <c r="F415" s="123" t="s">
        <v>7</v>
      </c>
      <c r="G415" s="126">
        <f>G414-50000</f>
        <v>190000</v>
      </c>
      <c r="H415" s="125">
        <f t="shared" ref="H415" si="312">H414</f>
        <v>3.15E-2</v>
      </c>
      <c r="I415" s="124">
        <f t="shared" si="253"/>
        <v>16.625</v>
      </c>
      <c r="J415" s="124">
        <f t="shared" si="254"/>
        <v>5599.125</v>
      </c>
      <c r="K415" s="9"/>
      <c r="L415" s="11"/>
      <c r="M415" s="306"/>
      <c r="N415" s="97"/>
      <c r="O415" s="421"/>
      <c r="P415" s="304"/>
      <c r="Q415" s="307"/>
      <c r="S415" s="11" t="s">
        <v>192</v>
      </c>
      <c r="T415" s="306">
        <f t="shared" ref="T415:U415" si="313">T414</f>
        <v>5000000</v>
      </c>
      <c r="U415" s="97">
        <f t="shared" si="313"/>
        <v>3.9199999999999999E-2</v>
      </c>
      <c r="V415" s="421">
        <f t="shared" si="260"/>
        <v>544.44444444444446</v>
      </c>
      <c r="W415" s="304">
        <f t="shared" si="261"/>
        <v>23411.111111111131</v>
      </c>
      <c r="X415" s="307">
        <f t="shared" si="262"/>
        <v>106.94444444444446</v>
      </c>
      <c r="Z415" s="11" t="s">
        <v>192</v>
      </c>
      <c r="AA415" s="306">
        <f t="shared" ref="AA415:AB415" si="314">AA414</f>
        <v>10000000</v>
      </c>
      <c r="AB415" s="97">
        <f t="shared" si="314"/>
        <v>3.7499999999999999E-2</v>
      </c>
      <c r="AC415" s="421">
        <f t="shared" si="264"/>
        <v>1041.6666666666667</v>
      </c>
      <c r="AD415" s="304">
        <f t="shared" si="265"/>
        <v>44791.666666666657</v>
      </c>
      <c r="AE415" s="307">
        <f t="shared" si="266"/>
        <v>166.66666666666674</v>
      </c>
      <c r="AG415" s="11" t="s">
        <v>192</v>
      </c>
      <c r="AH415" s="306">
        <f t="shared" ref="AH415:AI415" si="315">AH414</f>
        <v>6000000</v>
      </c>
      <c r="AI415" s="97">
        <f t="shared" si="315"/>
        <v>3.73E-2</v>
      </c>
      <c r="AJ415" s="421">
        <f t="shared" si="268"/>
        <v>621.66666666666663</v>
      </c>
      <c r="AK415" s="304">
        <f t="shared" si="269"/>
        <v>1243.3333333333333</v>
      </c>
      <c r="AL415" s="307">
        <f t="shared" si="270"/>
        <v>96.666666666666629</v>
      </c>
      <c r="AN415" s="304">
        <f>'codeis $'!AB415</f>
        <v>0</v>
      </c>
      <c r="AO415" s="340">
        <f>'codeis $'!AH415</f>
        <v>0</v>
      </c>
      <c r="AP415" s="304">
        <f>'codeis $'!AE415</f>
        <v>0</v>
      </c>
      <c r="AQ415" s="304">
        <f>'codeis $'!AK415</f>
        <v>0</v>
      </c>
      <c r="AR415" s="9"/>
      <c r="AS415" s="9"/>
      <c r="AT415" s="123"/>
      <c r="AU415" s="123"/>
      <c r="AV415" s="123"/>
      <c r="AW415" s="123"/>
      <c r="AX415" s="123"/>
      <c r="AY415" s="123"/>
      <c r="AZ415" s="123"/>
      <c r="BA415" s="123"/>
      <c r="BC415" s="124">
        <f>'MM $'!G415</f>
        <v>0</v>
      </c>
      <c r="BD415" s="139">
        <f>'MM $'!H415</f>
        <v>0</v>
      </c>
      <c r="BE415" s="431">
        <f>'MM $'!I415</f>
        <v>0</v>
      </c>
      <c r="BF415" s="124">
        <f>'MM $'!L415</f>
        <v>0</v>
      </c>
      <c r="BH415" s="124">
        <f>'MM $'!N415</f>
        <v>0</v>
      </c>
      <c r="BI415" s="139">
        <f>'MM $'!P415</f>
        <v>0</v>
      </c>
      <c r="BJ415" s="431">
        <f>'MM $'!Q415</f>
        <v>0</v>
      </c>
      <c r="BK415" s="124">
        <f>'MM $'!U415</f>
        <v>0</v>
      </c>
      <c r="BM415" s="124">
        <f>'MM $'!W415</f>
        <v>0</v>
      </c>
      <c r="BN415" s="139">
        <f>'MM $'!X415</f>
        <v>0</v>
      </c>
      <c r="BO415" s="431">
        <f>'MM $'!Y415</f>
        <v>0</v>
      </c>
      <c r="BP415" s="124">
        <f>'MM $'!AB415</f>
        <v>0</v>
      </c>
      <c r="BR415" s="124">
        <f>'MM $'!AD415</f>
        <v>0</v>
      </c>
      <c r="BS415" s="139">
        <f>'MM $'!AE415</f>
        <v>0</v>
      </c>
      <c r="BT415" s="431">
        <f>'MM $'!AF415</f>
        <v>0</v>
      </c>
      <c r="BU415" s="124">
        <f>'MM $'!AB415</f>
        <v>0</v>
      </c>
      <c r="BV415" s="439"/>
      <c r="BW415" s="120">
        <f t="shared" si="271"/>
        <v>21190000</v>
      </c>
      <c r="BX415" s="121">
        <f t="shared" si="185"/>
        <v>3.5000000000000003E-2</v>
      </c>
      <c r="BY415" s="121">
        <f t="shared" si="186"/>
        <v>3.7790703161868805E-2</v>
      </c>
      <c r="BZ415" s="120">
        <f t="shared" si="272"/>
        <v>2224.4027777777778</v>
      </c>
      <c r="CA415" s="120">
        <f t="shared" si="273"/>
        <v>370.27777777777783</v>
      </c>
    </row>
    <row r="416" spans="2:79" x14ac:dyDescent="0.25">
      <c r="B416" s="123" t="str">
        <f t="shared" si="249"/>
        <v>2 2026</v>
      </c>
      <c r="C416" s="122">
        <f t="shared" si="250"/>
        <v>46065</v>
      </c>
      <c r="D416" s="122">
        <f t="shared" si="190"/>
        <v>46066</v>
      </c>
      <c r="E416" s="123">
        <f t="shared" si="251"/>
        <v>1</v>
      </c>
      <c r="F416" s="123" t="s">
        <v>7</v>
      </c>
      <c r="G416" s="124">
        <f t="shared" ref="G416:H416" si="316">G415</f>
        <v>190000</v>
      </c>
      <c r="H416" s="125">
        <f t="shared" si="316"/>
        <v>3.15E-2</v>
      </c>
      <c r="I416" s="124">
        <f t="shared" si="253"/>
        <v>16.625</v>
      </c>
      <c r="J416" s="124">
        <f t="shared" si="254"/>
        <v>5615.75</v>
      </c>
      <c r="K416" s="9"/>
      <c r="L416" s="11"/>
      <c r="M416" s="306"/>
      <c r="N416" s="97"/>
      <c r="O416" s="421"/>
      <c r="P416" s="304"/>
      <c r="Q416" s="307"/>
      <c r="S416" s="11" t="s">
        <v>192</v>
      </c>
      <c r="T416" s="306">
        <f t="shared" ref="T416:U416" si="317">T415</f>
        <v>5000000</v>
      </c>
      <c r="U416" s="97">
        <f t="shared" si="317"/>
        <v>3.9199999999999999E-2</v>
      </c>
      <c r="V416" s="421">
        <f t="shared" si="260"/>
        <v>544.44444444444446</v>
      </c>
      <c r="W416" s="304">
        <f t="shared" si="261"/>
        <v>23955.555555555577</v>
      </c>
      <c r="X416" s="307">
        <f t="shared" si="262"/>
        <v>106.94444444444446</v>
      </c>
      <c r="Z416" s="11" t="s">
        <v>192</v>
      </c>
      <c r="AA416" s="306">
        <f t="shared" ref="AA416:AB416" si="318">AA415</f>
        <v>10000000</v>
      </c>
      <c r="AB416" s="97">
        <f t="shared" si="318"/>
        <v>3.7499999999999999E-2</v>
      </c>
      <c r="AC416" s="421">
        <f t="shared" si="264"/>
        <v>1041.6666666666667</v>
      </c>
      <c r="AD416" s="304">
        <f t="shared" si="265"/>
        <v>45833.333333333321</v>
      </c>
      <c r="AE416" s="307">
        <f t="shared" si="266"/>
        <v>166.66666666666674</v>
      </c>
      <c r="AG416" s="11" t="s">
        <v>192</v>
      </c>
      <c r="AH416" s="306">
        <f t="shared" ref="AH416:AI416" si="319">AH415</f>
        <v>6000000</v>
      </c>
      <c r="AI416" s="97">
        <f t="shared" si="319"/>
        <v>3.73E-2</v>
      </c>
      <c r="AJ416" s="421">
        <f t="shared" si="268"/>
        <v>621.66666666666663</v>
      </c>
      <c r="AK416" s="304">
        <f t="shared" si="269"/>
        <v>1243.3333333333333</v>
      </c>
      <c r="AL416" s="307">
        <f t="shared" si="270"/>
        <v>96.666666666666629</v>
      </c>
      <c r="AN416" s="304">
        <f>'codeis $'!AB416</f>
        <v>0</v>
      </c>
      <c r="AO416" s="340">
        <f>'codeis $'!AH416</f>
        <v>0</v>
      </c>
      <c r="AP416" s="304">
        <f>'codeis $'!AE416</f>
        <v>0</v>
      </c>
      <c r="AQ416" s="304">
        <f>'codeis $'!AK416</f>
        <v>0</v>
      </c>
      <c r="AR416" s="9"/>
      <c r="AS416" s="9"/>
      <c r="AT416" s="123"/>
      <c r="AU416" s="123"/>
      <c r="AV416" s="123"/>
      <c r="AW416" s="123"/>
      <c r="AX416" s="123"/>
      <c r="AY416" s="123"/>
      <c r="AZ416" s="123"/>
      <c r="BA416" s="123"/>
      <c r="BC416" s="124">
        <f>'MM $'!G416</f>
        <v>0</v>
      </c>
      <c r="BD416" s="139">
        <f>'MM $'!H416</f>
        <v>0</v>
      </c>
      <c r="BE416" s="431">
        <f>'MM $'!I416</f>
        <v>0</v>
      </c>
      <c r="BF416" s="124">
        <f>'MM $'!L416</f>
        <v>0</v>
      </c>
      <c r="BH416" s="124">
        <f>'MM $'!N416</f>
        <v>0</v>
      </c>
      <c r="BI416" s="139">
        <f>'MM $'!P416</f>
        <v>0</v>
      </c>
      <c r="BJ416" s="431">
        <f>'MM $'!Q416</f>
        <v>0</v>
      </c>
      <c r="BK416" s="124">
        <f>'MM $'!U416</f>
        <v>0</v>
      </c>
      <c r="BM416" s="124">
        <f>'MM $'!W416</f>
        <v>0</v>
      </c>
      <c r="BN416" s="139">
        <f>'MM $'!X416</f>
        <v>0</v>
      </c>
      <c r="BO416" s="431">
        <f>'MM $'!Y416</f>
        <v>0</v>
      </c>
      <c r="BP416" s="124">
        <f>'MM $'!AB416</f>
        <v>0</v>
      </c>
      <c r="BR416" s="124">
        <f>'MM $'!AD416</f>
        <v>0</v>
      </c>
      <c r="BS416" s="139">
        <f>'MM $'!AE416</f>
        <v>0</v>
      </c>
      <c r="BT416" s="431">
        <f>'MM $'!AF416</f>
        <v>0</v>
      </c>
      <c r="BU416" s="124">
        <f>'MM $'!AB416</f>
        <v>0</v>
      </c>
      <c r="BV416" s="439"/>
      <c r="BW416" s="120">
        <f t="shared" si="271"/>
        <v>21190000</v>
      </c>
      <c r="BX416" s="121">
        <f t="shared" si="185"/>
        <v>3.5000000000000003E-2</v>
      </c>
      <c r="BY416" s="121">
        <f t="shared" si="186"/>
        <v>3.7790703161868805E-2</v>
      </c>
      <c r="BZ416" s="120">
        <f t="shared" si="272"/>
        <v>2224.4027777777778</v>
      </c>
      <c r="CA416" s="120">
        <f t="shared" si="273"/>
        <v>370.27777777777783</v>
      </c>
    </row>
    <row r="417" spans="2:79" x14ac:dyDescent="0.25">
      <c r="B417" s="123" t="str">
        <f t="shared" si="249"/>
        <v>2 2026</v>
      </c>
      <c r="C417" s="122">
        <f t="shared" si="250"/>
        <v>46066</v>
      </c>
      <c r="D417" s="122">
        <f t="shared" si="190"/>
        <v>46067</v>
      </c>
      <c r="E417" s="123">
        <f t="shared" si="251"/>
        <v>1</v>
      </c>
      <c r="F417" s="123" t="s">
        <v>7</v>
      </c>
      <c r="G417" s="124">
        <f t="shared" ref="G417:H417" si="320">G416</f>
        <v>190000</v>
      </c>
      <c r="H417" s="125">
        <f t="shared" si="320"/>
        <v>3.15E-2</v>
      </c>
      <c r="I417" s="124">
        <f t="shared" si="253"/>
        <v>16.625</v>
      </c>
      <c r="J417" s="124">
        <f t="shared" si="254"/>
        <v>5632.375</v>
      </c>
      <c r="K417" s="9"/>
      <c r="L417" s="11"/>
      <c r="M417" s="306"/>
      <c r="N417" s="97"/>
      <c r="O417" s="421"/>
      <c r="P417" s="304"/>
      <c r="Q417" s="307"/>
      <c r="S417" s="11" t="s">
        <v>192</v>
      </c>
      <c r="T417" s="306">
        <f t="shared" ref="T417:U417" si="321">T416</f>
        <v>5000000</v>
      </c>
      <c r="U417" s="97">
        <f t="shared" si="321"/>
        <v>3.9199999999999999E-2</v>
      </c>
      <c r="V417" s="421">
        <f t="shared" si="260"/>
        <v>544.44444444444446</v>
      </c>
      <c r="W417" s="304">
        <f t="shared" si="261"/>
        <v>24500.000000000022</v>
      </c>
      <c r="X417" s="307">
        <f t="shared" si="262"/>
        <v>106.94444444444446</v>
      </c>
      <c r="Z417" s="11" t="s">
        <v>192</v>
      </c>
      <c r="AA417" s="306">
        <f t="shared" ref="AA417:AB417" si="322">AA416</f>
        <v>10000000</v>
      </c>
      <c r="AB417" s="97">
        <f t="shared" si="322"/>
        <v>3.7499999999999999E-2</v>
      </c>
      <c r="AC417" s="421">
        <f t="shared" si="264"/>
        <v>1041.6666666666667</v>
      </c>
      <c r="AD417" s="304">
        <f t="shared" si="265"/>
        <v>46874.999999999985</v>
      </c>
      <c r="AE417" s="307">
        <f t="shared" si="266"/>
        <v>166.66666666666674</v>
      </c>
      <c r="AG417" s="11" t="s">
        <v>192</v>
      </c>
      <c r="AH417" s="306">
        <f t="shared" ref="AH417:AI417" si="323">AH416</f>
        <v>6000000</v>
      </c>
      <c r="AI417" s="97">
        <f t="shared" si="323"/>
        <v>3.73E-2</v>
      </c>
      <c r="AJ417" s="421">
        <f t="shared" si="268"/>
        <v>621.66666666666663</v>
      </c>
      <c r="AK417" s="304">
        <f t="shared" si="269"/>
        <v>1243.3333333333333</v>
      </c>
      <c r="AL417" s="307">
        <f t="shared" si="270"/>
        <v>96.666666666666629</v>
      </c>
      <c r="AN417" s="304">
        <f>'codeis $'!AB417</f>
        <v>0</v>
      </c>
      <c r="AO417" s="340">
        <f>'codeis $'!AH417</f>
        <v>0</v>
      </c>
      <c r="AP417" s="304">
        <f>'codeis $'!AE417</f>
        <v>0</v>
      </c>
      <c r="AQ417" s="304">
        <f>'codeis $'!AK417</f>
        <v>0</v>
      </c>
      <c r="AR417" s="9"/>
      <c r="AS417" s="9"/>
      <c r="AT417" s="123"/>
      <c r="AU417" s="123"/>
      <c r="AV417" s="123"/>
      <c r="AW417" s="123"/>
      <c r="AX417" s="123"/>
      <c r="AY417" s="123"/>
      <c r="AZ417" s="123"/>
      <c r="BA417" s="123"/>
      <c r="BC417" s="124">
        <f>'MM $'!G417</f>
        <v>0</v>
      </c>
      <c r="BD417" s="139">
        <f>'MM $'!H417</f>
        <v>0</v>
      </c>
      <c r="BE417" s="431">
        <f>'MM $'!I417</f>
        <v>0</v>
      </c>
      <c r="BF417" s="124">
        <f>'MM $'!L417</f>
        <v>0</v>
      </c>
      <c r="BH417" s="124">
        <f>'MM $'!N417</f>
        <v>0</v>
      </c>
      <c r="BI417" s="139">
        <f>'MM $'!P417</f>
        <v>0</v>
      </c>
      <c r="BJ417" s="431">
        <f>'MM $'!Q417</f>
        <v>0</v>
      </c>
      <c r="BK417" s="124">
        <f>'MM $'!U417</f>
        <v>0</v>
      </c>
      <c r="BM417" s="124">
        <f>'MM $'!W417</f>
        <v>0</v>
      </c>
      <c r="BN417" s="139">
        <f>'MM $'!X417</f>
        <v>0</v>
      </c>
      <c r="BO417" s="431">
        <f>'MM $'!Y417</f>
        <v>0</v>
      </c>
      <c r="BP417" s="124">
        <f>'MM $'!AB417</f>
        <v>0</v>
      </c>
      <c r="BR417" s="124">
        <f>'MM $'!AD417</f>
        <v>0</v>
      </c>
      <c r="BS417" s="139">
        <f>'MM $'!AE417</f>
        <v>0</v>
      </c>
      <c r="BT417" s="431">
        <f>'MM $'!AF417</f>
        <v>0</v>
      </c>
      <c r="BU417" s="124">
        <f>'MM $'!AB417</f>
        <v>0</v>
      </c>
      <c r="BV417" s="439"/>
      <c r="BW417" s="120">
        <f t="shared" si="271"/>
        <v>21190000</v>
      </c>
      <c r="BX417" s="121">
        <f t="shared" si="185"/>
        <v>3.5000000000000003E-2</v>
      </c>
      <c r="BY417" s="121">
        <f t="shared" si="186"/>
        <v>3.7790703161868805E-2</v>
      </c>
      <c r="BZ417" s="120">
        <f t="shared" si="272"/>
        <v>2224.4027777777778</v>
      </c>
      <c r="CA417" s="120">
        <f t="shared" si="273"/>
        <v>370.27777777777783</v>
      </c>
    </row>
    <row r="418" spans="2:79" x14ac:dyDescent="0.25">
      <c r="B418" s="123" t="str">
        <f t="shared" si="249"/>
        <v>2 2026</v>
      </c>
      <c r="C418" s="122">
        <f t="shared" si="250"/>
        <v>46067</v>
      </c>
      <c r="D418" s="122">
        <f t="shared" si="190"/>
        <v>46068</v>
      </c>
      <c r="E418" s="123">
        <f t="shared" si="251"/>
        <v>1</v>
      </c>
      <c r="F418" s="123" t="s">
        <v>7</v>
      </c>
      <c r="G418" s="124">
        <f t="shared" ref="G418:H418" si="324">G417</f>
        <v>190000</v>
      </c>
      <c r="H418" s="125">
        <f t="shared" si="324"/>
        <v>3.15E-2</v>
      </c>
      <c r="I418" s="124">
        <f t="shared" si="253"/>
        <v>16.625</v>
      </c>
      <c r="J418" s="124">
        <f t="shared" si="254"/>
        <v>5649</v>
      </c>
      <c r="K418" s="9"/>
      <c r="L418" s="11"/>
      <c r="M418" s="306"/>
      <c r="N418" s="97"/>
      <c r="O418" s="421"/>
      <c r="P418" s="304"/>
      <c r="Q418" s="307"/>
      <c r="S418" s="11" t="s">
        <v>192</v>
      </c>
      <c r="T418" s="306">
        <f t="shared" ref="T418:U418" si="325">T417</f>
        <v>5000000</v>
      </c>
      <c r="U418" s="97">
        <f t="shared" si="325"/>
        <v>3.9199999999999999E-2</v>
      </c>
      <c r="V418" s="421">
        <f t="shared" si="260"/>
        <v>544.44444444444446</v>
      </c>
      <c r="W418" s="304">
        <f t="shared" si="261"/>
        <v>25044.444444444467</v>
      </c>
      <c r="X418" s="307">
        <f t="shared" si="262"/>
        <v>106.94444444444446</v>
      </c>
      <c r="Z418" s="11" t="s">
        <v>192</v>
      </c>
      <c r="AA418" s="306">
        <f t="shared" ref="AA418:AB418" si="326">AA417</f>
        <v>10000000</v>
      </c>
      <c r="AB418" s="97">
        <f t="shared" si="326"/>
        <v>3.7499999999999999E-2</v>
      </c>
      <c r="AC418" s="421">
        <f t="shared" si="264"/>
        <v>1041.6666666666667</v>
      </c>
      <c r="AD418" s="304">
        <f t="shared" si="265"/>
        <v>47916.66666666665</v>
      </c>
      <c r="AE418" s="307">
        <f t="shared" si="266"/>
        <v>166.66666666666674</v>
      </c>
      <c r="AG418" s="11" t="s">
        <v>192</v>
      </c>
      <c r="AH418" s="306">
        <f t="shared" ref="AH418:AI418" si="327">AH417</f>
        <v>6000000</v>
      </c>
      <c r="AI418" s="97">
        <f t="shared" si="327"/>
        <v>3.73E-2</v>
      </c>
      <c r="AJ418" s="421">
        <f t="shared" si="268"/>
        <v>621.66666666666663</v>
      </c>
      <c r="AK418" s="304">
        <f t="shared" si="269"/>
        <v>1243.3333333333333</v>
      </c>
      <c r="AL418" s="307">
        <f t="shared" si="270"/>
        <v>96.666666666666629</v>
      </c>
      <c r="AN418" s="304">
        <f>'codeis $'!AB418</f>
        <v>0</v>
      </c>
      <c r="AO418" s="340">
        <f>'codeis $'!AH418</f>
        <v>0</v>
      </c>
      <c r="AP418" s="304">
        <f>'codeis $'!AE418</f>
        <v>0</v>
      </c>
      <c r="AQ418" s="304">
        <f>'codeis $'!AK418</f>
        <v>0</v>
      </c>
      <c r="AR418" s="9"/>
      <c r="AS418" s="9"/>
      <c r="AT418" s="123"/>
      <c r="AU418" s="123"/>
      <c r="AV418" s="123"/>
      <c r="AW418" s="123"/>
      <c r="AX418" s="123"/>
      <c r="AY418" s="123"/>
      <c r="AZ418" s="123"/>
      <c r="BA418" s="123"/>
      <c r="BC418" s="124">
        <f>'MM $'!G418</f>
        <v>0</v>
      </c>
      <c r="BD418" s="139">
        <f>'MM $'!H418</f>
        <v>0</v>
      </c>
      <c r="BE418" s="431">
        <f>'MM $'!I418</f>
        <v>0</v>
      </c>
      <c r="BF418" s="124">
        <f>'MM $'!L418</f>
        <v>0</v>
      </c>
      <c r="BH418" s="124">
        <f>'MM $'!N418</f>
        <v>0</v>
      </c>
      <c r="BI418" s="139">
        <f>'MM $'!P418</f>
        <v>0</v>
      </c>
      <c r="BJ418" s="431">
        <f>'MM $'!Q418</f>
        <v>0</v>
      </c>
      <c r="BK418" s="124">
        <f>'MM $'!U418</f>
        <v>0</v>
      </c>
      <c r="BM418" s="124">
        <f>'MM $'!W418</f>
        <v>0</v>
      </c>
      <c r="BN418" s="139">
        <f>'MM $'!X418</f>
        <v>0</v>
      </c>
      <c r="BO418" s="431">
        <f>'MM $'!Y418</f>
        <v>0</v>
      </c>
      <c r="BP418" s="124">
        <f>'MM $'!AB418</f>
        <v>0</v>
      </c>
      <c r="BR418" s="124">
        <f>'MM $'!AD418</f>
        <v>0</v>
      </c>
      <c r="BS418" s="139">
        <f>'MM $'!AE418</f>
        <v>0</v>
      </c>
      <c r="BT418" s="431">
        <f>'MM $'!AF418</f>
        <v>0</v>
      </c>
      <c r="BU418" s="124">
        <f>'MM $'!AB418</f>
        <v>0</v>
      </c>
      <c r="BV418" s="439"/>
      <c r="BW418" s="120">
        <f t="shared" si="271"/>
        <v>21190000</v>
      </c>
      <c r="BX418" s="121">
        <f t="shared" si="185"/>
        <v>3.5000000000000003E-2</v>
      </c>
      <c r="BY418" s="121">
        <f t="shared" si="186"/>
        <v>3.7790703161868805E-2</v>
      </c>
      <c r="BZ418" s="120">
        <f t="shared" si="272"/>
        <v>2224.4027777777778</v>
      </c>
      <c r="CA418" s="120">
        <f t="shared" si="273"/>
        <v>370.27777777777783</v>
      </c>
    </row>
    <row r="419" spans="2:79" x14ac:dyDescent="0.25">
      <c r="B419" s="123" t="str">
        <f t="shared" si="249"/>
        <v>2 2026</v>
      </c>
      <c r="C419" s="122">
        <f t="shared" si="250"/>
        <v>46068</v>
      </c>
      <c r="D419" s="122">
        <f t="shared" si="190"/>
        <v>46069</v>
      </c>
      <c r="E419" s="123">
        <f t="shared" si="251"/>
        <v>1</v>
      </c>
      <c r="F419" s="123" t="s">
        <v>7</v>
      </c>
      <c r="G419" s="124">
        <f t="shared" ref="G419:H419" si="328">G418</f>
        <v>190000</v>
      </c>
      <c r="H419" s="125">
        <f t="shared" si="328"/>
        <v>3.15E-2</v>
      </c>
      <c r="I419" s="124">
        <f t="shared" si="253"/>
        <v>16.625</v>
      </c>
      <c r="J419" s="124">
        <f t="shared" si="254"/>
        <v>5665.625</v>
      </c>
      <c r="K419" s="9"/>
      <c r="L419" s="11"/>
      <c r="M419" s="306"/>
      <c r="N419" s="97"/>
      <c r="O419" s="421"/>
      <c r="P419" s="304"/>
      <c r="Q419" s="307"/>
      <c r="S419" s="11" t="s">
        <v>192</v>
      </c>
      <c r="T419" s="306">
        <f t="shared" ref="T419:U419" si="329">T418</f>
        <v>5000000</v>
      </c>
      <c r="U419" s="97">
        <f t="shared" si="329"/>
        <v>3.9199999999999999E-2</v>
      </c>
      <c r="V419" s="421">
        <f t="shared" si="260"/>
        <v>544.44444444444446</v>
      </c>
      <c r="W419" s="304">
        <f t="shared" si="261"/>
        <v>25588.888888888912</v>
      </c>
      <c r="X419" s="307">
        <f t="shared" si="262"/>
        <v>106.94444444444446</v>
      </c>
      <c r="Z419" s="11" t="s">
        <v>192</v>
      </c>
      <c r="AA419" s="306">
        <f t="shared" ref="AA419:AB419" si="330">AA418</f>
        <v>10000000</v>
      </c>
      <c r="AB419" s="97">
        <f t="shared" si="330"/>
        <v>3.7499999999999999E-2</v>
      </c>
      <c r="AC419" s="421">
        <f t="shared" si="264"/>
        <v>1041.6666666666667</v>
      </c>
      <c r="AD419" s="304">
        <f t="shared" si="265"/>
        <v>48958.333333333314</v>
      </c>
      <c r="AE419" s="307">
        <f t="shared" si="266"/>
        <v>166.66666666666674</v>
      </c>
      <c r="AG419" s="11" t="s">
        <v>192</v>
      </c>
      <c r="AH419" s="306">
        <f t="shared" ref="AH419:AI419" si="331">AH418</f>
        <v>6000000</v>
      </c>
      <c r="AI419" s="97">
        <f t="shared" si="331"/>
        <v>3.73E-2</v>
      </c>
      <c r="AJ419" s="421">
        <f t="shared" si="268"/>
        <v>621.66666666666663</v>
      </c>
      <c r="AK419" s="304">
        <f t="shared" si="269"/>
        <v>1243.3333333333333</v>
      </c>
      <c r="AL419" s="307">
        <f t="shared" si="270"/>
        <v>96.666666666666629</v>
      </c>
      <c r="AN419" s="304">
        <f>'codeis $'!AB419</f>
        <v>0</v>
      </c>
      <c r="AO419" s="340">
        <f>'codeis $'!AH419</f>
        <v>0</v>
      </c>
      <c r="AP419" s="304">
        <f>'codeis $'!AE419</f>
        <v>0</v>
      </c>
      <c r="AQ419" s="304">
        <f>'codeis $'!AK419</f>
        <v>0</v>
      </c>
      <c r="AR419" s="9"/>
      <c r="AS419" s="9"/>
      <c r="AT419" s="123"/>
      <c r="AU419" s="123"/>
      <c r="AV419" s="123"/>
      <c r="AW419" s="123"/>
      <c r="AX419" s="123"/>
      <c r="AY419" s="123"/>
      <c r="AZ419" s="123"/>
      <c r="BA419" s="123"/>
      <c r="BC419" s="124">
        <f>'MM $'!G419</f>
        <v>0</v>
      </c>
      <c r="BD419" s="139">
        <f>'MM $'!H419</f>
        <v>0</v>
      </c>
      <c r="BE419" s="431">
        <f>'MM $'!I419</f>
        <v>0</v>
      </c>
      <c r="BF419" s="124">
        <f>'MM $'!L419</f>
        <v>0</v>
      </c>
      <c r="BH419" s="124">
        <f>'MM $'!N419</f>
        <v>0</v>
      </c>
      <c r="BI419" s="139">
        <f>'MM $'!P419</f>
        <v>0</v>
      </c>
      <c r="BJ419" s="431">
        <f>'MM $'!Q419</f>
        <v>0</v>
      </c>
      <c r="BK419" s="124">
        <f>'MM $'!U419</f>
        <v>0</v>
      </c>
      <c r="BM419" s="124">
        <f>'MM $'!W419</f>
        <v>0</v>
      </c>
      <c r="BN419" s="139">
        <f>'MM $'!X419</f>
        <v>0</v>
      </c>
      <c r="BO419" s="431">
        <f>'MM $'!Y419</f>
        <v>0</v>
      </c>
      <c r="BP419" s="124">
        <f>'MM $'!AB419</f>
        <v>0</v>
      </c>
      <c r="BR419" s="124">
        <f>'MM $'!AD419</f>
        <v>0</v>
      </c>
      <c r="BS419" s="139">
        <f>'MM $'!AE419</f>
        <v>0</v>
      </c>
      <c r="BT419" s="431">
        <f>'MM $'!AF419</f>
        <v>0</v>
      </c>
      <c r="BU419" s="124">
        <f>'MM $'!AB419</f>
        <v>0</v>
      </c>
      <c r="BV419" s="439"/>
      <c r="BW419" s="120">
        <f t="shared" si="271"/>
        <v>21190000</v>
      </c>
      <c r="BX419" s="121">
        <f t="shared" si="185"/>
        <v>3.5000000000000003E-2</v>
      </c>
      <c r="BY419" s="121">
        <f t="shared" si="186"/>
        <v>3.7790703161868805E-2</v>
      </c>
      <c r="BZ419" s="120">
        <f t="shared" si="272"/>
        <v>2224.4027777777778</v>
      </c>
      <c r="CA419" s="120">
        <f t="shared" si="273"/>
        <v>370.27777777777783</v>
      </c>
    </row>
    <row r="420" spans="2:79" x14ac:dyDescent="0.25">
      <c r="B420" s="123" t="str">
        <f t="shared" si="249"/>
        <v>2 2026</v>
      </c>
      <c r="C420" s="122">
        <f t="shared" si="250"/>
        <v>46069</v>
      </c>
      <c r="D420" s="122">
        <f t="shared" si="190"/>
        <v>46070</v>
      </c>
      <c r="E420" s="123">
        <f t="shared" si="251"/>
        <v>1</v>
      </c>
      <c r="F420" s="123" t="s">
        <v>7</v>
      </c>
      <c r="G420" s="124">
        <f t="shared" ref="G420:H420" si="332">G419</f>
        <v>190000</v>
      </c>
      <c r="H420" s="125">
        <f t="shared" si="332"/>
        <v>3.15E-2</v>
      </c>
      <c r="I420" s="124">
        <f t="shared" si="253"/>
        <v>16.625</v>
      </c>
      <c r="J420" s="124">
        <f t="shared" si="254"/>
        <v>5682.25</v>
      </c>
      <c r="K420" s="9"/>
      <c r="L420" s="11"/>
      <c r="M420" s="306"/>
      <c r="N420" s="97"/>
      <c r="O420" s="421"/>
      <c r="P420" s="304"/>
      <c r="Q420" s="307"/>
      <c r="S420" s="11" t="s">
        <v>192</v>
      </c>
      <c r="T420" s="306">
        <f t="shared" ref="T420:U420" si="333">T419</f>
        <v>5000000</v>
      </c>
      <c r="U420" s="97">
        <f t="shared" si="333"/>
        <v>3.9199999999999999E-2</v>
      </c>
      <c r="V420" s="421">
        <f t="shared" si="260"/>
        <v>544.44444444444446</v>
      </c>
      <c r="W420" s="304">
        <f t="shared" si="261"/>
        <v>26133.333333333358</v>
      </c>
      <c r="X420" s="307">
        <f t="shared" si="262"/>
        <v>106.94444444444446</v>
      </c>
      <c r="Z420" s="11" t="s">
        <v>192</v>
      </c>
      <c r="AA420" s="306">
        <f t="shared" ref="AA420:AB420" si="334">AA419</f>
        <v>10000000</v>
      </c>
      <c r="AB420" s="97">
        <f t="shared" si="334"/>
        <v>3.7499999999999999E-2</v>
      </c>
      <c r="AC420" s="421">
        <f t="shared" si="264"/>
        <v>1041.6666666666667</v>
      </c>
      <c r="AD420" s="304">
        <f t="shared" si="265"/>
        <v>49999.999999999978</v>
      </c>
      <c r="AE420" s="307">
        <f t="shared" si="266"/>
        <v>166.66666666666674</v>
      </c>
      <c r="AG420" s="11" t="s">
        <v>192</v>
      </c>
      <c r="AH420" s="306">
        <f t="shared" ref="AH420:AI420" si="335">AH419</f>
        <v>6000000</v>
      </c>
      <c r="AI420" s="97">
        <f t="shared" si="335"/>
        <v>3.73E-2</v>
      </c>
      <c r="AJ420" s="421">
        <f t="shared" si="268"/>
        <v>621.66666666666663</v>
      </c>
      <c r="AK420" s="304">
        <f t="shared" si="269"/>
        <v>1243.3333333333333</v>
      </c>
      <c r="AL420" s="307">
        <f t="shared" si="270"/>
        <v>96.666666666666629</v>
      </c>
      <c r="AN420" s="304">
        <f>'codeis $'!AB420</f>
        <v>0</v>
      </c>
      <c r="AO420" s="340">
        <f>'codeis $'!AH420</f>
        <v>0</v>
      </c>
      <c r="AP420" s="304">
        <f>'codeis $'!AE420</f>
        <v>0</v>
      </c>
      <c r="AQ420" s="304">
        <f>'codeis $'!AK420</f>
        <v>0</v>
      </c>
      <c r="AR420" s="9"/>
      <c r="AS420" s="9"/>
      <c r="AT420" s="123"/>
      <c r="AU420" s="123"/>
      <c r="AV420" s="123"/>
      <c r="AW420" s="123"/>
      <c r="AX420" s="123"/>
      <c r="AY420" s="123"/>
      <c r="AZ420" s="123"/>
      <c r="BA420" s="123"/>
      <c r="BC420" s="124">
        <f>'MM $'!G420</f>
        <v>0</v>
      </c>
      <c r="BD420" s="139">
        <f>'MM $'!H420</f>
        <v>0</v>
      </c>
      <c r="BE420" s="431">
        <f>'MM $'!I420</f>
        <v>0</v>
      </c>
      <c r="BF420" s="124">
        <f>'MM $'!L420</f>
        <v>0</v>
      </c>
      <c r="BH420" s="124">
        <f>'MM $'!N420</f>
        <v>0</v>
      </c>
      <c r="BI420" s="139">
        <f>'MM $'!P420</f>
        <v>0</v>
      </c>
      <c r="BJ420" s="431">
        <f>'MM $'!Q420</f>
        <v>0</v>
      </c>
      <c r="BK420" s="124">
        <f>'MM $'!U420</f>
        <v>0</v>
      </c>
      <c r="BM420" s="124">
        <f>'MM $'!W420</f>
        <v>0</v>
      </c>
      <c r="BN420" s="139">
        <f>'MM $'!X420</f>
        <v>0</v>
      </c>
      <c r="BO420" s="431">
        <f>'MM $'!Y420</f>
        <v>0</v>
      </c>
      <c r="BP420" s="124">
        <f>'MM $'!AB420</f>
        <v>0</v>
      </c>
      <c r="BR420" s="124">
        <f>'MM $'!AD420</f>
        <v>0</v>
      </c>
      <c r="BS420" s="139">
        <f>'MM $'!AE420</f>
        <v>0</v>
      </c>
      <c r="BT420" s="431">
        <f>'MM $'!AF420</f>
        <v>0</v>
      </c>
      <c r="BU420" s="124">
        <f>'MM $'!AB420</f>
        <v>0</v>
      </c>
      <c r="BV420" s="439"/>
      <c r="BW420" s="120">
        <f t="shared" si="271"/>
        <v>21190000</v>
      </c>
      <c r="BX420" s="121">
        <f t="shared" si="185"/>
        <v>3.5000000000000003E-2</v>
      </c>
      <c r="BY420" s="121">
        <f t="shared" si="186"/>
        <v>3.7790703161868805E-2</v>
      </c>
      <c r="BZ420" s="120">
        <f t="shared" si="272"/>
        <v>2224.4027777777778</v>
      </c>
      <c r="CA420" s="120">
        <f t="shared" si="273"/>
        <v>370.27777777777783</v>
      </c>
    </row>
    <row r="421" spans="2:79" x14ac:dyDescent="0.25">
      <c r="B421" s="123" t="str">
        <f t="shared" si="249"/>
        <v>2 2026</v>
      </c>
      <c r="C421" s="122">
        <f t="shared" si="250"/>
        <v>46070</v>
      </c>
      <c r="D421" s="122">
        <f t="shared" si="190"/>
        <v>46071</v>
      </c>
      <c r="E421" s="123">
        <f t="shared" si="251"/>
        <v>1</v>
      </c>
      <c r="F421" s="123" t="s">
        <v>7</v>
      </c>
      <c r="G421" s="124">
        <f t="shared" ref="G421:H421" si="336">G420</f>
        <v>190000</v>
      </c>
      <c r="H421" s="125">
        <f t="shared" si="336"/>
        <v>3.15E-2</v>
      </c>
      <c r="I421" s="124">
        <f t="shared" si="253"/>
        <v>16.625</v>
      </c>
      <c r="J421" s="124">
        <f t="shared" si="254"/>
        <v>5698.875</v>
      </c>
      <c r="K421" s="9"/>
      <c r="L421" s="11"/>
      <c r="M421" s="306"/>
      <c r="N421" s="97"/>
      <c r="O421" s="421"/>
      <c r="P421" s="304"/>
      <c r="Q421" s="307"/>
      <c r="S421" s="11" t="s">
        <v>192</v>
      </c>
      <c r="T421" s="306">
        <f t="shared" ref="T421:U421" si="337">T420</f>
        <v>5000000</v>
      </c>
      <c r="U421" s="97">
        <f t="shared" si="337"/>
        <v>3.9199999999999999E-2</v>
      </c>
      <c r="V421" s="421">
        <f t="shared" si="260"/>
        <v>544.44444444444446</v>
      </c>
      <c r="W421" s="304">
        <f t="shared" si="261"/>
        <v>26677.777777777803</v>
      </c>
      <c r="X421" s="307">
        <f t="shared" si="262"/>
        <v>106.94444444444446</v>
      </c>
      <c r="Z421" s="11" t="s">
        <v>192</v>
      </c>
      <c r="AA421" s="306">
        <f t="shared" ref="AA421:AB421" si="338">AA420</f>
        <v>10000000</v>
      </c>
      <c r="AB421" s="97">
        <f t="shared" si="338"/>
        <v>3.7499999999999999E-2</v>
      </c>
      <c r="AC421" s="421">
        <f t="shared" si="264"/>
        <v>1041.6666666666667</v>
      </c>
      <c r="AD421" s="304">
        <f t="shared" si="265"/>
        <v>51041.666666666642</v>
      </c>
      <c r="AE421" s="307">
        <f t="shared" si="266"/>
        <v>166.66666666666674</v>
      </c>
      <c r="AG421" s="11" t="s">
        <v>192</v>
      </c>
      <c r="AH421" s="306">
        <f t="shared" ref="AH421:AI421" si="339">AH420</f>
        <v>6000000</v>
      </c>
      <c r="AI421" s="97">
        <f t="shared" si="339"/>
        <v>3.73E-2</v>
      </c>
      <c r="AJ421" s="421">
        <f t="shared" si="268"/>
        <v>621.66666666666663</v>
      </c>
      <c r="AK421" s="304">
        <f t="shared" si="269"/>
        <v>1243.3333333333333</v>
      </c>
      <c r="AL421" s="307">
        <f t="shared" si="270"/>
        <v>96.666666666666629</v>
      </c>
      <c r="AN421" s="304">
        <f>'codeis $'!AB421</f>
        <v>0</v>
      </c>
      <c r="AO421" s="340">
        <f>'codeis $'!AH421</f>
        <v>0</v>
      </c>
      <c r="AP421" s="304">
        <f>'codeis $'!AE421</f>
        <v>0</v>
      </c>
      <c r="AQ421" s="304">
        <f>'codeis $'!AK421</f>
        <v>0</v>
      </c>
      <c r="AR421" s="9"/>
      <c r="AS421" s="9"/>
      <c r="AT421" s="123"/>
      <c r="AU421" s="123"/>
      <c r="AV421" s="123"/>
      <c r="AW421" s="123"/>
      <c r="AX421" s="123"/>
      <c r="AY421" s="123"/>
      <c r="AZ421" s="123"/>
      <c r="BA421" s="123"/>
      <c r="BC421" s="124">
        <f>'MM $'!G421</f>
        <v>0</v>
      </c>
      <c r="BD421" s="139">
        <f>'MM $'!H421</f>
        <v>0</v>
      </c>
      <c r="BE421" s="431">
        <f>'MM $'!I421</f>
        <v>0</v>
      </c>
      <c r="BF421" s="124">
        <f>'MM $'!L421</f>
        <v>0</v>
      </c>
      <c r="BH421" s="124">
        <f>'MM $'!N421</f>
        <v>0</v>
      </c>
      <c r="BI421" s="139">
        <f>'MM $'!P421</f>
        <v>0</v>
      </c>
      <c r="BJ421" s="431">
        <f>'MM $'!Q421</f>
        <v>0</v>
      </c>
      <c r="BK421" s="124">
        <f>'MM $'!U421</f>
        <v>0</v>
      </c>
      <c r="BM421" s="124">
        <f>'MM $'!W421</f>
        <v>0</v>
      </c>
      <c r="BN421" s="139">
        <f>'MM $'!X421</f>
        <v>0</v>
      </c>
      <c r="BO421" s="431">
        <f>'MM $'!Y421</f>
        <v>0</v>
      </c>
      <c r="BP421" s="124">
        <f>'MM $'!AB421</f>
        <v>0</v>
      </c>
      <c r="BR421" s="124">
        <f>'MM $'!AD421</f>
        <v>0</v>
      </c>
      <c r="BS421" s="139">
        <f>'MM $'!AE421</f>
        <v>0</v>
      </c>
      <c r="BT421" s="431">
        <f>'MM $'!AF421</f>
        <v>0</v>
      </c>
      <c r="BU421" s="124">
        <f>'MM $'!AB421</f>
        <v>0</v>
      </c>
      <c r="BV421" s="439"/>
      <c r="BW421" s="120">
        <f t="shared" si="271"/>
        <v>21190000</v>
      </c>
      <c r="BX421" s="121">
        <f t="shared" si="185"/>
        <v>3.5000000000000003E-2</v>
      </c>
      <c r="BY421" s="121">
        <f t="shared" si="186"/>
        <v>3.7790703161868805E-2</v>
      </c>
      <c r="BZ421" s="120">
        <f t="shared" si="272"/>
        <v>2224.4027777777778</v>
      </c>
      <c r="CA421" s="120">
        <f t="shared" si="273"/>
        <v>370.27777777777783</v>
      </c>
    </row>
    <row r="422" spans="2:79" x14ac:dyDescent="0.25">
      <c r="B422" s="123" t="str">
        <f t="shared" si="249"/>
        <v>2 2026</v>
      </c>
      <c r="C422" s="122">
        <f t="shared" si="250"/>
        <v>46071</v>
      </c>
      <c r="D422" s="122">
        <f t="shared" si="190"/>
        <v>46072</v>
      </c>
      <c r="E422" s="123">
        <f t="shared" si="251"/>
        <v>1</v>
      </c>
      <c r="F422" s="123" t="s">
        <v>7</v>
      </c>
      <c r="G422" s="124">
        <f t="shared" ref="G422:H422" si="340">G421</f>
        <v>190000</v>
      </c>
      <c r="H422" s="125">
        <f t="shared" si="340"/>
        <v>3.15E-2</v>
      </c>
      <c r="I422" s="124">
        <f t="shared" si="253"/>
        <v>16.625</v>
      </c>
      <c r="J422" s="124">
        <f t="shared" si="254"/>
        <v>5715.5</v>
      </c>
      <c r="K422" s="9"/>
      <c r="L422" s="11"/>
      <c r="M422" s="306"/>
      <c r="N422" s="97"/>
      <c r="O422" s="421"/>
      <c r="P422" s="304"/>
      <c r="Q422" s="307"/>
      <c r="S422" s="11" t="s">
        <v>192</v>
      </c>
      <c r="T422" s="306">
        <f t="shared" ref="T422:U422" si="341">T421</f>
        <v>5000000</v>
      </c>
      <c r="U422" s="97">
        <f t="shared" si="341"/>
        <v>3.9199999999999999E-2</v>
      </c>
      <c r="V422" s="421">
        <f t="shared" si="260"/>
        <v>544.44444444444446</v>
      </c>
      <c r="W422" s="304">
        <f t="shared" si="261"/>
        <v>27222.222222222248</v>
      </c>
      <c r="X422" s="307">
        <f t="shared" si="262"/>
        <v>106.94444444444446</v>
      </c>
      <c r="Z422" s="11" t="s">
        <v>192</v>
      </c>
      <c r="AA422" s="306">
        <f t="shared" ref="AA422:AB422" si="342">AA421</f>
        <v>10000000</v>
      </c>
      <c r="AB422" s="97">
        <f t="shared" si="342"/>
        <v>3.7499999999999999E-2</v>
      </c>
      <c r="AC422" s="421">
        <f t="shared" si="264"/>
        <v>1041.6666666666667</v>
      </c>
      <c r="AD422" s="304">
        <f t="shared" si="265"/>
        <v>52083.333333333307</v>
      </c>
      <c r="AE422" s="307">
        <f t="shared" si="266"/>
        <v>166.66666666666674</v>
      </c>
      <c r="AG422" s="11" t="s">
        <v>192</v>
      </c>
      <c r="AH422" s="306">
        <f t="shared" ref="AH422:AI422" si="343">AH421</f>
        <v>6000000</v>
      </c>
      <c r="AI422" s="97">
        <f t="shared" si="343"/>
        <v>3.73E-2</v>
      </c>
      <c r="AJ422" s="421">
        <f t="shared" si="268"/>
        <v>621.66666666666663</v>
      </c>
      <c r="AK422" s="304">
        <f t="shared" si="269"/>
        <v>1243.3333333333333</v>
      </c>
      <c r="AL422" s="307">
        <f t="shared" si="270"/>
        <v>96.666666666666629</v>
      </c>
      <c r="AN422" s="304">
        <f>'codeis $'!AB422</f>
        <v>0</v>
      </c>
      <c r="AO422" s="340">
        <f>'codeis $'!AH422</f>
        <v>0</v>
      </c>
      <c r="AP422" s="304">
        <f>'codeis $'!AE422</f>
        <v>0</v>
      </c>
      <c r="AQ422" s="304">
        <f>'codeis $'!AK422</f>
        <v>0</v>
      </c>
      <c r="AR422" s="9"/>
      <c r="AS422" s="9"/>
      <c r="AT422" s="123"/>
      <c r="AU422" s="123"/>
      <c r="AV422" s="123"/>
      <c r="AW422" s="123"/>
      <c r="AX422" s="123"/>
      <c r="AY422" s="123"/>
      <c r="AZ422" s="123"/>
      <c r="BA422" s="123"/>
      <c r="BC422" s="124">
        <f>'MM $'!G422</f>
        <v>0</v>
      </c>
      <c r="BD422" s="139">
        <f>'MM $'!H422</f>
        <v>0</v>
      </c>
      <c r="BE422" s="431">
        <f>'MM $'!I422</f>
        <v>0</v>
      </c>
      <c r="BF422" s="124">
        <f>'MM $'!L422</f>
        <v>0</v>
      </c>
      <c r="BH422" s="124">
        <f>'MM $'!N422</f>
        <v>0</v>
      </c>
      <c r="BI422" s="139">
        <f>'MM $'!P422</f>
        <v>0</v>
      </c>
      <c r="BJ422" s="431">
        <f>'MM $'!Q422</f>
        <v>0</v>
      </c>
      <c r="BK422" s="124">
        <f>'MM $'!U422</f>
        <v>0</v>
      </c>
      <c r="BM422" s="124">
        <f>'MM $'!W422</f>
        <v>0</v>
      </c>
      <c r="BN422" s="139">
        <f>'MM $'!X422</f>
        <v>0</v>
      </c>
      <c r="BO422" s="431">
        <f>'MM $'!Y422</f>
        <v>0</v>
      </c>
      <c r="BP422" s="124">
        <f>'MM $'!AB422</f>
        <v>0</v>
      </c>
      <c r="BR422" s="124">
        <f>'MM $'!AD422</f>
        <v>0</v>
      </c>
      <c r="BS422" s="139">
        <f>'MM $'!AE422</f>
        <v>0</v>
      </c>
      <c r="BT422" s="431">
        <f>'MM $'!AF422</f>
        <v>0</v>
      </c>
      <c r="BU422" s="124">
        <f>'MM $'!AB422</f>
        <v>0</v>
      </c>
      <c r="BV422" s="439"/>
      <c r="BW422" s="120">
        <f t="shared" si="271"/>
        <v>21190000</v>
      </c>
      <c r="BX422" s="121">
        <f t="shared" si="185"/>
        <v>3.5000000000000003E-2</v>
      </c>
      <c r="BY422" s="121">
        <f t="shared" si="186"/>
        <v>3.7790703161868805E-2</v>
      </c>
      <c r="BZ422" s="120">
        <f t="shared" si="272"/>
        <v>2224.4027777777778</v>
      </c>
      <c r="CA422" s="120">
        <f t="shared" si="273"/>
        <v>370.27777777777783</v>
      </c>
    </row>
    <row r="423" spans="2:79" x14ac:dyDescent="0.25">
      <c r="B423" s="123" t="str">
        <f t="shared" si="249"/>
        <v>2 2026</v>
      </c>
      <c r="C423" s="122">
        <f t="shared" si="250"/>
        <v>46072</v>
      </c>
      <c r="D423" s="122">
        <f t="shared" si="190"/>
        <v>46073</v>
      </c>
      <c r="E423" s="123">
        <f t="shared" si="251"/>
        <v>1</v>
      </c>
      <c r="F423" s="123" t="s">
        <v>7</v>
      </c>
      <c r="G423" s="124">
        <f t="shared" ref="G423:H423" si="344">G422</f>
        <v>190000</v>
      </c>
      <c r="H423" s="125">
        <f t="shared" si="344"/>
        <v>3.15E-2</v>
      </c>
      <c r="I423" s="124">
        <f t="shared" si="253"/>
        <v>16.625</v>
      </c>
      <c r="J423" s="124">
        <f t="shared" si="254"/>
        <v>5732.125</v>
      </c>
      <c r="K423" s="9"/>
      <c r="L423" s="11"/>
      <c r="M423" s="306"/>
      <c r="N423" s="97"/>
      <c r="O423" s="421"/>
      <c r="P423" s="304"/>
      <c r="Q423" s="307"/>
      <c r="S423" s="11" t="s">
        <v>192</v>
      </c>
      <c r="T423" s="306">
        <f t="shared" ref="T423:U423" si="345">T422</f>
        <v>5000000</v>
      </c>
      <c r="U423" s="97">
        <f t="shared" si="345"/>
        <v>3.9199999999999999E-2</v>
      </c>
      <c r="V423" s="421">
        <f t="shared" si="260"/>
        <v>544.44444444444446</v>
      </c>
      <c r="W423" s="304">
        <f t="shared" si="261"/>
        <v>27766.666666666693</v>
      </c>
      <c r="X423" s="307">
        <f t="shared" si="262"/>
        <v>106.94444444444446</v>
      </c>
      <c r="Z423" s="11" t="s">
        <v>192</v>
      </c>
      <c r="AA423" s="306">
        <f t="shared" ref="AA423:AB423" si="346">AA422</f>
        <v>10000000</v>
      </c>
      <c r="AB423" s="97">
        <f t="shared" si="346"/>
        <v>3.7499999999999999E-2</v>
      </c>
      <c r="AC423" s="421">
        <f t="shared" si="264"/>
        <v>1041.6666666666667</v>
      </c>
      <c r="AD423" s="304">
        <f t="shared" si="265"/>
        <v>53124.999999999971</v>
      </c>
      <c r="AE423" s="307">
        <f t="shared" si="266"/>
        <v>166.66666666666674</v>
      </c>
      <c r="AG423" s="11" t="s">
        <v>192</v>
      </c>
      <c r="AH423" s="306">
        <f t="shared" ref="AH423:AI423" si="347">AH422</f>
        <v>6000000</v>
      </c>
      <c r="AI423" s="97">
        <f t="shared" si="347"/>
        <v>3.73E-2</v>
      </c>
      <c r="AJ423" s="421">
        <f t="shared" si="268"/>
        <v>621.66666666666663</v>
      </c>
      <c r="AK423" s="304">
        <f t="shared" si="269"/>
        <v>1243.3333333333333</v>
      </c>
      <c r="AL423" s="307">
        <f t="shared" si="270"/>
        <v>96.666666666666629</v>
      </c>
      <c r="AN423" s="304">
        <f>'codeis $'!AB423</f>
        <v>0</v>
      </c>
      <c r="AO423" s="340">
        <f>'codeis $'!AH423</f>
        <v>0</v>
      </c>
      <c r="AP423" s="304">
        <f>'codeis $'!AE423</f>
        <v>0</v>
      </c>
      <c r="AQ423" s="304">
        <f>'codeis $'!AK423</f>
        <v>0</v>
      </c>
      <c r="AR423" s="9"/>
      <c r="AS423" s="9"/>
      <c r="AT423" s="123"/>
      <c r="AU423" s="123"/>
      <c r="AV423" s="123"/>
      <c r="AW423" s="123"/>
      <c r="AX423" s="123"/>
      <c r="AY423" s="123"/>
      <c r="AZ423" s="123"/>
      <c r="BA423" s="123"/>
      <c r="BC423" s="124">
        <f>'MM $'!G423</f>
        <v>0</v>
      </c>
      <c r="BD423" s="139">
        <f>'MM $'!H423</f>
        <v>0</v>
      </c>
      <c r="BE423" s="431">
        <f>'MM $'!I423</f>
        <v>0</v>
      </c>
      <c r="BF423" s="124">
        <f>'MM $'!L423</f>
        <v>0</v>
      </c>
      <c r="BH423" s="124">
        <f>'MM $'!N423</f>
        <v>0</v>
      </c>
      <c r="BI423" s="139">
        <f>'MM $'!P423</f>
        <v>0</v>
      </c>
      <c r="BJ423" s="431">
        <f>'MM $'!Q423</f>
        <v>0</v>
      </c>
      <c r="BK423" s="124">
        <f>'MM $'!U423</f>
        <v>0</v>
      </c>
      <c r="BM423" s="124">
        <f>'MM $'!W423</f>
        <v>0</v>
      </c>
      <c r="BN423" s="139">
        <f>'MM $'!X423</f>
        <v>0</v>
      </c>
      <c r="BO423" s="431">
        <f>'MM $'!Y423</f>
        <v>0</v>
      </c>
      <c r="BP423" s="124">
        <f>'MM $'!AB423</f>
        <v>0</v>
      </c>
      <c r="BR423" s="124">
        <f>'MM $'!AD423</f>
        <v>0</v>
      </c>
      <c r="BS423" s="139">
        <f>'MM $'!AE423</f>
        <v>0</v>
      </c>
      <c r="BT423" s="431">
        <f>'MM $'!AF423</f>
        <v>0</v>
      </c>
      <c r="BU423" s="124">
        <f>'MM $'!AB423</f>
        <v>0</v>
      </c>
      <c r="BV423" s="439"/>
      <c r="BW423" s="120">
        <f t="shared" si="271"/>
        <v>21190000</v>
      </c>
      <c r="BX423" s="121">
        <f t="shared" si="185"/>
        <v>3.5000000000000003E-2</v>
      </c>
      <c r="BY423" s="121">
        <f t="shared" si="186"/>
        <v>3.7790703161868805E-2</v>
      </c>
      <c r="BZ423" s="120">
        <f t="shared" si="272"/>
        <v>2224.4027777777778</v>
      </c>
      <c r="CA423" s="120">
        <f t="shared" si="273"/>
        <v>370.27777777777783</v>
      </c>
    </row>
    <row r="424" spans="2:79" x14ac:dyDescent="0.25">
      <c r="B424" s="123" t="str">
        <f t="shared" si="249"/>
        <v>2 2026</v>
      </c>
      <c r="C424" s="122">
        <f t="shared" si="250"/>
        <v>46073</v>
      </c>
      <c r="D424" s="122">
        <f t="shared" si="190"/>
        <v>46074</v>
      </c>
      <c r="E424" s="123">
        <f t="shared" si="251"/>
        <v>1</v>
      </c>
      <c r="F424" s="123" t="s">
        <v>7</v>
      </c>
      <c r="G424" s="124">
        <f t="shared" ref="G424:H424" si="348">G423</f>
        <v>190000</v>
      </c>
      <c r="H424" s="125">
        <f t="shared" si="348"/>
        <v>3.15E-2</v>
      </c>
      <c r="I424" s="124">
        <f t="shared" si="253"/>
        <v>16.625</v>
      </c>
      <c r="J424" s="124">
        <f t="shared" si="254"/>
        <v>5748.75</v>
      </c>
      <c r="K424" s="9"/>
      <c r="L424" s="11"/>
      <c r="M424" s="306"/>
      <c r="N424" s="97"/>
      <c r="O424" s="421"/>
      <c r="P424" s="304"/>
      <c r="Q424" s="307"/>
      <c r="S424" s="11" t="s">
        <v>192</v>
      </c>
      <c r="T424" s="306">
        <f t="shared" ref="T424:U424" si="349">T423</f>
        <v>5000000</v>
      </c>
      <c r="U424" s="97">
        <f t="shared" si="349"/>
        <v>3.9199999999999999E-2</v>
      </c>
      <c r="V424" s="421">
        <f t="shared" si="260"/>
        <v>544.44444444444446</v>
      </c>
      <c r="W424" s="304">
        <f t="shared" si="261"/>
        <v>28311.111111111139</v>
      </c>
      <c r="X424" s="307">
        <f t="shared" si="262"/>
        <v>106.94444444444446</v>
      </c>
      <c r="Z424" s="11" t="s">
        <v>192</v>
      </c>
      <c r="AA424" s="306">
        <f t="shared" ref="AA424:AB424" si="350">AA423</f>
        <v>10000000</v>
      </c>
      <c r="AB424" s="97">
        <f t="shared" si="350"/>
        <v>3.7499999999999999E-2</v>
      </c>
      <c r="AC424" s="421">
        <f t="shared" si="264"/>
        <v>1041.6666666666667</v>
      </c>
      <c r="AD424" s="304">
        <f t="shared" si="265"/>
        <v>54166.666666666635</v>
      </c>
      <c r="AE424" s="307">
        <f t="shared" si="266"/>
        <v>166.66666666666674</v>
      </c>
      <c r="AG424" s="11" t="s">
        <v>192</v>
      </c>
      <c r="AH424" s="306">
        <f t="shared" ref="AH424:AI424" si="351">AH423</f>
        <v>6000000</v>
      </c>
      <c r="AI424" s="97">
        <f t="shared" si="351"/>
        <v>3.73E-2</v>
      </c>
      <c r="AJ424" s="421">
        <f t="shared" si="268"/>
        <v>621.66666666666663</v>
      </c>
      <c r="AK424" s="304">
        <f t="shared" si="269"/>
        <v>1243.3333333333333</v>
      </c>
      <c r="AL424" s="307">
        <f t="shared" si="270"/>
        <v>96.666666666666629</v>
      </c>
      <c r="AN424" s="304">
        <f>'codeis $'!AB424</f>
        <v>0</v>
      </c>
      <c r="AO424" s="340">
        <f>'codeis $'!AH424</f>
        <v>0</v>
      </c>
      <c r="AP424" s="304">
        <f>'codeis $'!AE424</f>
        <v>0</v>
      </c>
      <c r="AQ424" s="304">
        <f>'codeis $'!AK424</f>
        <v>0</v>
      </c>
      <c r="AR424" s="9"/>
      <c r="AS424" s="9"/>
      <c r="AT424" s="123"/>
      <c r="AU424" s="123"/>
      <c r="AV424" s="123"/>
      <c r="AW424" s="123"/>
      <c r="AX424" s="123"/>
      <c r="AY424" s="123"/>
      <c r="AZ424" s="123"/>
      <c r="BA424" s="123"/>
      <c r="BC424" s="124">
        <f>'MM $'!G424</f>
        <v>0</v>
      </c>
      <c r="BD424" s="139">
        <f>'MM $'!H424</f>
        <v>0</v>
      </c>
      <c r="BE424" s="431">
        <f>'MM $'!I424</f>
        <v>0</v>
      </c>
      <c r="BF424" s="124">
        <f>'MM $'!L424</f>
        <v>0</v>
      </c>
      <c r="BH424" s="124">
        <f>'MM $'!N424</f>
        <v>0</v>
      </c>
      <c r="BI424" s="139">
        <f>'MM $'!P424</f>
        <v>0</v>
      </c>
      <c r="BJ424" s="431">
        <f>'MM $'!Q424</f>
        <v>0</v>
      </c>
      <c r="BK424" s="124">
        <f>'MM $'!U424</f>
        <v>0</v>
      </c>
      <c r="BM424" s="124">
        <f>'MM $'!W424</f>
        <v>0</v>
      </c>
      <c r="BN424" s="139">
        <f>'MM $'!X424</f>
        <v>0</v>
      </c>
      <c r="BO424" s="431">
        <f>'MM $'!Y424</f>
        <v>0</v>
      </c>
      <c r="BP424" s="124">
        <f>'MM $'!AB424</f>
        <v>0</v>
      </c>
      <c r="BR424" s="124">
        <f>'MM $'!AD424</f>
        <v>0</v>
      </c>
      <c r="BS424" s="139">
        <f>'MM $'!AE424</f>
        <v>0</v>
      </c>
      <c r="BT424" s="431">
        <f>'MM $'!AF424</f>
        <v>0</v>
      </c>
      <c r="BU424" s="124">
        <f>'MM $'!AB424</f>
        <v>0</v>
      </c>
      <c r="BV424" s="439"/>
      <c r="BW424" s="120">
        <f t="shared" si="271"/>
        <v>21190000</v>
      </c>
      <c r="BX424" s="121">
        <f t="shared" si="185"/>
        <v>3.5000000000000003E-2</v>
      </c>
      <c r="BY424" s="121">
        <f t="shared" si="186"/>
        <v>3.7790703161868805E-2</v>
      </c>
      <c r="BZ424" s="120">
        <f t="shared" si="272"/>
        <v>2224.4027777777778</v>
      </c>
      <c r="CA424" s="120">
        <f t="shared" si="273"/>
        <v>370.27777777777783</v>
      </c>
    </row>
    <row r="425" spans="2:79" x14ac:dyDescent="0.25">
      <c r="B425" s="123" t="str">
        <f t="shared" si="249"/>
        <v>2 2026</v>
      </c>
      <c r="C425" s="122">
        <f t="shared" si="250"/>
        <v>46074</v>
      </c>
      <c r="D425" s="122">
        <f t="shared" si="190"/>
        <v>46075</v>
      </c>
      <c r="E425" s="123">
        <f t="shared" si="251"/>
        <v>1</v>
      </c>
      <c r="F425" s="123" t="s">
        <v>7</v>
      </c>
      <c r="G425" s="124">
        <f t="shared" ref="G425:H425" si="352">G424</f>
        <v>190000</v>
      </c>
      <c r="H425" s="125">
        <f t="shared" si="352"/>
        <v>3.15E-2</v>
      </c>
      <c r="I425" s="124">
        <f t="shared" si="253"/>
        <v>16.625</v>
      </c>
      <c r="J425" s="124">
        <f t="shared" si="254"/>
        <v>5765.375</v>
      </c>
      <c r="K425" s="9"/>
      <c r="L425" s="11"/>
      <c r="M425" s="306"/>
      <c r="N425" s="97"/>
      <c r="O425" s="421"/>
      <c r="P425" s="304"/>
      <c r="Q425" s="307"/>
      <c r="S425" s="11" t="s">
        <v>192</v>
      </c>
      <c r="T425" s="306">
        <f t="shared" ref="T425:U425" si="353">T424</f>
        <v>5000000</v>
      </c>
      <c r="U425" s="97">
        <f t="shared" si="353"/>
        <v>3.9199999999999999E-2</v>
      </c>
      <c r="V425" s="421">
        <f t="shared" si="260"/>
        <v>544.44444444444446</v>
      </c>
      <c r="W425" s="304">
        <f t="shared" si="261"/>
        <v>28855.555555555584</v>
      </c>
      <c r="X425" s="307">
        <f t="shared" si="262"/>
        <v>106.94444444444446</v>
      </c>
      <c r="Z425" s="11" t="s">
        <v>192</v>
      </c>
      <c r="AA425" s="306">
        <f t="shared" ref="AA425:AB425" si="354">AA424</f>
        <v>10000000</v>
      </c>
      <c r="AB425" s="97">
        <f t="shared" si="354"/>
        <v>3.7499999999999999E-2</v>
      </c>
      <c r="AC425" s="421">
        <f t="shared" si="264"/>
        <v>1041.6666666666667</v>
      </c>
      <c r="AD425" s="304">
        <f t="shared" si="265"/>
        <v>55208.333333333299</v>
      </c>
      <c r="AE425" s="307">
        <f t="shared" si="266"/>
        <v>166.66666666666674</v>
      </c>
      <c r="AG425" s="11" t="s">
        <v>192</v>
      </c>
      <c r="AH425" s="306">
        <f t="shared" ref="AH425:AI425" si="355">AH424</f>
        <v>6000000</v>
      </c>
      <c r="AI425" s="97">
        <f t="shared" si="355"/>
        <v>3.73E-2</v>
      </c>
      <c r="AJ425" s="421">
        <f t="shared" si="268"/>
        <v>621.66666666666663</v>
      </c>
      <c r="AK425" s="304">
        <f t="shared" si="269"/>
        <v>1243.3333333333333</v>
      </c>
      <c r="AL425" s="307">
        <f t="shared" si="270"/>
        <v>96.666666666666629</v>
      </c>
      <c r="AN425" s="304">
        <f>'codeis $'!AB425</f>
        <v>0</v>
      </c>
      <c r="AO425" s="340">
        <f>'codeis $'!AH425</f>
        <v>0</v>
      </c>
      <c r="AP425" s="304">
        <f>'codeis $'!AE425</f>
        <v>0</v>
      </c>
      <c r="AQ425" s="304">
        <f>'codeis $'!AK425</f>
        <v>0</v>
      </c>
      <c r="AR425" s="9"/>
      <c r="AS425" s="9"/>
      <c r="AT425" s="123"/>
      <c r="AU425" s="123"/>
      <c r="AV425" s="123"/>
      <c r="AW425" s="123"/>
      <c r="AX425" s="123"/>
      <c r="AY425" s="123"/>
      <c r="AZ425" s="123"/>
      <c r="BA425" s="123"/>
      <c r="BC425" s="124">
        <f>'MM $'!G425</f>
        <v>0</v>
      </c>
      <c r="BD425" s="139">
        <f>'MM $'!H425</f>
        <v>0</v>
      </c>
      <c r="BE425" s="431">
        <f>'MM $'!I425</f>
        <v>0</v>
      </c>
      <c r="BF425" s="124">
        <f>'MM $'!L425</f>
        <v>0</v>
      </c>
      <c r="BH425" s="124">
        <f>'MM $'!N425</f>
        <v>0</v>
      </c>
      <c r="BI425" s="139">
        <f>'MM $'!P425</f>
        <v>0</v>
      </c>
      <c r="BJ425" s="431">
        <f>'MM $'!Q425</f>
        <v>0</v>
      </c>
      <c r="BK425" s="124">
        <f>'MM $'!U425</f>
        <v>0</v>
      </c>
      <c r="BM425" s="124">
        <f>'MM $'!W425</f>
        <v>0</v>
      </c>
      <c r="BN425" s="139">
        <f>'MM $'!X425</f>
        <v>0</v>
      </c>
      <c r="BO425" s="431">
        <f>'MM $'!Y425</f>
        <v>0</v>
      </c>
      <c r="BP425" s="124">
        <f>'MM $'!AB425</f>
        <v>0</v>
      </c>
      <c r="BR425" s="124">
        <f>'MM $'!AD425</f>
        <v>0</v>
      </c>
      <c r="BS425" s="139">
        <f>'MM $'!AE425</f>
        <v>0</v>
      </c>
      <c r="BT425" s="431">
        <f>'MM $'!AF425</f>
        <v>0</v>
      </c>
      <c r="BU425" s="124">
        <f>'MM $'!AB425</f>
        <v>0</v>
      </c>
      <c r="BV425" s="439"/>
      <c r="BW425" s="120">
        <f t="shared" si="271"/>
        <v>21190000</v>
      </c>
      <c r="BX425" s="121">
        <f t="shared" si="185"/>
        <v>3.5000000000000003E-2</v>
      </c>
      <c r="BY425" s="121">
        <f t="shared" si="186"/>
        <v>3.7790703161868805E-2</v>
      </c>
      <c r="BZ425" s="120">
        <f t="shared" si="272"/>
        <v>2224.4027777777778</v>
      </c>
      <c r="CA425" s="120">
        <f t="shared" si="273"/>
        <v>370.27777777777783</v>
      </c>
    </row>
    <row r="426" spans="2:79" x14ac:dyDescent="0.25">
      <c r="B426" s="123" t="str">
        <f t="shared" si="249"/>
        <v>2 2026</v>
      </c>
      <c r="C426" s="122">
        <f t="shared" si="250"/>
        <v>46075</v>
      </c>
      <c r="D426" s="122">
        <f t="shared" si="190"/>
        <v>46076</v>
      </c>
      <c r="E426" s="123">
        <f t="shared" si="251"/>
        <v>1</v>
      </c>
      <c r="F426" s="123" t="s">
        <v>7</v>
      </c>
      <c r="G426" s="124">
        <f t="shared" ref="G426:H426" si="356">G425</f>
        <v>190000</v>
      </c>
      <c r="H426" s="125">
        <f t="shared" si="356"/>
        <v>3.15E-2</v>
      </c>
      <c r="I426" s="124">
        <f t="shared" si="253"/>
        <v>16.625</v>
      </c>
      <c r="J426" s="124">
        <f t="shared" si="254"/>
        <v>5782</v>
      </c>
      <c r="K426" s="9"/>
      <c r="L426" s="11"/>
      <c r="M426" s="306"/>
      <c r="N426" s="97"/>
      <c r="O426" s="421"/>
      <c r="P426" s="304"/>
      <c r="Q426" s="307"/>
      <c r="S426" s="11" t="s">
        <v>192</v>
      </c>
      <c r="T426" s="306">
        <f t="shared" ref="T426:U426" si="357">T425</f>
        <v>5000000</v>
      </c>
      <c r="U426" s="97">
        <f t="shared" si="357"/>
        <v>3.9199999999999999E-2</v>
      </c>
      <c r="V426" s="421">
        <f t="shared" si="260"/>
        <v>544.44444444444446</v>
      </c>
      <c r="W426" s="304">
        <f t="shared" si="261"/>
        <v>29400.000000000029</v>
      </c>
      <c r="X426" s="307">
        <f t="shared" si="262"/>
        <v>106.94444444444446</v>
      </c>
      <c r="Z426" s="11" t="s">
        <v>192</v>
      </c>
      <c r="AA426" s="306">
        <f t="shared" ref="AA426:AB426" si="358">AA425</f>
        <v>10000000</v>
      </c>
      <c r="AB426" s="97">
        <f t="shared" si="358"/>
        <v>3.7499999999999999E-2</v>
      </c>
      <c r="AC426" s="421">
        <f t="shared" si="264"/>
        <v>1041.6666666666667</v>
      </c>
      <c r="AD426" s="304">
        <f t="shared" si="265"/>
        <v>56249.999999999964</v>
      </c>
      <c r="AE426" s="307">
        <f t="shared" si="266"/>
        <v>166.66666666666674</v>
      </c>
      <c r="AG426" s="11" t="s">
        <v>192</v>
      </c>
      <c r="AH426" s="306">
        <f t="shared" ref="AH426:AI426" si="359">AH425</f>
        <v>6000000</v>
      </c>
      <c r="AI426" s="97">
        <f t="shared" si="359"/>
        <v>3.73E-2</v>
      </c>
      <c r="AJ426" s="421">
        <f t="shared" si="268"/>
        <v>621.66666666666663</v>
      </c>
      <c r="AK426" s="304">
        <f t="shared" si="269"/>
        <v>1243.3333333333333</v>
      </c>
      <c r="AL426" s="307">
        <f t="shared" si="270"/>
        <v>96.666666666666629</v>
      </c>
      <c r="AN426" s="304">
        <f>'codeis $'!AB426</f>
        <v>0</v>
      </c>
      <c r="AO426" s="340">
        <f>'codeis $'!AH426</f>
        <v>0</v>
      </c>
      <c r="AP426" s="304">
        <f>'codeis $'!AE426</f>
        <v>0</v>
      </c>
      <c r="AQ426" s="304">
        <f>'codeis $'!AK426</f>
        <v>0</v>
      </c>
      <c r="AR426" s="9"/>
      <c r="AS426" s="9"/>
      <c r="AT426" s="123"/>
      <c r="AU426" s="123"/>
      <c r="AV426" s="123"/>
      <c r="AW426" s="123"/>
      <c r="AX426" s="123"/>
      <c r="AY426" s="123"/>
      <c r="AZ426" s="123"/>
      <c r="BA426" s="123"/>
      <c r="BC426" s="124">
        <f>'MM $'!G426</f>
        <v>0</v>
      </c>
      <c r="BD426" s="139">
        <f>'MM $'!H426</f>
        <v>0</v>
      </c>
      <c r="BE426" s="431">
        <f>'MM $'!I426</f>
        <v>0</v>
      </c>
      <c r="BF426" s="124">
        <f>'MM $'!L426</f>
        <v>0</v>
      </c>
      <c r="BH426" s="124">
        <f>'MM $'!N426</f>
        <v>0</v>
      </c>
      <c r="BI426" s="139">
        <f>'MM $'!P426</f>
        <v>0</v>
      </c>
      <c r="BJ426" s="431">
        <f>'MM $'!Q426</f>
        <v>0</v>
      </c>
      <c r="BK426" s="124">
        <f>'MM $'!U426</f>
        <v>0</v>
      </c>
      <c r="BM426" s="124">
        <f>'MM $'!W426</f>
        <v>0</v>
      </c>
      <c r="BN426" s="139">
        <f>'MM $'!X426</f>
        <v>0</v>
      </c>
      <c r="BO426" s="431">
        <f>'MM $'!Y426</f>
        <v>0</v>
      </c>
      <c r="BP426" s="124">
        <f>'MM $'!AB426</f>
        <v>0</v>
      </c>
      <c r="BR426" s="124">
        <f>'MM $'!AD426</f>
        <v>0</v>
      </c>
      <c r="BS426" s="139">
        <f>'MM $'!AE426</f>
        <v>0</v>
      </c>
      <c r="BT426" s="431">
        <f>'MM $'!AF426</f>
        <v>0</v>
      </c>
      <c r="BU426" s="124">
        <f>'MM $'!AB426</f>
        <v>0</v>
      </c>
      <c r="BV426" s="439"/>
      <c r="BW426" s="120">
        <f t="shared" si="271"/>
        <v>21190000</v>
      </c>
      <c r="BX426" s="121">
        <f t="shared" si="185"/>
        <v>3.5000000000000003E-2</v>
      </c>
      <c r="BY426" s="121">
        <f t="shared" si="186"/>
        <v>3.7790703161868805E-2</v>
      </c>
      <c r="BZ426" s="120">
        <f t="shared" si="272"/>
        <v>2224.4027777777778</v>
      </c>
      <c r="CA426" s="120">
        <f t="shared" si="273"/>
        <v>370.27777777777783</v>
      </c>
    </row>
    <row r="427" spans="2:79" x14ac:dyDescent="0.25">
      <c r="B427" s="123" t="str">
        <f t="shared" si="249"/>
        <v>2 2026</v>
      </c>
      <c r="C427" s="122">
        <f t="shared" si="250"/>
        <v>46076</v>
      </c>
      <c r="D427" s="122">
        <f t="shared" si="190"/>
        <v>46077</v>
      </c>
      <c r="E427" s="123">
        <f t="shared" si="251"/>
        <v>1</v>
      </c>
      <c r="F427" s="123" t="s">
        <v>7</v>
      </c>
      <c r="G427" s="124">
        <f t="shared" ref="G427:H427" si="360">G426</f>
        <v>190000</v>
      </c>
      <c r="H427" s="125">
        <f t="shared" si="360"/>
        <v>3.15E-2</v>
      </c>
      <c r="I427" s="124">
        <f t="shared" si="253"/>
        <v>16.625</v>
      </c>
      <c r="J427" s="124">
        <f t="shared" si="254"/>
        <v>5798.625</v>
      </c>
      <c r="K427" s="9"/>
      <c r="L427" s="11"/>
      <c r="M427" s="306"/>
      <c r="N427" s="97"/>
      <c r="O427" s="421"/>
      <c r="P427" s="304"/>
      <c r="Q427" s="307"/>
      <c r="S427" s="11" t="s">
        <v>192</v>
      </c>
      <c r="T427" s="306">
        <f t="shared" ref="T427:U427" si="361">T426</f>
        <v>5000000</v>
      </c>
      <c r="U427" s="97">
        <f t="shared" si="361"/>
        <v>3.9199999999999999E-2</v>
      </c>
      <c r="V427" s="421">
        <f t="shared" si="260"/>
        <v>544.44444444444446</v>
      </c>
      <c r="W427" s="304">
        <f t="shared" si="261"/>
        <v>29944.444444444474</v>
      </c>
      <c r="X427" s="307">
        <f t="shared" si="262"/>
        <v>106.94444444444446</v>
      </c>
      <c r="Z427" s="11" t="s">
        <v>192</v>
      </c>
      <c r="AA427" s="306">
        <f t="shared" ref="AA427:AB427" si="362">AA426</f>
        <v>10000000</v>
      </c>
      <c r="AB427" s="97">
        <f t="shared" si="362"/>
        <v>3.7499999999999999E-2</v>
      </c>
      <c r="AC427" s="421">
        <f t="shared" si="264"/>
        <v>1041.6666666666667</v>
      </c>
      <c r="AD427" s="304">
        <f t="shared" si="265"/>
        <v>57291.666666666628</v>
      </c>
      <c r="AE427" s="307">
        <f t="shared" si="266"/>
        <v>166.66666666666674</v>
      </c>
      <c r="AG427" s="11" t="s">
        <v>192</v>
      </c>
      <c r="AH427" s="306">
        <f t="shared" ref="AH427:AI427" si="363">AH426</f>
        <v>6000000</v>
      </c>
      <c r="AI427" s="97">
        <f t="shared" si="363"/>
        <v>3.73E-2</v>
      </c>
      <c r="AJ427" s="421">
        <f t="shared" si="268"/>
        <v>621.66666666666663</v>
      </c>
      <c r="AK427" s="304">
        <f t="shared" si="269"/>
        <v>1243.3333333333333</v>
      </c>
      <c r="AL427" s="307">
        <f t="shared" si="270"/>
        <v>96.666666666666629</v>
      </c>
      <c r="AN427" s="304">
        <f>'codeis $'!AB427</f>
        <v>0</v>
      </c>
      <c r="AO427" s="340">
        <f>'codeis $'!AH427</f>
        <v>0</v>
      </c>
      <c r="AP427" s="304">
        <f>'codeis $'!AE427</f>
        <v>0</v>
      </c>
      <c r="AQ427" s="304">
        <f>'codeis $'!AK427</f>
        <v>0</v>
      </c>
      <c r="AR427" s="9"/>
      <c r="AS427" s="9"/>
      <c r="AT427" s="123"/>
      <c r="AU427" s="123"/>
      <c r="AV427" s="123"/>
      <c r="AW427" s="123"/>
      <c r="AX427" s="123"/>
      <c r="AY427" s="123"/>
      <c r="AZ427" s="123"/>
      <c r="BA427" s="123"/>
      <c r="BC427" s="124">
        <f>'MM $'!G427</f>
        <v>0</v>
      </c>
      <c r="BD427" s="139">
        <f>'MM $'!H427</f>
        <v>0</v>
      </c>
      <c r="BE427" s="431">
        <f>'MM $'!I427</f>
        <v>0</v>
      </c>
      <c r="BF427" s="124">
        <f>'MM $'!L427</f>
        <v>0</v>
      </c>
      <c r="BH427" s="124">
        <f>'MM $'!N427</f>
        <v>0</v>
      </c>
      <c r="BI427" s="139">
        <f>'MM $'!P427</f>
        <v>0</v>
      </c>
      <c r="BJ427" s="431">
        <f>'MM $'!Q427</f>
        <v>0</v>
      </c>
      <c r="BK427" s="124">
        <f>'MM $'!U427</f>
        <v>0</v>
      </c>
      <c r="BM427" s="124">
        <f>'MM $'!W427</f>
        <v>0</v>
      </c>
      <c r="BN427" s="139">
        <f>'MM $'!X427</f>
        <v>0</v>
      </c>
      <c r="BO427" s="431">
        <f>'MM $'!Y427</f>
        <v>0</v>
      </c>
      <c r="BP427" s="124">
        <f>'MM $'!AB427</f>
        <v>0</v>
      </c>
      <c r="BR427" s="124">
        <f>'MM $'!AD427</f>
        <v>0</v>
      </c>
      <c r="BS427" s="139">
        <f>'MM $'!AE427</f>
        <v>0</v>
      </c>
      <c r="BT427" s="431">
        <f>'MM $'!AF427</f>
        <v>0</v>
      </c>
      <c r="BU427" s="124">
        <f>'MM $'!AB427</f>
        <v>0</v>
      </c>
      <c r="BV427" s="439"/>
      <c r="BW427" s="120">
        <f t="shared" si="271"/>
        <v>21190000</v>
      </c>
      <c r="BX427" s="121">
        <f t="shared" si="185"/>
        <v>3.5000000000000003E-2</v>
      </c>
      <c r="BY427" s="121">
        <f t="shared" si="186"/>
        <v>3.7790703161868805E-2</v>
      </c>
      <c r="BZ427" s="120">
        <f t="shared" si="272"/>
        <v>2224.4027777777778</v>
      </c>
      <c r="CA427" s="120">
        <f t="shared" si="273"/>
        <v>370.27777777777783</v>
      </c>
    </row>
    <row r="428" spans="2:79" x14ac:dyDescent="0.25">
      <c r="B428" s="123" t="str">
        <f t="shared" si="249"/>
        <v>2 2026</v>
      </c>
      <c r="C428" s="122">
        <f t="shared" si="250"/>
        <v>46077</v>
      </c>
      <c r="D428" s="122">
        <f t="shared" si="190"/>
        <v>46078</v>
      </c>
      <c r="E428" s="123">
        <f t="shared" si="251"/>
        <v>1</v>
      </c>
      <c r="F428" s="123" t="s">
        <v>7</v>
      </c>
      <c r="G428" s="124">
        <f t="shared" ref="G428:H428" si="364">G427</f>
        <v>190000</v>
      </c>
      <c r="H428" s="125">
        <f t="shared" si="364"/>
        <v>3.15E-2</v>
      </c>
      <c r="I428" s="124">
        <f t="shared" si="253"/>
        <v>16.625</v>
      </c>
      <c r="J428" s="124">
        <f t="shared" si="254"/>
        <v>5815.25</v>
      </c>
      <c r="K428" s="9"/>
      <c r="L428" s="11"/>
      <c r="M428" s="306"/>
      <c r="N428" s="97"/>
      <c r="O428" s="421"/>
      <c r="P428" s="304"/>
      <c r="Q428" s="307"/>
      <c r="S428" s="11" t="s">
        <v>192</v>
      </c>
      <c r="T428" s="306">
        <f t="shared" ref="T428:U428" si="365">T427</f>
        <v>5000000</v>
      </c>
      <c r="U428" s="97">
        <f t="shared" si="365"/>
        <v>3.9199999999999999E-2</v>
      </c>
      <c r="V428" s="421">
        <f t="shared" si="260"/>
        <v>544.44444444444446</v>
      </c>
      <c r="W428" s="304">
        <f t="shared" si="261"/>
        <v>30488.88888888892</v>
      </c>
      <c r="X428" s="307">
        <f t="shared" si="262"/>
        <v>106.94444444444446</v>
      </c>
      <c r="Z428" s="11" t="s">
        <v>192</v>
      </c>
      <c r="AA428" s="306">
        <f t="shared" ref="AA428:AB428" si="366">AA427</f>
        <v>10000000</v>
      </c>
      <c r="AB428" s="97">
        <f t="shared" si="366"/>
        <v>3.7499999999999999E-2</v>
      </c>
      <c r="AC428" s="421">
        <f t="shared" si="264"/>
        <v>1041.6666666666667</v>
      </c>
      <c r="AD428" s="304">
        <f t="shared" si="265"/>
        <v>58333.333333333292</v>
      </c>
      <c r="AE428" s="307">
        <f t="shared" si="266"/>
        <v>166.66666666666674</v>
      </c>
      <c r="AG428" s="11" t="s">
        <v>192</v>
      </c>
      <c r="AH428" s="306">
        <f t="shared" ref="AH428:AI428" si="367">AH427</f>
        <v>6000000</v>
      </c>
      <c r="AI428" s="97">
        <f t="shared" si="367"/>
        <v>3.73E-2</v>
      </c>
      <c r="AJ428" s="421">
        <f t="shared" si="268"/>
        <v>621.66666666666663</v>
      </c>
      <c r="AK428" s="304">
        <f t="shared" si="269"/>
        <v>1243.3333333333333</v>
      </c>
      <c r="AL428" s="307">
        <f t="shared" si="270"/>
        <v>96.666666666666629</v>
      </c>
      <c r="AN428" s="304">
        <f>'codeis $'!AB428</f>
        <v>0</v>
      </c>
      <c r="AO428" s="340">
        <f>'codeis $'!AH428</f>
        <v>0</v>
      </c>
      <c r="AP428" s="304">
        <f>'codeis $'!AE428</f>
        <v>0</v>
      </c>
      <c r="AQ428" s="304">
        <f>'codeis $'!AK428</f>
        <v>0</v>
      </c>
      <c r="AR428" s="9"/>
      <c r="AS428" s="9"/>
      <c r="AT428" s="123"/>
      <c r="AU428" s="123"/>
      <c r="AV428" s="123"/>
      <c r="AW428" s="123"/>
      <c r="AX428" s="123"/>
      <c r="AY428" s="123"/>
      <c r="AZ428" s="123"/>
      <c r="BA428" s="123"/>
      <c r="BC428" s="124">
        <f>'MM $'!G428</f>
        <v>0</v>
      </c>
      <c r="BD428" s="139">
        <f>'MM $'!H428</f>
        <v>0</v>
      </c>
      <c r="BE428" s="431">
        <f>'MM $'!I428</f>
        <v>0</v>
      </c>
      <c r="BF428" s="124">
        <f>'MM $'!L428</f>
        <v>0</v>
      </c>
      <c r="BH428" s="124">
        <f>'MM $'!N428</f>
        <v>0</v>
      </c>
      <c r="BI428" s="139">
        <f>'MM $'!P428</f>
        <v>0</v>
      </c>
      <c r="BJ428" s="431">
        <f>'MM $'!Q428</f>
        <v>0</v>
      </c>
      <c r="BK428" s="124">
        <f>'MM $'!U428</f>
        <v>0</v>
      </c>
      <c r="BM428" s="124">
        <f>'MM $'!W428</f>
        <v>0</v>
      </c>
      <c r="BN428" s="139">
        <f>'MM $'!X428</f>
        <v>0</v>
      </c>
      <c r="BO428" s="431">
        <f>'MM $'!Y428</f>
        <v>0</v>
      </c>
      <c r="BP428" s="124">
        <f>'MM $'!AB428</f>
        <v>0</v>
      </c>
      <c r="BR428" s="124">
        <f>'MM $'!AD428</f>
        <v>0</v>
      </c>
      <c r="BS428" s="139">
        <f>'MM $'!AE428</f>
        <v>0</v>
      </c>
      <c r="BT428" s="431">
        <f>'MM $'!AF428</f>
        <v>0</v>
      </c>
      <c r="BU428" s="124">
        <f>'MM $'!AB428</f>
        <v>0</v>
      </c>
      <c r="BV428" s="439"/>
      <c r="BW428" s="120">
        <f t="shared" si="271"/>
        <v>21190000</v>
      </c>
      <c r="BX428" s="121">
        <f t="shared" si="185"/>
        <v>3.5000000000000003E-2</v>
      </c>
      <c r="BY428" s="121">
        <f t="shared" si="186"/>
        <v>3.7790703161868805E-2</v>
      </c>
      <c r="BZ428" s="120">
        <f t="shared" si="272"/>
        <v>2224.4027777777778</v>
      </c>
      <c r="CA428" s="120">
        <f t="shared" si="273"/>
        <v>370.27777777777783</v>
      </c>
    </row>
    <row r="429" spans="2:79" x14ac:dyDescent="0.25">
      <c r="B429" s="123" t="str">
        <f t="shared" si="249"/>
        <v>2 2026</v>
      </c>
      <c r="C429" s="122">
        <f t="shared" si="250"/>
        <v>46078</v>
      </c>
      <c r="D429" s="122">
        <f t="shared" si="190"/>
        <v>46079</v>
      </c>
      <c r="E429" s="123">
        <f t="shared" si="251"/>
        <v>1</v>
      </c>
      <c r="F429" s="123" t="s">
        <v>7</v>
      </c>
      <c r="G429" s="136">
        <f>G428+1090000</f>
        <v>1280000</v>
      </c>
      <c r="H429" s="125">
        <f t="shared" ref="H429" si="368">H428</f>
        <v>3.15E-2</v>
      </c>
      <c r="I429" s="124">
        <f t="shared" si="253"/>
        <v>112</v>
      </c>
      <c r="J429" s="124">
        <f t="shared" si="254"/>
        <v>5927.25</v>
      </c>
      <c r="K429" s="9"/>
      <c r="L429" s="11"/>
      <c r="M429" s="306"/>
      <c r="N429" s="97"/>
      <c r="O429" s="421"/>
      <c r="P429" s="304"/>
      <c r="Q429" s="307"/>
      <c r="S429" s="11" t="s">
        <v>192</v>
      </c>
      <c r="T429" s="306">
        <f t="shared" ref="T429:U429" si="369">T428</f>
        <v>5000000</v>
      </c>
      <c r="U429" s="97">
        <f t="shared" si="369"/>
        <v>3.9199999999999999E-2</v>
      </c>
      <c r="V429" s="421">
        <f t="shared" si="260"/>
        <v>544.44444444444446</v>
      </c>
      <c r="W429" s="304">
        <f t="shared" si="261"/>
        <v>31033.333333333365</v>
      </c>
      <c r="X429" s="307">
        <f t="shared" si="262"/>
        <v>106.94444444444446</v>
      </c>
      <c r="Z429" s="11" t="s">
        <v>192</v>
      </c>
      <c r="AA429" s="306">
        <f t="shared" ref="AA429:AB429" si="370">AA428</f>
        <v>10000000</v>
      </c>
      <c r="AB429" s="97">
        <f t="shared" si="370"/>
        <v>3.7499999999999999E-2</v>
      </c>
      <c r="AC429" s="421">
        <f t="shared" si="264"/>
        <v>1041.6666666666667</v>
      </c>
      <c r="AD429" s="304">
        <f t="shared" si="265"/>
        <v>59374.999999999956</v>
      </c>
      <c r="AE429" s="307">
        <f t="shared" si="266"/>
        <v>166.66666666666674</v>
      </c>
      <c r="AG429" s="11" t="s">
        <v>192</v>
      </c>
      <c r="AH429" s="306">
        <f t="shared" ref="AH429:AI429" si="371">AH428</f>
        <v>6000000</v>
      </c>
      <c r="AI429" s="97">
        <f t="shared" si="371"/>
        <v>3.73E-2</v>
      </c>
      <c r="AJ429" s="421">
        <f t="shared" si="268"/>
        <v>621.66666666666663</v>
      </c>
      <c r="AK429" s="304">
        <f t="shared" si="269"/>
        <v>1243.3333333333333</v>
      </c>
      <c r="AL429" s="307">
        <f t="shared" si="270"/>
        <v>96.666666666666629</v>
      </c>
      <c r="AN429" s="304">
        <f>'codeis $'!AB429</f>
        <v>0</v>
      </c>
      <c r="AO429" s="340">
        <f>'codeis $'!AH429</f>
        <v>0</v>
      </c>
      <c r="AP429" s="304">
        <f>'codeis $'!AE429</f>
        <v>0</v>
      </c>
      <c r="AQ429" s="304">
        <f>'codeis $'!AK429</f>
        <v>0</v>
      </c>
      <c r="AR429" s="9"/>
      <c r="AS429" s="9"/>
      <c r="AT429" s="123"/>
      <c r="AU429" s="123"/>
      <c r="AV429" s="123"/>
      <c r="AW429" s="123"/>
      <c r="AX429" s="123"/>
      <c r="AY429" s="123"/>
      <c r="AZ429" s="123"/>
      <c r="BA429" s="123"/>
      <c r="BC429" s="124">
        <f>'MM $'!G429</f>
        <v>0</v>
      </c>
      <c r="BD429" s="139">
        <f>'MM $'!H429</f>
        <v>0</v>
      </c>
      <c r="BE429" s="431">
        <f>'MM $'!I429</f>
        <v>0</v>
      </c>
      <c r="BF429" s="124">
        <f>'MM $'!L429</f>
        <v>0</v>
      </c>
      <c r="BH429" s="124">
        <f>'MM $'!N429</f>
        <v>0</v>
      </c>
      <c r="BI429" s="139">
        <f>'MM $'!P429</f>
        <v>0</v>
      </c>
      <c r="BJ429" s="431">
        <f>'MM $'!Q429</f>
        <v>0</v>
      </c>
      <c r="BK429" s="124">
        <f>'MM $'!U429</f>
        <v>0</v>
      </c>
      <c r="BM429" s="124">
        <f>'MM $'!W429</f>
        <v>0</v>
      </c>
      <c r="BN429" s="139">
        <f>'MM $'!X429</f>
        <v>0</v>
      </c>
      <c r="BO429" s="431">
        <f>'MM $'!Y429</f>
        <v>0</v>
      </c>
      <c r="BP429" s="124">
        <f>'MM $'!AB429</f>
        <v>0</v>
      </c>
      <c r="BR429" s="124">
        <f>'MM $'!AD429</f>
        <v>0</v>
      </c>
      <c r="BS429" s="139">
        <f>'MM $'!AE429</f>
        <v>0</v>
      </c>
      <c r="BT429" s="431">
        <f>'MM $'!AF429</f>
        <v>0</v>
      </c>
      <c r="BU429" s="124">
        <f>'MM $'!AB429</f>
        <v>0</v>
      </c>
      <c r="BV429" s="439"/>
      <c r="BW429" s="120">
        <f t="shared" si="271"/>
        <v>22280000</v>
      </c>
      <c r="BX429" s="121">
        <f t="shared" si="185"/>
        <v>3.5000000000000003E-2</v>
      </c>
      <c r="BY429" s="121">
        <f t="shared" si="186"/>
        <v>3.748294434470377E-2</v>
      </c>
      <c r="BZ429" s="120">
        <f t="shared" si="272"/>
        <v>2319.7777777777778</v>
      </c>
      <c r="CA429" s="120">
        <f t="shared" si="273"/>
        <v>370.27777777777783</v>
      </c>
    </row>
    <row r="430" spans="2:79" x14ac:dyDescent="0.25">
      <c r="B430" s="123" t="str">
        <f t="shared" si="249"/>
        <v>2 2026</v>
      </c>
      <c r="C430" s="122">
        <f t="shared" si="250"/>
        <v>46079</v>
      </c>
      <c r="D430" s="122">
        <f t="shared" si="190"/>
        <v>46080</v>
      </c>
      <c r="E430" s="123">
        <f t="shared" si="251"/>
        <v>1</v>
      </c>
      <c r="F430" s="123" t="s">
        <v>7</v>
      </c>
      <c r="G430" s="124">
        <f t="shared" ref="G430:H430" si="372">G429</f>
        <v>1280000</v>
      </c>
      <c r="H430" s="125">
        <f t="shared" si="372"/>
        <v>3.15E-2</v>
      </c>
      <c r="I430" s="124">
        <f t="shared" si="253"/>
        <v>112</v>
      </c>
      <c r="J430" s="124">
        <f t="shared" si="254"/>
        <v>6039.25</v>
      </c>
      <c r="K430" s="9"/>
      <c r="L430" s="11"/>
      <c r="M430" s="306"/>
      <c r="N430" s="97"/>
      <c r="O430" s="421"/>
      <c r="P430" s="304"/>
      <c r="Q430" s="307"/>
      <c r="S430" s="11" t="s">
        <v>192</v>
      </c>
      <c r="T430" s="306">
        <f t="shared" ref="T430:U430" si="373">T429</f>
        <v>5000000</v>
      </c>
      <c r="U430" s="97">
        <f t="shared" si="373"/>
        <v>3.9199999999999999E-2</v>
      </c>
      <c r="V430" s="421">
        <f t="shared" si="260"/>
        <v>544.44444444444446</v>
      </c>
      <c r="W430" s="304">
        <f t="shared" si="261"/>
        <v>31577.77777777781</v>
      </c>
      <c r="X430" s="307">
        <f t="shared" si="262"/>
        <v>106.94444444444446</v>
      </c>
      <c r="Z430" s="11" t="s">
        <v>192</v>
      </c>
      <c r="AA430" s="306">
        <f t="shared" ref="AA430:AB430" si="374">AA429</f>
        <v>10000000</v>
      </c>
      <c r="AB430" s="97">
        <f t="shared" si="374"/>
        <v>3.7499999999999999E-2</v>
      </c>
      <c r="AC430" s="421">
        <f t="shared" si="264"/>
        <v>1041.6666666666667</v>
      </c>
      <c r="AD430" s="304">
        <f t="shared" si="265"/>
        <v>60416.666666666621</v>
      </c>
      <c r="AE430" s="307">
        <f t="shared" si="266"/>
        <v>166.66666666666674</v>
      </c>
      <c r="AG430" s="11" t="s">
        <v>192</v>
      </c>
      <c r="AH430" s="306">
        <f t="shared" ref="AH430:AI430" si="375">AH429</f>
        <v>6000000</v>
      </c>
      <c r="AI430" s="97">
        <f t="shared" si="375"/>
        <v>3.73E-2</v>
      </c>
      <c r="AJ430" s="421">
        <f t="shared" si="268"/>
        <v>621.66666666666663</v>
      </c>
      <c r="AK430" s="304">
        <f t="shared" si="269"/>
        <v>1243.3333333333333</v>
      </c>
      <c r="AL430" s="307">
        <f t="shared" si="270"/>
        <v>96.666666666666629</v>
      </c>
      <c r="AN430" s="304">
        <f>'codeis $'!AB430</f>
        <v>0</v>
      </c>
      <c r="AO430" s="340">
        <f>'codeis $'!AH430</f>
        <v>0</v>
      </c>
      <c r="AP430" s="304">
        <f>'codeis $'!AE430</f>
        <v>0</v>
      </c>
      <c r="AQ430" s="304">
        <f>'codeis $'!AK430</f>
        <v>0</v>
      </c>
      <c r="AR430" s="9"/>
      <c r="AS430" s="9"/>
      <c r="AT430" s="123"/>
      <c r="AU430" s="123"/>
      <c r="AV430" s="123"/>
      <c r="AW430" s="123"/>
      <c r="AX430" s="123"/>
      <c r="AY430" s="123"/>
      <c r="AZ430" s="123"/>
      <c r="BA430" s="123"/>
      <c r="BC430" s="124">
        <f>'MM $'!G430</f>
        <v>0</v>
      </c>
      <c r="BD430" s="139">
        <f>'MM $'!H430</f>
        <v>0</v>
      </c>
      <c r="BE430" s="431">
        <f>'MM $'!I430</f>
        <v>0</v>
      </c>
      <c r="BF430" s="124">
        <f>'MM $'!L430</f>
        <v>0</v>
      </c>
      <c r="BH430" s="124">
        <f>'MM $'!N430</f>
        <v>0</v>
      </c>
      <c r="BI430" s="139">
        <f>'MM $'!P430</f>
        <v>0</v>
      </c>
      <c r="BJ430" s="431">
        <f>'MM $'!Q430</f>
        <v>0</v>
      </c>
      <c r="BK430" s="124">
        <f>'MM $'!U430</f>
        <v>0</v>
      </c>
      <c r="BM430" s="124">
        <f>'MM $'!W430</f>
        <v>0</v>
      </c>
      <c r="BN430" s="139">
        <f>'MM $'!X430</f>
        <v>0</v>
      </c>
      <c r="BO430" s="431">
        <f>'MM $'!Y430</f>
        <v>0</v>
      </c>
      <c r="BP430" s="124">
        <f>'MM $'!AB430</f>
        <v>0</v>
      </c>
      <c r="BR430" s="124">
        <f>'MM $'!AD430</f>
        <v>0</v>
      </c>
      <c r="BS430" s="139">
        <f>'MM $'!AE430</f>
        <v>0</v>
      </c>
      <c r="BT430" s="431">
        <f>'MM $'!AF430</f>
        <v>0</v>
      </c>
      <c r="BU430" s="124">
        <f>'MM $'!AB430</f>
        <v>0</v>
      </c>
      <c r="BV430" s="439"/>
      <c r="BW430" s="120">
        <f t="shared" si="271"/>
        <v>22280000</v>
      </c>
      <c r="BX430" s="121">
        <f t="shared" si="185"/>
        <v>3.5000000000000003E-2</v>
      </c>
      <c r="BY430" s="121">
        <f t="shared" si="186"/>
        <v>3.748294434470377E-2</v>
      </c>
      <c r="BZ430" s="120">
        <f t="shared" si="272"/>
        <v>2319.7777777777778</v>
      </c>
      <c r="CA430" s="120">
        <f t="shared" si="273"/>
        <v>370.27777777777783</v>
      </c>
    </row>
    <row r="431" spans="2:79" x14ac:dyDescent="0.25">
      <c r="B431" s="123" t="str">
        <f t="shared" si="249"/>
        <v>2 2026</v>
      </c>
      <c r="C431" s="122">
        <f t="shared" si="250"/>
        <v>46080</v>
      </c>
      <c r="D431" s="122">
        <f t="shared" si="190"/>
        <v>46081</v>
      </c>
      <c r="E431" s="123">
        <f t="shared" si="251"/>
        <v>1</v>
      </c>
      <c r="F431" s="123" t="s">
        <v>7</v>
      </c>
      <c r="G431" s="124">
        <f t="shared" ref="G431:H431" si="376">G430</f>
        <v>1280000</v>
      </c>
      <c r="H431" s="125">
        <f t="shared" si="376"/>
        <v>3.15E-2</v>
      </c>
      <c r="I431" s="124">
        <f t="shared" si="253"/>
        <v>112</v>
      </c>
      <c r="J431" s="124">
        <f t="shared" si="254"/>
        <v>6151.25</v>
      </c>
      <c r="K431" s="9"/>
      <c r="L431" s="11"/>
      <c r="M431" s="306"/>
      <c r="N431" s="97"/>
      <c r="O431" s="421"/>
      <c r="P431" s="304"/>
      <c r="Q431" s="307"/>
      <c r="S431" s="11" t="s">
        <v>192</v>
      </c>
      <c r="T431" s="306">
        <f t="shared" ref="T431:U431" si="377">T430</f>
        <v>5000000</v>
      </c>
      <c r="U431" s="97">
        <f t="shared" si="377"/>
        <v>3.9199999999999999E-2</v>
      </c>
      <c r="V431" s="421">
        <f t="shared" si="260"/>
        <v>544.44444444444446</v>
      </c>
      <c r="W431" s="304">
        <f t="shared" si="261"/>
        <v>32122.222222222255</v>
      </c>
      <c r="X431" s="307">
        <f t="shared" si="262"/>
        <v>106.94444444444446</v>
      </c>
      <c r="Z431" s="11" t="s">
        <v>192</v>
      </c>
      <c r="AA431" s="306">
        <f t="shared" ref="AA431:AB431" si="378">AA430</f>
        <v>10000000</v>
      </c>
      <c r="AB431" s="97">
        <f t="shared" si="378"/>
        <v>3.7499999999999999E-2</v>
      </c>
      <c r="AC431" s="421">
        <f t="shared" si="264"/>
        <v>1041.6666666666667</v>
      </c>
      <c r="AD431" s="304">
        <f t="shared" si="265"/>
        <v>61458.333333333285</v>
      </c>
      <c r="AE431" s="307">
        <f t="shared" si="266"/>
        <v>166.66666666666674</v>
      </c>
      <c r="AG431" s="11" t="s">
        <v>192</v>
      </c>
      <c r="AH431" s="306">
        <f t="shared" ref="AH431:AI431" si="379">AH430</f>
        <v>6000000</v>
      </c>
      <c r="AI431" s="97">
        <f t="shared" si="379"/>
        <v>3.73E-2</v>
      </c>
      <c r="AJ431" s="421">
        <f t="shared" si="268"/>
        <v>621.66666666666663</v>
      </c>
      <c r="AK431" s="304">
        <f t="shared" si="269"/>
        <v>1243.3333333333333</v>
      </c>
      <c r="AL431" s="307">
        <f t="shared" si="270"/>
        <v>96.666666666666629</v>
      </c>
      <c r="AN431" s="304">
        <f>'codeis $'!AB431</f>
        <v>0</v>
      </c>
      <c r="AO431" s="340">
        <f>'codeis $'!AH431</f>
        <v>0</v>
      </c>
      <c r="AP431" s="304">
        <f>'codeis $'!AE431</f>
        <v>0</v>
      </c>
      <c r="AQ431" s="304">
        <f>'codeis $'!AK431</f>
        <v>0</v>
      </c>
      <c r="AR431" s="9"/>
      <c r="AS431" s="9"/>
      <c r="AT431" s="123"/>
      <c r="AU431" s="123"/>
      <c r="AV431" s="123"/>
      <c r="AW431" s="123"/>
      <c r="AX431" s="123"/>
      <c r="AY431" s="123"/>
      <c r="AZ431" s="123"/>
      <c r="BA431" s="123"/>
      <c r="BC431" s="124">
        <f>'MM $'!G431</f>
        <v>0</v>
      </c>
      <c r="BD431" s="139">
        <f>'MM $'!H431</f>
        <v>0</v>
      </c>
      <c r="BE431" s="431">
        <f>'MM $'!I431</f>
        <v>0</v>
      </c>
      <c r="BF431" s="124">
        <f>'MM $'!L431</f>
        <v>0</v>
      </c>
      <c r="BH431" s="124">
        <f>'MM $'!N431</f>
        <v>0</v>
      </c>
      <c r="BI431" s="139">
        <f>'MM $'!P431</f>
        <v>0</v>
      </c>
      <c r="BJ431" s="431">
        <f>'MM $'!Q431</f>
        <v>0</v>
      </c>
      <c r="BK431" s="124">
        <f>'MM $'!U431</f>
        <v>0</v>
      </c>
      <c r="BM431" s="124">
        <f>'MM $'!W431</f>
        <v>0</v>
      </c>
      <c r="BN431" s="139">
        <f>'MM $'!X431</f>
        <v>0</v>
      </c>
      <c r="BO431" s="431">
        <f>'MM $'!Y431</f>
        <v>0</v>
      </c>
      <c r="BP431" s="124">
        <f>'MM $'!AB431</f>
        <v>0</v>
      </c>
      <c r="BR431" s="124">
        <f>'MM $'!AD431</f>
        <v>0</v>
      </c>
      <c r="BS431" s="139">
        <f>'MM $'!AE431</f>
        <v>0</v>
      </c>
      <c r="BT431" s="431">
        <f>'MM $'!AF431</f>
        <v>0</v>
      </c>
      <c r="BU431" s="124">
        <f>'MM $'!AB431</f>
        <v>0</v>
      </c>
      <c r="BV431" s="439"/>
      <c r="BW431" s="120">
        <f t="shared" si="271"/>
        <v>22280000</v>
      </c>
      <c r="BX431" s="121">
        <f t="shared" si="185"/>
        <v>3.5000000000000003E-2</v>
      </c>
      <c r="BY431" s="121">
        <f t="shared" si="186"/>
        <v>3.748294434470377E-2</v>
      </c>
      <c r="BZ431" s="120">
        <f t="shared" si="272"/>
        <v>2319.7777777777778</v>
      </c>
      <c r="CA431" s="120">
        <f t="shared" si="273"/>
        <v>370.27777777777783</v>
      </c>
    </row>
    <row r="432" spans="2:79" x14ac:dyDescent="0.25">
      <c r="B432" s="123" t="str">
        <f t="shared" si="249"/>
        <v>3 2026</v>
      </c>
      <c r="C432" s="122">
        <f t="shared" si="250"/>
        <v>46081</v>
      </c>
      <c r="D432" s="122">
        <f t="shared" si="190"/>
        <v>46082</v>
      </c>
      <c r="E432" s="123">
        <f t="shared" si="251"/>
        <v>1</v>
      </c>
      <c r="F432" s="123" t="s">
        <v>7</v>
      </c>
      <c r="G432" s="124">
        <f t="shared" ref="G432:H432" si="380">G431</f>
        <v>1280000</v>
      </c>
      <c r="H432" s="125">
        <f t="shared" si="380"/>
        <v>3.15E-2</v>
      </c>
      <c r="I432" s="124">
        <f t="shared" si="253"/>
        <v>112</v>
      </c>
      <c r="J432" s="124">
        <f t="shared" si="254"/>
        <v>6263.25</v>
      </c>
      <c r="K432" s="9"/>
      <c r="L432" s="11"/>
      <c r="M432" s="306"/>
      <c r="N432" s="97"/>
      <c r="O432" s="421"/>
      <c r="P432" s="304"/>
      <c r="Q432" s="307"/>
      <c r="S432" s="11" t="s">
        <v>192</v>
      </c>
      <c r="T432" s="306">
        <f t="shared" ref="T432:U432" si="381">T431</f>
        <v>5000000</v>
      </c>
      <c r="U432" s="97">
        <f t="shared" si="381"/>
        <v>3.9199999999999999E-2</v>
      </c>
      <c r="V432" s="421">
        <f t="shared" si="260"/>
        <v>544.44444444444446</v>
      </c>
      <c r="W432" s="304">
        <f t="shared" si="261"/>
        <v>32666.666666666701</v>
      </c>
      <c r="X432" s="307">
        <f t="shared" si="262"/>
        <v>106.94444444444446</v>
      </c>
      <c r="Z432" s="11" t="s">
        <v>192</v>
      </c>
      <c r="AA432" s="306">
        <f t="shared" ref="AA432:AB432" si="382">AA431</f>
        <v>10000000</v>
      </c>
      <c r="AB432" s="97">
        <f t="shared" si="382"/>
        <v>3.7499999999999999E-2</v>
      </c>
      <c r="AC432" s="421">
        <f t="shared" si="264"/>
        <v>1041.6666666666667</v>
      </c>
      <c r="AD432" s="304">
        <f t="shared" si="265"/>
        <v>62499.999999999949</v>
      </c>
      <c r="AE432" s="307">
        <f t="shared" si="266"/>
        <v>166.66666666666674</v>
      </c>
      <c r="AG432" s="11" t="s">
        <v>192</v>
      </c>
      <c r="AH432" s="306">
        <f t="shared" ref="AH432:AI432" si="383">AH431</f>
        <v>6000000</v>
      </c>
      <c r="AI432" s="97">
        <f t="shared" si="383"/>
        <v>3.73E-2</v>
      </c>
      <c r="AJ432" s="421">
        <f t="shared" si="268"/>
        <v>621.66666666666663</v>
      </c>
      <c r="AK432" s="304">
        <f t="shared" si="269"/>
        <v>1243.3333333333333</v>
      </c>
      <c r="AL432" s="307">
        <f t="shared" si="270"/>
        <v>96.666666666666629</v>
      </c>
      <c r="AN432" s="304">
        <f>'codeis $'!AB432</f>
        <v>0</v>
      </c>
      <c r="AO432" s="340">
        <f>'codeis $'!AH432</f>
        <v>0</v>
      </c>
      <c r="AP432" s="304">
        <f>'codeis $'!AE432</f>
        <v>0</v>
      </c>
      <c r="AQ432" s="304">
        <f>'codeis $'!AK432</f>
        <v>0</v>
      </c>
      <c r="AR432" s="9"/>
      <c r="AS432" s="9"/>
      <c r="AT432" s="123"/>
      <c r="AU432" s="123"/>
      <c r="AV432" s="123"/>
      <c r="AW432" s="123"/>
      <c r="AX432" s="123"/>
      <c r="AY432" s="123"/>
      <c r="AZ432" s="123"/>
      <c r="BA432" s="123"/>
      <c r="BC432" s="124">
        <f>'MM $'!G432</f>
        <v>0</v>
      </c>
      <c r="BD432" s="139">
        <f>'MM $'!H432</f>
        <v>0</v>
      </c>
      <c r="BE432" s="431">
        <f>'MM $'!I432</f>
        <v>0</v>
      </c>
      <c r="BF432" s="124">
        <f>'MM $'!L432</f>
        <v>0</v>
      </c>
      <c r="BH432" s="124">
        <f>'MM $'!N432</f>
        <v>0</v>
      </c>
      <c r="BI432" s="139">
        <f>'MM $'!P432</f>
        <v>0</v>
      </c>
      <c r="BJ432" s="431">
        <f>'MM $'!Q432</f>
        <v>0</v>
      </c>
      <c r="BK432" s="124">
        <f>'MM $'!U432</f>
        <v>0</v>
      </c>
      <c r="BM432" s="124">
        <f>'MM $'!W432</f>
        <v>0</v>
      </c>
      <c r="BN432" s="139">
        <f>'MM $'!X432</f>
        <v>0</v>
      </c>
      <c r="BO432" s="431">
        <f>'MM $'!Y432</f>
        <v>0</v>
      </c>
      <c r="BP432" s="124">
        <f>'MM $'!AB432</f>
        <v>0</v>
      </c>
      <c r="BR432" s="124">
        <f>'MM $'!AD432</f>
        <v>0</v>
      </c>
      <c r="BS432" s="139">
        <f>'MM $'!AE432</f>
        <v>0</v>
      </c>
      <c r="BT432" s="431">
        <f>'MM $'!AF432</f>
        <v>0</v>
      </c>
      <c r="BU432" s="124">
        <f>'MM $'!AB432</f>
        <v>0</v>
      </c>
      <c r="BV432" s="439"/>
      <c r="BW432" s="120">
        <f t="shared" si="271"/>
        <v>22280000</v>
      </c>
      <c r="BX432" s="121">
        <f t="shared" si="185"/>
        <v>3.5000000000000003E-2</v>
      </c>
      <c r="BY432" s="121">
        <f t="shared" si="186"/>
        <v>3.748294434470377E-2</v>
      </c>
      <c r="BZ432" s="120">
        <f t="shared" si="272"/>
        <v>2319.7777777777778</v>
      </c>
      <c r="CA432" s="120">
        <f t="shared" si="273"/>
        <v>370.27777777777783</v>
      </c>
    </row>
    <row r="433" spans="2:79" x14ac:dyDescent="0.25">
      <c r="B433" s="123" t="str">
        <f t="shared" si="249"/>
        <v>3 2026</v>
      </c>
      <c r="C433" s="122">
        <f t="shared" si="250"/>
        <v>46082</v>
      </c>
      <c r="D433" s="122">
        <f t="shared" si="190"/>
        <v>46083</v>
      </c>
      <c r="E433" s="123">
        <f t="shared" si="251"/>
        <v>1</v>
      </c>
      <c r="F433" s="123" t="s">
        <v>7</v>
      </c>
      <c r="G433" s="124">
        <f t="shared" ref="G433:H433" si="384">G432</f>
        <v>1280000</v>
      </c>
      <c r="H433" s="125">
        <f t="shared" si="384"/>
        <v>3.15E-2</v>
      </c>
      <c r="I433" s="124">
        <f t="shared" si="253"/>
        <v>112</v>
      </c>
      <c r="J433" s="124">
        <f t="shared" si="254"/>
        <v>6375.25</v>
      </c>
      <c r="K433" s="9"/>
      <c r="L433" s="11"/>
      <c r="M433" s="306"/>
      <c r="N433" s="97"/>
      <c r="O433" s="421"/>
      <c r="P433" s="304"/>
      <c r="Q433" s="307"/>
      <c r="S433" s="11" t="s">
        <v>192</v>
      </c>
      <c r="T433" s="306">
        <f t="shared" ref="T433:U433" si="385">T432</f>
        <v>5000000</v>
      </c>
      <c r="U433" s="97">
        <f t="shared" si="385"/>
        <v>3.9199999999999999E-2</v>
      </c>
      <c r="V433" s="421">
        <f t="shared" si="260"/>
        <v>544.44444444444446</v>
      </c>
      <c r="W433" s="304">
        <f t="shared" si="261"/>
        <v>33211.111111111146</v>
      </c>
      <c r="X433" s="307">
        <f t="shared" si="262"/>
        <v>106.94444444444446</v>
      </c>
      <c r="Z433" s="11" t="s">
        <v>192</v>
      </c>
      <c r="AA433" s="306">
        <f t="shared" ref="AA433:AB433" si="386">AA432</f>
        <v>10000000</v>
      </c>
      <c r="AB433" s="97">
        <f t="shared" si="386"/>
        <v>3.7499999999999999E-2</v>
      </c>
      <c r="AC433" s="421">
        <f t="shared" si="264"/>
        <v>1041.6666666666667</v>
      </c>
      <c r="AD433" s="304">
        <f t="shared" si="265"/>
        <v>63541.666666666613</v>
      </c>
      <c r="AE433" s="307">
        <f t="shared" si="266"/>
        <v>166.66666666666674</v>
      </c>
      <c r="AG433" s="11" t="s">
        <v>192</v>
      </c>
      <c r="AH433" s="306">
        <f t="shared" ref="AH433:AI433" si="387">AH432</f>
        <v>6000000</v>
      </c>
      <c r="AI433" s="97">
        <f t="shared" si="387"/>
        <v>3.73E-2</v>
      </c>
      <c r="AJ433" s="421">
        <f t="shared" si="268"/>
        <v>621.66666666666663</v>
      </c>
      <c r="AK433" s="304">
        <f t="shared" si="269"/>
        <v>1243.3333333333333</v>
      </c>
      <c r="AL433" s="307">
        <f t="shared" si="270"/>
        <v>96.666666666666629</v>
      </c>
      <c r="AN433" s="304">
        <f>'codeis $'!AB433</f>
        <v>0</v>
      </c>
      <c r="AO433" s="340">
        <f>'codeis $'!AH433</f>
        <v>0</v>
      </c>
      <c r="AP433" s="304">
        <f>'codeis $'!AE433</f>
        <v>0</v>
      </c>
      <c r="AQ433" s="304">
        <f>'codeis $'!AK433</f>
        <v>0</v>
      </c>
      <c r="AR433" s="9"/>
      <c r="AS433" s="9"/>
      <c r="AT433" s="123"/>
      <c r="AU433" s="123"/>
      <c r="AV433" s="123"/>
      <c r="AW433" s="123"/>
      <c r="AX433" s="123"/>
      <c r="AY433" s="123"/>
      <c r="AZ433" s="123"/>
      <c r="BA433" s="123"/>
      <c r="BC433" s="124">
        <f>'MM $'!G433</f>
        <v>0</v>
      </c>
      <c r="BD433" s="139">
        <f>'MM $'!H433</f>
        <v>0</v>
      </c>
      <c r="BE433" s="431">
        <f>'MM $'!I433</f>
        <v>0</v>
      </c>
      <c r="BF433" s="124">
        <f>'MM $'!L433</f>
        <v>0</v>
      </c>
      <c r="BH433" s="124">
        <f>'MM $'!N433</f>
        <v>0</v>
      </c>
      <c r="BI433" s="139">
        <f>'MM $'!P433</f>
        <v>0</v>
      </c>
      <c r="BJ433" s="431">
        <f>'MM $'!Q433</f>
        <v>0</v>
      </c>
      <c r="BK433" s="124">
        <f>'MM $'!U433</f>
        <v>0</v>
      </c>
      <c r="BM433" s="124">
        <f>'MM $'!W433</f>
        <v>0</v>
      </c>
      <c r="BN433" s="139">
        <f>'MM $'!X433</f>
        <v>0</v>
      </c>
      <c r="BO433" s="431">
        <f>'MM $'!Y433</f>
        <v>0</v>
      </c>
      <c r="BP433" s="124">
        <f>'MM $'!AB433</f>
        <v>0</v>
      </c>
      <c r="BR433" s="124">
        <f>'MM $'!AD433</f>
        <v>0</v>
      </c>
      <c r="BS433" s="139">
        <f>'MM $'!AE433</f>
        <v>0</v>
      </c>
      <c r="BT433" s="431">
        <f>'MM $'!AF433</f>
        <v>0</v>
      </c>
      <c r="BU433" s="124">
        <f>'MM $'!AB433</f>
        <v>0</v>
      </c>
      <c r="BV433" s="439"/>
      <c r="BW433" s="120">
        <f t="shared" si="271"/>
        <v>22280000</v>
      </c>
      <c r="BX433" s="121">
        <f t="shared" si="185"/>
        <v>3.5000000000000003E-2</v>
      </c>
      <c r="BY433" s="121">
        <f t="shared" si="186"/>
        <v>3.748294434470377E-2</v>
      </c>
      <c r="BZ433" s="120">
        <f t="shared" si="272"/>
        <v>2319.7777777777778</v>
      </c>
      <c r="CA433" s="120">
        <f t="shared" si="273"/>
        <v>370.27777777777783</v>
      </c>
    </row>
    <row r="434" spans="2:79" x14ac:dyDescent="0.25">
      <c r="B434" s="123" t="str">
        <f t="shared" si="249"/>
        <v>3 2026</v>
      </c>
      <c r="C434" s="122">
        <f t="shared" si="250"/>
        <v>46083</v>
      </c>
      <c r="D434" s="122">
        <f t="shared" si="190"/>
        <v>46084</v>
      </c>
      <c r="E434" s="123">
        <f t="shared" si="251"/>
        <v>1</v>
      </c>
      <c r="F434" s="123" t="s">
        <v>7</v>
      </c>
      <c r="G434" s="124">
        <f t="shared" ref="G434:H434" si="388">G433</f>
        <v>1280000</v>
      </c>
      <c r="H434" s="125">
        <f t="shared" si="388"/>
        <v>3.15E-2</v>
      </c>
      <c r="I434" s="124">
        <f t="shared" si="253"/>
        <v>112</v>
      </c>
      <c r="J434" s="124">
        <f t="shared" si="254"/>
        <v>6487.25</v>
      </c>
      <c r="K434" s="9"/>
      <c r="L434" s="11"/>
      <c r="M434" s="306"/>
      <c r="N434" s="97"/>
      <c r="O434" s="421"/>
      <c r="P434" s="304"/>
      <c r="Q434" s="307"/>
      <c r="S434" s="11" t="s">
        <v>192</v>
      </c>
      <c r="T434" s="306">
        <f t="shared" ref="T434:U434" si="389">T433</f>
        <v>5000000</v>
      </c>
      <c r="U434" s="97">
        <f t="shared" si="389"/>
        <v>3.9199999999999999E-2</v>
      </c>
      <c r="V434" s="421">
        <f t="shared" si="260"/>
        <v>544.44444444444446</v>
      </c>
      <c r="W434" s="304">
        <f t="shared" si="261"/>
        <v>33755.555555555591</v>
      </c>
      <c r="X434" s="307">
        <f t="shared" si="262"/>
        <v>106.94444444444446</v>
      </c>
      <c r="Z434" s="11" t="s">
        <v>192</v>
      </c>
      <c r="AA434" s="306">
        <f t="shared" ref="AA434:AB434" si="390">AA433</f>
        <v>10000000</v>
      </c>
      <c r="AB434" s="97">
        <f t="shared" si="390"/>
        <v>3.7499999999999999E-2</v>
      </c>
      <c r="AC434" s="421">
        <f t="shared" si="264"/>
        <v>1041.6666666666667</v>
      </c>
      <c r="AD434" s="304">
        <f t="shared" si="265"/>
        <v>64583.333333333278</v>
      </c>
      <c r="AE434" s="307">
        <f t="shared" si="266"/>
        <v>166.66666666666674</v>
      </c>
      <c r="AG434" s="11" t="s">
        <v>192</v>
      </c>
      <c r="AH434" s="306">
        <f t="shared" ref="AH434:AI434" si="391">AH433</f>
        <v>6000000</v>
      </c>
      <c r="AI434" s="97">
        <f t="shared" si="391"/>
        <v>3.73E-2</v>
      </c>
      <c r="AJ434" s="421">
        <f t="shared" si="268"/>
        <v>621.66666666666663</v>
      </c>
      <c r="AK434" s="304">
        <f t="shared" si="269"/>
        <v>1243.3333333333333</v>
      </c>
      <c r="AL434" s="307">
        <f t="shared" si="270"/>
        <v>96.666666666666629</v>
      </c>
      <c r="AN434" s="304">
        <f>'codeis $'!AB434</f>
        <v>0</v>
      </c>
      <c r="AO434" s="340">
        <f>'codeis $'!AH434</f>
        <v>0</v>
      </c>
      <c r="AP434" s="304">
        <f>'codeis $'!AE434</f>
        <v>0</v>
      </c>
      <c r="AQ434" s="304">
        <f>'codeis $'!AK434</f>
        <v>0</v>
      </c>
      <c r="AR434" s="9"/>
      <c r="AS434" s="9"/>
      <c r="AT434" s="123"/>
      <c r="AU434" s="123"/>
      <c r="AV434" s="123"/>
      <c r="AW434" s="123"/>
      <c r="AX434" s="123"/>
      <c r="AY434" s="123"/>
      <c r="AZ434" s="123"/>
      <c r="BA434" s="123"/>
      <c r="BC434" s="124">
        <f>'MM $'!G434</f>
        <v>0</v>
      </c>
      <c r="BD434" s="139">
        <f>'MM $'!H434</f>
        <v>0</v>
      </c>
      <c r="BE434" s="431">
        <f>'MM $'!I434</f>
        <v>0</v>
      </c>
      <c r="BF434" s="124">
        <f>'MM $'!L434</f>
        <v>0</v>
      </c>
      <c r="BH434" s="124">
        <f>'MM $'!N434</f>
        <v>0</v>
      </c>
      <c r="BI434" s="139">
        <f>'MM $'!P434</f>
        <v>0</v>
      </c>
      <c r="BJ434" s="431">
        <f>'MM $'!Q434</f>
        <v>0</v>
      </c>
      <c r="BK434" s="124">
        <f>'MM $'!U434</f>
        <v>0</v>
      </c>
      <c r="BM434" s="124">
        <f>'MM $'!W434</f>
        <v>0</v>
      </c>
      <c r="BN434" s="139">
        <f>'MM $'!X434</f>
        <v>0</v>
      </c>
      <c r="BO434" s="431">
        <f>'MM $'!Y434</f>
        <v>0</v>
      </c>
      <c r="BP434" s="124">
        <f>'MM $'!AB434</f>
        <v>0</v>
      </c>
      <c r="BR434" s="124">
        <f>'MM $'!AD434</f>
        <v>0</v>
      </c>
      <c r="BS434" s="139">
        <f>'MM $'!AE434</f>
        <v>0</v>
      </c>
      <c r="BT434" s="431">
        <f>'MM $'!AF434</f>
        <v>0</v>
      </c>
      <c r="BU434" s="124">
        <f>'MM $'!AB434</f>
        <v>0</v>
      </c>
      <c r="BV434" s="439"/>
      <c r="BW434" s="120">
        <f t="shared" si="271"/>
        <v>22280000</v>
      </c>
      <c r="BX434" s="121">
        <f t="shared" si="185"/>
        <v>3.5000000000000003E-2</v>
      </c>
      <c r="BY434" s="121">
        <f t="shared" si="186"/>
        <v>3.748294434470377E-2</v>
      </c>
      <c r="BZ434" s="120">
        <f t="shared" si="272"/>
        <v>2319.7777777777778</v>
      </c>
      <c r="CA434" s="120">
        <f t="shared" si="273"/>
        <v>370.27777777777783</v>
      </c>
    </row>
    <row r="435" spans="2:79" x14ac:dyDescent="0.25">
      <c r="B435" s="123" t="str">
        <f t="shared" si="249"/>
        <v>3 2026</v>
      </c>
      <c r="C435" s="122">
        <f t="shared" si="250"/>
        <v>46084</v>
      </c>
      <c r="D435" s="122">
        <f t="shared" si="190"/>
        <v>46085</v>
      </c>
      <c r="E435" s="123">
        <f t="shared" si="251"/>
        <v>1</v>
      </c>
      <c r="F435" s="123" t="s">
        <v>7</v>
      </c>
      <c r="G435" s="124">
        <f t="shared" ref="G435:H435" si="392">G434</f>
        <v>1280000</v>
      </c>
      <c r="H435" s="125">
        <f t="shared" si="392"/>
        <v>3.15E-2</v>
      </c>
      <c r="I435" s="124">
        <f t="shared" si="253"/>
        <v>112</v>
      </c>
      <c r="J435" s="124">
        <f t="shared" si="254"/>
        <v>6599.25</v>
      </c>
      <c r="K435" s="9"/>
      <c r="L435" s="11"/>
      <c r="M435" s="306"/>
      <c r="N435" s="97"/>
      <c r="O435" s="421"/>
      <c r="P435" s="304"/>
      <c r="Q435" s="307"/>
      <c r="S435" s="11" t="s">
        <v>192</v>
      </c>
      <c r="T435" s="306">
        <f t="shared" ref="T435:U435" si="393">T434</f>
        <v>5000000</v>
      </c>
      <c r="U435" s="97">
        <f t="shared" si="393"/>
        <v>3.9199999999999999E-2</v>
      </c>
      <c r="V435" s="421">
        <f t="shared" si="260"/>
        <v>544.44444444444446</v>
      </c>
      <c r="W435" s="304">
        <f t="shared" si="261"/>
        <v>34300.000000000036</v>
      </c>
      <c r="X435" s="307">
        <f t="shared" si="262"/>
        <v>106.94444444444446</v>
      </c>
      <c r="Z435" s="11" t="s">
        <v>192</v>
      </c>
      <c r="AA435" s="306">
        <f t="shared" ref="AA435:AB435" si="394">AA434</f>
        <v>10000000</v>
      </c>
      <c r="AB435" s="97">
        <f t="shared" si="394"/>
        <v>3.7499999999999999E-2</v>
      </c>
      <c r="AC435" s="421">
        <f t="shared" si="264"/>
        <v>1041.6666666666667</v>
      </c>
      <c r="AD435" s="304">
        <f t="shared" si="265"/>
        <v>65624.999999999942</v>
      </c>
      <c r="AE435" s="307">
        <f t="shared" si="266"/>
        <v>166.66666666666674</v>
      </c>
      <c r="AG435" s="11" t="s">
        <v>192</v>
      </c>
      <c r="AH435" s="306">
        <f t="shared" ref="AH435:AI435" si="395">AH434</f>
        <v>6000000</v>
      </c>
      <c r="AI435" s="97">
        <f t="shared" si="395"/>
        <v>3.73E-2</v>
      </c>
      <c r="AJ435" s="421">
        <f t="shared" si="268"/>
        <v>621.66666666666663</v>
      </c>
      <c r="AK435" s="304">
        <f t="shared" si="269"/>
        <v>1243.3333333333333</v>
      </c>
      <c r="AL435" s="307">
        <f t="shared" si="270"/>
        <v>96.666666666666629</v>
      </c>
      <c r="AN435" s="304">
        <f>'codeis $'!AB435</f>
        <v>0</v>
      </c>
      <c r="AO435" s="340">
        <f>'codeis $'!AH435</f>
        <v>0</v>
      </c>
      <c r="AP435" s="304">
        <f>'codeis $'!AE435</f>
        <v>0</v>
      </c>
      <c r="AQ435" s="304">
        <f>'codeis $'!AK435</f>
        <v>0</v>
      </c>
      <c r="AR435" s="9"/>
      <c r="AS435" s="9"/>
      <c r="AT435" s="123"/>
      <c r="AU435" s="123"/>
      <c r="AV435" s="123"/>
      <c r="AW435" s="123"/>
      <c r="AX435" s="123"/>
      <c r="AY435" s="123"/>
      <c r="AZ435" s="123"/>
      <c r="BA435" s="123"/>
      <c r="BC435" s="124">
        <f>'MM $'!G435</f>
        <v>0</v>
      </c>
      <c r="BD435" s="139">
        <f>'MM $'!H435</f>
        <v>0</v>
      </c>
      <c r="BE435" s="431">
        <f>'MM $'!I435</f>
        <v>0</v>
      </c>
      <c r="BF435" s="124">
        <f>'MM $'!L435</f>
        <v>0</v>
      </c>
      <c r="BH435" s="124">
        <f>'MM $'!N435</f>
        <v>0</v>
      </c>
      <c r="BI435" s="139">
        <f>'MM $'!P435</f>
        <v>0</v>
      </c>
      <c r="BJ435" s="431">
        <f>'MM $'!Q435</f>
        <v>0</v>
      </c>
      <c r="BK435" s="124">
        <f>'MM $'!U435</f>
        <v>0</v>
      </c>
      <c r="BM435" s="124">
        <f>'MM $'!W435</f>
        <v>0</v>
      </c>
      <c r="BN435" s="139">
        <f>'MM $'!X435</f>
        <v>0</v>
      </c>
      <c r="BO435" s="431">
        <f>'MM $'!Y435</f>
        <v>0</v>
      </c>
      <c r="BP435" s="124">
        <f>'MM $'!AB435</f>
        <v>0</v>
      </c>
      <c r="BR435" s="124">
        <f>'MM $'!AD435</f>
        <v>0</v>
      </c>
      <c r="BS435" s="139">
        <f>'MM $'!AE435</f>
        <v>0</v>
      </c>
      <c r="BT435" s="431">
        <f>'MM $'!AF435</f>
        <v>0</v>
      </c>
      <c r="BU435" s="124">
        <f>'MM $'!AB435</f>
        <v>0</v>
      </c>
      <c r="BV435" s="439"/>
      <c r="BW435" s="120">
        <f t="shared" si="271"/>
        <v>22280000</v>
      </c>
      <c r="BX435" s="121">
        <f t="shared" si="185"/>
        <v>3.5000000000000003E-2</v>
      </c>
      <c r="BY435" s="121">
        <f t="shared" si="186"/>
        <v>3.748294434470377E-2</v>
      </c>
      <c r="BZ435" s="120">
        <f t="shared" si="272"/>
        <v>2319.7777777777778</v>
      </c>
      <c r="CA435" s="120">
        <f t="shared" si="273"/>
        <v>370.27777777777783</v>
      </c>
    </row>
    <row r="436" spans="2:79" x14ac:dyDescent="0.25">
      <c r="B436" s="123" t="str">
        <f t="shared" si="249"/>
        <v>3 2026</v>
      </c>
      <c r="C436" s="122">
        <f t="shared" si="250"/>
        <v>46085</v>
      </c>
      <c r="D436" s="122">
        <f t="shared" si="190"/>
        <v>46086</v>
      </c>
      <c r="E436" s="123">
        <f t="shared" si="251"/>
        <v>1</v>
      </c>
      <c r="F436" s="123" t="s">
        <v>7</v>
      </c>
      <c r="G436" s="124">
        <f t="shared" ref="G436:H436" si="396">G435</f>
        <v>1280000</v>
      </c>
      <c r="H436" s="125">
        <f t="shared" si="396"/>
        <v>3.15E-2</v>
      </c>
      <c r="I436" s="124">
        <f t="shared" si="253"/>
        <v>112</v>
      </c>
      <c r="J436" s="124">
        <f t="shared" si="254"/>
        <v>6711.25</v>
      </c>
      <c r="K436" s="9"/>
      <c r="L436" s="11"/>
      <c r="M436" s="306"/>
      <c r="N436" s="97"/>
      <c r="O436" s="421"/>
      <c r="P436" s="304"/>
      <c r="Q436" s="307"/>
      <c r="S436" s="11" t="s">
        <v>192</v>
      </c>
      <c r="T436" s="306">
        <f t="shared" ref="T436:U436" si="397">T435</f>
        <v>5000000</v>
      </c>
      <c r="U436" s="97">
        <f t="shared" si="397"/>
        <v>3.9199999999999999E-2</v>
      </c>
      <c r="V436" s="421">
        <f t="shared" si="260"/>
        <v>544.44444444444446</v>
      </c>
      <c r="W436" s="304">
        <f t="shared" si="261"/>
        <v>34844.444444444482</v>
      </c>
      <c r="X436" s="307">
        <f t="shared" si="262"/>
        <v>106.94444444444446</v>
      </c>
      <c r="Z436" s="11" t="s">
        <v>192</v>
      </c>
      <c r="AA436" s="306">
        <f t="shared" ref="AA436:AB436" si="398">AA435</f>
        <v>10000000</v>
      </c>
      <c r="AB436" s="97">
        <f t="shared" si="398"/>
        <v>3.7499999999999999E-2</v>
      </c>
      <c r="AC436" s="421">
        <f t="shared" si="264"/>
        <v>1041.6666666666667</v>
      </c>
      <c r="AD436" s="304">
        <f t="shared" si="265"/>
        <v>66666.666666666613</v>
      </c>
      <c r="AE436" s="307">
        <f t="shared" si="266"/>
        <v>166.66666666666674</v>
      </c>
      <c r="AG436" s="11" t="s">
        <v>192</v>
      </c>
      <c r="AH436" s="306">
        <f t="shared" ref="AH436:AI436" si="399">AH435</f>
        <v>6000000</v>
      </c>
      <c r="AI436" s="97">
        <f t="shared" si="399"/>
        <v>3.73E-2</v>
      </c>
      <c r="AJ436" s="421">
        <f t="shared" si="268"/>
        <v>621.66666666666663</v>
      </c>
      <c r="AK436" s="304">
        <f t="shared" si="269"/>
        <v>1243.3333333333333</v>
      </c>
      <c r="AL436" s="307">
        <f t="shared" si="270"/>
        <v>96.666666666666629</v>
      </c>
      <c r="AN436" s="304">
        <f>'codeis $'!AB436</f>
        <v>0</v>
      </c>
      <c r="AO436" s="340">
        <f>'codeis $'!AH436</f>
        <v>0</v>
      </c>
      <c r="AP436" s="304">
        <f>'codeis $'!AE436</f>
        <v>0</v>
      </c>
      <c r="AQ436" s="304">
        <f>'codeis $'!AK436</f>
        <v>0</v>
      </c>
      <c r="AR436" s="9"/>
      <c r="AS436" s="9"/>
      <c r="AT436" s="123"/>
      <c r="AU436" s="123"/>
      <c r="AV436" s="123"/>
      <c r="AW436" s="123"/>
      <c r="AX436" s="123"/>
      <c r="AY436" s="123"/>
      <c r="AZ436" s="123"/>
      <c r="BA436" s="123"/>
      <c r="BC436" s="124">
        <f>'MM $'!G436</f>
        <v>0</v>
      </c>
      <c r="BD436" s="139">
        <f>'MM $'!H436</f>
        <v>0</v>
      </c>
      <c r="BE436" s="431">
        <f>'MM $'!I436</f>
        <v>0</v>
      </c>
      <c r="BF436" s="124">
        <f>'MM $'!L436</f>
        <v>0</v>
      </c>
      <c r="BH436" s="124">
        <f>'MM $'!N436</f>
        <v>0</v>
      </c>
      <c r="BI436" s="139">
        <f>'MM $'!P436</f>
        <v>0</v>
      </c>
      <c r="BJ436" s="431">
        <f>'MM $'!Q436</f>
        <v>0</v>
      </c>
      <c r="BK436" s="124">
        <f>'MM $'!U436</f>
        <v>0</v>
      </c>
      <c r="BM436" s="124">
        <f>'MM $'!W436</f>
        <v>0</v>
      </c>
      <c r="BN436" s="139">
        <f>'MM $'!X436</f>
        <v>0</v>
      </c>
      <c r="BO436" s="431">
        <f>'MM $'!Y436</f>
        <v>0</v>
      </c>
      <c r="BP436" s="124">
        <f>'MM $'!AB436</f>
        <v>0</v>
      </c>
      <c r="BR436" s="124">
        <f>'MM $'!AD436</f>
        <v>0</v>
      </c>
      <c r="BS436" s="139">
        <f>'MM $'!AE436</f>
        <v>0</v>
      </c>
      <c r="BT436" s="431">
        <f>'MM $'!AF436</f>
        <v>0</v>
      </c>
      <c r="BU436" s="124">
        <f>'MM $'!AB436</f>
        <v>0</v>
      </c>
      <c r="BV436" s="439"/>
      <c r="BW436" s="120">
        <f t="shared" si="271"/>
        <v>22280000</v>
      </c>
      <c r="BX436" s="121">
        <f t="shared" si="185"/>
        <v>3.5000000000000003E-2</v>
      </c>
      <c r="BY436" s="121">
        <f t="shared" si="186"/>
        <v>3.748294434470377E-2</v>
      </c>
      <c r="BZ436" s="120">
        <f t="shared" si="272"/>
        <v>2319.7777777777778</v>
      </c>
      <c r="CA436" s="120">
        <f t="shared" si="273"/>
        <v>370.27777777777783</v>
      </c>
    </row>
    <row r="437" spans="2:79" x14ac:dyDescent="0.25">
      <c r="B437" s="123" t="str">
        <f t="shared" si="249"/>
        <v>3 2026</v>
      </c>
      <c r="C437" s="122">
        <f t="shared" si="250"/>
        <v>46086</v>
      </c>
      <c r="D437" s="122">
        <f t="shared" si="190"/>
        <v>46087</v>
      </c>
      <c r="E437" s="123">
        <f t="shared" si="251"/>
        <v>1</v>
      </c>
      <c r="F437" s="123" t="s">
        <v>7</v>
      </c>
      <c r="G437" s="136">
        <f>G436+170000</f>
        <v>1450000</v>
      </c>
      <c r="H437" s="125">
        <f t="shared" ref="H437" si="400">H436</f>
        <v>3.15E-2</v>
      </c>
      <c r="I437" s="124">
        <f t="shared" si="253"/>
        <v>126.875</v>
      </c>
      <c r="J437" s="124">
        <f t="shared" si="254"/>
        <v>6838.125</v>
      </c>
      <c r="K437" s="9"/>
      <c r="L437" s="11"/>
      <c r="M437" s="306"/>
      <c r="N437" s="97"/>
      <c r="O437" s="421"/>
      <c r="P437" s="304"/>
      <c r="Q437" s="307"/>
      <c r="S437" s="11" t="s">
        <v>192</v>
      </c>
      <c r="T437" s="306">
        <f t="shared" ref="T437:U437" si="401">T436</f>
        <v>5000000</v>
      </c>
      <c r="U437" s="97">
        <f t="shared" si="401"/>
        <v>3.9199999999999999E-2</v>
      </c>
      <c r="V437" s="421">
        <f t="shared" si="260"/>
        <v>544.44444444444446</v>
      </c>
      <c r="W437" s="304">
        <f t="shared" si="261"/>
        <v>35388.888888888927</v>
      </c>
      <c r="X437" s="307">
        <f t="shared" si="262"/>
        <v>106.94444444444446</v>
      </c>
      <c r="Z437" s="11" t="s">
        <v>192</v>
      </c>
      <c r="AA437" s="306">
        <f t="shared" ref="AA437:AB437" si="402">AA436</f>
        <v>10000000</v>
      </c>
      <c r="AB437" s="97">
        <f t="shared" si="402"/>
        <v>3.7499999999999999E-2</v>
      </c>
      <c r="AC437" s="421">
        <f t="shared" si="264"/>
        <v>1041.6666666666667</v>
      </c>
      <c r="AD437" s="304">
        <f t="shared" si="265"/>
        <v>67708.333333333285</v>
      </c>
      <c r="AE437" s="307">
        <f t="shared" si="266"/>
        <v>166.66666666666674</v>
      </c>
      <c r="AG437" s="11" t="s">
        <v>192</v>
      </c>
      <c r="AH437" s="306">
        <f t="shared" ref="AH437:AI437" si="403">AH436</f>
        <v>6000000</v>
      </c>
      <c r="AI437" s="97">
        <f t="shared" si="403"/>
        <v>3.73E-2</v>
      </c>
      <c r="AJ437" s="421">
        <f t="shared" si="268"/>
        <v>621.66666666666663</v>
      </c>
      <c r="AK437" s="304">
        <f t="shared" si="269"/>
        <v>1243.3333333333333</v>
      </c>
      <c r="AL437" s="307">
        <f t="shared" si="270"/>
        <v>96.666666666666629</v>
      </c>
      <c r="AN437" s="304">
        <f>'codeis $'!AB437</f>
        <v>0</v>
      </c>
      <c r="AO437" s="340">
        <f>'codeis $'!AH437</f>
        <v>0</v>
      </c>
      <c r="AP437" s="304">
        <f>'codeis $'!AE437</f>
        <v>0</v>
      </c>
      <c r="AQ437" s="304">
        <f>'codeis $'!AK437</f>
        <v>0</v>
      </c>
      <c r="AR437" s="9"/>
      <c r="AS437" s="9"/>
      <c r="AT437" s="123"/>
      <c r="AU437" s="123"/>
      <c r="AV437" s="123"/>
      <c r="AW437" s="123"/>
      <c r="AX437" s="123"/>
      <c r="AY437" s="123"/>
      <c r="AZ437" s="123"/>
      <c r="BA437" s="123"/>
      <c r="BC437" s="124">
        <f>'MM $'!G437</f>
        <v>0</v>
      </c>
      <c r="BD437" s="139">
        <f>'MM $'!H437</f>
        <v>0</v>
      </c>
      <c r="BE437" s="431">
        <f>'MM $'!I437</f>
        <v>0</v>
      </c>
      <c r="BF437" s="124">
        <f>'MM $'!L437</f>
        <v>0</v>
      </c>
      <c r="BH437" s="124">
        <f>'MM $'!N437</f>
        <v>0</v>
      </c>
      <c r="BI437" s="139">
        <f>'MM $'!P437</f>
        <v>0</v>
      </c>
      <c r="BJ437" s="431">
        <f>'MM $'!Q437</f>
        <v>0</v>
      </c>
      <c r="BK437" s="124">
        <f>'MM $'!U437</f>
        <v>0</v>
      </c>
      <c r="BM437" s="124">
        <f>'MM $'!W437</f>
        <v>0</v>
      </c>
      <c r="BN437" s="139">
        <f>'MM $'!X437</f>
        <v>0</v>
      </c>
      <c r="BO437" s="431">
        <f>'MM $'!Y437</f>
        <v>0</v>
      </c>
      <c r="BP437" s="124">
        <f>'MM $'!AB437</f>
        <v>0</v>
      </c>
      <c r="BR437" s="124">
        <f>'MM $'!AD437</f>
        <v>0</v>
      </c>
      <c r="BS437" s="139">
        <f>'MM $'!AE437</f>
        <v>0</v>
      </c>
      <c r="BT437" s="431">
        <f>'MM $'!AF437</f>
        <v>0</v>
      </c>
      <c r="BU437" s="124">
        <f>'MM $'!AB437</f>
        <v>0</v>
      </c>
      <c r="BV437" s="439"/>
      <c r="BW437" s="120">
        <f t="shared" si="271"/>
        <v>22450000</v>
      </c>
      <c r="BX437" s="121">
        <f t="shared" ref="BX437:BX500" si="404">BX436</f>
        <v>3.5000000000000003E-2</v>
      </c>
      <c r="BY437" s="121">
        <f t="shared" si="186"/>
        <v>3.7437639198218263E-2</v>
      </c>
      <c r="BZ437" s="120">
        <f t="shared" si="272"/>
        <v>2334.6527777777778</v>
      </c>
      <c r="CA437" s="120">
        <f t="shared" si="273"/>
        <v>370.27777777777783</v>
      </c>
    </row>
    <row r="438" spans="2:79" x14ac:dyDescent="0.25">
      <c r="B438" s="123" t="str">
        <f t="shared" si="249"/>
        <v>3 2026</v>
      </c>
      <c r="C438" s="122">
        <f t="shared" si="250"/>
        <v>46087</v>
      </c>
      <c r="D438" s="122">
        <f t="shared" si="190"/>
        <v>46088</v>
      </c>
      <c r="E438" s="123">
        <f t="shared" si="251"/>
        <v>1</v>
      </c>
      <c r="F438" s="123" t="s">
        <v>7</v>
      </c>
      <c r="G438" s="124">
        <f t="shared" ref="G438:H438" si="405">G437</f>
        <v>1450000</v>
      </c>
      <c r="H438" s="125">
        <f t="shared" si="405"/>
        <v>3.15E-2</v>
      </c>
      <c r="I438" s="124">
        <f t="shared" si="253"/>
        <v>126.875</v>
      </c>
      <c r="J438" s="124">
        <f t="shared" si="254"/>
        <v>6965</v>
      </c>
      <c r="K438" s="9"/>
      <c r="L438" s="11"/>
      <c r="M438" s="306"/>
      <c r="N438" s="97"/>
      <c r="O438" s="421"/>
      <c r="P438" s="304"/>
      <c r="Q438" s="307"/>
      <c r="S438" s="11" t="s">
        <v>192</v>
      </c>
      <c r="T438" s="306">
        <f t="shared" ref="T438:U438" si="406">T437</f>
        <v>5000000</v>
      </c>
      <c r="U438" s="97">
        <f t="shared" si="406"/>
        <v>3.9199999999999999E-2</v>
      </c>
      <c r="V438" s="421">
        <f t="shared" si="260"/>
        <v>544.44444444444446</v>
      </c>
      <c r="W438" s="304">
        <f t="shared" si="261"/>
        <v>35933.333333333372</v>
      </c>
      <c r="X438" s="307">
        <f t="shared" si="262"/>
        <v>106.94444444444446</v>
      </c>
      <c r="Z438" s="11" t="s">
        <v>192</v>
      </c>
      <c r="AA438" s="306">
        <f t="shared" ref="AA438:AB438" si="407">AA437</f>
        <v>10000000</v>
      </c>
      <c r="AB438" s="97">
        <f t="shared" si="407"/>
        <v>3.7499999999999999E-2</v>
      </c>
      <c r="AC438" s="421">
        <f t="shared" si="264"/>
        <v>1041.6666666666667</v>
      </c>
      <c r="AD438" s="304">
        <f t="shared" si="265"/>
        <v>68749.999999999956</v>
      </c>
      <c r="AE438" s="307">
        <f t="shared" si="266"/>
        <v>166.66666666666674</v>
      </c>
      <c r="AG438" s="11" t="s">
        <v>192</v>
      </c>
      <c r="AH438" s="306">
        <f t="shared" ref="AH438:AI438" si="408">AH437</f>
        <v>6000000</v>
      </c>
      <c r="AI438" s="97">
        <f t="shared" si="408"/>
        <v>3.73E-2</v>
      </c>
      <c r="AJ438" s="421">
        <f t="shared" si="268"/>
        <v>621.66666666666663</v>
      </c>
      <c r="AK438" s="304">
        <f t="shared" si="269"/>
        <v>1243.3333333333333</v>
      </c>
      <c r="AL438" s="307">
        <f t="shared" si="270"/>
        <v>96.666666666666629</v>
      </c>
      <c r="AN438" s="304">
        <f>'codeis $'!AB438</f>
        <v>0</v>
      </c>
      <c r="AO438" s="340">
        <f>'codeis $'!AH438</f>
        <v>0</v>
      </c>
      <c r="AP438" s="304">
        <f>'codeis $'!AE438</f>
        <v>0</v>
      </c>
      <c r="AQ438" s="304">
        <f>'codeis $'!AK438</f>
        <v>0</v>
      </c>
      <c r="AR438" s="9"/>
      <c r="AS438" s="9"/>
      <c r="AT438" s="123"/>
      <c r="AU438" s="123"/>
      <c r="AV438" s="123"/>
      <c r="AW438" s="123"/>
      <c r="AX438" s="123"/>
      <c r="AY438" s="123"/>
      <c r="AZ438" s="123"/>
      <c r="BA438" s="123"/>
      <c r="BC438" s="124">
        <f>'MM $'!G438</f>
        <v>0</v>
      </c>
      <c r="BD438" s="139">
        <f>'MM $'!H438</f>
        <v>0</v>
      </c>
      <c r="BE438" s="431">
        <f>'MM $'!I438</f>
        <v>0</v>
      </c>
      <c r="BF438" s="124">
        <f>'MM $'!L438</f>
        <v>0</v>
      </c>
      <c r="BH438" s="124">
        <f>'MM $'!N438</f>
        <v>0</v>
      </c>
      <c r="BI438" s="139">
        <f>'MM $'!P438</f>
        <v>0</v>
      </c>
      <c r="BJ438" s="431">
        <f>'MM $'!Q438</f>
        <v>0</v>
      </c>
      <c r="BK438" s="124">
        <f>'MM $'!U438</f>
        <v>0</v>
      </c>
      <c r="BM438" s="124">
        <f>'MM $'!W438</f>
        <v>0</v>
      </c>
      <c r="BN438" s="139">
        <f>'MM $'!X438</f>
        <v>0</v>
      </c>
      <c r="BO438" s="431">
        <f>'MM $'!Y438</f>
        <v>0</v>
      </c>
      <c r="BP438" s="124">
        <f>'MM $'!AB438</f>
        <v>0</v>
      </c>
      <c r="BR438" s="124">
        <f>'MM $'!AD438</f>
        <v>0</v>
      </c>
      <c r="BS438" s="139">
        <f>'MM $'!AE438</f>
        <v>0</v>
      </c>
      <c r="BT438" s="431">
        <f>'MM $'!AF438</f>
        <v>0</v>
      </c>
      <c r="BU438" s="124">
        <f>'MM $'!AB438</f>
        <v>0</v>
      </c>
      <c r="BV438" s="439"/>
      <c r="BW438" s="120">
        <f t="shared" si="271"/>
        <v>22450000</v>
      </c>
      <c r="BX438" s="121">
        <f t="shared" si="404"/>
        <v>3.5000000000000003E-2</v>
      </c>
      <c r="BY438" s="121">
        <f t="shared" ref="BY438:BY501" si="409">(SUM((AW438*AV438),(H438*G438),(M438*N438),(T438*U438),(AA438*AB438),(AH438*AI438),(AN438*AO438),(BC438*BD438),(BH438*BI438),(BM438*BN438),(BR438*BS438))/BW438)</f>
        <v>3.7437639198218263E-2</v>
      </c>
      <c r="BZ438" s="120">
        <f t="shared" si="272"/>
        <v>2334.6527777777778</v>
      </c>
      <c r="CA438" s="120">
        <f t="shared" si="273"/>
        <v>370.27777777777783</v>
      </c>
    </row>
    <row r="439" spans="2:79" x14ac:dyDescent="0.25">
      <c r="B439" s="123" t="str">
        <f t="shared" si="249"/>
        <v>3 2026</v>
      </c>
      <c r="C439" s="122">
        <f t="shared" si="250"/>
        <v>46088</v>
      </c>
      <c r="D439" s="122">
        <f t="shared" ref="D439:D502" si="410">D438+1</f>
        <v>46089</v>
      </c>
      <c r="E439" s="123">
        <f t="shared" si="251"/>
        <v>1</v>
      </c>
      <c r="F439" s="123" t="s">
        <v>7</v>
      </c>
      <c r="G439" s="124">
        <f t="shared" ref="G439:H439" si="411">G438</f>
        <v>1450000</v>
      </c>
      <c r="H439" s="125">
        <f t="shared" si="411"/>
        <v>3.15E-2</v>
      </c>
      <c r="I439" s="124">
        <f t="shared" si="253"/>
        <v>126.875</v>
      </c>
      <c r="J439" s="124">
        <f t="shared" si="254"/>
        <v>7091.875</v>
      </c>
      <c r="K439" s="9"/>
      <c r="L439" s="11"/>
      <c r="M439" s="306"/>
      <c r="N439" s="97"/>
      <c r="O439" s="421"/>
      <c r="P439" s="304"/>
      <c r="Q439" s="307"/>
      <c r="S439" s="11" t="s">
        <v>192</v>
      </c>
      <c r="T439" s="306">
        <f t="shared" ref="T439:U439" si="412">T438</f>
        <v>5000000</v>
      </c>
      <c r="U439" s="97">
        <f t="shared" si="412"/>
        <v>3.9199999999999999E-2</v>
      </c>
      <c r="V439" s="421">
        <f t="shared" si="260"/>
        <v>544.44444444444446</v>
      </c>
      <c r="W439" s="304">
        <f t="shared" si="261"/>
        <v>36477.777777777817</v>
      </c>
      <c r="X439" s="307">
        <f t="shared" si="262"/>
        <v>106.94444444444446</v>
      </c>
      <c r="Z439" s="11" t="s">
        <v>192</v>
      </c>
      <c r="AA439" s="306">
        <f t="shared" ref="AA439:AB439" si="413">AA438</f>
        <v>10000000</v>
      </c>
      <c r="AB439" s="97">
        <f t="shared" si="413"/>
        <v>3.7499999999999999E-2</v>
      </c>
      <c r="AC439" s="421">
        <f t="shared" si="264"/>
        <v>1041.6666666666667</v>
      </c>
      <c r="AD439" s="304">
        <f t="shared" si="265"/>
        <v>69791.666666666628</v>
      </c>
      <c r="AE439" s="307">
        <f t="shared" si="266"/>
        <v>166.66666666666674</v>
      </c>
      <c r="AG439" s="11" t="s">
        <v>192</v>
      </c>
      <c r="AH439" s="306">
        <f t="shared" ref="AH439:AI439" si="414">AH438</f>
        <v>6000000</v>
      </c>
      <c r="AI439" s="97">
        <f t="shared" si="414"/>
        <v>3.73E-2</v>
      </c>
      <c r="AJ439" s="421">
        <f t="shared" si="268"/>
        <v>621.66666666666663</v>
      </c>
      <c r="AK439" s="304">
        <f t="shared" si="269"/>
        <v>1243.3333333333333</v>
      </c>
      <c r="AL439" s="307">
        <f t="shared" si="270"/>
        <v>96.666666666666629</v>
      </c>
      <c r="AN439" s="304">
        <f>'codeis $'!AB439</f>
        <v>0</v>
      </c>
      <c r="AO439" s="340">
        <f>'codeis $'!AH439</f>
        <v>0</v>
      </c>
      <c r="AP439" s="304">
        <f>'codeis $'!AE439</f>
        <v>0</v>
      </c>
      <c r="AQ439" s="304">
        <f>'codeis $'!AK439</f>
        <v>0</v>
      </c>
      <c r="AR439" s="9"/>
      <c r="AS439" s="9"/>
      <c r="AT439" s="123"/>
      <c r="AU439" s="123"/>
      <c r="AV439" s="123"/>
      <c r="AW439" s="123"/>
      <c r="AX439" s="123"/>
      <c r="AY439" s="123"/>
      <c r="AZ439" s="123"/>
      <c r="BA439" s="123"/>
      <c r="BC439" s="124">
        <f>'MM $'!G439</f>
        <v>0</v>
      </c>
      <c r="BD439" s="139">
        <f>'MM $'!H439</f>
        <v>0</v>
      </c>
      <c r="BE439" s="431">
        <f>'MM $'!I439</f>
        <v>0</v>
      </c>
      <c r="BF439" s="124">
        <f>'MM $'!L439</f>
        <v>0</v>
      </c>
      <c r="BH439" s="124">
        <f>'MM $'!N439</f>
        <v>0</v>
      </c>
      <c r="BI439" s="139">
        <f>'MM $'!P439</f>
        <v>0</v>
      </c>
      <c r="BJ439" s="431">
        <f>'MM $'!Q439</f>
        <v>0</v>
      </c>
      <c r="BK439" s="124">
        <f>'MM $'!U439</f>
        <v>0</v>
      </c>
      <c r="BM439" s="124">
        <f>'MM $'!W439</f>
        <v>0</v>
      </c>
      <c r="BN439" s="139">
        <f>'MM $'!X439</f>
        <v>0</v>
      </c>
      <c r="BO439" s="431">
        <f>'MM $'!Y439</f>
        <v>0</v>
      </c>
      <c r="BP439" s="124">
        <f>'MM $'!AB439</f>
        <v>0</v>
      </c>
      <c r="BR439" s="124">
        <f>'MM $'!AD439</f>
        <v>0</v>
      </c>
      <c r="BS439" s="139">
        <f>'MM $'!AE439</f>
        <v>0</v>
      </c>
      <c r="BT439" s="431">
        <f>'MM $'!AF439</f>
        <v>0</v>
      </c>
      <c r="BU439" s="124">
        <f>'MM $'!AB439</f>
        <v>0</v>
      </c>
      <c r="BV439" s="439"/>
      <c r="BW439" s="120">
        <f t="shared" si="271"/>
        <v>22450000</v>
      </c>
      <c r="BX439" s="121">
        <f t="shared" si="404"/>
        <v>3.5000000000000003E-2</v>
      </c>
      <c r="BY439" s="121">
        <f t="shared" si="409"/>
        <v>3.7437639198218263E-2</v>
      </c>
      <c r="BZ439" s="120">
        <f t="shared" si="272"/>
        <v>2334.6527777777778</v>
      </c>
      <c r="CA439" s="120">
        <f t="shared" si="273"/>
        <v>370.27777777777783</v>
      </c>
    </row>
    <row r="440" spans="2:79" x14ac:dyDescent="0.25">
      <c r="B440" s="123" t="str">
        <f t="shared" si="249"/>
        <v>3 2026</v>
      </c>
      <c r="C440" s="122">
        <f t="shared" si="250"/>
        <v>46089</v>
      </c>
      <c r="D440" s="122">
        <f t="shared" si="410"/>
        <v>46090</v>
      </c>
      <c r="E440" s="123">
        <f t="shared" si="251"/>
        <v>1</v>
      </c>
      <c r="F440" s="123" t="s">
        <v>7</v>
      </c>
      <c r="G440" s="124">
        <f t="shared" ref="G440:H440" si="415">G439</f>
        <v>1450000</v>
      </c>
      <c r="H440" s="125">
        <f t="shared" si="415"/>
        <v>3.15E-2</v>
      </c>
      <c r="I440" s="124">
        <f t="shared" si="253"/>
        <v>126.875</v>
      </c>
      <c r="J440" s="124">
        <f t="shared" si="254"/>
        <v>7218.75</v>
      </c>
      <c r="K440" s="9"/>
      <c r="L440" s="11"/>
      <c r="M440" s="306"/>
      <c r="N440" s="97"/>
      <c r="O440" s="421"/>
      <c r="P440" s="304"/>
      <c r="Q440" s="307"/>
      <c r="S440" s="11" t="s">
        <v>192</v>
      </c>
      <c r="T440" s="306">
        <f t="shared" ref="T440:U440" si="416">T439</f>
        <v>5000000</v>
      </c>
      <c r="U440" s="97">
        <f t="shared" si="416"/>
        <v>3.9199999999999999E-2</v>
      </c>
      <c r="V440" s="421">
        <f t="shared" si="260"/>
        <v>544.44444444444446</v>
      </c>
      <c r="W440" s="304">
        <f t="shared" si="261"/>
        <v>37022.222222222263</v>
      </c>
      <c r="X440" s="307">
        <f t="shared" si="262"/>
        <v>106.94444444444446</v>
      </c>
      <c r="Z440" s="11" t="s">
        <v>192</v>
      </c>
      <c r="AA440" s="306">
        <f t="shared" ref="AA440:AB440" si="417">AA439</f>
        <v>10000000</v>
      </c>
      <c r="AB440" s="97">
        <f t="shared" si="417"/>
        <v>3.7499999999999999E-2</v>
      </c>
      <c r="AC440" s="421">
        <f t="shared" si="264"/>
        <v>1041.6666666666667</v>
      </c>
      <c r="AD440" s="304">
        <f t="shared" si="265"/>
        <v>70833.333333333299</v>
      </c>
      <c r="AE440" s="307">
        <f t="shared" si="266"/>
        <v>166.66666666666674</v>
      </c>
      <c r="AG440" s="11" t="s">
        <v>192</v>
      </c>
      <c r="AH440" s="306">
        <f t="shared" ref="AH440:AI440" si="418">AH439</f>
        <v>6000000</v>
      </c>
      <c r="AI440" s="97">
        <f t="shared" si="418"/>
        <v>3.73E-2</v>
      </c>
      <c r="AJ440" s="421">
        <f t="shared" si="268"/>
        <v>621.66666666666663</v>
      </c>
      <c r="AK440" s="304">
        <f t="shared" si="269"/>
        <v>1243.3333333333333</v>
      </c>
      <c r="AL440" s="307">
        <f t="shared" si="270"/>
        <v>96.666666666666629</v>
      </c>
      <c r="AN440" s="304">
        <f>'codeis $'!AB440</f>
        <v>0</v>
      </c>
      <c r="AO440" s="340">
        <f>'codeis $'!AH440</f>
        <v>0</v>
      </c>
      <c r="AP440" s="304">
        <f>'codeis $'!AE440</f>
        <v>0</v>
      </c>
      <c r="AQ440" s="304">
        <f>'codeis $'!AK440</f>
        <v>0</v>
      </c>
      <c r="AR440" s="9"/>
      <c r="AS440" s="9"/>
      <c r="AT440" s="123"/>
      <c r="AU440" s="123"/>
      <c r="AV440" s="123"/>
      <c r="AW440" s="123"/>
      <c r="AX440" s="123"/>
      <c r="AY440" s="123"/>
      <c r="AZ440" s="123"/>
      <c r="BA440" s="123"/>
      <c r="BC440" s="124">
        <f>'MM $'!G440</f>
        <v>0</v>
      </c>
      <c r="BD440" s="139">
        <f>'MM $'!H440</f>
        <v>0</v>
      </c>
      <c r="BE440" s="431">
        <f>'MM $'!I440</f>
        <v>0</v>
      </c>
      <c r="BF440" s="124">
        <f>'MM $'!L440</f>
        <v>0</v>
      </c>
      <c r="BH440" s="124">
        <f>'MM $'!N440</f>
        <v>0</v>
      </c>
      <c r="BI440" s="139">
        <f>'MM $'!P440</f>
        <v>0</v>
      </c>
      <c r="BJ440" s="431">
        <f>'MM $'!Q440</f>
        <v>0</v>
      </c>
      <c r="BK440" s="124">
        <f>'MM $'!U440</f>
        <v>0</v>
      </c>
      <c r="BM440" s="124">
        <f>'MM $'!W440</f>
        <v>0</v>
      </c>
      <c r="BN440" s="139">
        <f>'MM $'!X440</f>
        <v>0</v>
      </c>
      <c r="BO440" s="431">
        <f>'MM $'!Y440</f>
        <v>0</v>
      </c>
      <c r="BP440" s="124">
        <f>'MM $'!AB440</f>
        <v>0</v>
      </c>
      <c r="BR440" s="124">
        <f>'MM $'!AD440</f>
        <v>0</v>
      </c>
      <c r="BS440" s="139">
        <f>'MM $'!AE440</f>
        <v>0</v>
      </c>
      <c r="BT440" s="431">
        <f>'MM $'!AF440</f>
        <v>0</v>
      </c>
      <c r="BU440" s="124">
        <f>'MM $'!AB440</f>
        <v>0</v>
      </c>
      <c r="BV440" s="439"/>
      <c r="BW440" s="120">
        <f t="shared" si="271"/>
        <v>22450000</v>
      </c>
      <c r="BX440" s="121">
        <f t="shared" si="404"/>
        <v>3.5000000000000003E-2</v>
      </c>
      <c r="BY440" s="121">
        <f t="shared" si="409"/>
        <v>3.7437639198218263E-2</v>
      </c>
      <c r="BZ440" s="120">
        <f t="shared" si="272"/>
        <v>2334.6527777777778</v>
      </c>
      <c r="CA440" s="120">
        <f t="shared" si="273"/>
        <v>370.27777777777783</v>
      </c>
    </row>
    <row r="441" spans="2:79" x14ac:dyDescent="0.25">
      <c r="B441" s="123" t="str">
        <f t="shared" si="249"/>
        <v>3 2026</v>
      </c>
      <c r="C441" s="122">
        <f t="shared" si="250"/>
        <v>46090</v>
      </c>
      <c r="D441" s="122">
        <f t="shared" si="410"/>
        <v>46091</v>
      </c>
      <c r="E441" s="123">
        <f t="shared" si="251"/>
        <v>1</v>
      </c>
      <c r="F441" s="123" t="s">
        <v>7</v>
      </c>
      <c r="G441" s="124">
        <f t="shared" ref="G441:H441" si="419">G440</f>
        <v>1450000</v>
      </c>
      <c r="H441" s="125">
        <f t="shared" si="419"/>
        <v>3.15E-2</v>
      </c>
      <c r="I441" s="124">
        <f t="shared" si="253"/>
        <v>126.875</v>
      </c>
      <c r="J441" s="124">
        <f t="shared" si="254"/>
        <v>7345.625</v>
      </c>
      <c r="K441" s="9"/>
      <c r="L441" s="11"/>
      <c r="M441" s="306"/>
      <c r="N441" s="97"/>
      <c r="O441" s="421"/>
      <c r="P441" s="304"/>
      <c r="Q441" s="307"/>
      <c r="S441" s="11" t="s">
        <v>192</v>
      </c>
      <c r="T441" s="306">
        <f t="shared" ref="T441:U441" si="420">T440</f>
        <v>5000000</v>
      </c>
      <c r="U441" s="97">
        <f t="shared" si="420"/>
        <v>3.9199999999999999E-2</v>
      </c>
      <c r="V441" s="421">
        <f t="shared" si="260"/>
        <v>544.44444444444446</v>
      </c>
      <c r="W441" s="304">
        <f t="shared" si="261"/>
        <v>37566.666666666708</v>
      </c>
      <c r="X441" s="307">
        <f t="shared" si="262"/>
        <v>106.94444444444446</v>
      </c>
      <c r="Z441" s="11" t="s">
        <v>192</v>
      </c>
      <c r="AA441" s="306">
        <f t="shared" ref="AA441:AB441" si="421">AA440</f>
        <v>10000000</v>
      </c>
      <c r="AB441" s="97">
        <f t="shared" si="421"/>
        <v>3.7499999999999999E-2</v>
      </c>
      <c r="AC441" s="421">
        <f t="shared" si="264"/>
        <v>1041.6666666666667</v>
      </c>
      <c r="AD441" s="304">
        <f t="shared" si="265"/>
        <v>71874.999999999971</v>
      </c>
      <c r="AE441" s="307">
        <f t="shared" si="266"/>
        <v>166.66666666666674</v>
      </c>
      <c r="AG441" s="11" t="s">
        <v>192</v>
      </c>
      <c r="AH441" s="306">
        <f t="shared" ref="AH441:AI441" si="422">AH440</f>
        <v>6000000</v>
      </c>
      <c r="AI441" s="97">
        <f t="shared" si="422"/>
        <v>3.73E-2</v>
      </c>
      <c r="AJ441" s="421">
        <f t="shared" si="268"/>
        <v>621.66666666666663</v>
      </c>
      <c r="AK441" s="304">
        <f t="shared" si="269"/>
        <v>1243.3333333333333</v>
      </c>
      <c r="AL441" s="307">
        <f t="shared" si="270"/>
        <v>96.666666666666629</v>
      </c>
      <c r="AN441" s="304">
        <f>'codeis $'!AB441</f>
        <v>0</v>
      </c>
      <c r="AO441" s="340">
        <f>'codeis $'!AH441</f>
        <v>0</v>
      </c>
      <c r="AP441" s="304">
        <f>'codeis $'!AE441</f>
        <v>0</v>
      </c>
      <c r="AQ441" s="304">
        <f>'codeis $'!AK441</f>
        <v>0</v>
      </c>
      <c r="AR441" s="9"/>
      <c r="AS441" s="9"/>
      <c r="AT441" s="123"/>
      <c r="AU441" s="123"/>
      <c r="AV441" s="123"/>
      <c r="AW441" s="123"/>
      <c r="AX441" s="123"/>
      <c r="AY441" s="123"/>
      <c r="AZ441" s="123"/>
      <c r="BA441" s="123"/>
      <c r="BC441" s="124">
        <f>'MM $'!G441</f>
        <v>0</v>
      </c>
      <c r="BD441" s="139">
        <f>'MM $'!H441</f>
        <v>0</v>
      </c>
      <c r="BE441" s="431">
        <f>'MM $'!I441</f>
        <v>0</v>
      </c>
      <c r="BF441" s="124">
        <f>'MM $'!L441</f>
        <v>0</v>
      </c>
      <c r="BH441" s="124">
        <f>'MM $'!N441</f>
        <v>0</v>
      </c>
      <c r="BI441" s="139">
        <f>'MM $'!P441</f>
        <v>0</v>
      </c>
      <c r="BJ441" s="431">
        <f>'MM $'!Q441</f>
        <v>0</v>
      </c>
      <c r="BK441" s="124">
        <f>'MM $'!U441</f>
        <v>0</v>
      </c>
      <c r="BM441" s="124">
        <f>'MM $'!W441</f>
        <v>0</v>
      </c>
      <c r="BN441" s="139">
        <f>'MM $'!X441</f>
        <v>0</v>
      </c>
      <c r="BO441" s="431">
        <f>'MM $'!Y441</f>
        <v>0</v>
      </c>
      <c r="BP441" s="124">
        <f>'MM $'!AB441</f>
        <v>0</v>
      </c>
      <c r="BR441" s="124">
        <f>'MM $'!AD441</f>
        <v>0</v>
      </c>
      <c r="BS441" s="139">
        <f>'MM $'!AE441</f>
        <v>0</v>
      </c>
      <c r="BT441" s="431">
        <f>'MM $'!AF441</f>
        <v>0</v>
      </c>
      <c r="BU441" s="124">
        <f>'MM $'!AB441</f>
        <v>0</v>
      </c>
      <c r="BV441" s="439"/>
      <c r="BW441" s="120">
        <f t="shared" si="271"/>
        <v>22450000</v>
      </c>
      <c r="BX441" s="121">
        <f t="shared" si="404"/>
        <v>3.5000000000000003E-2</v>
      </c>
      <c r="BY441" s="121">
        <f t="shared" si="409"/>
        <v>3.7437639198218263E-2</v>
      </c>
      <c r="BZ441" s="120">
        <f t="shared" si="272"/>
        <v>2334.6527777777778</v>
      </c>
      <c r="CA441" s="120">
        <f t="shared" si="273"/>
        <v>370.27777777777783</v>
      </c>
    </row>
    <row r="442" spans="2:79" x14ac:dyDescent="0.25">
      <c r="B442" s="123" t="str">
        <f t="shared" si="249"/>
        <v>3 2026</v>
      </c>
      <c r="C442" s="122">
        <f t="shared" si="250"/>
        <v>46091</v>
      </c>
      <c r="D442" s="122">
        <f t="shared" si="410"/>
        <v>46092</v>
      </c>
      <c r="E442" s="123">
        <f t="shared" si="251"/>
        <v>1</v>
      </c>
      <c r="F442" s="123" t="s">
        <v>7</v>
      </c>
      <c r="G442" s="124">
        <f t="shared" ref="G442:H442" si="423">G441</f>
        <v>1450000</v>
      </c>
      <c r="H442" s="125">
        <f t="shared" si="423"/>
        <v>3.15E-2</v>
      </c>
      <c r="I442" s="124">
        <f t="shared" si="253"/>
        <v>126.875</v>
      </c>
      <c r="J442" s="124">
        <f t="shared" si="254"/>
        <v>7472.5</v>
      </c>
      <c r="K442" s="9"/>
      <c r="L442" s="11"/>
      <c r="M442" s="306"/>
      <c r="N442" s="97"/>
      <c r="O442" s="421"/>
      <c r="P442" s="304"/>
      <c r="Q442" s="307"/>
      <c r="S442" s="11" t="s">
        <v>192</v>
      </c>
      <c r="T442" s="306">
        <f t="shared" ref="T442:U442" si="424">T441</f>
        <v>5000000</v>
      </c>
      <c r="U442" s="97">
        <f t="shared" si="424"/>
        <v>3.9199999999999999E-2</v>
      </c>
      <c r="V442" s="421">
        <f t="shared" si="260"/>
        <v>544.44444444444446</v>
      </c>
      <c r="W442" s="304">
        <f t="shared" si="261"/>
        <v>38111.111111111153</v>
      </c>
      <c r="X442" s="307">
        <f t="shared" si="262"/>
        <v>106.94444444444446</v>
      </c>
      <c r="Z442" s="11" t="s">
        <v>192</v>
      </c>
      <c r="AA442" s="306">
        <f t="shared" ref="AA442:AB442" si="425">AA441</f>
        <v>10000000</v>
      </c>
      <c r="AB442" s="97">
        <f t="shared" si="425"/>
        <v>3.7499999999999999E-2</v>
      </c>
      <c r="AC442" s="421">
        <f t="shared" si="264"/>
        <v>1041.6666666666667</v>
      </c>
      <c r="AD442" s="304">
        <f t="shared" si="265"/>
        <v>72916.666666666642</v>
      </c>
      <c r="AE442" s="307">
        <f t="shared" si="266"/>
        <v>166.66666666666674</v>
      </c>
      <c r="AG442" s="11" t="s">
        <v>192</v>
      </c>
      <c r="AH442" s="306">
        <f t="shared" ref="AH442:AI442" si="426">AH441</f>
        <v>6000000</v>
      </c>
      <c r="AI442" s="97">
        <f t="shared" si="426"/>
        <v>3.73E-2</v>
      </c>
      <c r="AJ442" s="421">
        <f t="shared" si="268"/>
        <v>621.66666666666663</v>
      </c>
      <c r="AK442" s="304">
        <f t="shared" si="269"/>
        <v>1243.3333333333333</v>
      </c>
      <c r="AL442" s="307">
        <f t="shared" si="270"/>
        <v>96.666666666666629</v>
      </c>
      <c r="AN442" s="304">
        <f>'codeis $'!AB442</f>
        <v>0</v>
      </c>
      <c r="AO442" s="340">
        <f>'codeis $'!AH442</f>
        <v>0</v>
      </c>
      <c r="AP442" s="304">
        <f>'codeis $'!AE442</f>
        <v>0</v>
      </c>
      <c r="AQ442" s="304">
        <f>'codeis $'!AK442</f>
        <v>0</v>
      </c>
      <c r="AR442" s="9"/>
      <c r="AS442" s="9"/>
      <c r="AT442" s="123"/>
      <c r="AU442" s="123"/>
      <c r="AV442" s="123"/>
      <c r="AW442" s="123"/>
      <c r="AX442" s="123"/>
      <c r="AY442" s="123"/>
      <c r="AZ442" s="123"/>
      <c r="BA442" s="123"/>
      <c r="BC442" s="124">
        <f>'MM $'!G442</f>
        <v>0</v>
      </c>
      <c r="BD442" s="139">
        <f>'MM $'!H442</f>
        <v>0</v>
      </c>
      <c r="BE442" s="431">
        <f>'MM $'!I442</f>
        <v>0</v>
      </c>
      <c r="BF442" s="124">
        <f>'MM $'!L442</f>
        <v>0</v>
      </c>
      <c r="BH442" s="124">
        <f>'MM $'!N442</f>
        <v>0</v>
      </c>
      <c r="BI442" s="139">
        <f>'MM $'!P442</f>
        <v>0</v>
      </c>
      <c r="BJ442" s="431">
        <f>'MM $'!Q442</f>
        <v>0</v>
      </c>
      <c r="BK442" s="124">
        <f>'MM $'!U442</f>
        <v>0</v>
      </c>
      <c r="BM442" s="124">
        <f>'MM $'!W442</f>
        <v>0</v>
      </c>
      <c r="BN442" s="139">
        <f>'MM $'!X442</f>
        <v>0</v>
      </c>
      <c r="BO442" s="431">
        <f>'MM $'!Y442</f>
        <v>0</v>
      </c>
      <c r="BP442" s="124">
        <f>'MM $'!AB442</f>
        <v>0</v>
      </c>
      <c r="BR442" s="124">
        <f>'MM $'!AD442</f>
        <v>0</v>
      </c>
      <c r="BS442" s="139">
        <f>'MM $'!AE442</f>
        <v>0</v>
      </c>
      <c r="BT442" s="431">
        <f>'MM $'!AF442</f>
        <v>0</v>
      </c>
      <c r="BU442" s="124">
        <f>'MM $'!AB442</f>
        <v>0</v>
      </c>
      <c r="BV442" s="439"/>
      <c r="BW442" s="120">
        <f t="shared" si="271"/>
        <v>22450000</v>
      </c>
      <c r="BX442" s="121">
        <f t="shared" si="404"/>
        <v>3.5000000000000003E-2</v>
      </c>
      <c r="BY442" s="121">
        <f t="shared" si="409"/>
        <v>3.7437639198218263E-2</v>
      </c>
      <c r="BZ442" s="120">
        <f t="shared" si="272"/>
        <v>2334.6527777777778</v>
      </c>
      <c r="CA442" s="120">
        <f t="shared" si="273"/>
        <v>370.27777777777783</v>
      </c>
    </row>
    <row r="443" spans="2:79" x14ac:dyDescent="0.25">
      <c r="B443" s="123" t="str">
        <f t="shared" si="249"/>
        <v>3 2026</v>
      </c>
      <c r="C443" s="122">
        <f t="shared" si="250"/>
        <v>46092</v>
      </c>
      <c r="D443" s="122">
        <f t="shared" si="410"/>
        <v>46093</v>
      </c>
      <c r="E443" s="123">
        <f t="shared" si="251"/>
        <v>1</v>
      </c>
      <c r="F443" s="123" t="s">
        <v>7</v>
      </c>
      <c r="G443" s="124">
        <f t="shared" ref="G443:H443" si="427">G442</f>
        <v>1450000</v>
      </c>
      <c r="H443" s="125">
        <f t="shared" si="427"/>
        <v>3.15E-2</v>
      </c>
      <c r="I443" s="124">
        <f t="shared" si="253"/>
        <v>126.875</v>
      </c>
      <c r="J443" s="124">
        <f t="shared" si="254"/>
        <v>7599.375</v>
      </c>
      <c r="K443" s="9"/>
      <c r="L443" s="11"/>
      <c r="M443" s="306"/>
      <c r="N443" s="97"/>
      <c r="O443" s="421"/>
      <c r="P443" s="304"/>
      <c r="Q443" s="307"/>
      <c r="S443" s="11" t="s">
        <v>192</v>
      </c>
      <c r="T443" s="306">
        <f t="shared" ref="T443:U443" si="428">T442</f>
        <v>5000000</v>
      </c>
      <c r="U443" s="97">
        <f t="shared" si="428"/>
        <v>3.9199999999999999E-2</v>
      </c>
      <c r="V443" s="421">
        <f t="shared" si="260"/>
        <v>544.44444444444446</v>
      </c>
      <c r="W443" s="304">
        <f t="shared" si="261"/>
        <v>38655.555555555598</v>
      </c>
      <c r="X443" s="307">
        <f t="shared" si="262"/>
        <v>106.94444444444446</v>
      </c>
      <c r="Z443" s="11" t="s">
        <v>192</v>
      </c>
      <c r="AA443" s="306">
        <f t="shared" ref="AA443:AB443" si="429">AA442</f>
        <v>10000000</v>
      </c>
      <c r="AB443" s="97">
        <f t="shared" si="429"/>
        <v>3.7499999999999999E-2</v>
      </c>
      <c r="AC443" s="421">
        <f t="shared" si="264"/>
        <v>1041.6666666666667</v>
      </c>
      <c r="AD443" s="304">
        <f t="shared" si="265"/>
        <v>73958.333333333314</v>
      </c>
      <c r="AE443" s="307">
        <f t="shared" si="266"/>
        <v>166.66666666666674</v>
      </c>
      <c r="AG443" s="11" t="s">
        <v>192</v>
      </c>
      <c r="AH443" s="306">
        <f t="shared" ref="AH443:AI443" si="430">AH442</f>
        <v>6000000</v>
      </c>
      <c r="AI443" s="97">
        <f t="shared" si="430"/>
        <v>3.73E-2</v>
      </c>
      <c r="AJ443" s="421">
        <f t="shared" si="268"/>
        <v>621.66666666666663</v>
      </c>
      <c r="AK443" s="304">
        <f t="shared" si="269"/>
        <v>1243.3333333333333</v>
      </c>
      <c r="AL443" s="307">
        <f t="shared" si="270"/>
        <v>96.666666666666629</v>
      </c>
      <c r="AN443" s="304">
        <f>'codeis $'!AB443</f>
        <v>0</v>
      </c>
      <c r="AO443" s="340">
        <f>'codeis $'!AH443</f>
        <v>0</v>
      </c>
      <c r="AP443" s="304">
        <f>'codeis $'!AE443</f>
        <v>0</v>
      </c>
      <c r="AQ443" s="304">
        <f>'codeis $'!AK443</f>
        <v>0</v>
      </c>
      <c r="AR443" s="9"/>
      <c r="AS443" s="9"/>
      <c r="AT443" s="123"/>
      <c r="AU443" s="123"/>
      <c r="AV443" s="123"/>
      <c r="AW443" s="123"/>
      <c r="AX443" s="123"/>
      <c r="AY443" s="123"/>
      <c r="AZ443" s="123"/>
      <c r="BA443" s="123"/>
      <c r="BC443" s="124">
        <f>'MM $'!G443</f>
        <v>0</v>
      </c>
      <c r="BD443" s="139">
        <f>'MM $'!H443</f>
        <v>0</v>
      </c>
      <c r="BE443" s="431">
        <f>'MM $'!I443</f>
        <v>0</v>
      </c>
      <c r="BF443" s="124">
        <f>'MM $'!L443</f>
        <v>0</v>
      </c>
      <c r="BH443" s="124">
        <f>'MM $'!N443</f>
        <v>0</v>
      </c>
      <c r="BI443" s="139">
        <f>'MM $'!P443</f>
        <v>0</v>
      </c>
      <c r="BJ443" s="431">
        <f>'MM $'!Q443</f>
        <v>0</v>
      </c>
      <c r="BK443" s="124">
        <f>'MM $'!U443</f>
        <v>0</v>
      </c>
      <c r="BM443" s="124">
        <f>'MM $'!W443</f>
        <v>0</v>
      </c>
      <c r="BN443" s="139">
        <f>'MM $'!X443</f>
        <v>0</v>
      </c>
      <c r="BO443" s="431">
        <f>'MM $'!Y443</f>
        <v>0</v>
      </c>
      <c r="BP443" s="124">
        <f>'MM $'!AB443</f>
        <v>0</v>
      </c>
      <c r="BR443" s="124">
        <f>'MM $'!AD443</f>
        <v>0</v>
      </c>
      <c r="BS443" s="139">
        <f>'MM $'!AE443</f>
        <v>0</v>
      </c>
      <c r="BT443" s="431">
        <f>'MM $'!AF443</f>
        <v>0</v>
      </c>
      <c r="BU443" s="124">
        <f>'MM $'!AB443</f>
        <v>0</v>
      </c>
      <c r="BV443" s="439"/>
      <c r="BW443" s="120">
        <f t="shared" si="271"/>
        <v>22450000</v>
      </c>
      <c r="BX443" s="121">
        <f t="shared" si="404"/>
        <v>3.5000000000000003E-2</v>
      </c>
      <c r="BY443" s="121">
        <f t="shared" si="409"/>
        <v>3.7437639198218263E-2</v>
      </c>
      <c r="BZ443" s="120">
        <f t="shared" si="272"/>
        <v>2334.6527777777778</v>
      </c>
      <c r="CA443" s="120">
        <f t="shared" si="273"/>
        <v>370.27777777777783</v>
      </c>
    </row>
    <row r="444" spans="2:79" x14ac:dyDescent="0.25">
      <c r="B444" s="123" t="str">
        <f t="shared" si="249"/>
        <v>3 2026</v>
      </c>
      <c r="C444" s="122">
        <f t="shared" si="250"/>
        <v>46093</v>
      </c>
      <c r="D444" s="122">
        <f t="shared" si="410"/>
        <v>46094</v>
      </c>
      <c r="E444" s="123">
        <f t="shared" si="251"/>
        <v>1</v>
      </c>
      <c r="F444" s="123" t="s">
        <v>7</v>
      </c>
      <c r="G444" s="124">
        <f t="shared" ref="G444:H444" si="431">G443</f>
        <v>1450000</v>
      </c>
      <c r="H444" s="125">
        <f t="shared" si="431"/>
        <v>3.15E-2</v>
      </c>
      <c r="I444" s="124">
        <f t="shared" si="253"/>
        <v>126.875</v>
      </c>
      <c r="J444" s="124">
        <f t="shared" si="254"/>
        <v>7726.25</v>
      </c>
      <c r="K444" s="9"/>
      <c r="L444" s="11"/>
      <c r="M444" s="306"/>
      <c r="N444" s="97"/>
      <c r="O444" s="421"/>
      <c r="P444" s="304"/>
      <c r="Q444" s="307"/>
      <c r="S444" s="11" t="s">
        <v>192</v>
      </c>
      <c r="T444" s="306">
        <f t="shared" ref="T444:U444" si="432">T443</f>
        <v>5000000</v>
      </c>
      <c r="U444" s="97">
        <f t="shared" si="432"/>
        <v>3.9199999999999999E-2</v>
      </c>
      <c r="V444" s="421">
        <f t="shared" si="260"/>
        <v>544.44444444444446</v>
      </c>
      <c r="W444" s="304">
        <f t="shared" si="261"/>
        <v>39200.000000000044</v>
      </c>
      <c r="X444" s="307">
        <f t="shared" si="262"/>
        <v>106.94444444444446</v>
      </c>
      <c r="Z444" s="11" t="s">
        <v>192</v>
      </c>
      <c r="AA444" s="306">
        <f t="shared" ref="AA444:AB444" si="433">AA443</f>
        <v>10000000</v>
      </c>
      <c r="AB444" s="97">
        <f t="shared" si="433"/>
        <v>3.7499999999999999E-2</v>
      </c>
      <c r="AC444" s="421">
        <f t="shared" si="264"/>
        <v>1041.6666666666667</v>
      </c>
      <c r="AD444" s="304">
        <f t="shared" si="265"/>
        <v>74999.999999999985</v>
      </c>
      <c r="AE444" s="307">
        <f t="shared" si="266"/>
        <v>166.66666666666674</v>
      </c>
      <c r="AG444" s="11" t="s">
        <v>192</v>
      </c>
      <c r="AH444" s="306">
        <f t="shared" ref="AH444:AI444" si="434">AH443</f>
        <v>6000000</v>
      </c>
      <c r="AI444" s="97">
        <f t="shared" si="434"/>
        <v>3.73E-2</v>
      </c>
      <c r="AJ444" s="421">
        <f t="shared" si="268"/>
        <v>621.66666666666663</v>
      </c>
      <c r="AK444" s="304">
        <f t="shared" si="269"/>
        <v>1243.3333333333333</v>
      </c>
      <c r="AL444" s="307">
        <f t="shared" si="270"/>
        <v>96.666666666666629</v>
      </c>
      <c r="AN444" s="304">
        <f>'codeis $'!AB444</f>
        <v>0</v>
      </c>
      <c r="AO444" s="340">
        <f>'codeis $'!AH444</f>
        <v>0</v>
      </c>
      <c r="AP444" s="304">
        <f>'codeis $'!AE444</f>
        <v>0</v>
      </c>
      <c r="AQ444" s="304">
        <f>'codeis $'!AK444</f>
        <v>0</v>
      </c>
      <c r="AR444" s="9"/>
      <c r="AS444" s="9"/>
      <c r="AT444" s="123"/>
      <c r="AU444" s="123"/>
      <c r="AV444" s="123"/>
      <c r="AW444" s="123"/>
      <c r="AX444" s="123"/>
      <c r="AY444" s="123"/>
      <c r="AZ444" s="123"/>
      <c r="BA444" s="123"/>
      <c r="BC444" s="124">
        <f>'MM $'!G444</f>
        <v>0</v>
      </c>
      <c r="BD444" s="139">
        <f>'MM $'!H444</f>
        <v>0</v>
      </c>
      <c r="BE444" s="431">
        <f>'MM $'!I444</f>
        <v>0</v>
      </c>
      <c r="BF444" s="124">
        <f>'MM $'!L444</f>
        <v>0</v>
      </c>
      <c r="BH444" s="124">
        <f>'MM $'!N444</f>
        <v>0</v>
      </c>
      <c r="BI444" s="139">
        <f>'MM $'!P444</f>
        <v>0</v>
      </c>
      <c r="BJ444" s="431">
        <f>'MM $'!Q444</f>
        <v>0</v>
      </c>
      <c r="BK444" s="124">
        <f>'MM $'!U444</f>
        <v>0</v>
      </c>
      <c r="BM444" s="124">
        <f>'MM $'!W444</f>
        <v>0</v>
      </c>
      <c r="BN444" s="139">
        <f>'MM $'!X444</f>
        <v>0</v>
      </c>
      <c r="BO444" s="431">
        <f>'MM $'!Y444</f>
        <v>0</v>
      </c>
      <c r="BP444" s="124">
        <f>'MM $'!AB444</f>
        <v>0</v>
      </c>
      <c r="BR444" s="124">
        <f>'MM $'!AD444</f>
        <v>0</v>
      </c>
      <c r="BS444" s="139">
        <f>'MM $'!AE444</f>
        <v>0</v>
      </c>
      <c r="BT444" s="431">
        <f>'MM $'!AF444</f>
        <v>0</v>
      </c>
      <c r="BU444" s="124">
        <f>'MM $'!AB444</f>
        <v>0</v>
      </c>
      <c r="BV444" s="439"/>
      <c r="BW444" s="120">
        <f t="shared" si="271"/>
        <v>22450000</v>
      </c>
      <c r="BX444" s="121">
        <f t="shared" si="404"/>
        <v>3.5000000000000003E-2</v>
      </c>
      <c r="BY444" s="121">
        <f t="shared" si="409"/>
        <v>3.7437639198218263E-2</v>
      </c>
      <c r="BZ444" s="120">
        <f t="shared" si="272"/>
        <v>2334.6527777777778</v>
      </c>
      <c r="CA444" s="120">
        <f t="shared" si="273"/>
        <v>370.27777777777783</v>
      </c>
    </row>
    <row r="445" spans="2:79" x14ac:dyDescent="0.25">
      <c r="B445" s="123" t="str">
        <f t="shared" si="249"/>
        <v>3 2026</v>
      </c>
      <c r="C445" s="122">
        <f t="shared" si="250"/>
        <v>46094</v>
      </c>
      <c r="D445" s="122">
        <f t="shared" si="410"/>
        <v>46095</v>
      </c>
      <c r="E445" s="123">
        <f t="shared" si="251"/>
        <v>1</v>
      </c>
      <c r="F445" s="123" t="s">
        <v>7</v>
      </c>
      <c r="G445" s="124">
        <f t="shared" ref="G445:H445" si="435">G444</f>
        <v>1450000</v>
      </c>
      <c r="H445" s="125">
        <f t="shared" si="435"/>
        <v>3.15E-2</v>
      </c>
      <c r="I445" s="124">
        <f t="shared" si="253"/>
        <v>126.875</v>
      </c>
      <c r="J445" s="124">
        <f t="shared" si="254"/>
        <v>7853.125</v>
      </c>
      <c r="K445" s="9"/>
      <c r="L445" s="11"/>
      <c r="M445" s="306"/>
      <c r="N445" s="97"/>
      <c r="O445" s="421"/>
      <c r="P445" s="304"/>
      <c r="Q445" s="307"/>
      <c r="S445" s="11" t="s">
        <v>192</v>
      </c>
      <c r="T445" s="306">
        <f t="shared" ref="T445:U445" si="436">T444</f>
        <v>5000000</v>
      </c>
      <c r="U445" s="97">
        <f t="shared" si="436"/>
        <v>3.9199999999999999E-2</v>
      </c>
      <c r="V445" s="421">
        <f t="shared" si="260"/>
        <v>544.44444444444446</v>
      </c>
      <c r="W445" s="304">
        <f t="shared" si="261"/>
        <v>39744.444444444489</v>
      </c>
      <c r="X445" s="307">
        <f t="shared" si="262"/>
        <v>106.94444444444446</v>
      </c>
      <c r="Z445" s="11" t="s">
        <v>192</v>
      </c>
      <c r="AA445" s="306">
        <f t="shared" ref="AA445:AB445" si="437">AA444</f>
        <v>10000000</v>
      </c>
      <c r="AB445" s="97">
        <f t="shared" si="437"/>
        <v>3.7499999999999999E-2</v>
      </c>
      <c r="AC445" s="421">
        <f t="shared" si="264"/>
        <v>1041.6666666666667</v>
      </c>
      <c r="AD445" s="304">
        <f t="shared" si="265"/>
        <v>76041.666666666657</v>
      </c>
      <c r="AE445" s="307">
        <f t="shared" si="266"/>
        <v>166.66666666666674</v>
      </c>
      <c r="AG445" s="11" t="s">
        <v>192</v>
      </c>
      <c r="AH445" s="306">
        <f t="shared" ref="AH445:AI445" si="438">AH444</f>
        <v>6000000</v>
      </c>
      <c r="AI445" s="97">
        <f t="shared" si="438"/>
        <v>3.73E-2</v>
      </c>
      <c r="AJ445" s="421">
        <f t="shared" si="268"/>
        <v>621.66666666666663</v>
      </c>
      <c r="AK445" s="304">
        <f t="shared" si="269"/>
        <v>1243.3333333333333</v>
      </c>
      <c r="AL445" s="307">
        <f t="shared" si="270"/>
        <v>96.666666666666629</v>
      </c>
      <c r="AN445" s="304">
        <f>'codeis $'!AB445</f>
        <v>0</v>
      </c>
      <c r="AO445" s="340">
        <f>'codeis $'!AH445</f>
        <v>0</v>
      </c>
      <c r="AP445" s="304">
        <f>'codeis $'!AE445</f>
        <v>0</v>
      </c>
      <c r="AQ445" s="304">
        <f>'codeis $'!AK445</f>
        <v>0</v>
      </c>
      <c r="AR445" s="9"/>
      <c r="AS445" s="9"/>
      <c r="AT445" s="123"/>
      <c r="AU445" s="123"/>
      <c r="AV445" s="123"/>
      <c r="AW445" s="123"/>
      <c r="AX445" s="123"/>
      <c r="AY445" s="123"/>
      <c r="AZ445" s="123"/>
      <c r="BA445" s="123"/>
      <c r="BC445" s="124">
        <f>'MM $'!G445</f>
        <v>0</v>
      </c>
      <c r="BD445" s="139">
        <f>'MM $'!H445</f>
        <v>0</v>
      </c>
      <c r="BE445" s="431">
        <f>'MM $'!I445</f>
        <v>0</v>
      </c>
      <c r="BF445" s="124">
        <f>'MM $'!L445</f>
        <v>0</v>
      </c>
      <c r="BH445" s="124">
        <f>'MM $'!N445</f>
        <v>0</v>
      </c>
      <c r="BI445" s="139">
        <f>'MM $'!P445</f>
        <v>0</v>
      </c>
      <c r="BJ445" s="431">
        <f>'MM $'!Q445</f>
        <v>0</v>
      </c>
      <c r="BK445" s="124">
        <f>'MM $'!U445</f>
        <v>0</v>
      </c>
      <c r="BM445" s="124">
        <f>'MM $'!W445</f>
        <v>0</v>
      </c>
      <c r="BN445" s="139">
        <f>'MM $'!X445</f>
        <v>0</v>
      </c>
      <c r="BO445" s="431">
        <f>'MM $'!Y445</f>
        <v>0</v>
      </c>
      <c r="BP445" s="124">
        <f>'MM $'!AB445</f>
        <v>0</v>
      </c>
      <c r="BR445" s="124">
        <f>'MM $'!AD445</f>
        <v>0</v>
      </c>
      <c r="BS445" s="139">
        <f>'MM $'!AE445</f>
        <v>0</v>
      </c>
      <c r="BT445" s="431">
        <f>'MM $'!AF445</f>
        <v>0</v>
      </c>
      <c r="BU445" s="124">
        <f>'MM $'!AB445</f>
        <v>0</v>
      </c>
      <c r="BV445" s="439"/>
      <c r="BW445" s="120">
        <f t="shared" si="271"/>
        <v>22450000</v>
      </c>
      <c r="BX445" s="121">
        <f t="shared" si="404"/>
        <v>3.5000000000000003E-2</v>
      </c>
      <c r="BY445" s="121">
        <f t="shared" si="409"/>
        <v>3.7437639198218263E-2</v>
      </c>
      <c r="BZ445" s="120">
        <f t="shared" si="272"/>
        <v>2334.6527777777778</v>
      </c>
      <c r="CA445" s="120">
        <f t="shared" si="273"/>
        <v>370.27777777777783</v>
      </c>
    </row>
    <row r="446" spans="2:79" x14ac:dyDescent="0.25">
      <c r="B446" s="123" t="str">
        <f t="shared" si="249"/>
        <v>3 2026</v>
      </c>
      <c r="C446" s="122">
        <f t="shared" si="250"/>
        <v>46095</v>
      </c>
      <c r="D446" s="122">
        <f t="shared" si="410"/>
        <v>46096</v>
      </c>
      <c r="E446" s="123">
        <f t="shared" si="251"/>
        <v>1</v>
      </c>
      <c r="F446" s="123" t="s">
        <v>7</v>
      </c>
      <c r="G446" s="124">
        <f t="shared" ref="G446:H446" si="439">G445</f>
        <v>1450000</v>
      </c>
      <c r="H446" s="125">
        <f t="shared" si="439"/>
        <v>3.15E-2</v>
      </c>
      <c r="I446" s="124">
        <f t="shared" si="253"/>
        <v>126.875</v>
      </c>
      <c r="J446" s="124">
        <f t="shared" si="254"/>
        <v>7980</v>
      </c>
      <c r="K446" s="9"/>
      <c r="L446" s="11"/>
      <c r="M446" s="306"/>
      <c r="N446" s="97"/>
      <c r="O446" s="421"/>
      <c r="P446" s="304"/>
      <c r="Q446" s="307"/>
      <c r="S446" s="11" t="s">
        <v>192</v>
      </c>
      <c r="T446" s="306">
        <f t="shared" ref="T446:U446" si="440">T445</f>
        <v>5000000</v>
      </c>
      <c r="U446" s="97">
        <f t="shared" si="440"/>
        <v>3.9199999999999999E-2</v>
      </c>
      <c r="V446" s="421">
        <f t="shared" si="260"/>
        <v>544.44444444444446</v>
      </c>
      <c r="W446" s="304">
        <f t="shared" si="261"/>
        <v>40288.888888888934</v>
      </c>
      <c r="X446" s="307">
        <f t="shared" si="262"/>
        <v>106.94444444444446</v>
      </c>
      <c r="Z446" s="11" t="s">
        <v>192</v>
      </c>
      <c r="AA446" s="306">
        <f t="shared" ref="AA446:AB446" si="441">AA445</f>
        <v>10000000</v>
      </c>
      <c r="AB446" s="97">
        <f t="shared" si="441"/>
        <v>3.7499999999999999E-2</v>
      </c>
      <c r="AC446" s="421">
        <f t="shared" si="264"/>
        <v>1041.6666666666667</v>
      </c>
      <c r="AD446" s="304">
        <f t="shared" si="265"/>
        <v>77083.333333333328</v>
      </c>
      <c r="AE446" s="307">
        <f t="shared" si="266"/>
        <v>166.66666666666674</v>
      </c>
      <c r="AG446" s="11" t="s">
        <v>192</v>
      </c>
      <c r="AH446" s="306">
        <f t="shared" ref="AH446:AI446" si="442">AH445</f>
        <v>6000000</v>
      </c>
      <c r="AI446" s="97">
        <f t="shared" si="442"/>
        <v>3.73E-2</v>
      </c>
      <c r="AJ446" s="421">
        <f t="shared" si="268"/>
        <v>621.66666666666663</v>
      </c>
      <c r="AK446" s="304">
        <f t="shared" si="269"/>
        <v>1243.3333333333333</v>
      </c>
      <c r="AL446" s="307">
        <f t="shared" si="270"/>
        <v>96.666666666666629</v>
      </c>
      <c r="AN446" s="304">
        <f>'codeis $'!AB446</f>
        <v>0</v>
      </c>
      <c r="AO446" s="340">
        <f>'codeis $'!AH446</f>
        <v>0</v>
      </c>
      <c r="AP446" s="304">
        <f>'codeis $'!AE446</f>
        <v>0</v>
      </c>
      <c r="AQ446" s="304">
        <f>'codeis $'!AK446</f>
        <v>0</v>
      </c>
      <c r="AR446" s="9"/>
      <c r="AS446" s="9"/>
      <c r="AT446" s="123"/>
      <c r="AU446" s="123"/>
      <c r="AV446" s="123"/>
      <c r="AW446" s="123"/>
      <c r="AX446" s="123"/>
      <c r="AY446" s="123"/>
      <c r="AZ446" s="123"/>
      <c r="BA446" s="123"/>
      <c r="BC446" s="124">
        <f>'MM $'!G446</f>
        <v>0</v>
      </c>
      <c r="BD446" s="139">
        <f>'MM $'!H446</f>
        <v>0</v>
      </c>
      <c r="BE446" s="431">
        <f>'MM $'!I446</f>
        <v>0</v>
      </c>
      <c r="BF446" s="124">
        <f>'MM $'!L446</f>
        <v>0</v>
      </c>
      <c r="BH446" s="124">
        <f>'MM $'!N446</f>
        <v>0</v>
      </c>
      <c r="BI446" s="139">
        <f>'MM $'!P446</f>
        <v>0</v>
      </c>
      <c r="BJ446" s="431">
        <f>'MM $'!Q446</f>
        <v>0</v>
      </c>
      <c r="BK446" s="124">
        <f>'MM $'!U446</f>
        <v>0</v>
      </c>
      <c r="BM446" s="124">
        <f>'MM $'!W446</f>
        <v>0</v>
      </c>
      <c r="BN446" s="139">
        <f>'MM $'!X446</f>
        <v>0</v>
      </c>
      <c r="BO446" s="431">
        <f>'MM $'!Y446</f>
        <v>0</v>
      </c>
      <c r="BP446" s="124">
        <f>'MM $'!AB446</f>
        <v>0</v>
      </c>
      <c r="BR446" s="124">
        <f>'MM $'!AD446</f>
        <v>0</v>
      </c>
      <c r="BS446" s="139">
        <f>'MM $'!AE446</f>
        <v>0</v>
      </c>
      <c r="BT446" s="431">
        <f>'MM $'!AF446</f>
        <v>0</v>
      </c>
      <c r="BU446" s="124">
        <f>'MM $'!AB446</f>
        <v>0</v>
      </c>
      <c r="BV446" s="439"/>
      <c r="BW446" s="120">
        <f t="shared" si="271"/>
        <v>22450000</v>
      </c>
      <c r="BX446" s="121">
        <f t="shared" si="404"/>
        <v>3.5000000000000003E-2</v>
      </c>
      <c r="BY446" s="121">
        <f t="shared" si="409"/>
        <v>3.7437639198218263E-2</v>
      </c>
      <c r="BZ446" s="120">
        <f t="shared" si="272"/>
        <v>2334.6527777777778</v>
      </c>
      <c r="CA446" s="120">
        <f t="shared" si="273"/>
        <v>370.27777777777783</v>
      </c>
    </row>
    <row r="447" spans="2:79" x14ac:dyDescent="0.25">
      <c r="B447" s="123" t="str">
        <f t="shared" si="249"/>
        <v>3 2026</v>
      </c>
      <c r="C447" s="122">
        <f t="shared" si="250"/>
        <v>46096</v>
      </c>
      <c r="D447" s="122">
        <f t="shared" si="410"/>
        <v>46097</v>
      </c>
      <c r="E447" s="123">
        <f t="shared" si="251"/>
        <v>1</v>
      </c>
      <c r="F447" s="123" t="s">
        <v>7</v>
      </c>
      <c r="G447" s="124">
        <f t="shared" ref="G447:H447" si="443">G446</f>
        <v>1450000</v>
      </c>
      <c r="H447" s="125">
        <f t="shared" si="443"/>
        <v>3.15E-2</v>
      </c>
      <c r="I447" s="124">
        <f t="shared" si="253"/>
        <v>126.875</v>
      </c>
      <c r="J447" s="124">
        <f t="shared" si="254"/>
        <v>8106.875</v>
      </c>
      <c r="K447" s="9"/>
      <c r="L447" s="11"/>
      <c r="M447" s="306"/>
      <c r="N447" s="97"/>
      <c r="O447" s="421"/>
      <c r="P447" s="304"/>
      <c r="Q447" s="307"/>
      <c r="S447" s="11" t="s">
        <v>192</v>
      </c>
      <c r="T447" s="306">
        <f t="shared" ref="T447:U447" si="444">T446</f>
        <v>5000000</v>
      </c>
      <c r="U447" s="97">
        <f t="shared" si="444"/>
        <v>3.9199999999999999E-2</v>
      </c>
      <c r="V447" s="421">
        <f t="shared" si="260"/>
        <v>544.44444444444446</v>
      </c>
      <c r="W447" s="304">
        <f t="shared" si="261"/>
        <v>40833.333333333379</v>
      </c>
      <c r="X447" s="307">
        <f t="shared" si="262"/>
        <v>106.94444444444446</v>
      </c>
      <c r="Z447" s="11" t="s">
        <v>192</v>
      </c>
      <c r="AA447" s="306">
        <f t="shared" ref="AA447:AB447" si="445">AA446</f>
        <v>10000000</v>
      </c>
      <c r="AB447" s="97">
        <f t="shared" si="445"/>
        <v>3.7499999999999999E-2</v>
      </c>
      <c r="AC447" s="421">
        <f t="shared" si="264"/>
        <v>1041.6666666666667</v>
      </c>
      <c r="AD447" s="304">
        <f t="shared" si="265"/>
        <v>78125</v>
      </c>
      <c r="AE447" s="307">
        <f t="shared" si="266"/>
        <v>166.66666666666674</v>
      </c>
      <c r="AG447" s="11" t="s">
        <v>192</v>
      </c>
      <c r="AH447" s="306">
        <f t="shared" ref="AH447:AI447" si="446">AH446</f>
        <v>6000000</v>
      </c>
      <c r="AI447" s="97">
        <f t="shared" si="446"/>
        <v>3.73E-2</v>
      </c>
      <c r="AJ447" s="421">
        <f t="shared" si="268"/>
        <v>621.66666666666663</v>
      </c>
      <c r="AK447" s="304">
        <f t="shared" si="269"/>
        <v>1243.3333333333333</v>
      </c>
      <c r="AL447" s="307">
        <f t="shared" si="270"/>
        <v>96.666666666666629</v>
      </c>
      <c r="AN447" s="304">
        <f>'codeis $'!AB447</f>
        <v>0</v>
      </c>
      <c r="AO447" s="340">
        <f>'codeis $'!AH447</f>
        <v>0</v>
      </c>
      <c r="AP447" s="304">
        <f>'codeis $'!AE447</f>
        <v>0</v>
      </c>
      <c r="AQ447" s="304">
        <f>'codeis $'!AK447</f>
        <v>0</v>
      </c>
      <c r="AR447" s="9"/>
      <c r="AS447" s="9"/>
      <c r="AT447" s="123"/>
      <c r="AU447" s="123"/>
      <c r="AV447" s="123"/>
      <c r="AW447" s="123"/>
      <c r="AX447" s="123"/>
      <c r="AY447" s="123"/>
      <c r="AZ447" s="123"/>
      <c r="BA447" s="123"/>
      <c r="BC447" s="124">
        <f>'MM $'!G447</f>
        <v>0</v>
      </c>
      <c r="BD447" s="139">
        <f>'MM $'!H447</f>
        <v>0</v>
      </c>
      <c r="BE447" s="431">
        <f>'MM $'!I447</f>
        <v>0</v>
      </c>
      <c r="BF447" s="124">
        <f>'MM $'!L447</f>
        <v>0</v>
      </c>
      <c r="BH447" s="124">
        <f>'MM $'!N447</f>
        <v>0</v>
      </c>
      <c r="BI447" s="139">
        <f>'MM $'!P447</f>
        <v>0</v>
      </c>
      <c r="BJ447" s="431">
        <f>'MM $'!Q447</f>
        <v>0</v>
      </c>
      <c r="BK447" s="124">
        <f>'MM $'!U447</f>
        <v>0</v>
      </c>
      <c r="BM447" s="124">
        <f>'MM $'!W447</f>
        <v>0</v>
      </c>
      <c r="BN447" s="139">
        <f>'MM $'!X447</f>
        <v>0</v>
      </c>
      <c r="BO447" s="431">
        <f>'MM $'!Y447</f>
        <v>0</v>
      </c>
      <c r="BP447" s="124">
        <f>'MM $'!AB447</f>
        <v>0</v>
      </c>
      <c r="BR447" s="124">
        <f>'MM $'!AD447</f>
        <v>0</v>
      </c>
      <c r="BS447" s="139">
        <f>'MM $'!AE447</f>
        <v>0</v>
      </c>
      <c r="BT447" s="431">
        <f>'MM $'!AF447</f>
        <v>0</v>
      </c>
      <c r="BU447" s="124">
        <f>'MM $'!AB447</f>
        <v>0</v>
      </c>
      <c r="BV447" s="439"/>
      <c r="BW447" s="120">
        <f t="shared" si="271"/>
        <v>22450000</v>
      </c>
      <c r="BX447" s="121">
        <f t="shared" si="404"/>
        <v>3.5000000000000003E-2</v>
      </c>
      <c r="BY447" s="121">
        <f t="shared" si="409"/>
        <v>3.7437639198218263E-2</v>
      </c>
      <c r="BZ447" s="120">
        <f t="shared" si="272"/>
        <v>2334.6527777777778</v>
      </c>
      <c r="CA447" s="120">
        <f t="shared" si="273"/>
        <v>370.27777777777783</v>
      </c>
    </row>
    <row r="448" spans="2:79" x14ac:dyDescent="0.25">
      <c r="B448" s="123" t="str">
        <f t="shared" si="249"/>
        <v>3 2026</v>
      </c>
      <c r="C448" s="122">
        <f t="shared" si="250"/>
        <v>46097</v>
      </c>
      <c r="D448" s="122">
        <f t="shared" si="410"/>
        <v>46098</v>
      </c>
      <c r="E448" s="123">
        <f t="shared" si="251"/>
        <v>1</v>
      </c>
      <c r="F448" s="123" t="s">
        <v>7</v>
      </c>
      <c r="G448" s="124">
        <f t="shared" ref="G448:H448" si="447">G447</f>
        <v>1450000</v>
      </c>
      <c r="H448" s="125">
        <f t="shared" si="447"/>
        <v>3.15E-2</v>
      </c>
      <c r="I448" s="124">
        <f t="shared" si="253"/>
        <v>126.875</v>
      </c>
      <c r="J448" s="124">
        <f t="shared" si="254"/>
        <v>8233.75</v>
      </c>
      <c r="K448" s="9"/>
      <c r="L448" s="11"/>
      <c r="M448" s="306"/>
      <c r="N448" s="97"/>
      <c r="O448" s="421"/>
      <c r="P448" s="304"/>
      <c r="Q448" s="307"/>
      <c r="S448" s="11" t="s">
        <v>192</v>
      </c>
      <c r="T448" s="306">
        <f t="shared" ref="T448:U448" si="448">T447</f>
        <v>5000000</v>
      </c>
      <c r="U448" s="97">
        <f t="shared" si="448"/>
        <v>3.9199999999999999E-2</v>
      </c>
      <c r="V448" s="421">
        <f t="shared" si="260"/>
        <v>544.44444444444446</v>
      </c>
      <c r="W448" s="304">
        <f t="shared" si="261"/>
        <v>41377.777777777825</v>
      </c>
      <c r="X448" s="307">
        <f t="shared" si="262"/>
        <v>106.94444444444446</v>
      </c>
      <c r="Z448" s="11" t="s">
        <v>192</v>
      </c>
      <c r="AA448" s="306">
        <f t="shared" ref="AA448:AB448" si="449">AA447</f>
        <v>10000000</v>
      </c>
      <c r="AB448" s="97">
        <f t="shared" si="449"/>
        <v>3.7499999999999999E-2</v>
      </c>
      <c r="AC448" s="421">
        <f t="shared" si="264"/>
        <v>1041.6666666666667</v>
      </c>
      <c r="AD448" s="304">
        <f t="shared" si="265"/>
        <v>79166.666666666672</v>
      </c>
      <c r="AE448" s="307">
        <f t="shared" si="266"/>
        <v>166.66666666666674</v>
      </c>
      <c r="AG448" s="11" t="s">
        <v>192</v>
      </c>
      <c r="AH448" s="306">
        <f t="shared" ref="AH448:AI448" si="450">AH447</f>
        <v>6000000</v>
      </c>
      <c r="AI448" s="97">
        <f t="shared" si="450"/>
        <v>3.73E-2</v>
      </c>
      <c r="AJ448" s="421">
        <f t="shared" si="268"/>
        <v>621.66666666666663</v>
      </c>
      <c r="AK448" s="304">
        <f t="shared" si="269"/>
        <v>1243.3333333333333</v>
      </c>
      <c r="AL448" s="307">
        <f t="shared" si="270"/>
        <v>96.666666666666629</v>
      </c>
      <c r="AN448" s="304">
        <f>'codeis $'!AB448</f>
        <v>0</v>
      </c>
      <c r="AO448" s="340">
        <f>'codeis $'!AH448</f>
        <v>0</v>
      </c>
      <c r="AP448" s="304">
        <f>'codeis $'!AE448</f>
        <v>0</v>
      </c>
      <c r="AQ448" s="304">
        <f>'codeis $'!AK448</f>
        <v>0</v>
      </c>
      <c r="AR448" s="9"/>
      <c r="AS448" s="9"/>
      <c r="AT448" s="123"/>
      <c r="AU448" s="123"/>
      <c r="AV448" s="123"/>
      <c r="AW448" s="123"/>
      <c r="AX448" s="123"/>
      <c r="AY448" s="123"/>
      <c r="AZ448" s="123"/>
      <c r="BA448" s="123"/>
      <c r="BC448" s="124">
        <f>'MM $'!G448</f>
        <v>0</v>
      </c>
      <c r="BD448" s="139">
        <f>'MM $'!H448</f>
        <v>0</v>
      </c>
      <c r="BE448" s="431">
        <f>'MM $'!I448</f>
        <v>0</v>
      </c>
      <c r="BF448" s="124">
        <f>'MM $'!L448</f>
        <v>0</v>
      </c>
      <c r="BH448" s="124">
        <f>'MM $'!N448</f>
        <v>0</v>
      </c>
      <c r="BI448" s="139">
        <f>'MM $'!P448</f>
        <v>0</v>
      </c>
      <c r="BJ448" s="431">
        <f>'MM $'!Q448</f>
        <v>0</v>
      </c>
      <c r="BK448" s="124">
        <f>'MM $'!U448</f>
        <v>0</v>
      </c>
      <c r="BM448" s="124">
        <f>'MM $'!W448</f>
        <v>0</v>
      </c>
      <c r="BN448" s="139">
        <f>'MM $'!X448</f>
        <v>0</v>
      </c>
      <c r="BO448" s="431">
        <f>'MM $'!Y448</f>
        <v>0</v>
      </c>
      <c r="BP448" s="124">
        <f>'MM $'!AB448</f>
        <v>0</v>
      </c>
      <c r="BR448" s="124">
        <f>'MM $'!AD448</f>
        <v>0</v>
      </c>
      <c r="BS448" s="139">
        <f>'MM $'!AE448</f>
        <v>0</v>
      </c>
      <c r="BT448" s="431">
        <f>'MM $'!AF448</f>
        <v>0</v>
      </c>
      <c r="BU448" s="124">
        <f>'MM $'!AB448</f>
        <v>0</v>
      </c>
      <c r="BV448" s="439"/>
      <c r="BW448" s="120">
        <f t="shared" si="271"/>
        <v>22450000</v>
      </c>
      <c r="BX448" s="121">
        <f t="shared" si="404"/>
        <v>3.5000000000000003E-2</v>
      </c>
      <c r="BY448" s="121">
        <f t="shared" si="409"/>
        <v>3.7437639198218263E-2</v>
      </c>
      <c r="BZ448" s="120">
        <f t="shared" si="272"/>
        <v>2334.6527777777778</v>
      </c>
      <c r="CA448" s="120">
        <f t="shared" si="273"/>
        <v>370.27777777777783</v>
      </c>
    </row>
    <row r="449" spans="2:79" x14ac:dyDescent="0.25">
      <c r="B449" s="123" t="str">
        <f t="shared" si="249"/>
        <v>3 2026</v>
      </c>
      <c r="C449" s="122">
        <f t="shared" si="250"/>
        <v>46098</v>
      </c>
      <c r="D449" s="122">
        <f t="shared" si="410"/>
        <v>46099</v>
      </c>
      <c r="E449" s="123">
        <f t="shared" si="251"/>
        <v>1</v>
      </c>
      <c r="F449" s="123" t="s">
        <v>7</v>
      </c>
      <c r="G449" s="124">
        <f t="shared" ref="G449:H449" si="451">G448</f>
        <v>1450000</v>
      </c>
      <c r="H449" s="125">
        <f t="shared" si="451"/>
        <v>3.15E-2</v>
      </c>
      <c r="I449" s="124">
        <f t="shared" si="253"/>
        <v>126.875</v>
      </c>
      <c r="J449" s="124">
        <f t="shared" si="254"/>
        <v>8360.625</v>
      </c>
      <c r="K449" s="9"/>
      <c r="L449" s="11"/>
      <c r="M449" s="306"/>
      <c r="N449" s="97"/>
      <c r="O449" s="421"/>
      <c r="P449" s="304"/>
      <c r="Q449" s="307"/>
      <c r="S449" s="11" t="s">
        <v>192</v>
      </c>
      <c r="T449" s="306">
        <f t="shared" ref="T449:U449" si="452">T448</f>
        <v>5000000</v>
      </c>
      <c r="U449" s="97">
        <f t="shared" si="452"/>
        <v>3.9199999999999999E-2</v>
      </c>
      <c r="V449" s="421">
        <f t="shared" si="260"/>
        <v>544.44444444444446</v>
      </c>
      <c r="W449" s="304">
        <f t="shared" si="261"/>
        <v>41922.22222222227</v>
      </c>
      <c r="X449" s="307">
        <f t="shared" si="262"/>
        <v>106.94444444444446</v>
      </c>
      <c r="Z449" s="11" t="s">
        <v>192</v>
      </c>
      <c r="AA449" s="306">
        <f t="shared" ref="AA449:AB449" si="453">AA448</f>
        <v>10000000</v>
      </c>
      <c r="AB449" s="97">
        <f t="shared" si="453"/>
        <v>3.7499999999999999E-2</v>
      </c>
      <c r="AC449" s="421">
        <f t="shared" si="264"/>
        <v>1041.6666666666667</v>
      </c>
      <c r="AD449" s="304">
        <f t="shared" si="265"/>
        <v>80208.333333333343</v>
      </c>
      <c r="AE449" s="307">
        <f t="shared" si="266"/>
        <v>166.66666666666674</v>
      </c>
      <c r="AG449" s="11" t="s">
        <v>192</v>
      </c>
      <c r="AH449" s="306">
        <f t="shared" ref="AH449:AI449" si="454">AH448</f>
        <v>6000000</v>
      </c>
      <c r="AI449" s="97">
        <f t="shared" si="454"/>
        <v>3.73E-2</v>
      </c>
      <c r="AJ449" s="421">
        <f t="shared" si="268"/>
        <v>621.66666666666663</v>
      </c>
      <c r="AK449" s="304">
        <f t="shared" si="269"/>
        <v>1243.3333333333333</v>
      </c>
      <c r="AL449" s="307">
        <f t="shared" si="270"/>
        <v>96.666666666666629</v>
      </c>
      <c r="AN449" s="304">
        <f>'codeis $'!AB449</f>
        <v>0</v>
      </c>
      <c r="AO449" s="340">
        <f>'codeis $'!AH449</f>
        <v>0</v>
      </c>
      <c r="AP449" s="304">
        <f>'codeis $'!AE449</f>
        <v>0</v>
      </c>
      <c r="AQ449" s="304">
        <f>'codeis $'!AK449</f>
        <v>0</v>
      </c>
      <c r="AR449" s="9"/>
      <c r="AS449" s="9"/>
      <c r="AT449" s="123"/>
      <c r="AU449" s="123"/>
      <c r="AV449" s="123"/>
      <c r="AW449" s="123"/>
      <c r="AX449" s="123"/>
      <c r="AY449" s="123"/>
      <c r="AZ449" s="123"/>
      <c r="BA449" s="123"/>
      <c r="BC449" s="124">
        <f>'MM $'!G449</f>
        <v>0</v>
      </c>
      <c r="BD449" s="139">
        <f>'MM $'!H449</f>
        <v>0</v>
      </c>
      <c r="BE449" s="431">
        <f>'MM $'!I449</f>
        <v>0</v>
      </c>
      <c r="BF449" s="124">
        <f>'MM $'!L449</f>
        <v>0</v>
      </c>
      <c r="BH449" s="124">
        <f>'MM $'!N449</f>
        <v>0</v>
      </c>
      <c r="BI449" s="139">
        <f>'MM $'!P449</f>
        <v>0</v>
      </c>
      <c r="BJ449" s="431">
        <f>'MM $'!Q449</f>
        <v>0</v>
      </c>
      <c r="BK449" s="124">
        <f>'MM $'!U449</f>
        <v>0</v>
      </c>
      <c r="BM449" s="124">
        <f>'MM $'!W449</f>
        <v>0</v>
      </c>
      <c r="BN449" s="139">
        <f>'MM $'!X449</f>
        <v>0</v>
      </c>
      <c r="BO449" s="431">
        <f>'MM $'!Y449</f>
        <v>0</v>
      </c>
      <c r="BP449" s="124">
        <f>'MM $'!AB449</f>
        <v>0</v>
      </c>
      <c r="BR449" s="124">
        <f>'MM $'!AD449</f>
        <v>0</v>
      </c>
      <c r="BS449" s="139">
        <f>'MM $'!AE449</f>
        <v>0</v>
      </c>
      <c r="BT449" s="431">
        <f>'MM $'!AF449</f>
        <v>0</v>
      </c>
      <c r="BU449" s="124">
        <f>'MM $'!AB449</f>
        <v>0</v>
      </c>
      <c r="BV449" s="439"/>
      <c r="BW449" s="120">
        <f t="shared" si="271"/>
        <v>22450000</v>
      </c>
      <c r="BX449" s="121">
        <f t="shared" si="404"/>
        <v>3.5000000000000003E-2</v>
      </c>
      <c r="BY449" s="121">
        <f t="shared" si="409"/>
        <v>3.7437639198218263E-2</v>
      </c>
      <c r="BZ449" s="120">
        <f t="shared" si="272"/>
        <v>2334.6527777777778</v>
      </c>
      <c r="CA449" s="120">
        <f t="shared" si="273"/>
        <v>370.27777777777783</v>
      </c>
    </row>
    <row r="450" spans="2:79" x14ac:dyDescent="0.25">
      <c r="B450" s="123" t="str">
        <f t="shared" si="249"/>
        <v>3 2026</v>
      </c>
      <c r="C450" s="122">
        <f t="shared" si="250"/>
        <v>46099</v>
      </c>
      <c r="D450" s="122">
        <f t="shared" si="410"/>
        <v>46100</v>
      </c>
      <c r="E450" s="123">
        <f t="shared" si="251"/>
        <v>1</v>
      </c>
      <c r="F450" s="123" t="s">
        <v>7</v>
      </c>
      <c r="G450" s="124">
        <f t="shared" ref="G450:H450" si="455">G449</f>
        <v>1450000</v>
      </c>
      <c r="H450" s="125">
        <f t="shared" si="455"/>
        <v>3.15E-2</v>
      </c>
      <c r="I450" s="124">
        <f t="shared" si="253"/>
        <v>126.875</v>
      </c>
      <c r="J450" s="124">
        <f t="shared" si="254"/>
        <v>8487.5</v>
      </c>
      <c r="K450" s="9"/>
      <c r="L450" s="11"/>
      <c r="M450" s="306"/>
      <c r="N450" s="97"/>
      <c r="O450" s="421"/>
      <c r="P450" s="304"/>
      <c r="Q450" s="307"/>
      <c r="S450" s="11" t="s">
        <v>192</v>
      </c>
      <c r="T450" s="306">
        <f t="shared" ref="T450:U450" si="456">T449</f>
        <v>5000000</v>
      </c>
      <c r="U450" s="97">
        <f t="shared" si="456"/>
        <v>3.9199999999999999E-2</v>
      </c>
      <c r="V450" s="421">
        <f t="shared" si="260"/>
        <v>544.44444444444446</v>
      </c>
      <c r="W450" s="304">
        <f t="shared" si="261"/>
        <v>42466.666666666715</v>
      </c>
      <c r="X450" s="307">
        <f t="shared" si="262"/>
        <v>106.94444444444446</v>
      </c>
      <c r="Z450" s="11" t="s">
        <v>192</v>
      </c>
      <c r="AA450" s="306">
        <f t="shared" ref="AA450:AB450" si="457">AA449</f>
        <v>10000000</v>
      </c>
      <c r="AB450" s="97">
        <f t="shared" si="457"/>
        <v>3.7499999999999999E-2</v>
      </c>
      <c r="AC450" s="421">
        <f t="shared" si="264"/>
        <v>1041.6666666666667</v>
      </c>
      <c r="AD450" s="304">
        <f t="shared" si="265"/>
        <v>81250.000000000015</v>
      </c>
      <c r="AE450" s="307">
        <f t="shared" si="266"/>
        <v>166.66666666666674</v>
      </c>
      <c r="AG450" s="11" t="s">
        <v>192</v>
      </c>
      <c r="AH450" s="306">
        <f t="shared" ref="AH450:AI450" si="458">AH449</f>
        <v>6000000</v>
      </c>
      <c r="AI450" s="97">
        <f t="shared" si="458"/>
        <v>3.73E-2</v>
      </c>
      <c r="AJ450" s="421">
        <f t="shared" si="268"/>
        <v>621.66666666666663</v>
      </c>
      <c r="AK450" s="304">
        <f t="shared" si="269"/>
        <v>1243.3333333333333</v>
      </c>
      <c r="AL450" s="307">
        <f t="shared" si="270"/>
        <v>96.666666666666629</v>
      </c>
      <c r="AN450" s="304">
        <f>'codeis $'!AB450</f>
        <v>0</v>
      </c>
      <c r="AO450" s="340">
        <f>'codeis $'!AH450</f>
        <v>0</v>
      </c>
      <c r="AP450" s="304">
        <f>'codeis $'!AE450</f>
        <v>0</v>
      </c>
      <c r="AQ450" s="304">
        <f>'codeis $'!AK450</f>
        <v>0</v>
      </c>
      <c r="AR450" s="9"/>
      <c r="AS450" s="9"/>
      <c r="AT450" s="123"/>
      <c r="AU450" s="123"/>
      <c r="AV450" s="123"/>
      <c r="AW450" s="123"/>
      <c r="AX450" s="123"/>
      <c r="AY450" s="123"/>
      <c r="AZ450" s="123"/>
      <c r="BA450" s="123"/>
      <c r="BC450" s="124">
        <f>'MM $'!G450</f>
        <v>0</v>
      </c>
      <c r="BD450" s="139">
        <f>'MM $'!H450</f>
        <v>0</v>
      </c>
      <c r="BE450" s="431">
        <f>'MM $'!I450</f>
        <v>0</v>
      </c>
      <c r="BF450" s="124">
        <f>'MM $'!L450</f>
        <v>0</v>
      </c>
      <c r="BH450" s="124">
        <f>'MM $'!N450</f>
        <v>0</v>
      </c>
      <c r="BI450" s="139">
        <f>'MM $'!P450</f>
        <v>0</v>
      </c>
      <c r="BJ450" s="431">
        <f>'MM $'!Q450</f>
        <v>0</v>
      </c>
      <c r="BK450" s="124">
        <f>'MM $'!U450</f>
        <v>0</v>
      </c>
      <c r="BM450" s="124">
        <f>'MM $'!W450</f>
        <v>0</v>
      </c>
      <c r="BN450" s="139">
        <f>'MM $'!X450</f>
        <v>0</v>
      </c>
      <c r="BO450" s="431">
        <f>'MM $'!Y450</f>
        <v>0</v>
      </c>
      <c r="BP450" s="124">
        <f>'MM $'!AB450</f>
        <v>0</v>
      </c>
      <c r="BR450" s="124">
        <f>'MM $'!AD450</f>
        <v>0</v>
      </c>
      <c r="BS450" s="139">
        <f>'MM $'!AE450</f>
        <v>0</v>
      </c>
      <c r="BT450" s="431">
        <f>'MM $'!AF450</f>
        <v>0</v>
      </c>
      <c r="BU450" s="124">
        <f>'MM $'!AB450</f>
        <v>0</v>
      </c>
      <c r="BV450" s="439"/>
      <c r="BW450" s="120">
        <f t="shared" si="271"/>
        <v>22450000</v>
      </c>
      <c r="BX450" s="121">
        <f t="shared" si="404"/>
        <v>3.5000000000000003E-2</v>
      </c>
      <c r="BY450" s="121">
        <f t="shared" si="409"/>
        <v>3.7437639198218263E-2</v>
      </c>
      <c r="BZ450" s="120">
        <f t="shared" si="272"/>
        <v>2334.6527777777778</v>
      </c>
      <c r="CA450" s="120">
        <f t="shared" si="273"/>
        <v>370.27777777777783</v>
      </c>
    </row>
    <row r="451" spans="2:79" x14ac:dyDescent="0.25">
      <c r="B451" s="123" t="str">
        <f t="shared" si="249"/>
        <v>3 2026</v>
      </c>
      <c r="C451" s="122">
        <f t="shared" si="250"/>
        <v>46100</v>
      </c>
      <c r="D451" s="122">
        <f t="shared" si="410"/>
        <v>46101</v>
      </c>
      <c r="E451" s="123">
        <f t="shared" si="251"/>
        <v>1</v>
      </c>
      <c r="F451" s="123" t="s">
        <v>7</v>
      </c>
      <c r="G451" s="124">
        <f t="shared" ref="G451:H451" si="459">G450</f>
        <v>1450000</v>
      </c>
      <c r="H451" s="125">
        <f t="shared" si="459"/>
        <v>3.15E-2</v>
      </c>
      <c r="I451" s="124">
        <f t="shared" si="253"/>
        <v>126.875</v>
      </c>
      <c r="J451" s="124">
        <f t="shared" si="254"/>
        <v>8614.375</v>
      </c>
      <c r="K451" s="9"/>
      <c r="L451" s="11"/>
      <c r="M451" s="306"/>
      <c r="N451" s="97"/>
      <c r="O451" s="421"/>
      <c r="P451" s="304"/>
      <c r="Q451" s="307"/>
      <c r="S451" s="11" t="s">
        <v>192</v>
      </c>
      <c r="T451" s="306">
        <f t="shared" ref="T451:U451" si="460">T450</f>
        <v>5000000</v>
      </c>
      <c r="U451" s="97">
        <f t="shared" si="460"/>
        <v>3.9199999999999999E-2</v>
      </c>
      <c r="V451" s="421">
        <f t="shared" si="260"/>
        <v>544.44444444444446</v>
      </c>
      <c r="W451" s="304">
        <f t="shared" si="261"/>
        <v>43011.11111111116</v>
      </c>
      <c r="X451" s="307">
        <f t="shared" si="262"/>
        <v>106.94444444444446</v>
      </c>
      <c r="Z451" s="11" t="s">
        <v>192</v>
      </c>
      <c r="AA451" s="306">
        <f t="shared" ref="AA451:AB451" si="461">AA450</f>
        <v>10000000</v>
      </c>
      <c r="AB451" s="97">
        <f t="shared" si="461"/>
        <v>3.7499999999999999E-2</v>
      </c>
      <c r="AC451" s="421">
        <f t="shared" si="264"/>
        <v>1041.6666666666667</v>
      </c>
      <c r="AD451" s="304">
        <f t="shared" si="265"/>
        <v>82291.666666666686</v>
      </c>
      <c r="AE451" s="307">
        <f t="shared" si="266"/>
        <v>166.66666666666674</v>
      </c>
      <c r="AG451" s="11" t="s">
        <v>192</v>
      </c>
      <c r="AH451" s="306">
        <f t="shared" ref="AH451:AI451" si="462">AH450</f>
        <v>6000000</v>
      </c>
      <c r="AI451" s="97">
        <f t="shared" si="462"/>
        <v>3.73E-2</v>
      </c>
      <c r="AJ451" s="421">
        <f t="shared" si="268"/>
        <v>621.66666666666663</v>
      </c>
      <c r="AK451" s="304">
        <f t="shared" si="269"/>
        <v>1243.3333333333333</v>
      </c>
      <c r="AL451" s="307">
        <f t="shared" si="270"/>
        <v>96.666666666666629</v>
      </c>
      <c r="AN451" s="304">
        <f>'codeis $'!AB451</f>
        <v>0</v>
      </c>
      <c r="AO451" s="340">
        <f>'codeis $'!AH451</f>
        <v>0</v>
      </c>
      <c r="AP451" s="304">
        <f>'codeis $'!AE451</f>
        <v>0</v>
      </c>
      <c r="AQ451" s="304">
        <f>'codeis $'!AK451</f>
        <v>0</v>
      </c>
      <c r="AR451" s="9"/>
      <c r="AS451" s="9"/>
      <c r="AT451" s="123"/>
      <c r="AU451" s="123"/>
      <c r="AV451" s="123"/>
      <c r="AW451" s="123"/>
      <c r="AX451" s="123"/>
      <c r="AY451" s="123"/>
      <c r="AZ451" s="123"/>
      <c r="BA451" s="123"/>
      <c r="BC451" s="124">
        <f>'MM $'!G451</f>
        <v>0</v>
      </c>
      <c r="BD451" s="139">
        <f>'MM $'!H451</f>
        <v>0</v>
      </c>
      <c r="BE451" s="431">
        <f>'MM $'!I451</f>
        <v>0</v>
      </c>
      <c r="BF451" s="124">
        <f>'MM $'!L451</f>
        <v>0</v>
      </c>
      <c r="BH451" s="124">
        <f>'MM $'!N451</f>
        <v>0</v>
      </c>
      <c r="BI451" s="139">
        <f>'MM $'!P451</f>
        <v>0</v>
      </c>
      <c r="BJ451" s="431">
        <f>'MM $'!Q451</f>
        <v>0</v>
      </c>
      <c r="BK451" s="124">
        <f>'MM $'!U451</f>
        <v>0</v>
      </c>
      <c r="BM451" s="124">
        <f>'MM $'!W451</f>
        <v>0</v>
      </c>
      <c r="BN451" s="139">
        <f>'MM $'!X451</f>
        <v>0</v>
      </c>
      <c r="BO451" s="431">
        <f>'MM $'!Y451</f>
        <v>0</v>
      </c>
      <c r="BP451" s="124">
        <f>'MM $'!AB451</f>
        <v>0</v>
      </c>
      <c r="BR451" s="124">
        <f>'MM $'!AD451</f>
        <v>0</v>
      </c>
      <c r="BS451" s="139">
        <f>'MM $'!AE451</f>
        <v>0</v>
      </c>
      <c r="BT451" s="431">
        <f>'MM $'!AF451</f>
        <v>0</v>
      </c>
      <c r="BU451" s="124">
        <f>'MM $'!AB451</f>
        <v>0</v>
      </c>
      <c r="BV451" s="439"/>
      <c r="BW451" s="120">
        <f t="shared" si="271"/>
        <v>22450000</v>
      </c>
      <c r="BX451" s="121">
        <f t="shared" si="404"/>
        <v>3.5000000000000003E-2</v>
      </c>
      <c r="BY451" s="121">
        <f t="shared" si="409"/>
        <v>3.7437639198218263E-2</v>
      </c>
      <c r="BZ451" s="120">
        <f t="shared" si="272"/>
        <v>2334.6527777777778</v>
      </c>
      <c r="CA451" s="120">
        <f t="shared" si="273"/>
        <v>370.27777777777783</v>
      </c>
    </row>
    <row r="452" spans="2:79" x14ac:dyDescent="0.25">
      <c r="B452" s="123" t="str">
        <f t="shared" si="249"/>
        <v>3 2026</v>
      </c>
      <c r="C452" s="122">
        <f t="shared" si="250"/>
        <v>46101</v>
      </c>
      <c r="D452" s="122">
        <f t="shared" si="410"/>
        <v>46102</v>
      </c>
      <c r="E452" s="123">
        <f t="shared" si="251"/>
        <v>1</v>
      </c>
      <c r="F452" s="123" t="s">
        <v>7</v>
      </c>
      <c r="G452" s="124">
        <f t="shared" ref="G452:H452" si="463">G451</f>
        <v>1450000</v>
      </c>
      <c r="H452" s="125">
        <f t="shared" si="463"/>
        <v>3.15E-2</v>
      </c>
      <c r="I452" s="124">
        <f t="shared" si="253"/>
        <v>126.875</v>
      </c>
      <c r="J452" s="124">
        <f t="shared" si="254"/>
        <v>8741.25</v>
      </c>
      <c r="K452" s="9"/>
      <c r="L452" s="11"/>
      <c r="M452" s="306"/>
      <c r="N452" s="97"/>
      <c r="O452" s="421"/>
      <c r="P452" s="304"/>
      <c r="Q452" s="307"/>
      <c r="S452" s="11" t="s">
        <v>192</v>
      </c>
      <c r="T452" s="306">
        <f t="shared" ref="T452:U452" si="464">T451</f>
        <v>5000000</v>
      </c>
      <c r="U452" s="97">
        <f t="shared" si="464"/>
        <v>3.9199999999999999E-2</v>
      </c>
      <c r="V452" s="421">
        <f t="shared" si="260"/>
        <v>544.44444444444446</v>
      </c>
      <c r="W452" s="304">
        <f t="shared" si="261"/>
        <v>43555.555555555606</v>
      </c>
      <c r="X452" s="307">
        <f t="shared" si="262"/>
        <v>106.94444444444446</v>
      </c>
      <c r="Z452" s="11" t="s">
        <v>192</v>
      </c>
      <c r="AA452" s="306">
        <f t="shared" ref="AA452:AB452" si="465">AA451</f>
        <v>10000000</v>
      </c>
      <c r="AB452" s="97">
        <f t="shared" si="465"/>
        <v>3.7499999999999999E-2</v>
      </c>
      <c r="AC452" s="421">
        <f t="shared" si="264"/>
        <v>1041.6666666666667</v>
      </c>
      <c r="AD452" s="304">
        <f t="shared" si="265"/>
        <v>83333.333333333358</v>
      </c>
      <c r="AE452" s="307">
        <f t="shared" si="266"/>
        <v>166.66666666666674</v>
      </c>
      <c r="AG452" s="11" t="s">
        <v>192</v>
      </c>
      <c r="AH452" s="306">
        <f t="shared" ref="AH452:AI452" si="466">AH451</f>
        <v>6000000</v>
      </c>
      <c r="AI452" s="97">
        <f t="shared" si="466"/>
        <v>3.73E-2</v>
      </c>
      <c r="AJ452" s="421">
        <f t="shared" si="268"/>
        <v>621.66666666666663</v>
      </c>
      <c r="AK452" s="304">
        <f t="shared" si="269"/>
        <v>1243.3333333333333</v>
      </c>
      <c r="AL452" s="307">
        <f t="shared" si="270"/>
        <v>96.666666666666629</v>
      </c>
      <c r="AN452" s="304">
        <f>'codeis $'!AB452</f>
        <v>0</v>
      </c>
      <c r="AO452" s="340">
        <f>'codeis $'!AH452</f>
        <v>0</v>
      </c>
      <c r="AP452" s="304">
        <f>'codeis $'!AE452</f>
        <v>0</v>
      </c>
      <c r="AQ452" s="304">
        <f>'codeis $'!AK452</f>
        <v>0</v>
      </c>
      <c r="AR452" s="9"/>
      <c r="AS452" s="9"/>
      <c r="AT452" s="123"/>
      <c r="AU452" s="123"/>
      <c r="AV452" s="123"/>
      <c r="AW452" s="123"/>
      <c r="AX452" s="123"/>
      <c r="AY452" s="123"/>
      <c r="AZ452" s="123"/>
      <c r="BA452" s="123"/>
      <c r="BC452" s="124">
        <f>'MM $'!G452</f>
        <v>0</v>
      </c>
      <c r="BD452" s="139">
        <f>'MM $'!H452</f>
        <v>0</v>
      </c>
      <c r="BE452" s="431">
        <f>'MM $'!I452</f>
        <v>0</v>
      </c>
      <c r="BF452" s="124">
        <f>'MM $'!L452</f>
        <v>0</v>
      </c>
      <c r="BH452" s="124">
        <f>'MM $'!N452</f>
        <v>0</v>
      </c>
      <c r="BI452" s="139">
        <f>'MM $'!P452</f>
        <v>0</v>
      </c>
      <c r="BJ452" s="431">
        <f>'MM $'!Q452</f>
        <v>0</v>
      </c>
      <c r="BK452" s="124">
        <f>'MM $'!U452</f>
        <v>0</v>
      </c>
      <c r="BM452" s="124">
        <f>'MM $'!W452</f>
        <v>0</v>
      </c>
      <c r="BN452" s="139">
        <f>'MM $'!X452</f>
        <v>0</v>
      </c>
      <c r="BO452" s="431">
        <f>'MM $'!Y452</f>
        <v>0</v>
      </c>
      <c r="BP452" s="124">
        <f>'MM $'!AB452</f>
        <v>0</v>
      </c>
      <c r="BR452" s="124">
        <f>'MM $'!AD452</f>
        <v>0</v>
      </c>
      <c r="BS452" s="139">
        <f>'MM $'!AE452</f>
        <v>0</v>
      </c>
      <c r="BT452" s="431">
        <f>'MM $'!AF452</f>
        <v>0</v>
      </c>
      <c r="BU452" s="124">
        <f>'MM $'!AB452</f>
        <v>0</v>
      </c>
      <c r="BV452" s="439"/>
      <c r="BW452" s="120">
        <f t="shared" si="271"/>
        <v>22450000</v>
      </c>
      <c r="BX452" s="121">
        <f t="shared" si="404"/>
        <v>3.5000000000000003E-2</v>
      </c>
      <c r="BY452" s="121">
        <f t="shared" si="409"/>
        <v>3.7437639198218263E-2</v>
      </c>
      <c r="BZ452" s="120">
        <f t="shared" si="272"/>
        <v>2334.6527777777778</v>
      </c>
      <c r="CA452" s="120">
        <f t="shared" si="273"/>
        <v>370.27777777777783</v>
      </c>
    </row>
    <row r="453" spans="2:79" x14ac:dyDescent="0.25">
      <c r="B453" s="123" t="str">
        <f t="shared" si="249"/>
        <v>3 2026</v>
      </c>
      <c r="C453" s="122">
        <f t="shared" si="250"/>
        <v>46102</v>
      </c>
      <c r="D453" s="122">
        <f t="shared" si="410"/>
        <v>46103</v>
      </c>
      <c r="E453" s="123">
        <f t="shared" si="251"/>
        <v>1</v>
      </c>
      <c r="F453" s="123" t="s">
        <v>7</v>
      </c>
      <c r="G453" s="124">
        <f t="shared" ref="G453:H453" si="467">G452</f>
        <v>1450000</v>
      </c>
      <c r="H453" s="125">
        <f t="shared" si="467"/>
        <v>3.15E-2</v>
      </c>
      <c r="I453" s="124">
        <f t="shared" si="253"/>
        <v>126.875</v>
      </c>
      <c r="J453" s="124">
        <f t="shared" si="254"/>
        <v>8868.125</v>
      </c>
      <c r="K453" s="9"/>
      <c r="L453" s="11"/>
      <c r="M453" s="306"/>
      <c r="N453" s="97"/>
      <c r="O453" s="421"/>
      <c r="P453" s="304"/>
      <c r="Q453" s="307"/>
      <c r="S453" s="11" t="s">
        <v>192</v>
      </c>
      <c r="T453" s="306">
        <f t="shared" ref="T453:U453" si="468">T452</f>
        <v>5000000</v>
      </c>
      <c r="U453" s="97">
        <f t="shared" si="468"/>
        <v>3.9199999999999999E-2</v>
      </c>
      <c r="V453" s="421">
        <f t="shared" si="260"/>
        <v>544.44444444444446</v>
      </c>
      <c r="W453" s="304">
        <f t="shared" si="261"/>
        <v>44100.000000000051</v>
      </c>
      <c r="X453" s="307">
        <f t="shared" si="262"/>
        <v>106.94444444444446</v>
      </c>
      <c r="Z453" s="11" t="s">
        <v>192</v>
      </c>
      <c r="AA453" s="306">
        <f t="shared" ref="AA453:AB453" si="469">AA452</f>
        <v>10000000</v>
      </c>
      <c r="AB453" s="97">
        <f t="shared" si="469"/>
        <v>3.7499999999999999E-2</v>
      </c>
      <c r="AC453" s="421">
        <f t="shared" si="264"/>
        <v>1041.6666666666667</v>
      </c>
      <c r="AD453" s="304">
        <f t="shared" si="265"/>
        <v>84375.000000000029</v>
      </c>
      <c r="AE453" s="307">
        <f t="shared" si="266"/>
        <v>166.66666666666674</v>
      </c>
      <c r="AG453" s="11" t="s">
        <v>192</v>
      </c>
      <c r="AH453" s="306">
        <f t="shared" ref="AH453:AI453" si="470">AH452</f>
        <v>6000000</v>
      </c>
      <c r="AI453" s="97">
        <f t="shared" si="470"/>
        <v>3.73E-2</v>
      </c>
      <c r="AJ453" s="421">
        <f t="shared" si="268"/>
        <v>621.66666666666663</v>
      </c>
      <c r="AK453" s="304">
        <f t="shared" si="269"/>
        <v>1243.3333333333333</v>
      </c>
      <c r="AL453" s="307">
        <f t="shared" si="270"/>
        <v>96.666666666666629</v>
      </c>
      <c r="AN453" s="304">
        <f>'codeis $'!AB453</f>
        <v>0</v>
      </c>
      <c r="AO453" s="340">
        <f>'codeis $'!AH453</f>
        <v>0</v>
      </c>
      <c r="AP453" s="304">
        <f>'codeis $'!AE453</f>
        <v>0</v>
      </c>
      <c r="AQ453" s="304">
        <f>'codeis $'!AK453</f>
        <v>0</v>
      </c>
      <c r="AR453" s="9"/>
      <c r="AS453" s="9"/>
      <c r="AT453" s="123"/>
      <c r="AU453" s="123"/>
      <c r="AV453" s="123"/>
      <c r="AW453" s="123"/>
      <c r="AX453" s="123"/>
      <c r="AY453" s="123"/>
      <c r="AZ453" s="123"/>
      <c r="BA453" s="123"/>
      <c r="BC453" s="124">
        <f>'MM $'!G453</f>
        <v>0</v>
      </c>
      <c r="BD453" s="139">
        <f>'MM $'!H453</f>
        <v>0</v>
      </c>
      <c r="BE453" s="431">
        <f>'MM $'!I453</f>
        <v>0</v>
      </c>
      <c r="BF453" s="124">
        <f>'MM $'!L453</f>
        <v>0</v>
      </c>
      <c r="BH453" s="124">
        <f>'MM $'!N453</f>
        <v>0</v>
      </c>
      <c r="BI453" s="139">
        <f>'MM $'!P453</f>
        <v>0</v>
      </c>
      <c r="BJ453" s="431">
        <f>'MM $'!Q453</f>
        <v>0</v>
      </c>
      <c r="BK453" s="124">
        <f>'MM $'!U453</f>
        <v>0</v>
      </c>
      <c r="BM453" s="124">
        <f>'MM $'!W453</f>
        <v>0</v>
      </c>
      <c r="BN453" s="139">
        <f>'MM $'!X453</f>
        <v>0</v>
      </c>
      <c r="BO453" s="431">
        <f>'MM $'!Y453</f>
        <v>0</v>
      </c>
      <c r="BP453" s="124">
        <f>'MM $'!AB453</f>
        <v>0</v>
      </c>
      <c r="BR453" s="124">
        <f>'MM $'!AD453</f>
        <v>0</v>
      </c>
      <c r="BS453" s="139">
        <f>'MM $'!AE453</f>
        <v>0</v>
      </c>
      <c r="BT453" s="431">
        <f>'MM $'!AF453</f>
        <v>0</v>
      </c>
      <c r="BU453" s="124">
        <f>'MM $'!AB453</f>
        <v>0</v>
      </c>
      <c r="BV453" s="439"/>
      <c r="BW453" s="120">
        <f t="shared" si="271"/>
        <v>22450000</v>
      </c>
      <c r="BX453" s="121">
        <f t="shared" si="404"/>
        <v>3.5000000000000003E-2</v>
      </c>
      <c r="BY453" s="121">
        <f t="shared" si="409"/>
        <v>3.7437639198218263E-2</v>
      </c>
      <c r="BZ453" s="120">
        <f t="shared" si="272"/>
        <v>2334.6527777777778</v>
      </c>
      <c r="CA453" s="120">
        <f t="shared" si="273"/>
        <v>370.27777777777783</v>
      </c>
    </row>
    <row r="454" spans="2:79" x14ac:dyDescent="0.25">
      <c r="B454" s="123" t="str">
        <f t="shared" si="249"/>
        <v>3 2026</v>
      </c>
      <c r="C454" s="122">
        <f t="shared" si="250"/>
        <v>46103</v>
      </c>
      <c r="D454" s="122">
        <f t="shared" si="410"/>
        <v>46104</v>
      </c>
      <c r="E454" s="123">
        <f t="shared" si="251"/>
        <v>1</v>
      </c>
      <c r="F454" s="123" t="s">
        <v>7</v>
      </c>
      <c r="G454" s="124">
        <f t="shared" ref="G454:H454" si="471">G453</f>
        <v>1450000</v>
      </c>
      <c r="H454" s="125">
        <f t="shared" si="471"/>
        <v>3.15E-2</v>
      </c>
      <c r="I454" s="124">
        <f t="shared" si="253"/>
        <v>126.875</v>
      </c>
      <c r="J454" s="124">
        <f t="shared" si="254"/>
        <v>8995</v>
      </c>
      <c r="K454" s="9"/>
      <c r="L454" s="11"/>
      <c r="M454" s="306"/>
      <c r="N454" s="97"/>
      <c r="O454" s="421"/>
      <c r="P454" s="304"/>
      <c r="Q454" s="307"/>
      <c r="S454" s="11" t="s">
        <v>192</v>
      </c>
      <c r="T454" s="306">
        <f t="shared" ref="T454:U454" si="472">T453</f>
        <v>5000000</v>
      </c>
      <c r="U454" s="97">
        <f t="shared" si="472"/>
        <v>3.9199999999999999E-2</v>
      </c>
      <c r="V454" s="421">
        <f t="shared" si="260"/>
        <v>544.44444444444446</v>
      </c>
      <c r="W454" s="304">
        <f t="shared" si="261"/>
        <v>44644.444444444496</v>
      </c>
      <c r="X454" s="307">
        <f t="shared" si="262"/>
        <v>106.94444444444446</v>
      </c>
      <c r="Z454" s="11" t="s">
        <v>192</v>
      </c>
      <c r="AA454" s="306">
        <f t="shared" ref="AA454:AB454" si="473">AA453</f>
        <v>10000000</v>
      </c>
      <c r="AB454" s="97">
        <f t="shared" si="473"/>
        <v>3.7499999999999999E-2</v>
      </c>
      <c r="AC454" s="421">
        <f t="shared" si="264"/>
        <v>1041.6666666666667</v>
      </c>
      <c r="AD454" s="304">
        <f t="shared" si="265"/>
        <v>85416.666666666701</v>
      </c>
      <c r="AE454" s="307">
        <f t="shared" si="266"/>
        <v>166.66666666666674</v>
      </c>
      <c r="AG454" s="11" t="s">
        <v>192</v>
      </c>
      <c r="AH454" s="306">
        <f t="shared" ref="AH454:AI454" si="474">AH453</f>
        <v>6000000</v>
      </c>
      <c r="AI454" s="97">
        <f t="shared" si="474"/>
        <v>3.73E-2</v>
      </c>
      <c r="AJ454" s="421">
        <f t="shared" si="268"/>
        <v>621.66666666666663</v>
      </c>
      <c r="AK454" s="304">
        <f t="shared" si="269"/>
        <v>1243.3333333333333</v>
      </c>
      <c r="AL454" s="307">
        <f t="shared" si="270"/>
        <v>96.666666666666629</v>
      </c>
      <c r="AN454" s="304">
        <f>'codeis $'!AB454</f>
        <v>0</v>
      </c>
      <c r="AO454" s="340">
        <f>'codeis $'!AH454</f>
        <v>0</v>
      </c>
      <c r="AP454" s="304">
        <f>'codeis $'!AE454</f>
        <v>0</v>
      </c>
      <c r="AQ454" s="304">
        <f>'codeis $'!AK454</f>
        <v>0</v>
      </c>
      <c r="AR454" s="9"/>
      <c r="AS454" s="9"/>
      <c r="AT454" s="123"/>
      <c r="AU454" s="123"/>
      <c r="AV454" s="123"/>
      <c r="AW454" s="123"/>
      <c r="AX454" s="123"/>
      <c r="AY454" s="123"/>
      <c r="AZ454" s="123"/>
      <c r="BA454" s="123"/>
      <c r="BC454" s="124">
        <f>'MM $'!G454</f>
        <v>0</v>
      </c>
      <c r="BD454" s="139">
        <f>'MM $'!H454</f>
        <v>0</v>
      </c>
      <c r="BE454" s="431">
        <f>'MM $'!I454</f>
        <v>0</v>
      </c>
      <c r="BF454" s="124">
        <f>'MM $'!L454</f>
        <v>0</v>
      </c>
      <c r="BH454" s="124">
        <f>'MM $'!N454</f>
        <v>0</v>
      </c>
      <c r="BI454" s="139">
        <f>'MM $'!P454</f>
        <v>0</v>
      </c>
      <c r="BJ454" s="431">
        <f>'MM $'!Q454</f>
        <v>0</v>
      </c>
      <c r="BK454" s="124">
        <f>'MM $'!U454</f>
        <v>0</v>
      </c>
      <c r="BM454" s="124">
        <f>'MM $'!W454</f>
        <v>0</v>
      </c>
      <c r="BN454" s="139">
        <f>'MM $'!X454</f>
        <v>0</v>
      </c>
      <c r="BO454" s="431">
        <f>'MM $'!Y454</f>
        <v>0</v>
      </c>
      <c r="BP454" s="124">
        <f>'MM $'!AB454</f>
        <v>0</v>
      </c>
      <c r="BR454" s="124">
        <f>'MM $'!AD454</f>
        <v>0</v>
      </c>
      <c r="BS454" s="139">
        <f>'MM $'!AE454</f>
        <v>0</v>
      </c>
      <c r="BT454" s="431">
        <f>'MM $'!AF454</f>
        <v>0</v>
      </c>
      <c r="BU454" s="124">
        <f>'MM $'!AB454</f>
        <v>0</v>
      </c>
      <c r="BV454" s="439"/>
      <c r="BW454" s="120">
        <f t="shared" si="271"/>
        <v>22450000</v>
      </c>
      <c r="BX454" s="121">
        <f t="shared" si="404"/>
        <v>3.5000000000000003E-2</v>
      </c>
      <c r="BY454" s="121">
        <f t="shared" si="409"/>
        <v>3.7437639198218263E-2</v>
      </c>
      <c r="BZ454" s="120">
        <f t="shared" si="272"/>
        <v>2334.6527777777778</v>
      </c>
      <c r="CA454" s="120">
        <f t="shared" si="273"/>
        <v>370.27777777777783</v>
      </c>
    </row>
    <row r="455" spans="2:79" x14ac:dyDescent="0.25">
      <c r="B455" s="123" t="str">
        <f t="shared" si="249"/>
        <v>3 2026</v>
      </c>
      <c r="C455" s="122">
        <f t="shared" si="250"/>
        <v>46104</v>
      </c>
      <c r="D455" s="122">
        <f t="shared" si="410"/>
        <v>46105</v>
      </c>
      <c r="E455" s="123">
        <f t="shared" si="251"/>
        <v>1</v>
      </c>
      <c r="F455" s="123" t="s">
        <v>7</v>
      </c>
      <c r="G455" s="124">
        <f t="shared" ref="G455:H455" si="475">G454</f>
        <v>1450000</v>
      </c>
      <c r="H455" s="125">
        <f t="shared" si="475"/>
        <v>3.15E-2</v>
      </c>
      <c r="I455" s="124">
        <f t="shared" si="253"/>
        <v>126.875</v>
      </c>
      <c r="J455" s="124">
        <f t="shared" si="254"/>
        <v>9121.875</v>
      </c>
      <c r="K455" s="9"/>
      <c r="L455" s="11"/>
      <c r="M455" s="306"/>
      <c r="N455" s="97"/>
      <c r="O455" s="421"/>
      <c r="P455" s="304"/>
      <c r="Q455" s="307"/>
      <c r="S455" s="11" t="s">
        <v>192</v>
      </c>
      <c r="T455" s="306">
        <f t="shared" ref="T455:U455" si="476">T454</f>
        <v>5000000</v>
      </c>
      <c r="U455" s="97">
        <f t="shared" si="476"/>
        <v>3.9199999999999999E-2</v>
      </c>
      <c r="V455" s="421">
        <f t="shared" si="260"/>
        <v>544.44444444444446</v>
      </c>
      <c r="W455" s="304">
        <f t="shared" si="261"/>
        <v>45188.888888888941</v>
      </c>
      <c r="X455" s="307">
        <f t="shared" si="262"/>
        <v>106.94444444444446</v>
      </c>
      <c r="Z455" s="11" t="s">
        <v>192</v>
      </c>
      <c r="AA455" s="306">
        <f t="shared" ref="AA455:AB455" si="477">AA454</f>
        <v>10000000</v>
      </c>
      <c r="AB455" s="97">
        <f t="shared" si="477"/>
        <v>3.7499999999999999E-2</v>
      </c>
      <c r="AC455" s="421">
        <f t="shared" si="264"/>
        <v>1041.6666666666667</v>
      </c>
      <c r="AD455" s="304">
        <f t="shared" si="265"/>
        <v>86458.333333333372</v>
      </c>
      <c r="AE455" s="307">
        <f t="shared" si="266"/>
        <v>166.66666666666674</v>
      </c>
      <c r="AG455" s="11" t="s">
        <v>192</v>
      </c>
      <c r="AH455" s="306">
        <f t="shared" ref="AH455:AI455" si="478">AH454</f>
        <v>6000000</v>
      </c>
      <c r="AI455" s="97">
        <f t="shared" si="478"/>
        <v>3.73E-2</v>
      </c>
      <c r="AJ455" s="421">
        <f t="shared" si="268"/>
        <v>621.66666666666663</v>
      </c>
      <c r="AK455" s="304">
        <f t="shared" si="269"/>
        <v>1243.3333333333333</v>
      </c>
      <c r="AL455" s="307">
        <f t="shared" si="270"/>
        <v>96.666666666666629</v>
      </c>
      <c r="AN455" s="304">
        <f>'codeis $'!AB455</f>
        <v>0</v>
      </c>
      <c r="AO455" s="340">
        <f>'codeis $'!AH455</f>
        <v>0</v>
      </c>
      <c r="AP455" s="304">
        <f>'codeis $'!AE455</f>
        <v>0</v>
      </c>
      <c r="AQ455" s="304">
        <f>'codeis $'!AK455</f>
        <v>0</v>
      </c>
      <c r="AR455" s="9"/>
      <c r="AS455" s="9"/>
      <c r="AT455" s="123"/>
      <c r="AU455" s="123"/>
      <c r="AV455" s="123"/>
      <c r="AW455" s="123"/>
      <c r="AX455" s="123"/>
      <c r="AY455" s="123"/>
      <c r="AZ455" s="123"/>
      <c r="BA455" s="123"/>
      <c r="BC455" s="124">
        <f>'MM $'!G455</f>
        <v>0</v>
      </c>
      <c r="BD455" s="139">
        <f>'MM $'!H455</f>
        <v>0</v>
      </c>
      <c r="BE455" s="431">
        <f>'MM $'!I455</f>
        <v>0</v>
      </c>
      <c r="BF455" s="124">
        <f>'MM $'!L455</f>
        <v>0</v>
      </c>
      <c r="BH455" s="124">
        <f>'MM $'!N455</f>
        <v>0</v>
      </c>
      <c r="BI455" s="139">
        <f>'MM $'!P455</f>
        <v>0</v>
      </c>
      <c r="BJ455" s="431">
        <f>'MM $'!Q455</f>
        <v>0</v>
      </c>
      <c r="BK455" s="124">
        <f>'MM $'!U455</f>
        <v>0</v>
      </c>
      <c r="BM455" s="124">
        <f>'MM $'!W455</f>
        <v>0</v>
      </c>
      <c r="BN455" s="139">
        <f>'MM $'!X455</f>
        <v>0</v>
      </c>
      <c r="BO455" s="431">
        <f>'MM $'!Y455</f>
        <v>0</v>
      </c>
      <c r="BP455" s="124">
        <f>'MM $'!AB455</f>
        <v>0</v>
      </c>
      <c r="BR455" s="124">
        <f>'MM $'!AD455</f>
        <v>0</v>
      </c>
      <c r="BS455" s="139">
        <f>'MM $'!AE455</f>
        <v>0</v>
      </c>
      <c r="BT455" s="431">
        <f>'MM $'!AF455</f>
        <v>0</v>
      </c>
      <c r="BU455" s="124">
        <f>'MM $'!AB455</f>
        <v>0</v>
      </c>
      <c r="BV455" s="439"/>
      <c r="BW455" s="120">
        <f t="shared" si="271"/>
        <v>22450000</v>
      </c>
      <c r="BX455" s="121">
        <f t="shared" si="404"/>
        <v>3.5000000000000003E-2</v>
      </c>
      <c r="BY455" s="121">
        <f t="shared" si="409"/>
        <v>3.7437639198218263E-2</v>
      </c>
      <c r="BZ455" s="120">
        <f t="shared" si="272"/>
        <v>2334.6527777777778</v>
      </c>
      <c r="CA455" s="120">
        <f t="shared" si="273"/>
        <v>370.27777777777783</v>
      </c>
    </row>
    <row r="456" spans="2:79" x14ac:dyDescent="0.25">
      <c r="B456" s="123" t="str">
        <f t="shared" si="249"/>
        <v>3 2026</v>
      </c>
      <c r="C456" s="122">
        <f t="shared" si="250"/>
        <v>46105</v>
      </c>
      <c r="D456" s="122">
        <f t="shared" si="410"/>
        <v>46106</v>
      </c>
      <c r="E456" s="123">
        <f t="shared" si="251"/>
        <v>1</v>
      </c>
      <c r="F456" s="123" t="s">
        <v>7</v>
      </c>
      <c r="G456" s="124">
        <f t="shared" ref="G456:H456" si="479">G455</f>
        <v>1450000</v>
      </c>
      <c r="H456" s="125">
        <f t="shared" si="479"/>
        <v>3.15E-2</v>
      </c>
      <c r="I456" s="124">
        <f t="shared" si="253"/>
        <v>126.875</v>
      </c>
      <c r="J456" s="124">
        <f t="shared" si="254"/>
        <v>9248.75</v>
      </c>
      <c r="K456" s="9"/>
      <c r="L456" s="11"/>
      <c r="M456" s="306"/>
      <c r="N456" s="97"/>
      <c r="O456" s="421"/>
      <c r="P456" s="304"/>
      <c r="Q456" s="307"/>
      <c r="S456" s="11" t="s">
        <v>192</v>
      </c>
      <c r="T456" s="306">
        <f t="shared" ref="T456:U456" si="480">T455</f>
        <v>5000000</v>
      </c>
      <c r="U456" s="97">
        <f t="shared" si="480"/>
        <v>3.9199999999999999E-2</v>
      </c>
      <c r="V456" s="421">
        <f t="shared" si="260"/>
        <v>544.44444444444446</v>
      </c>
      <c r="W456" s="304">
        <f t="shared" si="261"/>
        <v>45733.333333333387</v>
      </c>
      <c r="X456" s="307">
        <f t="shared" si="262"/>
        <v>106.94444444444446</v>
      </c>
      <c r="Z456" s="11" t="s">
        <v>192</v>
      </c>
      <c r="AA456" s="306">
        <f t="shared" ref="AA456:AB456" si="481">AA455</f>
        <v>10000000</v>
      </c>
      <c r="AB456" s="97">
        <f t="shared" si="481"/>
        <v>3.7499999999999999E-2</v>
      </c>
      <c r="AC456" s="421">
        <f t="shared" si="264"/>
        <v>1041.6666666666667</v>
      </c>
      <c r="AD456" s="304">
        <f t="shared" si="265"/>
        <v>87500.000000000044</v>
      </c>
      <c r="AE456" s="307">
        <f t="shared" si="266"/>
        <v>166.66666666666674</v>
      </c>
      <c r="AG456" s="11" t="s">
        <v>192</v>
      </c>
      <c r="AH456" s="306">
        <f t="shared" ref="AH456:AI456" si="482">AH455</f>
        <v>6000000</v>
      </c>
      <c r="AI456" s="97">
        <f t="shared" si="482"/>
        <v>3.73E-2</v>
      </c>
      <c r="AJ456" s="421">
        <f t="shared" si="268"/>
        <v>621.66666666666663</v>
      </c>
      <c r="AK456" s="304">
        <f t="shared" si="269"/>
        <v>1243.3333333333333</v>
      </c>
      <c r="AL456" s="307">
        <f t="shared" si="270"/>
        <v>96.666666666666629</v>
      </c>
      <c r="AN456" s="304">
        <f>'codeis $'!AB456</f>
        <v>0</v>
      </c>
      <c r="AO456" s="340">
        <f>'codeis $'!AH456</f>
        <v>0</v>
      </c>
      <c r="AP456" s="304">
        <f>'codeis $'!AE456</f>
        <v>0</v>
      </c>
      <c r="AQ456" s="304">
        <f>'codeis $'!AK456</f>
        <v>0</v>
      </c>
      <c r="AR456" s="9"/>
      <c r="AS456" s="9"/>
      <c r="AT456" s="123"/>
      <c r="AU456" s="123"/>
      <c r="AV456" s="123"/>
      <c r="AW456" s="123"/>
      <c r="AX456" s="123"/>
      <c r="AY456" s="123"/>
      <c r="AZ456" s="123"/>
      <c r="BA456" s="123"/>
      <c r="BC456" s="124">
        <f>'MM $'!G456</f>
        <v>0</v>
      </c>
      <c r="BD456" s="139">
        <f>'MM $'!H456</f>
        <v>0</v>
      </c>
      <c r="BE456" s="431">
        <f>'MM $'!I456</f>
        <v>0</v>
      </c>
      <c r="BF456" s="124">
        <f>'MM $'!L456</f>
        <v>0</v>
      </c>
      <c r="BH456" s="124">
        <f>'MM $'!N456</f>
        <v>0</v>
      </c>
      <c r="BI456" s="139">
        <f>'MM $'!P456</f>
        <v>0</v>
      </c>
      <c r="BJ456" s="431">
        <f>'MM $'!Q456</f>
        <v>0</v>
      </c>
      <c r="BK456" s="124">
        <f>'MM $'!U456</f>
        <v>0</v>
      </c>
      <c r="BM456" s="124">
        <f>'MM $'!W456</f>
        <v>0</v>
      </c>
      <c r="BN456" s="139">
        <f>'MM $'!X456</f>
        <v>0</v>
      </c>
      <c r="BO456" s="431">
        <f>'MM $'!Y456</f>
        <v>0</v>
      </c>
      <c r="BP456" s="124">
        <f>'MM $'!AB456</f>
        <v>0</v>
      </c>
      <c r="BR456" s="124">
        <f>'MM $'!AD456</f>
        <v>0</v>
      </c>
      <c r="BS456" s="139">
        <f>'MM $'!AE456</f>
        <v>0</v>
      </c>
      <c r="BT456" s="431">
        <f>'MM $'!AF456</f>
        <v>0</v>
      </c>
      <c r="BU456" s="124">
        <f>'MM $'!AB456</f>
        <v>0</v>
      </c>
      <c r="BV456" s="439"/>
      <c r="BW456" s="120">
        <f t="shared" si="271"/>
        <v>22450000</v>
      </c>
      <c r="BX456" s="121">
        <f t="shared" si="404"/>
        <v>3.5000000000000003E-2</v>
      </c>
      <c r="BY456" s="121">
        <f t="shared" si="409"/>
        <v>3.7437639198218263E-2</v>
      </c>
      <c r="BZ456" s="120">
        <f t="shared" si="272"/>
        <v>2334.6527777777778</v>
      </c>
      <c r="CA456" s="120">
        <f t="shared" si="273"/>
        <v>370.27777777777783</v>
      </c>
    </row>
    <row r="457" spans="2:79" x14ac:dyDescent="0.25">
      <c r="B457" s="123" t="str">
        <f t="shared" si="249"/>
        <v>3 2026</v>
      </c>
      <c r="C457" s="122">
        <f t="shared" si="250"/>
        <v>46106</v>
      </c>
      <c r="D457" s="122">
        <f t="shared" si="410"/>
        <v>46107</v>
      </c>
      <c r="E457" s="123">
        <f t="shared" si="251"/>
        <v>1</v>
      </c>
      <c r="F457" s="123" t="s">
        <v>7</v>
      </c>
      <c r="G457" s="124">
        <f t="shared" ref="G457:H457" si="483">G456</f>
        <v>1450000</v>
      </c>
      <c r="H457" s="125">
        <f t="shared" si="483"/>
        <v>3.15E-2</v>
      </c>
      <c r="I457" s="124">
        <f t="shared" si="253"/>
        <v>126.875</v>
      </c>
      <c r="J457" s="124">
        <f t="shared" si="254"/>
        <v>9375.625</v>
      </c>
      <c r="K457" s="9"/>
      <c r="L457" s="11"/>
      <c r="M457" s="306"/>
      <c r="N457" s="97"/>
      <c r="O457" s="421"/>
      <c r="P457" s="304"/>
      <c r="Q457" s="307"/>
      <c r="S457" s="11" t="s">
        <v>192</v>
      </c>
      <c r="T457" s="306">
        <f t="shared" ref="T457:U457" si="484">T456</f>
        <v>5000000</v>
      </c>
      <c r="U457" s="97">
        <f t="shared" si="484"/>
        <v>3.9199999999999999E-2</v>
      </c>
      <c r="V457" s="421">
        <f t="shared" si="260"/>
        <v>544.44444444444446</v>
      </c>
      <c r="W457" s="304">
        <f t="shared" si="261"/>
        <v>46277.777777777832</v>
      </c>
      <c r="X457" s="307">
        <f t="shared" si="262"/>
        <v>106.94444444444446</v>
      </c>
      <c r="Z457" s="11" t="s">
        <v>192</v>
      </c>
      <c r="AA457" s="306">
        <f t="shared" ref="AA457:AB457" si="485">AA456</f>
        <v>10000000</v>
      </c>
      <c r="AB457" s="97">
        <f t="shared" si="485"/>
        <v>3.7499999999999999E-2</v>
      </c>
      <c r="AC457" s="421">
        <f t="shared" si="264"/>
        <v>1041.6666666666667</v>
      </c>
      <c r="AD457" s="304">
        <f t="shared" si="265"/>
        <v>88541.666666666715</v>
      </c>
      <c r="AE457" s="307">
        <f t="shared" si="266"/>
        <v>166.66666666666674</v>
      </c>
      <c r="AG457" s="11" t="s">
        <v>192</v>
      </c>
      <c r="AH457" s="306">
        <f t="shared" ref="AH457:AI457" si="486">AH456</f>
        <v>6000000</v>
      </c>
      <c r="AI457" s="97">
        <f t="shared" si="486"/>
        <v>3.73E-2</v>
      </c>
      <c r="AJ457" s="421">
        <f t="shared" si="268"/>
        <v>621.66666666666663</v>
      </c>
      <c r="AK457" s="304">
        <f t="shared" si="269"/>
        <v>1243.3333333333333</v>
      </c>
      <c r="AL457" s="307">
        <f t="shared" si="270"/>
        <v>96.666666666666629</v>
      </c>
      <c r="AN457" s="304">
        <f>'codeis $'!AB457</f>
        <v>0</v>
      </c>
      <c r="AO457" s="340">
        <f>'codeis $'!AH457</f>
        <v>0</v>
      </c>
      <c r="AP457" s="304">
        <f>'codeis $'!AE457</f>
        <v>0</v>
      </c>
      <c r="AQ457" s="304">
        <f>'codeis $'!AK457</f>
        <v>0</v>
      </c>
      <c r="AR457" s="9"/>
      <c r="AS457" s="9"/>
      <c r="AT457" s="123"/>
      <c r="AU457" s="123"/>
      <c r="AV457" s="123"/>
      <c r="AW457" s="123"/>
      <c r="AX457" s="123"/>
      <c r="AY457" s="123"/>
      <c r="AZ457" s="123"/>
      <c r="BA457" s="123"/>
      <c r="BC457" s="124">
        <f>'MM $'!G457</f>
        <v>0</v>
      </c>
      <c r="BD457" s="139">
        <f>'MM $'!H457</f>
        <v>0</v>
      </c>
      <c r="BE457" s="431">
        <f>'MM $'!I457</f>
        <v>0</v>
      </c>
      <c r="BF457" s="124">
        <f>'MM $'!L457</f>
        <v>0</v>
      </c>
      <c r="BH457" s="124">
        <f>'MM $'!N457</f>
        <v>0</v>
      </c>
      <c r="BI457" s="139">
        <f>'MM $'!P457</f>
        <v>0</v>
      </c>
      <c r="BJ457" s="431">
        <f>'MM $'!Q457</f>
        <v>0</v>
      </c>
      <c r="BK457" s="124">
        <f>'MM $'!U457</f>
        <v>0</v>
      </c>
      <c r="BM457" s="124">
        <f>'MM $'!W457</f>
        <v>0</v>
      </c>
      <c r="BN457" s="139">
        <f>'MM $'!X457</f>
        <v>0</v>
      </c>
      <c r="BO457" s="431">
        <f>'MM $'!Y457</f>
        <v>0</v>
      </c>
      <c r="BP457" s="124">
        <f>'MM $'!AB457</f>
        <v>0</v>
      </c>
      <c r="BR457" s="124">
        <f>'MM $'!AD457</f>
        <v>0</v>
      </c>
      <c r="BS457" s="139">
        <f>'MM $'!AE457</f>
        <v>0</v>
      </c>
      <c r="BT457" s="431">
        <f>'MM $'!AF457</f>
        <v>0</v>
      </c>
      <c r="BU457" s="124">
        <f>'MM $'!AB457</f>
        <v>0</v>
      </c>
      <c r="BV457" s="439"/>
      <c r="BW457" s="120">
        <f t="shared" si="271"/>
        <v>22450000</v>
      </c>
      <c r="BX457" s="121">
        <f t="shared" si="404"/>
        <v>3.5000000000000003E-2</v>
      </c>
      <c r="BY457" s="121">
        <f t="shared" si="409"/>
        <v>3.7437639198218263E-2</v>
      </c>
      <c r="BZ457" s="120">
        <f t="shared" si="272"/>
        <v>2334.6527777777778</v>
      </c>
      <c r="CA457" s="120">
        <f t="shared" si="273"/>
        <v>370.27777777777783</v>
      </c>
    </row>
    <row r="458" spans="2:79" x14ac:dyDescent="0.25">
      <c r="B458" s="123" t="str">
        <f t="shared" si="249"/>
        <v>3 2026</v>
      </c>
      <c r="C458" s="122">
        <f t="shared" si="250"/>
        <v>46107</v>
      </c>
      <c r="D458" s="122">
        <f t="shared" si="410"/>
        <v>46108</v>
      </c>
      <c r="E458" s="123">
        <f t="shared" si="251"/>
        <v>1</v>
      </c>
      <c r="F458" s="123" t="s">
        <v>7</v>
      </c>
      <c r="G458" s="124">
        <f t="shared" ref="G458:H458" si="487">G457</f>
        <v>1450000</v>
      </c>
      <c r="H458" s="125">
        <f t="shared" si="487"/>
        <v>3.15E-2</v>
      </c>
      <c r="I458" s="124">
        <f t="shared" si="253"/>
        <v>126.875</v>
      </c>
      <c r="J458" s="124">
        <f t="shared" si="254"/>
        <v>9502.5</v>
      </c>
      <c r="K458" s="9"/>
      <c r="L458" s="11"/>
      <c r="M458" s="306"/>
      <c r="N458" s="97"/>
      <c r="O458" s="421"/>
      <c r="P458" s="304"/>
      <c r="Q458" s="307"/>
      <c r="S458" s="11" t="s">
        <v>192</v>
      </c>
      <c r="T458" s="306">
        <f t="shared" ref="T458:U458" si="488">T457</f>
        <v>5000000</v>
      </c>
      <c r="U458" s="97">
        <f t="shared" si="488"/>
        <v>3.9199999999999999E-2</v>
      </c>
      <c r="V458" s="421">
        <f t="shared" si="260"/>
        <v>544.44444444444446</v>
      </c>
      <c r="W458" s="304">
        <f t="shared" si="261"/>
        <v>46822.222222222277</v>
      </c>
      <c r="X458" s="307">
        <f t="shared" si="262"/>
        <v>106.94444444444446</v>
      </c>
      <c r="Z458" s="11" t="s">
        <v>192</v>
      </c>
      <c r="AA458" s="306">
        <f t="shared" ref="AA458:AB458" si="489">AA457</f>
        <v>10000000</v>
      </c>
      <c r="AB458" s="97">
        <f t="shared" si="489"/>
        <v>3.7499999999999999E-2</v>
      </c>
      <c r="AC458" s="421">
        <f t="shared" si="264"/>
        <v>1041.6666666666667</v>
      </c>
      <c r="AD458" s="304">
        <f t="shared" si="265"/>
        <v>89583.333333333387</v>
      </c>
      <c r="AE458" s="307">
        <f t="shared" si="266"/>
        <v>166.66666666666674</v>
      </c>
      <c r="AG458" s="11" t="s">
        <v>192</v>
      </c>
      <c r="AH458" s="306">
        <f t="shared" ref="AH458:AI458" si="490">AH457</f>
        <v>6000000</v>
      </c>
      <c r="AI458" s="97">
        <f t="shared" si="490"/>
        <v>3.73E-2</v>
      </c>
      <c r="AJ458" s="421">
        <f t="shared" si="268"/>
        <v>621.66666666666663</v>
      </c>
      <c r="AK458" s="304">
        <f t="shared" si="269"/>
        <v>1243.3333333333333</v>
      </c>
      <c r="AL458" s="307">
        <f t="shared" si="270"/>
        <v>96.666666666666629</v>
      </c>
      <c r="AN458" s="304">
        <f>'codeis $'!AB458</f>
        <v>0</v>
      </c>
      <c r="AO458" s="340">
        <f>'codeis $'!AH458</f>
        <v>0</v>
      </c>
      <c r="AP458" s="304">
        <f>'codeis $'!AE458</f>
        <v>0</v>
      </c>
      <c r="AQ458" s="304">
        <f>'codeis $'!AK458</f>
        <v>0</v>
      </c>
      <c r="AR458" s="9"/>
      <c r="AS458" s="9"/>
      <c r="AT458" s="123"/>
      <c r="AU458" s="123"/>
      <c r="AV458" s="123"/>
      <c r="AW458" s="123"/>
      <c r="AX458" s="123"/>
      <c r="AY458" s="123"/>
      <c r="AZ458" s="123"/>
      <c r="BA458" s="123"/>
      <c r="BC458" s="124">
        <f>'MM $'!G458</f>
        <v>0</v>
      </c>
      <c r="BD458" s="139">
        <f>'MM $'!H458</f>
        <v>0</v>
      </c>
      <c r="BE458" s="431">
        <f>'MM $'!I458</f>
        <v>0</v>
      </c>
      <c r="BF458" s="124">
        <f>'MM $'!L458</f>
        <v>0</v>
      </c>
      <c r="BH458" s="124">
        <f>'MM $'!N458</f>
        <v>0</v>
      </c>
      <c r="BI458" s="139">
        <f>'MM $'!P458</f>
        <v>0</v>
      </c>
      <c r="BJ458" s="431">
        <f>'MM $'!Q458</f>
        <v>0</v>
      </c>
      <c r="BK458" s="124">
        <f>'MM $'!U458</f>
        <v>0</v>
      </c>
      <c r="BM458" s="124">
        <f>'MM $'!W458</f>
        <v>0</v>
      </c>
      <c r="BN458" s="139">
        <f>'MM $'!X458</f>
        <v>0</v>
      </c>
      <c r="BO458" s="431">
        <f>'MM $'!Y458</f>
        <v>0</v>
      </c>
      <c r="BP458" s="124">
        <f>'MM $'!AB458</f>
        <v>0</v>
      </c>
      <c r="BR458" s="124">
        <f>'MM $'!AD458</f>
        <v>0</v>
      </c>
      <c r="BS458" s="139">
        <f>'MM $'!AE458</f>
        <v>0</v>
      </c>
      <c r="BT458" s="431">
        <f>'MM $'!AF458</f>
        <v>0</v>
      </c>
      <c r="BU458" s="124">
        <f>'MM $'!AB458</f>
        <v>0</v>
      </c>
      <c r="BV458" s="439"/>
      <c r="BW458" s="120">
        <f t="shared" si="271"/>
        <v>22450000</v>
      </c>
      <c r="BX458" s="121">
        <f t="shared" si="404"/>
        <v>3.5000000000000003E-2</v>
      </c>
      <c r="BY458" s="121">
        <f t="shared" si="409"/>
        <v>3.7437639198218263E-2</v>
      </c>
      <c r="BZ458" s="120">
        <f t="shared" si="272"/>
        <v>2334.6527777777778</v>
      </c>
      <c r="CA458" s="120">
        <f t="shared" si="273"/>
        <v>370.27777777777783</v>
      </c>
    </row>
    <row r="459" spans="2:79" x14ac:dyDescent="0.25">
      <c r="B459" s="123" t="str">
        <f t="shared" si="249"/>
        <v>3 2026</v>
      </c>
      <c r="C459" s="122">
        <f t="shared" si="250"/>
        <v>46108</v>
      </c>
      <c r="D459" s="122">
        <f t="shared" si="410"/>
        <v>46109</v>
      </c>
      <c r="E459" s="123">
        <f t="shared" si="251"/>
        <v>1</v>
      </c>
      <c r="F459" s="123" t="s">
        <v>7</v>
      </c>
      <c r="G459" s="124">
        <f t="shared" ref="G459:H459" si="491">G458</f>
        <v>1450000</v>
      </c>
      <c r="H459" s="125">
        <f t="shared" si="491"/>
        <v>3.15E-2</v>
      </c>
      <c r="I459" s="124">
        <f t="shared" si="253"/>
        <v>126.875</v>
      </c>
      <c r="J459" s="124">
        <f t="shared" si="254"/>
        <v>9629.375</v>
      </c>
      <c r="K459" s="9"/>
      <c r="L459" s="11"/>
      <c r="M459" s="306"/>
      <c r="N459" s="97"/>
      <c r="O459" s="421"/>
      <c r="P459" s="304"/>
      <c r="Q459" s="307"/>
      <c r="S459" s="11" t="s">
        <v>192</v>
      </c>
      <c r="T459" s="306">
        <f t="shared" ref="T459:U459" si="492">T458</f>
        <v>5000000</v>
      </c>
      <c r="U459" s="97">
        <f t="shared" si="492"/>
        <v>3.9199999999999999E-2</v>
      </c>
      <c r="V459" s="421">
        <f t="shared" si="260"/>
        <v>544.44444444444446</v>
      </c>
      <c r="W459" s="304">
        <f t="shared" si="261"/>
        <v>47366.666666666722</v>
      </c>
      <c r="X459" s="307">
        <f t="shared" si="262"/>
        <v>106.94444444444446</v>
      </c>
      <c r="Z459" s="11" t="s">
        <v>192</v>
      </c>
      <c r="AA459" s="306">
        <f t="shared" ref="AA459:AB459" si="493">AA458</f>
        <v>10000000</v>
      </c>
      <c r="AB459" s="97">
        <f t="shared" si="493"/>
        <v>3.7499999999999999E-2</v>
      </c>
      <c r="AC459" s="421">
        <f t="shared" si="264"/>
        <v>1041.6666666666667</v>
      </c>
      <c r="AD459" s="304">
        <f t="shared" si="265"/>
        <v>90625.000000000058</v>
      </c>
      <c r="AE459" s="307">
        <f t="shared" si="266"/>
        <v>166.66666666666674</v>
      </c>
      <c r="AG459" s="11" t="s">
        <v>192</v>
      </c>
      <c r="AH459" s="306">
        <f t="shared" ref="AH459:AI459" si="494">AH458</f>
        <v>6000000</v>
      </c>
      <c r="AI459" s="97">
        <f t="shared" si="494"/>
        <v>3.73E-2</v>
      </c>
      <c r="AJ459" s="421">
        <f t="shared" si="268"/>
        <v>621.66666666666663</v>
      </c>
      <c r="AK459" s="304">
        <f t="shared" si="269"/>
        <v>1243.3333333333333</v>
      </c>
      <c r="AL459" s="307">
        <f t="shared" si="270"/>
        <v>96.666666666666629</v>
      </c>
      <c r="AN459" s="304">
        <f>'codeis $'!AB459</f>
        <v>0</v>
      </c>
      <c r="AO459" s="340">
        <f>'codeis $'!AH459</f>
        <v>0</v>
      </c>
      <c r="AP459" s="304">
        <f>'codeis $'!AE459</f>
        <v>0</v>
      </c>
      <c r="AQ459" s="304">
        <f>'codeis $'!AK459</f>
        <v>0</v>
      </c>
      <c r="AR459" s="9"/>
      <c r="AS459" s="9"/>
      <c r="AT459" s="123"/>
      <c r="AU459" s="123"/>
      <c r="AV459" s="123"/>
      <c r="AW459" s="123"/>
      <c r="AX459" s="123"/>
      <c r="AY459" s="123"/>
      <c r="AZ459" s="123"/>
      <c r="BA459" s="123"/>
      <c r="BC459" s="124">
        <f>'MM $'!G459</f>
        <v>0</v>
      </c>
      <c r="BD459" s="139">
        <f>'MM $'!H459</f>
        <v>0</v>
      </c>
      <c r="BE459" s="431">
        <f>'MM $'!I459</f>
        <v>0</v>
      </c>
      <c r="BF459" s="124">
        <f>'MM $'!L459</f>
        <v>0</v>
      </c>
      <c r="BH459" s="124">
        <f>'MM $'!N459</f>
        <v>0</v>
      </c>
      <c r="BI459" s="139">
        <f>'MM $'!P459</f>
        <v>0</v>
      </c>
      <c r="BJ459" s="431">
        <f>'MM $'!Q459</f>
        <v>0</v>
      </c>
      <c r="BK459" s="124">
        <f>'MM $'!U459</f>
        <v>0</v>
      </c>
      <c r="BM459" s="124">
        <f>'MM $'!W459</f>
        <v>0</v>
      </c>
      <c r="BN459" s="139">
        <f>'MM $'!X459</f>
        <v>0</v>
      </c>
      <c r="BO459" s="431">
        <f>'MM $'!Y459</f>
        <v>0</v>
      </c>
      <c r="BP459" s="124">
        <f>'MM $'!AB459</f>
        <v>0</v>
      </c>
      <c r="BR459" s="124">
        <f>'MM $'!AD459</f>
        <v>0</v>
      </c>
      <c r="BS459" s="139">
        <f>'MM $'!AE459</f>
        <v>0</v>
      </c>
      <c r="BT459" s="431">
        <f>'MM $'!AF459</f>
        <v>0</v>
      </c>
      <c r="BU459" s="124">
        <f>'MM $'!AB459</f>
        <v>0</v>
      </c>
      <c r="BV459" s="439"/>
      <c r="BW459" s="120">
        <f t="shared" si="271"/>
        <v>22450000</v>
      </c>
      <c r="BX459" s="121">
        <f t="shared" si="404"/>
        <v>3.5000000000000003E-2</v>
      </c>
      <c r="BY459" s="121">
        <f t="shared" si="409"/>
        <v>3.7437639198218263E-2</v>
      </c>
      <c r="BZ459" s="120">
        <f t="shared" si="272"/>
        <v>2334.6527777777778</v>
      </c>
      <c r="CA459" s="120">
        <f t="shared" si="273"/>
        <v>370.27777777777783</v>
      </c>
    </row>
    <row r="460" spans="2:79" x14ac:dyDescent="0.25">
      <c r="B460" s="123" t="str">
        <f t="shared" si="249"/>
        <v>3 2026</v>
      </c>
      <c r="C460" s="122">
        <f t="shared" si="250"/>
        <v>46109</v>
      </c>
      <c r="D460" s="122">
        <f t="shared" si="410"/>
        <v>46110</v>
      </c>
      <c r="E460" s="123">
        <f t="shared" si="251"/>
        <v>1</v>
      </c>
      <c r="F460" s="123" t="s">
        <v>7</v>
      </c>
      <c r="G460" s="124">
        <f t="shared" ref="G460:H460" si="495">G459</f>
        <v>1450000</v>
      </c>
      <c r="H460" s="125">
        <f t="shared" si="495"/>
        <v>3.15E-2</v>
      </c>
      <c r="I460" s="124">
        <f t="shared" si="253"/>
        <v>126.875</v>
      </c>
      <c r="J460" s="124">
        <f t="shared" si="254"/>
        <v>9756.25</v>
      </c>
      <c r="K460" s="9"/>
      <c r="L460" s="11"/>
      <c r="M460" s="306"/>
      <c r="N460" s="97"/>
      <c r="O460" s="421"/>
      <c r="P460" s="304"/>
      <c r="Q460" s="307"/>
      <c r="S460" s="11" t="s">
        <v>192</v>
      </c>
      <c r="T460" s="306">
        <f t="shared" ref="T460:U460" si="496">T459</f>
        <v>5000000</v>
      </c>
      <c r="U460" s="97">
        <f t="shared" si="496"/>
        <v>3.9199999999999999E-2</v>
      </c>
      <c r="V460" s="421">
        <f t="shared" si="260"/>
        <v>544.44444444444446</v>
      </c>
      <c r="W460" s="304">
        <f t="shared" si="261"/>
        <v>47911.111111111168</v>
      </c>
      <c r="X460" s="307">
        <f t="shared" si="262"/>
        <v>106.94444444444446</v>
      </c>
      <c r="Z460" s="11" t="s">
        <v>192</v>
      </c>
      <c r="AA460" s="306">
        <f t="shared" ref="AA460:AB460" si="497">AA459</f>
        <v>10000000</v>
      </c>
      <c r="AB460" s="97">
        <f t="shared" si="497"/>
        <v>3.7499999999999999E-2</v>
      </c>
      <c r="AC460" s="421">
        <f t="shared" si="264"/>
        <v>1041.6666666666667</v>
      </c>
      <c r="AD460" s="304">
        <f t="shared" si="265"/>
        <v>91666.66666666673</v>
      </c>
      <c r="AE460" s="307">
        <f t="shared" si="266"/>
        <v>166.66666666666674</v>
      </c>
      <c r="AG460" s="11" t="s">
        <v>192</v>
      </c>
      <c r="AH460" s="306">
        <f t="shared" ref="AH460:AI460" si="498">AH459</f>
        <v>6000000</v>
      </c>
      <c r="AI460" s="97">
        <f t="shared" si="498"/>
        <v>3.73E-2</v>
      </c>
      <c r="AJ460" s="421">
        <f t="shared" si="268"/>
        <v>621.66666666666663</v>
      </c>
      <c r="AK460" s="304">
        <f t="shared" si="269"/>
        <v>1243.3333333333333</v>
      </c>
      <c r="AL460" s="307">
        <f t="shared" si="270"/>
        <v>96.666666666666629</v>
      </c>
      <c r="AN460" s="304">
        <f>'codeis $'!AB460</f>
        <v>0</v>
      </c>
      <c r="AO460" s="340">
        <f>'codeis $'!AH460</f>
        <v>0</v>
      </c>
      <c r="AP460" s="304">
        <f>'codeis $'!AE460</f>
        <v>0</v>
      </c>
      <c r="AQ460" s="304">
        <f>'codeis $'!AK460</f>
        <v>0</v>
      </c>
      <c r="AR460" s="9"/>
      <c r="AS460" s="9"/>
      <c r="AT460" s="123"/>
      <c r="AU460" s="123"/>
      <c r="AV460" s="123"/>
      <c r="AW460" s="123"/>
      <c r="AX460" s="123"/>
      <c r="AY460" s="123"/>
      <c r="AZ460" s="123"/>
      <c r="BA460" s="123"/>
      <c r="BC460" s="124">
        <f>'MM $'!G460</f>
        <v>0</v>
      </c>
      <c r="BD460" s="139">
        <f>'MM $'!H460</f>
        <v>0</v>
      </c>
      <c r="BE460" s="431">
        <f>'MM $'!I460</f>
        <v>0</v>
      </c>
      <c r="BF460" s="124">
        <f>'MM $'!L460</f>
        <v>0</v>
      </c>
      <c r="BH460" s="124">
        <f>'MM $'!N460</f>
        <v>0</v>
      </c>
      <c r="BI460" s="139">
        <f>'MM $'!P460</f>
        <v>0</v>
      </c>
      <c r="BJ460" s="431">
        <f>'MM $'!Q460</f>
        <v>0</v>
      </c>
      <c r="BK460" s="124">
        <f>'MM $'!U460</f>
        <v>0</v>
      </c>
      <c r="BM460" s="124">
        <f>'MM $'!W460</f>
        <v>0</v>
      </c>
      <c r="BN460" s="139">
        <f>'MM $'!X460</f>
        <v>0</v>
      </c>
      <c r="BO460" s="431">
        <f>'MM $'!Y460</f>
        <v>0</v>
      </c>
      <c r="BP460" s="124">
        <f>'MM $'!AB460</f>
        <v>0</v>
      </c>
      <c r="BR460" s="124">
        <f>'MM $'!AD460</f>
        <v>0</v>
      </c>
      <c r="BS460" s="139">
        <f>'MM $'!AE460</f>
        <v>0</v>
      </c>
      <c r="BT460" s="431">
        <f>'MM $'!AF460</f>
        <v>0</v>
      </c>
      <c r="BU460" s="124">
        <f>'MM $'!AB460</f>
        <v>0</v>
      </c>
      <c r="BV460" s="439"/>
      <c r="BW460" s="120">
        <f t="shared" si="271"/>
        <v>22450000</v>
      </c>
      <c r="BX460" s="121">
        <f t="shared" si="404"/>
        <v>3.5000000000000003E-2</v>
      </c>
      <c r="BY460" s="121">
        <f t="shared" si="409"/>
        <v>3.7437639198218263E-2</v>
      </c>
      <c r="BZ460" s="120">
        <f t="shared" si="272"/>
        <v>2334.6527777777778</v>
      </c>
      <c r="CA460" s="120">
        <f t="shared" si="273"/>
        <v>370.27777777777783</v>
      </c>
    </row>
    <row r="461" spans="2:79" x14ac:dyDescent="0.25">
      <c r="B461" s="123" t="str">
        <f t="shared" si="249"/>
        <v>3 2026</v>
      </c>
      <c r="C461" s="122">
        <f t="shared" si="250"/>
        <v>46110</v>
      </c>
      <c r="D461" s="122">
        <f t="shared" si="410"/>
        <v>46111</v>
      </c>
      <c r="E461" s="123">
        <f t="shared" si="251"/>
        <v>1</v>
      </c>
      <c r="F461" s="123" t="s">
        <v>7</v>
      </c>
      <c r="G461" s="124">
        <f t="shared" ref="G461:H461" si="499">G460</f>
        <v>1450000</v>
      </c>
      <c r="H461" s="125">
        <f t="shared" si="499"/>
        <v>3.15E-2</v>
      </c>
      <c r="I461" s="124">
        <f t="shared" si="253"/>
        <v>126.875</v>
      </c>
      <c r="J461" s="124">
        <f t="shared" si="254"/>
        <v>9883.125</v>
      </c>
      <c r="K461" s="9"/>
      <c r="L461" s="11"/>
      <c r="M461" s="306"/>
      <c r="N461" s="97"/>
      <c r="O461" s="421"/>
      <c r="P461" s="304"/>
      <c r="Q461" s="307"/>
      <c r="S461" s="11" t="s">
        <v>192</v>
      </c>
      <c r="T461" s="306">
        <f t="shared" ref="T461:U461" si="500">T460</f>
        <v>5000000</v>
      </c>
      <c r="U461" s="97">
        <f t="shared" si="500"/>
        <v>3.9199999999999999E-2</v>
      </c>
      <c r="V461" s="421">
        <f t="shared" si="260"/>
        <v>544.44444444444446</v>
      </c>
      <c r="W461" s="304">
        <f t="shared" si="261"/>
        <v>48455.555555555613</v>
      </c>
      <c r="X461" s="307">
        <f t="shared" si="262"/>
        <v>106.94444444444446</v>
      </c>
      <c r="Z461" s="11" t="s">
        <v>192</v>
      </c>
      <c r="AA461" s="306">
        <f t="shared" ref="AA461:AB461" si="501">AA460</f>
        <v>10000000</v>
      </c>
      <c r="AB461" s="97">
        <f t="shared" si="501"/>
        <v>3.7499999999999999E-2</v>
      </c>
      <c r="AC461" s="421">
        <f t="shared" si="264"/>
        <v>1041.6666666666667</v>
      </c>
      <c r="AD461" s="304">
        <f t="shared" si="265"/>
        <v>92708.333333333401</v>
      </c>
      <c r="AE461" s="307">
        <f t="shared" si="266"/>
        <v>166.66666666666674</v>
      </c>
      <c r="AG461" s="11" t="s">
        <v>192</v>
      </c>
      <c r="AH461" s="306">
        <f t="shared" ref="AH461:AI461" si="502">AH460</f>
        <v>6000000</v>
      </c>
      <c r="AI461" s="97">
        <f t="shared" si="502"/>
        <v>3.73E-2</v>
      </c>
      <c r="AJ461" s="421">
        <f t="shared" si="268"/>
        <v>621.66666666666663</v>
      </c>
      <c r="AK461" s="304">
        <f t="shared" si="269"/>
        <v>1243.3333333333333</v>
      </c>
      <c r="AL461" s="307">
        <f t="shared" si="270"/>
        <v>96.666666666666629</v>
      </c>
      <c r="AN461" s="304">
        <f>'codeis $'!AB461</f>
        <v>0</v>
      </c>
      <c r="AO461" s="340">
        <f>'codeis $'!AH461</f>
        <v>0</v>
      </c>
      <c r="AP461" s="304">
        <f>'codeis $'!AE461</f>
        <v>0</v>
      </c>
      <c r="AQ461" s="304">
        <f>'codeis $'!AK461</f>
        <v>0</v>
      </c>
      <c r="AR461" s="9"/>
      <c r="AS461" s="9"/>
      <c r="AT461" s="123"/>
      <c r="AU461" s="123"/>
      <c r="AV461" s="123"/>
      <c r="AW461" s="123"/>
      <c r="AX461" s="123"/>
      <c r="AY461" s="123"/>
      <c r="AZ461" s="123"/>
      <c r="BA461" s="123"/>
      <c r="BC461" s="124">
        <f>'MM $'!G461</f>
        <v>0</v>
      </c>
      <c r="BD461" s="139">
        <f>'MM $'!H461</f>
        <v>0</v>
      </c>
      <c r="BE461" s="431">
        <f>'MM $'!I461</f>
        <v>0</v>
      </c>
      <c r="BF461" s="124">
        <f>'MM $'!L461</f>
        <v>0</v>
      </c>
      <c r="BH461" s="124">
        <f>'MM $'!N461</f>
        <v>0</v>
      </c>
      <c r="BI461" s="139">
        <f>'MM $'!P461</f>
        <v>0</v>
      </c>
      <c r="BJ461" s="431">
        <f>'MM $'!Q461</f>
        <v>0</v>
      </c>
      <c r="BK461" s="124">
        <f>'MM $'!U461</f>
        <v>0</v>
      </c>
      <c r="BM461" s="124">
        <f>'MM $'!W461</f>
        <v>0</v>
      </c>
      <c r="BN461" s="139">
        <f>'MM $'!X461</f>
        <v>0</v>
      </c>
      <c r="BO461" s="431">
        <f>'MM $'!Y461</f>
        <v>0</v>
      </c>
      <c r="BP461" s="124">
        <f>'MM $'!AB461</f>
        <v>0</v>
      </c>
      <c r="BR461" s="124">
        <f>'MM $'!AD461</f>
        <v>0</v>
      </c>
      <c r="BS461" s="139">
        <f>'MM $'!AE461</f>
        <v>0</v>
      </c>
      <c r="BT461" s="431">
        <f>'MM $'!AF461</f>
        <v>0</v>
      </c>
      <c r="BU461" s="124">
        <f>'MM $'!AB461</f>
        <v>0</v>
      </c>
      <c r="BV461" s="439"/>
      <c r="BW461" s="120">
        <f t="shared" si="271"/>
        <v>22450000</v>
      </c>
      <c r="BX461" s="121">
        <f t="shared" si="404"/>
        <v>3.5000000000000003E-2</v>
      </c>
      <c r="BY461" s="121">
        <f t="shared" si="409"/>
        <v>3.7437639198218263E-2</v>
      </c>
      <c r="BZ461" s="120">
        <f t="shared" si="272"/>
        <v>2334.6527777777778</v>
      </c>
      <c r="CA461" s="120">
        <f t="shared" si="273"/>
        <v>370.27777777777783</v>
      </c>
    </row>
    <row r="462" spans="2:79" x14ac:dyDescent="0.25">
      <c r="B462" s="123" t="str">
        <f t="shared" si="249"/>
        <v>3 2026</v>
      </c>
      <c r="C462" s="122">
        <f t="shared" si="250"/>
        <v>46111</v>
      </c>
      <c r="D462" s="122">
        <f t="shared" si="410"/>
        <v>46112</v>
      </c>
      <c r="E462" s="123">
        <f t="shared" si="251"/>
        <v>1</v>
      </c>
      <c r="F462" s="123" t="s">
        <v>7</v>
      </c>
      <c r="G462" s="124">
        <f t="shared" ref="G462:H462" si="503">G461</f>
        <v>1450000</v>
      </c>
      <c r="H462" s="125">
        <f t="shared" si="503"/>
        <v>3.15E-2</v>
      </c>
      <c r="I462" s="124">
        <f t="shared" si="253"/>
        <v>126.875</v>
      </c>
      <c r="J462" s="124">
        <f t="shared" si="254"/>
        <v>10010</v>
      </c>
      <c r="K462" s="9"/>
      <c r="L462" s="11"/>
      <c r="M462" s="306"/>
      <c r="N462" s="97"/>
      <c r="O462" s="421"/>
      <c r="P462" s="304"/>
      <c r="Q462" s="307"/>
      <c r="S462" s="11" t="s">
        <v>192</v>
      </c>
      <c r="T462" s="306">
        <f t="shared" ref="T462:U462" si="504">T461</f>
        <v>5000000</v>
      </c>
      <c r="U462" s="97">
        <f t="shared" si="504"/>
        <v>3.9199999999999999E-2</v>
      </c>
      <c r="V462" s="421">
        <f t="shared" si="260"/>
        <v>544.44444444444446</v>
      </c>
      <c r="W462" s="304">
        <f t="shared" si="261"/>
        <v>49000.000000000058</v>
      </c>
      <c r="X462" s="307">
        <f t="shared" si="262"/>
        <v>106.94444444444446</v>
      </c>
      <c r="Z462" s="11" t="s">
        <v>192</v>
      </c>
      <c r="AA462" s="306">
        <f t="shared" ref="AA462:AB462" si="505">AA461</f>
        <v>10000000</v>
      </c>
      <c r="AB462" s="97">
        <f t="shared" si="505"/>
        <v>3.7499999999999999E-2</v>
      </c>
      <c r="AC462" s="421">
        <f t="shared" si="264"/>
        <v>1041.6666666666667</v>
      </c>
      <c r="AD462" s="304">
        <f t="shared" si="265"/>
        <v>93750.000000000073</v>
      </c>
      <c r="AE462" s="307">
        <f t="shared" si="266"/>
        <v>166.66666666666674</v>
      </c>
      <c r="AG462" s="11" t="s">
        <v>192</v>
      </c>
      <c r="AH462" s="306">
        <f t="shared" ref="AH462:AI462" si="506">AH461</f>
        <v>6000000</v>
      </c>
      <c r="AI462" s="97">
        <f t="shared" si="506"/>
        <v>3.73E-2</v>
      </c>
      <c r="AJ462" s="421">
        <f t="shared" si="268"/>
        <v>621.66666666666663</v>
      </c>
      <c r="AK462" s="304">
        <f t="shared" si="269"/>
        <v>1243.3333333333333</v>
      </c>
      <c r="AL462" s="307">
        <f t="shared" si="270"/>
        <v>96.666666666666629</v>
      </c>
      <c r="AN462" s="304">
        <f>'codeis $'!AB462</f>
        <v>0</v>
      </c>
      <c r="AO462" s="340">
        <f>'codeis $'!AH462</f>
        <v>0</v>
      </c>
      <c r="AP462" s="304">
        <f>'codeis $'!AE462</f>
        <v>0</v>
      </c>
      <c r="AQ462" s="304">
        <f>'codeis $'!AK462</f>
        <v>0</v>
      </c>
      <c r="AR462" s="9"/>
      <c r="AS462" s="9"/>
      <c r="AT462" s="123"/>
      <c r="AU462" s="123"/>
      <c r="AV462" s="123"/>
      <c r="AW462" s="123"/>
      <c r="AX462" s="123"/>
      <c r="AY462" s="123"/>
      <c r="AZ462" s="123"/>
      <c r="BA462" s="123"/>
      <c r="BC462" s="124">
        <f>'MM $'!G462</f>
        <v>0</v>
      </c>
      <c r="BD462" s="139">
        <f>'MM $'!H462</f>
        <v>0</v>
      </c>
      <c r="BE462" s="431">
        <f>'MM $'!I462</f>
        <v>0</v>
      </c>
      <c r="BF462" s="124">
        <f>'MM $'!L462</f>
        <v>0</v>
      </c>
      <c r="BH462" s="124">
        <f>'MM $'!N462</f>
        <v>0</v>
      </c>
      <c r="BI462" s="139">
        <f>'MM $'!P462</f>
        <v>0</v>
      </c>
      <c r="BJ462" s="431">
        <f>'MM $'!Q462</f>
        <v>0</v>
      </c>
      <c r="BK462" s="124">
        <f>'MM $'!U462</f>
        <v>0</v>
      </c>
      <c r="BM462" s="124">
        <f>'MM $'!W462</f>
        <v>0</v>
      </c>
      <c r="BN462" s="139">
        <f>'MM $'!X462</f>
        <v>0</v>
      </c>
      <c r="BO462" s="431">
        <f>'MM $'!Y462</f>
        <v>0</v>
      </c>
      <c r="BP462" s="124">
        <f>'MM $'!AB462</f>
        <v>0</v>
      </c>
      <c r="BR462" s="124">
        <f>'MM $'!AD462</f>
        <v>0</v>
      </c>
      <c r="BS462" s="139">
        <f>'MM $'!AE462</f>
        <v>0</v>
      </c>
      <c r="BT462" s="431">
        <f>'MM $'!AF462</f>
        <v>0</v>
      </c>
      <c r="BU462" s="124">
        <f>'MM $'!AB462</f>
        <v>0</v>
      </c>
      <c r="BV462" s="439"/>
      <c r="BW462" s="120">
        <f t="shared" si="271"/>
        <v>22450000</v>
      </c>
      <c r="BX462" s="121">
        <f t="shared" si="404"/>
        <v>3.5000000000000003E-2</v>
      </c>
      <c r="BY462" s="121">
        <f t="shared" si="409"/>
        <v>3.7437639198218263E-2</v>
      </c>
      <c r="BZ462" s="120">
        <f t="shared" si="272"/>
        <v>2334.6527777777778</v>
      </c>
      <c r="CA462" s="120">
        <f t="shared" si="273"/>
        <v>370.27777777777783</v>
      </c>
    </row>
    <row r="463" spans="2:79" x14ac:dyDescent="0.25">
      <c r="B463" s="123" t="str">
        <f t="shared" si="249"/>
        <v>4 2026</v>
      </c>
      <c r="C463" s="122">
        <f t="shared" si="250"/>
        <v>46112</v>
      </c>
      <c r="D463" s="122">
        <f t="shared" si="410"/>
        <v>46113</v>
      </c>
      <c r="E463" s="123">
        <f t="shared" si="251"/>
        <v>1</v>
      </c>
      <c r="F463" s="123" t="s">
        <v>7</v>
      </c>
      <c r="G463" s="124">
        <f t="shared" ref="G463:H463" si="507">G462</f>
        <v>1450000</v>
      </c>
      <c r="H463" s="125">
        <f t="shared" si="507"/>
        <v>3.15E-2</v>
      </c>
      <c r="I463" s="124">
        <f t="shared" si="253"/>
        <v>126.875</v>
      </c>
      <c r="J463" s="124">
        <f t="shared" si="254"/>
        <v>10136.875</v>
      </c>
      <c r="K463" s="9"/>
      <c r="L463" s="11"/>
      <c r="M463" s="306"/>
      <c r="N463" s="97"/>
      <c r="O463" s="421"/>
      <c r="P463" s="304"/>
      <c r="Q463" s="307"/>
      <c r="S463" s="11" t="s">
        <v>192</v>
      </c>
      <c r="T463" s="306">
        <f t="shared" ref="T463:U463" si="508">T462</f>
        <v>5000000</v>
      </c>
      <c r="U463" s="97">
        <f t="shared" si="508"/>
        <v>3.9199999999999999E-2</v>
      </c>
      <c r="V463" s="421">
        <f t="shared" si="260"/>
        <v>544.44444444444446</v>
      </c>
      <c r="W463" s="304">
        <f t="shared" si="261"/>
        <v>49544.444444444503</v>
      </c>
      <c r="X463" s="307">
        <f t="shared" si="262"/>
        <v>106.94444444444446</v>
      </c>
      <c r="Z463" s="11" t="s">
        <v>192</v>
      </c>
      <c r="AA463" s="306">
        <f t="shared" ref="AA463:AB463" si="509">AA462</f>
        <v>10000000</v>
      </c>
      <c r="AB463" s="97">
        <f t="shared" si="509"/>
        <v>3.7499999999999999E-2</v>
      </c>
      <c r="AC463" s="421">
        <f t="shared" si="264"/>
        <v>1041.6666666666667</v>
      </c>
      <c r="AD463" s="304">
        <f t="shared" si="265"/>
        <v>94791.666666666744</v>
      </c>
      <c r="AE463" s="307">
        <f t="shared" si="266"/>
        <v>166.66666666666674</v>
      </c>
      <c r="AG463" s="11" t="s">
        <v>192</v>
      </c>
      <c r="AH463" s="306">
        <f t="shared" ref="AH463:AI463" si="510">AH462</f>
        <v>6000000</v>
      </c>
      <c r="AI463" s="97">
        <f t="shared" si="510"/>
        <v>3.73E-2</v>
      </c>
      <c r="AJ463" s="421">
        <f t="shared" si="268"/>
        <v>621.66666666666663</v>
      </c>
      <c r="AK463" s="304">
        <f t="shared" si="269"/>
        <v>1243.3333333333333</v>
      </c>
      <c r="AL463" s="307">
        <f t="shared" si="270"/>
        <v>96.666666666666629</v>
      </c>
      <c r="AN463" s="304">
        <f>'codeis $'!AB463</f>
        <v>0</v>
      </c>
      <c r="AO463" s="340">
        <f>'codeis $'!AH463</f>
        <v>0</v>
      </c>
      <c r="AP463" s="304">
        <f>'codeis $'!AE463</f>
        <v>0</v>
      </c>
      <c r="AQ463" s="304">
        <f>'codeis $'!AK463</f>
        <v>0</v>
      </c>
      <c r="AR463" s="9"/>
      <c r="AS463" s="9"/>
      <c r="AT463" s="123"/>
      <c r="AU463" s="123"/>
      <c r="AV463" s="123"/>
      <c r="AW463" s="123"/>
      <c r="AX463" s="123"/>
      <c r="AY463" s="123"/>
      <c r="AZ463" s="123"/>
      <c r="BA463" s="123"/>
      <c r="BC463" s="124">
        <f>'MM $'!G463</f>
        <v>0</v>
      </c>
      <c r="BD463" s="139">
        <f>'MM $'!H463</f>
        <v>0</v>
      </c>
      <c r="BE463" s="431">
        <f>'MM $'!I463</f>
        <v>0</v>
      </c>
      <c r="BF463" s="124">
        <f>'MM $'!L463</f>
        <v>0</v>
      </c>
      <c r="BH463" s="124">
        <f>'MM $'!N463</f>
        <v>0</v>
      </c>
      <c r="BI463" s="139">
        <f>'MM $'!P463</f>
        <v>0</v>
      </c>
      <c r="BJ463" s="431">
        <f>'MM $'!Q463</f>
        <v>0</v>
      </c>
      <c r="BK463" s="124">
        <f>'MM $'!U463</f>
        <v>0</v>
      </c>
      <c r="BM463" s="124">
        <f>'MM $'!W463</f>
        <v>0</v>
      </c>
      <c r="BN463" s="139">
        <f>'MM $'!X463</f>
        <v>0</v>
      </c>
      <c r="BO463" s="431">
        <f>'MM $'!Y463</f>
        <v>0</v>
      </c>
      <c r="BP463" s="124">
        <f>'MM $'!AB463</f>
        <v>0</v>
      </c>
      <c r="BR463" s="124">
        <f>'MM $'!AD463</f>
        <v>0</v>
      </c>
      <c r="BS463" s="139">
        <f>'MM $'!AE463</f>
        <v>0</v>
      </c>
      <c r="BT463" s="431">
        <f>'MM $'!AF463</f>
        <v>0</v>
      </c>
      <c r="BU463" s="124">
        <f>'MM $'!AB463</f>
        <v>0</v>
      </c>
      <c r="BV463" s="439"/>
      <c r="BW463" s="120">
        <f t="shared" si="271"/>
        <v>22450000</v>
      </c>
      <c r="BX463" s="121">
        <f t="shared" si="404"/>
        <v>3.5000000000000003E-2</v>
      </c>
      <c r="BY463" s="121">
        <f t="shared" si="409"/>
        <v>3.7437639198218263E-2</v>
      </c>
      <c r="BZ463" s="120">
        <f t="shared" si="272"/>
        <v>2334.6527777777778</v>
      </c>
      <c r="CA463" s="120">
        <f t="shared" si="273"/>
        <v>370.27777777777783</v>
      </c>
    </row>
    <row r="464" spans="2:79" x14ac:dyDescent="0.25">
      <c r="B464" s="123" t="str">
        <f t="shared" si="249"/>
        <v>4 2026</v>
      </c>
      <c r="C464" s="122">
        <f t="shared" si="250"/>
        <v>46113</v>
      </c>
      <c r="D464" s="122">
        <f t="shared" si="410"/>
        <v>46114</v>
      </c>
      <c r="E464" s="123">
        <f t="shared" si="251"/>
        <v>1</v>
      </c>
      <c r="F464" s="123" t="s">
        <v>7</v>
      </c>
      <c r="G464" s="124">
        <f t="shared" ref="G464:H464" si="511">G463</f>
        <v>1450000</v>
      </c>
      <c r="H464" s="125">
        <f t="shared" si="511"/>
        <v>3.15E-2</v>
      </c>
      <c r="I464" s="124">
        <f t="shared" si="253"/>
        <v>126.875</v>
      </c>
      <c r="J464" s="124">
        <f t="shared" si="254"/>
        <v>10263.75</v>
      </c>
      <c r="K464" s="9"/>
      <c r="L464" s="11"/>
      <c r="M464" s="306"/>
      <c r="N464" s="97"/>
      <c r="O464" s="421"/>
      <c r="P464" s="304"/>
      <c r="Q464" s="307"/>
      <c r="S464" s="11" t="s">
        <v>192</v>
      </c>
      <c r="T464" s="306">
        <f t="shared" ref="T464:U464" si="512">T463</f>
        <v>5000000</v>
      </c>
      <c r="U464" s="97">
        <f t="shared" si="512"/>
        <v>3.9199999999999999E-2</v>
      </c>
      <c r="V464" s="421">
        <f t="shared" si="260"/>
        <v>544.44444444444446</v>
      </c>
      <c r="W464" s="304">
        <f t="shared" si="261"/>
        <v>50088.888888888949</v>
      </c>
      <c r="X464" s="307">
        <f t="shared" si="262"/>
        <v>106.94444444444446</v>
      </c>
      <c r="Z464" s="11" t="s">
        <v>192</v>
      </c>
      <c r="AA464" s="306">
        <f t="shared" ref="AA464:AB464" si="513">AA463</f>
        <v>10000000</v>
      </c>
      <c r="AB464" s="97">
        <f t="shared" si="513"/>
        <v>3.7499999999999999E-2</v>
      </c>
      <c r="AC464" s="421">
        <f t="shared" si="264"/>
        <v>1041.6666666666667</v>
      </c>
      <c r="AD464" s="304">
        <f t="shared" si="265"/>
        <v>95833.333333333416</v>
      </c>
      <c r="AE464" s="307">
        <f t="shared" si="266"/>
        <v>166.66666666666674</v>
      </c>
      <c r="AG464" s="11" t="s">
        <v>192</v>
      </c>
      <c r="AH464" s="306">
        <f t="shared" ref="AH464:AI464" si="514">AH463</f>
        <v>6000000</v>
      </c>
      <c r="AI464" s="97">
        <f t="shared" si="514"/>
        <v>3.73E-2</v>
      </c>
      <c r="AJ464" s="421">
        <f t="shared" si="268"/>
        <v>621.66666666666663</v>
      </c>
      <c r="AK464" s="304">
        <f t="shared" si="269"/>
        <v>1243.3333333333333</v>
      </c>
      <c r="AL464" s="307">
        <f t="shared" si="270"/>
        <v>96.666666666666629</v>
      </c>
      <c r="AN464" s="304">
        <f>'codeis $'!AB464</f>
        <v>0</v>
      </c>
      <c r="AO464" s="340">
        <f>'codeis $'!AH464</f>
        <v>0</v>
      </c>
      <c r="AP464" s="304">
        <f>'codeis $'!AE464</f>
        <v>0</v>
      </c>
      <c r="AQ464" s="304">
        <f>'codeis $'!AK464</f>
        <v>0</v>
      </c>
      <c r="AR464" s="9"/>
      <c r="AS464" s="9"/>
      <c r="AT464" s="123"/>
      <c r="AU464" s="123"/>
      <c r="AV464" s="123"/>
      <c r="AW464" s="123"/>
      <c r="AX464" s="123"/>
      <c r="AY464" s="123"/>
      <c r="AZ464" s="123"/>
      <c r="BA464" s="123"/>
      <c r="BC464" s="124">
        <f>'MM $'!G464</f>
        <v>0</v>
      </c>
      <c r="BD464" s="139">
        <f>'MM $'!H464</f>
        <v>0</v>
      </c>
      <c r="BE464" s="431">
        <f>'MM $'!I464</f>
        <v>0</v>
      </c>
      <c r="BF464" s="124">
        <f>'MM $'!L464</f>
        <v>0</v>
      </c>
      <c r="BH464" s="124">
        <f>'MM $'!N464</f>
        <v>0</v>
      </c>
      <c r="BI464" s="139">
        <f>'MM $'!P464</f>
        <v>0</v>
      </c>
      <c r="BJ464" s="431">
        <f>'MM $'!Q464</f>
        <v>0</v>
      </c>
      <c r="BK464" s="124">
        <f>'MM $'!U464</f>
        <v>0</v>
      </c>
      <c r="BM464" s="124">
        <f>'MM $'!W464</f>
        <v>0</v>
      </c>
      <c r="BN464" s="139">
        <f>'MM $'!X464</f>
        <v>0</v>
      </c>
      <c r="BO464" s="431">
        <f>'MM $'!Y464</f>
        <v>0</v>
      </c>
      <c r="BP464" s="124">
        <f>'MM $'!AB464</f>
        <v>0</v>
      </c>
      <c r="BR464" s="124">
        <f>'MM $'!AD464</f>
        <v>0</v>
      </c>
      <c r="BS464" s="139">
        <f>'MM $'!AE464</f>
        <v>0</v>
      </c>
      <c r="BT464" s="431">
        <f>'MM $'!AF464</f>
        <v>0</v>
      </c>
      <c r="BU464" s="124">
        <f>'MM $'!AB464</f>
        <v>0</v>
      </c>
      <c r="BV464" s="439"/>
      <c r="BW464" s="120">
        <f t="shared" si="271"/>
        <v>22450000</v>
      </c>
      <c r="BX464" s="121">
        <f t="shared" si="404"/>
        <v>3.5000000000000003E-2</v>
      </c>
      <c r="BY464" s="121">
        <f t="shared" si="409"/>
        <v>3.7437639198218263E-2</v>
      </c>
      <c r="BZ464" s="120">
        <f t="shared" si="272"/>
        <v>2334.6527777777778</v>
      </c>
      <c r="CA464" s="120">
        <f t="shared" si="273"/>
        <v>370.27777777777783</v>
      </c>
    </row>
    <row r="465" spans="2:79" x14ac:dyDescent="0.25">
      <c r="B465" s="123" t="str">
        <f t="shared" si="249"/>
        <v>4 2026</v>
      </c>
      <c r="C465" s="122">
        <f t="shared" si="250"/>
        <v>46114</v>
      </c>
      <c r="D465" s="122">
        <f t="shared" si="410"/>
        <v>46115</v>
      </c>
      <c r="E465" s="123">
        <f t="shared" si="251"/>
        <v>1</v>
      </c>
      <c r="F465" s="123" t="s">
        <v>7</v>
      </c>
      <c r="G465" s="124">
        <f t="shared" ref="G465:H465" si="515">G464</f>
        <v>1450000</v>
      </c>
      <c r="H465" s="125">
        <f t="shared" si="515"/>
        <v>3.15E-2</v>
      </c>
      <c r="I465" s="124">
        <f t="shared" si="253"/>
        <v>126.875</v>
      </c>
      <c r="J465" s="124">
        <f t="shared" si="254"/>
        <v>10390.625</v>
      </c>
      <c r="K465" s="9"/>
      <c r="L465" s="11"/>
      <c r="M465" s="306"/>
      <c r="N465" s="97"/>
      <c r="O465" s="421"/>
      <c r="P465" s="304"/>
      <c r="Q465" s="307"/>
      <c r="S465" s="11" t="s">
        <v>192</v>
      </c>
      <c r="T465" s="306">
        <f t="shared" ref="T465:U465" si="516">T464</f>
        <v>5000000</v>
      </c>
      <c r="U465" s="97">
        <f t="shared" si="516"/>
        <v>3.9199999999999999E-2</v>
      </c>
      <c r="V465" s="421">
        <f t="shared" si="260"/>
        <v>544.44444444444446</v>
      </c>
      <c r="W465" s="304">
        <f t="shared" si="261"/>
        <v>50633.333333333394</v>
      </c>
      <c r="X465" s="307">
        <f t="shared" si="262"/>
        <v>106.94444444444446</v>
      </c>
      <c r="Z465" s="11" t="s">
        <v>192</v>
      </c>
      <c r="AA465" s="306">
        <f t="shared" ref="AA465:AB465" si="517">AA464</f>
        <v>10000000</v>
      </c>
      <c r="AB465" s="97">
        <f t="shared" si="517"/>
        <v>3.7499999999999999E-2</v>
      </c>
      <c r="AC465" s="421">
        <f t="shared" si="264"/>
        <v>1041.6666666666667</v>
      </c>
      <c r="AD465" s="304">
        <f t="shared" si="265"/>
        <v>96875.000000000087</v>
      </c>
      <c r="AE465" s="307">
        <f t="shared" si="266"/>
        <v>166.66666666666674</v>
      </c>
      <c r="AG465" s="11" t="s">
        <v>192</v>
      </c>
      <c r="AH465" s="306">
        <f t="shared" ref="AH465:AI465" si="518">AH464</f>
        <v>6000000</v>
      </c>
      <c r="AI465" s="97">
        <f t="shared" si="518"/>
        <v>3.73E-2</v>
      </c>
      <c r="AJ465" s="421">
        <f t="shared" si="268"/>
        <v>621.66666666666663</v>
      </c>
      <c r="AK465" s="304">
        <f t="shared" si="269"/>
        <v>1243.3333333333333</v>
      </c>
      <c r="AL465" s="307">
        <f t="shared" si="270"/>
        <v>96.666666666666629</v>
      </c>
      <c r="AN465" s="304">
        <f>'codeis $'!AB465</f>
        <v>0</v>
      </c>
      <c r="AO465" s="340">
        <f>'codeis $'!AH465</f>
        <v>0</v>
      </c>
      <c r="AP465" s="304">
        <f>'codeis $'!AE465</f>
        <v>0</v>
      </c>
      <c r="AQ465" s="304">
        <f>'codeis $'!AK465</f>
        <v>0</v>
      </c>
      <c r="AR465" s="9"/>
      <c r="AS465" s="9"/>
      <c r="AT465" s="123"/>
      <c r="AU465" s="123"/>
      <c r="AV465" s="123"/>
      <c r="AW465" s="123"/>
      <c r="AX465" s="123"/>
      <c r="AY465" s="123"/>
      <c r="AZ465" s="123"/>
      <c r="BA465" s="123"/>
      <c r="BC465" s="124">
        <f>'MM $'!G465</f>
        <v>0</v>
      </c>
      <c r="BD465" s="139">
        <f>'MM $'!H465</f>
        <v>0</v>
      </c>
      <c r="BE465" s="431">
        <f>'MM $'!I465</f>
        <v>0</v>
      </c>
      <c r="BF465" s="124">
        <f>'MM $'!L465</f>
        <v>0</v>
      </c>
      <c r="BH465" s="124">
        <f>'MM $'!N465</f>
        <v>0</v>
      </c>
      <c r="BI465" s="139">
        <f>'MM $'!P465</f>
        <v>0</v>
      </c>
      <c r="BJ465" s="431">
        <f>'MM $'!Q465</f>
        <v>0</v>
      </c>
      <c r="BK465" s="124">
        <f>'MM $'!U465</f>
        <v>0</v>
      </c>
      <c r="BM465" s="124">
        <f>'MM $'!W465</f>
        <v>0</v>
      </c>
      <c r="BN465" s="139">
        <f>'MM $'!X465</f>
        <v>0</v>
      </c>
      <c r="BO465" s="431">
        <f>'MM $'!Y465</f>
        <v>0</v>
      </c>
      <c r="BP465" s="124">
        <f>'MM $'!AB465</f>
        <v>0</v>
      </c>
      <c r="BR465" s="124">
        <f>'MM $'!AD465</f>
        <v>0</v>
      </c>
      <c r="BS465" s="139">
        <f>'MM $'!AE465</f>
        <v>0</v>
      </c>
      <c r="BT465" s="431">
        <f>'MM $'!AF465</f>
        <v>0</v>
      </c>
      <c r="BU465" s="124">
        <f>'MM $'!AB465</f>
        <v>0</v>
      </c>
      <c r="BV465" s="439"/>
      <c r="BW465" s="120">
        <f t="shared" si="271"/>
        <v>22450000</v>
      </c>
      <c r="BX465" s="121">
        <f t="shared" si="404"/>
        <v>3.5000000000000003E-2</v>
      </c>
      <c r="BY465" s="121">
        <f t="shared" si="409"/>
        <v>3.7437639198218263E-2</v>
      </c>
      <c r="BZ465" s="120">
        <f t="shared" si="272"/>
        <v>2334.6527777777778</v>
      </c>
      <c r="CA465" s="120">
        <f t="shared" si="273"/>
        <v>370.27777777777783</v>
      </c>
    </row>
    <row r="466" spans="2:79" x14ac:dyDescent="0.25">
      <c r="B466" s="123" t="str">
        <f t="shared" si="249"/>
        <v>4 2026</v>
      </c>
      <c r="C466" s="122">
        <f t="shared" si="250"/>
        <v>46115</v>
      </c>
      <c r="D466" s="122">
        <f t="shared" si="410"/>
        <v>46116</v>
      </c>
      <c r="E466" s="123">
        <f t="shared" si="251"/>
        <v>1</v>
      </c>
      <c r="F466" s="123" t="s">
        <v>7</v>
      </c>
      <c r="G466" s="124">
        <f t="shared" ref="G466:H466" si="519">G465</f>
        <v>1450000</v>
      </c>
      <c r="H466" s="125">
        <f t="shared" si="519"/>
        <v>3.15E-2</v>
      </c>
      <c r="I466" s="124">
        <f t="shared" si="253"/>
        <v>126.875</v>
      </c>
      <c r="J466" s="124">
        <f t="shared" si="254"/>
        <v>10517.5</v>
      </c>
      <c r="K466" s="9"/>
      <c r="L466" s="11"/>
      <c r="M466" s="306"/>
      <c r="N466" s="97"/>
      <c r="O466" s="421"/>
      <c r="P466" s="304"/>
      <c r="Q466" s="307"/>
      <c r="S466" s="11" t="s">
        <v>192</v>
      </c>
      <c r="T466" s="306">
        <f t="shared" ref="T466:U466" si="520">T465</f>
        <v>5000000</v>
      </c>
      <c r="U466" s="97">
        <f t="shared" si="520"/>
        <v>3.9199999999999999E-2</v>
      </c>
      <c r="V466" s="421">
        <f t="shared" si="260"/>
        <v>544.44444444444446</v>
      </c>
      <c r="W466" s="304">
        <f t="shared" si="261"/>
        <v>51177.777777777839</v>
      </c>
      <c r="X466" s="307">
        <f t="shared" si="262"/>
        <v>106.94444444444446</v>
      </c>
      <c r="Z466" s="11" t="s">
        <v>192</v>
      </c>
      <c r="AA466" s="306">
        <f t="shared" ref="AA466:AB466" si="521">AA465</f>
        <v>10000000</v>
      </c>
      <c r="AB466" s="97">
        <f t="shared" si="521"/>
        <v>3.7499999999999999E-2</v>
      </c>
      <c r="AC466" s="421">
        <f t="shared" si="264"/>
        <v>1041.6666666666667</v>
      </c>
      <c r="AD466" s="304">
        <f t="shared" si="265"/>
        <v>97916.666666666759</v>
      </c>
      <c r="AE466" s="307">
        <f t="shared" si="266"/>
        <v>166.66666666666674</v>
      </c>
      <c r="AG466" s="11" t="s">
        <v>192</v>
      </c>
      <c r="AH466" s="306">
        <f t="shared" ref="AH466:AI466" si="522">AH465</f>
        <v>6000000</v>
      </c>
      <c r="AI466" s="97">
        <f t="shared" si="522"/>
        <v>3.73E-2</v>
      </c>
      <c r="AJ466" s="421">
        <f t="shared" si="268"/>
        <v>621.66666666666663</v>
      </c>
      <c r="AK466" s="304">
        <f t="shared" si="269"/>
        <v>1243.3333333333333</v>
      </c>
      <c r="AL466" s="307">
        <f t="shared" si="270"/>
        <v>96.666666666666629</v>
      </c>
      <c r="AN466" s="304">
        <f>'codeis $'!AB466</f>
        <v>0</v>
      </c>
      <c r="AO466" s="340">
        <f>'codeis $'!AH466</f>
        <v>0</v>
      </c>
      <c r="AP466" s="304">
        <f>'codeis $'!AE466</f>
        <v>0</v>
      </c>
      <c r="AQ466" s="304">
        <f>'codeis $'!AK466</f>
        <v>0</v>
      </c>
      <c r="AR466" s="9"/>
      <c r="AS466" s="9"/>
      <c r="AT466" s="123"/>
      <c r="AU466" s="123"/>
      <c r="AV466" s="123"/>
      <c r="AW466" s="123"/>
      <c r="AX466" s="123"/>
      <c r="AY466" s="123"/>
      <c r="AZ466" s="123"/>
      <c r="BA466" s="123"/>
      <c r="BC466" s="124">
        <f>'MM $'!G466</f>
        <v>0</v>
      </c>
      <c r="BD466" s="139">
        <f>'MM $'!H466</f>
        <v>0</v>
      </c>
      <c r="BE466" s="431">
        <f>'MM $'!I466</f>
        <v>0</v>
      </c>
      <c r="BF466" s="124">
        <f>'MM $'!L466</f>
        <v>0</v>
      </c>
      <c r="BH466" s="124">
        <f>'MM $'!N466</f>
        <v>0</v>
      </c>
      <c r="BI466" s="139">
        <f>'MM $'!P466</f>
        <v>0</v>
      </c>
      <c r="BJ466" s="431">
        <f>'MM $'!Q466</f>
        <v>0</v>
      </c>
      <c r="BK466" s="124">
        <f>'MM $'!U466</f>
        <v>0</v>
      </c>
      <c r="BM466" s="124">
        <f>'MM $'!W466</f>
        <v>0</v>
      </c>
      <c r="BN466" s="139">
        <f>'MM $'!X466</f>
        <v>0</v>
      </c>
      <c r="BO466" s="431">
        <f>'MM $'!Y466</f>
        <v>0</v>
      </c>
      <c r="BP466" s="124">
        <f>'MM $'!AB466</f>
        <v>0</v>
      </c>
      <c r="BR466" s="124">
        <f>'MM $'!AD466</f>
        <v>0</v>
      </c>
      <c r="BS466" s="139">
        <f>'MM $'!AE466</f>
        <v>0</v>
      </c>
      <c r="BT466" s="431">
        <f>'MM $'!AF466</f>
        <v>0</v>
      </c>
      <c r="BU466" s="124">
        <f>'MM $'!AB466</f>
        <v>0</v>
      </c>
      <c r="BV466" s="439"/>
      <c r="BW466" s="120">
        <f t="shared" si="271"/>
        <v>22450000</v>
      </c>
      <c r="BX466" s="121">
        <f t="shared" si="404"/>
        <v>3.5000000000000003E-2</v>
      </c>
      <c r="BY466" s="121">
        <f t="shared" si="409"/>
        <v>3.7437639198218263E-2</v>
      </c>
      <c r="BZ466" s="120">
        <f t="shared" si="272"/>
        <v>2334.6527777777778</v>
      </c>
      <c r="CA466" s="120">
        <f t="shared" si="273"/>
        <v>370.27777777777783</v>
      </c>
    </row>
    <row r="467" spans="2:79" x14ac:dyDescent="0.25">
      <c r="B467" s="123" t="str">
        <f t="shared" si="249"/>
        <v>4 2026</v>
      </c>
      <c r="C467" s="122">
        <f t="shared" si="250"/>
        <v>46116</v>
      </c>
      <c r="D467" s="122">
        <f t="shared" si="410"/>
        <v>46117</v>
      </c>
      <c r="E467" s="123">
        <f t="shared" si="251"/>
        <v>1</v>
      </c>
      <c r="F467" s="123" t="s">
        <v>7</v>
      </c>
      <c r="G467" s="124">
        <f t="shared" ref="G467:H467" si="523">G466</f>
        <v>1450000</v>
      </c>
      <c r="H467" s="125">
        <f t="shared" si="523"/>
        <v>3.15E-2</v>
      </c>
      <c r="I467" s="124">
        <f t="shared" si="253"/>
        <v>126.875</v>
      </c>
      <c r="J467" s="124">
        <f t="shared" si="254"/>
        <v>10644.375</v>
      </c>
      <c r="K467" s="9"/>
      <c r="L467" s="11"/>
      <c r="M467" s="306"/>
      <c r="N467" s="97"/>
      <c r="O467" s="421"/>
      <c r="P467" s="304"/>
      <c r="Q467" s="307"/>
      <c r="S467" s="11" t="s">
        <v>192</v>
      </c>
      <c r="T467" s="306">
        <f t="shared" ref="T467:U467" si="524">T466</f>
        <v>5000000</v>
      </c>
      <c r="U467" s="97">
        <f t="shared" si="524"/>
        <v>3.9199999999999999E-2</v>
      </c>
      <c r="V467" s="421">
        <f t="shared" si="260"/>
        <v>544.44444444444446</v>
      </c>
      <c r="W467" s="304">
        <f t="shared" si="261"/>
        <v>51722.222222222284</v>
      </c>
      <c r="X467" s="307">
        <f t="shared" si="262"/>
        <v>106.94444444444446</v>
      </c>
      <c r="Z467" s="11" t="s">
        <v>192</v>
      </c>
      <c r="AA467" s="306">
        <f t="shared" ref="AA467:AB467" si="525">AA466</f>
        <v>10000000</v>
      </c>
      <c r="AB467" s="97">
        <f t="shared" si="525"/>
        <v>3.7499999999999999E-2</v>
      </c>
      <c r="AC467" s="421">
        <f t="shared" si="264"/>
        <v>1041.6666666666667</v>
      </c>
      <c r="AD467" s="304">
        <f t="shared" si="265"/>
        <v>98958.33333333343</v>
      </c>
      <c r="AE467" s="307">
        <f t="shared" si="266"/>
        <v>166.66666666666674</v>
      </c>
      <c r="AG467" s="11" t="s">
        <v>192</v>
      </c>
      <c r="AH467" s="306">
        <f t="shared" ref="AH467:AI467" si="526">AH466</f>
        <v>6000000</v>
      </c>
      <c r="AI467" s="97">
        <f t="shared" si="526"/>
        <v>3.73E-2</v>
      </c>
      <c r="AJ467" s="421">
        <f t="shared" si="268"/>
        <v>621.66666666666663</v>
      </c>
      <c r="AK467" s="304">
        <f t="shared" si="269"/>
        <v>1243.3333333333333</v>
      </c>
      <c r="AL467" s="307">
        <f t="shared" si="270"/>
        <v>96.666666666666629</v>
      </c>
      <c r="AN467" s="304">
        <f>'codeis $'!AB467</f>
        <v>0</v>
      </c>
      <c r="AO467" s="340">
        <f>'codeis $'!AH467</f>
        <v>0</v>
      </c>
      <c r="AP467" s="304">
        <f>'codeis $'!AE467</f>
        <v>0</v>
      </c>
      <c r="AQ467" s="304">
        <f>'codeis $'!AK467</f>
        <v>0</v>
      </c>
      <c r="AR467" s="9"/>
      <c r="AS467" s="9"/>
      <c r="AT467" s="123"/>
      <c r="AU467" s="123"/>
      <c r="AV467" s="123"/>
      <c r="AW467" s="123"/>
      <c r="AX467" s="123"/>
      <c r="AY467" s="123"/>
      <c r="AZ467" s="123"/>
      <c r="BA467" s="123"/>
      <c r="BC467" s="124">
        <f>'MM $'!G467</f>
        <v>0</v>
      </c>
      <c r="BD467" s="139">
        <f>'MM $'!H467</f>
        <v>0</v>
      </c>
      <c r="BE467" s="431">
        <f>'MM $'!I467</f>
        <v>0</v>
      </c>
      <c r="BF467" s="124">
        <f>'MM $'!L467</f>
        <v>0</v>
      </c>
      <c r="BH467" s="124">
        <f>'MM $'!N467</f>
        <v>0</v>
      </c>
      <c r="BI467" s="139">
        <f>'MM $'!P467</f>
        <v>0</v>
      </c>
      <c r="BJ467" s="431">
        <f>'MM $'!Q467</f>
        <v>0</v>
      </c>
      <c r="BK467" s="124">
        <f>'MM $'!U467</f>
        <v>0</v>
      </c>
      <c r="BM467" s="124">
        <f>'MM $'!W467</f>
        <v>0</v>
      </c>
      <c r="BN467" s="139">
        <f>'MM $'!X467</f>
        <v>0</v>
      </c>
      <c r="BO467" s="431">
        <f>'MM $'!Y467</f>
        <v>0</v>
      </c>
      <c r="BP467" s="124">
        <f>'MM $'!AB467</f>
        <v>0</v>
      </c>
      <c r="BR467" s="124">
        <f>'MM $'!AD467</f>
        <v>0</v>
      </c>
      <c r="BS467" s="139">
        <f>'MM $'!AE467</f>
        <v>0</v>
      </c>
      <c r="BT467" s="431">
        <f>'MM $'!AF467</f>
        <v>0</v>
      </c>
      <c r="BU467" s="124">
        <f>'MM $'!AB467</f>
        <v>0</v>
      </c>
      <c r="BV467" s="439"/>
      <c r="BW467" s="120">
        <f t="shared" si="271"/>
        <v>22450000</v>
      </c>
      <c r="BX467" s="121">
        <f t="shared" si="404"/>
        <v>3.5000000000000003E-2</v>
      </c>
      <c r="BY467" s="121">
        <f t="shared" si="409"/>
        <v>3.7437639198218263E-2</v>
      </c>
      <c r="BZ467" s="120">
        <f t="shared" si="272"/>
        <v>2334.6527777777778</v>
      </c>
      <c r="CA467" s="120">
        <f t="shared" si="273"/>
        <v>370.27777777777783</v>
      </c>
    </row>
    <row r="468" spans="2:79" x14ac:dyDescent="0.25">
      <c r="B468" s="123" t="str">
        <f t="shared" si="249"/>
        <v>4 2026</v>
      </c>
      <c r="C468" s="122">
        <f t="shared" si="250"/>
        <v>46117</v>
      </c>
      <c r="D468" s="122">
        <f t="shared" si="410"/>
        <v>46118</v>
      </c>
      <c r="E468" s="123">
        <f t="shared" si="251"/>
        <v>1</v>
      </c>
      <c r="F468" s="123" t="s">
        <v>7</v>
      </c>
      <c r="G468" s="124">
        <f t="shared" ref="G468:H468" si="527">G467</f>
        <v>1450000</v>
      </c>
      <c r="H468" s="125">
        <f t="shared" si="527"/>
        <v>3.15E-2</v>
      </c>
      <c r="I468" s="124">
        <f t="shared" si="253"/>
        <v>126.875</v>
      </c>
      <c r="J468" s="124">
        <f t="shared" si="254"/>
        <v>10771.25</v>
      </c>
      <c r="K468" s="9"/>
      <c r="L468" s="11"/>
      <c r="M468" s="306"/>
      <c r="N468" s="97"/>
      <c r="O468" s="421"/>
      <c r="P468" s="304"/>
      <c r="Q468" s="307"/>
      <c r="S468" s="11" t="s">
        <v>192</v>
      </c>
      <c r="T468" s="306">
        <f t="shared" ref="T468:U468" si="528">T467</f>
        <v>5000000</v>
      </c>
      <c r="U468" s="97">
        <f t="shared" si="528"/>
        <v>3.9199999999999999E-2</v>
      </c>
      <c r="V468" s="421">
        <f t="shared" si="260"/>
        <v>544.44444444444446</v>
      </c>
      <c r="W468" s="304">
        <f t="shared" si="261"/>
        <v>52266.66666666673</v>
      </c>
      <c r="X468" s="307">
        <f t="shared" si="262"/>
        <v>106.94444444444446</v>
      </c>
      <c r="Z468" s="11" t="s">
        <v>192</v>
      </c>
      <c r="AA468" s="306">
        <f t="shared" ref="AA468:AB468" si="529">AA467</f>
        <v>10000000</v>
      </c>
      <c r="AB468" s="97">
        <f t="shared" si="529"/>
        <v>3.7499999999999999E-2</v>
      </c>
      <c r="AC468" s="421">
        <f t="shared" si="264"/>
        <v>1041.6666666666667</v>
      </c>
      <c r="AD468" s="304">
        <f t="shared" si="265"/>
        <v>100000.0000000001</v>
      </c>
      <c r="AE468" s="307">
        <f t="shared" si="266"/>
        <v>166.66666666666674</v>
      </c>
      <c r="AG468" s="11" t="s">
        <v>192</v>
      </c>
      <c r="AH468" s="306">
        <f t="shared" ref="AH468:AI468" si="530">AH467</f>
        <v>6000000</v>
      </c>
      <c r="AI468" s="97">
        <f t="shared" si="530"/>
        <v>3.73E-2</v>
      </c>
      <c r="AJ468" s="421">
        <f t="shared" si="268"/>
        <v>621.66666666666663</v>
      </c>
      <c r="AK468" s="304">
        <f t="shared" si="269"/>
        <v>1243.3333333333333</v>
      </c>
      <c r="AL468" s="307">
        <f t="shared" si="270"/>
        <v>96.666666666666629</v>
      </c>
      <c r="AN468" s="304">
        <f>'codeis $'!AB468</f>
        <v>0</v>
      </c>
      <c r="AO468" s="340">
        <f>'codeis $'!AH468</f>
        <v>0</v>
      </c>
      <c r="AP468" s="304">
        <f>'codeis $'!AE468</f>
        <v>0</v>
      </c>
      <c r="AQ468" s="304">
        <f>'codeis $'!AK468</f>
        <v>0</v>
      </c>
      <c r="AR468" s="9"/>
      <c r="AS468" s="9"/>
      <c r="AT468" s="123"/>
      <c r="AU468" s="123"/>
      <c r="AV468" s="123"/>
      <c r="AW468" s="123"/>
      <c r="AX468" s="123"/>
      <c r="AY468" s="123"/>
      <c r="AZ468" s="123"/>
      <c r="BA468" s="123"/>
      <c r="BC468" s="124">
        <f>'MM $'!G468</f>
        <v>0</v>
      </c>
      <c r="BD468" s="139">
        <f>'MM $'!H468</f>
        <v>0</v>
      </c>
      <c r="BE468" s="431">
        <f>'MM $'!I468</f>
        <v>0</v>
      </c>
      <c r="BF468" s="124">
        <f>'MM $'!L468</f>
        <v>0</v>
      </c>
      <c r="BH468" s="124">
        <f>'MM $'!N468</f>
        <v>0</v>
      </c>
      <c r="BI468" s="139">
        <f>'MM $'!P468</f>
        <v>0</v>
      </c>
      <c r="BJ468" s="431">
        <f>'MM $'!Q468</f>
        <v>0</v>
      </c>
      <c r="BK468" s="124">
        <f>'MM $'!U468</f>
        <v>0</v>
      </c>
      <c r="BM468" s="124">
        <f>'MM $'!W468</f>
        <v>0</v>
      </c>
      <c r="BN468" s="139">
        <f>'MM $'!X468</f>
        <v>0</v>
      </c>
      <c r="BO468" s="431">
        <f>'MM $'!Y468</f>
        <v>0</v>
      </c>
      <c r="BP468" s="124">
        <f>'MM $'!AB468</f>
        <v>0</v>
      </c>
      <c r="BR468" s="124">
        <f>'MM $'!AD468</f>
        <v>0</v>
      </c>
      <c r="BS468" s="139">
        <f>'MM $'!AE468</f>
        <v>0</v>
      </c>
      <c r="BT468" s="431">
        <f>'MM $'!AF468</f>
        <v>0</v>
      </c>
      <c r="BU468" s="124">
        <f>'MM $'!AB468</f>
        <v>0</v>
      </c>
      <c r="BV468" s="439"/>
      <c r="BW468" s="120">
        <f t="shared" si="271"/>
        <v>22450000</v>
      </c>
      <c r="BX468" s="121">
        <f t="shared" si="404"/>
        <v>3.5000000000000003E-2</v>
      </c>
      <c r="BY468" s="121">
        <f t="shared" si="409"/>
        <v>3.7437639198218263E-2</v>
      </c>
      <c r="BZ468" s="120">
        <f t="shared" si="272"/>
        <v>2334.6527777777778</v>
      </c>
      <c r="CA468" s="120">
        <f t="shared" si="273"/>
        <v>370.27777777777783</v>
      </c>
    </row>
    <row r="469" spans="2:79" x14ac:dyDescent="0.25">
      <c r="B469" s="123" t="str">
        <f t="shared" ref="B469:B532" si="531">CONCATENATE(MONTH(D469)," ",YEAR(D469))</f>
        <v>4 2026</v>
      </c>
      <c r="C469" s="122">
        <f t="shared" ref="C469:C532" si="532">D468</f>
        <v>46118</v>
      </c>
      <c r="D469" s="122">
        <f t="shared" si="410"/>
        <v>46119</v>
      </c>
      <c r="E469" s="123">
        <f t="shared" ref="E469:E532" si="533">D469-C469</f>
        <v>1</v>
      </c>
      <c r="F469" s="123" t="s">
        <v>7</v>
      </c>
      <c r="G469" s="124">
        <f t="shared" ref="G469:H469" si="534">G468</f>
        <v>1450000</v>
      </c>
      <c r="H469" s="125">
        <f t="shared" si="534"/>
        <v>3.15E-2</v>
      </c>
      <c r="I469" s="124">
        <f t="shared" ref="I469:I532" si="535">G469*H469*E469/360</f>
        <v>126.875</v>
      </c>
      <c r="J469" s="124">
        <f t="shared" ref="J469:J532" si="536">J468+I469</f>
        <v>10898.125</v>
      </c>
      <c r="K469" s="9"/>
      <c r="L469" s="11"/>
      <c r="M469" s="306"/>
      <c r="N469" s="97"/>
      <c r="O469" s="421"/>
      <c r="P469" s="304"/>
      <c r="Q469" s="307"/>
      <c r="S469" s="11" t="s">
        <v>192</v>
      </c>
      <c r="T469" s="306">
        <f t="shared" ref="T469:U469" si="537">T468</f>
        <v>5000000</v>
      </c>
      <c r="U469" s="97">
        <f t="shared" si="537"/>
        <v>3.9199999999999999E-2</v>
      </c>
      <c r="V469" s="421">
        <f t="shared" ref="V469:V496" si="538">T469*U469*$E469/360</f>
        <v>544.44444444444446</v>
      </c>
      <c r="W469" s="304">
        <f t="shared" ref="W469:W496" si="539">W468+V469</f>
        <v>52811.111111111175</v>
      </c>
      <c r="X469" s="307">
        <f t="shared" ref="X469:X496" si="540">V469-T469*$H469*$E469/360</f>
        <v>106.94444444444446</v>
      </c>
      <c r="Z469" s="11" t="s">
        <v>192</v>
      </c>
      <c r="AA469" s="306">
        <f t="shared" ref="AA469:AB469" si="541">AA468</f>
        <v>10000000</v>
      </c>
      <c r="AB469" s="97">
        <f t="shared" si="541"/>
        <v>3.7499999999999999E-2</v>
      </c>
      <c r="AC469" s="421">
        <f t="shared" ref="AC469:AC532" si="542">AA469*AB469*$E469/360</f>
        <v>1041.6666666666667</v>
      </c>
      <c r="AD469" s="304">
        <f t="shared" ref="AD469:AD532" si="543">AD468+AC469</f>
        <v>101041.66666666677</v>
      </c>
      <c r="AE469" s="307">
        <f t="shared" ref="AE469:AE532" si="544">AC469-AA469*$H469*$E469/360</f>
        <v>166.66666666666674</v>
      </c>
      <c r="AG469" s="11" t="s">
        <v>192</v>
      </c>
      <c r="AH469" s="306">
        <f t="shared" ref="AH469:AI469" si="545">AH468</f>
        <v>6000000</v>
      </c>
      <c r="AI469" s="97">
        <f t="shared" si="545"/>
        <v>3.73E-2</v>
      </c>
      <c r="AJ469" s="421">
        <f t="shared" ref="AJ469:AJ532" si="546">AH469*AI469*$E469/360</f>
        <v>621.66666666666663</v>
      </c>
      <c r="AK469" s="304">
        <f t="shared" ref="AK469:AK532" si="547">AJ469+AJ468</f>
        <v>1243.3333333333333</v>
      </c>
      <c r="AL469" s="307">
        <f t="shared" ref="AL469:AL532" si="548">AJ469-AH469*$H469*$E469/360</f>
        <v>96.666666666666629</v>
      </c>
      <c r="AN469" s="304">
        <f>'codeis $'!AB469</f>
        <v>0</v>
      </c>
      <c r="AO469" s="340">
        <f>'codeis $'!AH469</f>
        <v>0</v>
      </c>
      <c r="AP469" s="304">
        <f>'codeis $'!AE469</f>
        <v>0</v>
      </c>
      <c r="AQ469" s="304">
        <f>'codeis $'!AK469</f>
        <v>0</v>
      </c>
      <c r="AR469" s="9"/>
      <c r="AS469" s="9"/>
      <c r="AT469" s="123"/>
      <c r="AU469" s="123"/>
      <c r="AV469" s="123"/>
      <c r="AW469" s="123"/>
      <c r="AX469" s="123"/>
      <c r="AY469" s="123"/>
      <c r="AZ469" s="123"/>
      <c r="BA469" s="123"/>
      <c r="BC469" s="124">
        <f>'MM $'!G469</f>
        <v>0</v>
      </c>
      <c r="BD469" s="139">
        <f>'MM $'!H469</f>
        <v>0</v>
      </c>
      <c r="BE469" s="431">
        <f>'MM $'!I469</f>
        <v>0</v>
      </c>
      <c r="BF469" s="124">
        <f>'MM $'!L469</f>
        <v>0</v>
      </c>
      <c r="BH469" s="124">
        <f>'MM $'!N469</f>
        <v>0</v>
      </c>
      <c r="BI469" s="139">
        <f>'MM $'!P469</f>
        <v>0</v>
      </c>
      <c r="BJ469" s="431">
        <f>'MM $'!Q469</f>
        <v>0</v>
      </c>
      <c r="BK469" s="124">
        <f>'MM $'!U469</f>
        <v>0</v>
      </c>
      <c r="BM469" s="124">
        <f>'MM $'!W469</f>
        <v>0</v>
      </c>
      <c r="BN469" s="139">
        <f>'MM $'!X469</f>
        <v>0</v>
      </c>
      <c r="BO469" s="431">
        <f>'MM $'!Y469</f>
        <v>0</v>
      </c>
      <c r="BP469" s="124">
        <f>'MM $'!AB469</f>
        <v>0</v>
      </c>
      <c r="BR469" s="124">
        <f>'MM $'!AD469</f>
        <v>0</v>
      </c>
      <c r="BS469" s="139">
        <f>'MM $'!AE469</f>
        <v>0</v>
      </c>
      <c r="BT469" s="431">
        <f>'MM $'!AF469</f>
        <v>0</v>
      </c>
      <c r="BU469" s="124">
        <f>'MM $'!AB469</f>
        <v>0</v>
      </c>
      <c r="BV469" s="439"/>
      <c r="BW469" s="120">
        <f t="shared" ref="BW469:BW532" si="549">AV469+G469+M469+T469+AA469+AH469+AN469+BC469+BH469+BM469+BR469</f>
        <v>22450000</v>
      </c>
      <c r="BX469" s="121">
        <f t="shared" si="404"/>
        <v>3.5000000000000003E-2</v>
      </c>
      <c r="BY469" s="121">
        <f t="shared" si="409"/>
        <v>3.7437639198218263E-2</v>
      </c>
      <c r="BZ469" s="120">
        <f t="shared" ref="BZ469:BZ532" si="550">AY469+I469+O469+V469+AC469+AJ469+AP469+BE469+BJ469+BO469+BT469</f>
        <v>2334.6527777777778</v>
      </c>
      <c r="CA469" s="120">
        <f t="shared" ref="CA469:CA532" si="551">BA469+Q469+X469+AE469+AL469+AQ469+BF469+BK469+BP469+BU469</f>
        <v>370.27777777777783</v>
      </c>
    </row>
    <row r="470" spans="2:79" x14ac:dyDescent="0.25">
      <c r="B470" s="123" t="str">
        <f t="shared" si="531"/>
        <v>4 2026</v>
      </c>
      <c r="C470" s="122">
        <f t="shared" si="532"/>
        <v>46119</v>
      </c>
      <c r="D470" s="122">
        <f t="shared" si="410"/>
        <v>46120</v>
      </c>
      <c r="E470" s="123">
        <f t="shared" si="533"/>
        <v>1</v>
      </c>
      <c r="F470" s="123" t="s">
        <v>7</v>
      </c>
      <c r="G470" s="124">
        <f t="shared" ref="G470:H470" si="552">G469</f>
        <v>1450000</v>
      </c>
      <c r="H470" s="125">
        <f t="shared" si="552"/>
        <v>3.15E-2</v>
      </c>
      <c r="I470" s="124">
        <f t="shared" si="535"/>
        <v>126.875</v>
      </c>
      <c r="J470" s="124">
        <f t="shared" si="536"/>
        <v>11025</v>
      </c>
      <c r="K470" s="9"/>
      <c r="L470" s="11"/>
      <c r="M470" s="306"/>
      <c r="N470" s="97"/>
      <c r="O470" s="421"/>
      <c r="P470" s="304"/>
      <c r="Q470" s="307"/>
      <c r="S470" s="11" t="s">
        <v>192</v>
      </c>
      <c r="T470" s="306">
        <f t="shared" ref="T470:U470" si="553">T469</f>
        <v>5000000</v>
      </c>
      <c r="U470" s="97">
        <f t="shared" si="553"/>
        <v>3.9199999999999999E-2</v>
      </c>
      <c r="V470" s="421">
        <f t="shared" si="538"/>
        <v>544.44444444444446</v>
      </c>
      <c r="W470" s="304">
        <f t="shared" si="539"/>
        <v>53355.55555555562</v>
      </c>
      <c r="X470" s="307">
        <f t="shared" si="540"/>
        <v>106.94444444444446</v>
      </c>
      <c r="Z470" s="11" t="s">
        <v>192</v>
      </c>
      <c r="AA470" s="306">
        <f t="shared" ref="AA470:AB470" si="554">AA469</f>
        <v>10000000</v>
      </c>
      <c r="AB470" s="97">
        <f t="shared" si="554"/>
        <v>3.7499999999999999E-2</v>
      </c>
      <c r="AC470" s="421">
        <f t="shared" si="542"/>
        <v>1041.6666666666667</v>
      </c>
      <c r="AD470" s="304">
        <f t="shared" si="543"/>
        <v>102083.33333333344</v>
      </c>
      <c r="AE470" s="307">
        <f t="shared" si="544"/>
        <v>166.66666666666674</v>
      </c>
      <c r="AG470" s="11" t="s">
        <v>192</v>
      </c>
      <c r="AH470" s="306">
        <f t="shared" ref="AH470:AI470" si="555">AH469</f>
        <v>6000000</v>
      </c>
      <c r="AI470" s="97">
        <f t="shared" si="555"/>
        <v>3.73E-2</v>
      </c>
      <c r="AJ470" s="421">
        <f t="shared" si="546"/>
        <v>621.66666666666663</v>
      </c>
      <c r="AK470" s="304">
        <f t="shared" si="547"/>
        <v>1243.3333333333333</v>
      </c>
      <c r="AL470" s="307">
        <f t="shared" si="548"/>
        <v>96.666666666666629</v>
      </c>
      <c r="AN470" s="304">
        <f>'codeis $'!AB470</f>
        <v>0</v>
      </c>
      <c r="AO470" s="340">
        <f>'codeis $'!AH470</f>
        <v>0</v>
      </c>
      <c r="AP470" s="304">
        <f>'codeis $'!AE470</f>
        <v>0</v>
      </c>
      <c r="AQ470" s="304">
        <f>'codeis $'!AK470</f>
        <v>0</v>
      </c>
      <c r="AR470" s="9"/>
      <c r="AS470" s="9"/>
      <c r="AT470" s="123"/>
      <c r="AU470" s="123"/>
      <c r="AV470" s="123"/>
      <c r="AW470" s="123"/>
      <c r="AX470" s="123"/>
      <c r="AY470" s="123"/>
      <c r="AZ470" s="123"/>
      <c r="BA470" s="123"/>
      <c r="BC470" s="124">
        <f>'MM $'!G470</f>
        <v>0</v>
      </c>
      <c r="BD470" s="139">
        <f>'MM $'!H470</f>
        <v>0</v>
      </c>
      <c r="BE470" s="431">
        <f>'MM $'!I470</f>
        <v>0</v>
      </c>
      <c r="BF470" s="124">
        <f>'MM $'!L470</f>
        <v>0</v>
      </c>
      <c r="BH470" s="124">
        <f>'MM $'!N470</f>
        <v>0</v>
      </c>
      <c r="BI470" s="139">
        <f>'MM $'!P470</f>
        <v>0</v>
      </c>
      <c r="BJ470" s="431">
        <f>'MM $'!Q470</f>
        <v>0</v>
      </c>
      <c r="BK470" s="124">
        <f>'MM $'!U470</f>
        <v>0</v>
      </c>
      <c r="BM470" s="124">
        <f>'MM $'!W470</f>
        <v>0</v>
      </c>
      <c r="BN470" s="139">
        <f>'MM $'!X470</f>
        <v>0</v>
      </c>
      <c r="BO470" s="431">
        <f>'MM $'!Y470</f>
        <v>0</v>
      </c>
      <c r="BP470" s="124">
        <f>'MM $'!AB470</f>
        <v>0</v>
      </c>
      <c r="BR470" s="124">
        <f>'MM $'!AD470</f>
        <v>0</v>
      </c>
      <c r="BS470" s="139">
        <f>'MM $'!AE470</f>
        <v>0</v>
      </c>
      <c r="BT470" s="431">
        <f>'MM $'!AF470</f>
        <v>0</v>
      </c>
      <c r="BU470" s="124">
        <f>'MM $'!AB470</f>
        <v>0</v>
      </c>
      <c r="BV470" s="439"/>
      <c r="BW470" s="120">
        <f t="shared" si="549"/>
        <v>22450000</v>
      </c>
      <c r="BX470" s="121">
        <f t="shared" si="404"/>
        <v>3.5000000000000003E-2</v>
      </c>
      <c r="BY470" s="121">
        <f t="shared" si="409"/>
        <v>3.7437639198218263E-2</v>
      </c>
      <c r="BZ470" s="120">
        <f t="shared" si="550"/>
        <v>2334.6527777777778</v>
      </c>
      <c r="CA470" s="120">
        <f t="shared" si="551"/>
        <v>370.27777777777783</v>
      </c>
    </row>
    <row r="471" spans="2:79" x14ac:dyDescent="0.25">
      <c r="B471" s="123" t="str">
        <f t="shared" si="531"/>
        <v>4 2026</v>
      </c>
      <c r="C471" s="122">
        <f t="shared" si="532"/>
        <v>46120</v>
      </c>
      <c r="D471" s="122">
        <f t="shared" si="410"/>
        <v>46121</v>
      </c>
      <c r="E471" s="123">
        <f t="shared" si="533"/>
        <v>1</v>
      </c>
      <c r="F471" s="123" t="s">
        <v>7</v>
      </c>
      <c r="G471" s="124">
        <f t="shared" ref="G471:H471" si="556">G470</f>
        <v>1450000</v>
      </c>
      <c r="H471" s="125">
        <f t="shared" si="556"/>
        <v>3.15E-2</v>
      </c>
      <c r="I471" s="124">
        <f t="shared" si="535"/>
        <v>126.875</v>
      </c>
      <c r="J471" s="124">
        <f t="shared" si="536"/>
        <v>11151.875</v>
      </c>
      <c r="K471" s="9"/>
      <c r="L471" s="11"/>
      <c r="M471" s="306"/>
      <c r="N471" s="97"/>
      <c r="O471" s="421"/>
      <c r="P471" s="304"/>
      <c r="Q471" s="307"/>
      <c r="S471" s="11" t="s">
        <v>192</v>
      </c>
      <c r="T471" s="306">
        <f t="shared" ref="T471:U471" si="557">T470</f>
        <v>5000000</v>
      </c>
      <c r="U471" s="97">
        <f t="shared" si="557"/>
        <v>3.9199999999999999E-2</v>
      </c>
      <c r="V471" s="421">
        <f t="shared" si="538"/>
        <v>544.44444444444446</v>
      </c>
      <c r="W471" s="304">
        <f t="shared" si="539"/>
        <v>53900.000000000065</v>
      </c>
      <c r="X471" s="307">
        <f t="shared" si="540"/>
        <v>106.94444444444446</v>
      </c>
      <c r="Z471" s="11" t="s">
        <v>192</v>
      </c>
      <c r="AA471" s="306">
        <f t="shared" ref="AA471:AB471" si="558">AA470</f>
        <v>10000000</v>
      </c>
      <c r="AB471" s="97">
        <f t="shared" si="558"/>
        <v>3.7499999999999999E-2</v>
      </c>
      <c r="AC471" s="421">
        <f t="shared" si="542"/>
        <v>1041.6666666666667</v>
      </c>
      <c r="AD471" s="304">
        <f t="shared" si="543"/>
        <v>103125.00000000012</v>
      </c>
      <c r="AE471" s="307">
        <f t="shared" si="544"/>
        <v>166.66666666666674</v>
      </c>
      <c r="AG471" s="11" t="s">
        <v>192</v>
      </c>
      <c r="AH471" s="306">
        <f t="shared" ref="AH471:AI471" si="559">AH470</f>
        <v>6000000</v>
      </c>
      <c r="AI471" s="97">
        <f t="shared" si="559"/>
        <v>3.73E-2</v>
      </c>
      <c r="AJ471" s="421">
        <f t="shared" si="546"/>
        <v>621.66666666666663</v>
      </c>
      <c r="AK471" s="304">
        <f t="shared" si="547"/>
        <v>1243.3333333333333</v>
      </c>
      <c r="AL471" s="307">
        <f t="shared" si="548"/>
        <v>96.666666666666629</v>
      </c>
      <c r="AN471" s="304">
        <f>'codeis $'!AB471</f>
        <v>0</v>
      </c>
      <c r="AO471" s="340">
        <f>'codeis $'!AH471</f>
        <v>0</v>
      </c>
      <c r="AP471" s="304">
        <f>'codeis $'!AE471</f>
        <v>0</v>
      </c>
      <c r="AQ471" s="304">
        <f>'codeis $'!AK471</f>
        <v>0</v>
      </c>
      <c r="AR471" s="9"/>
      <c r="AS471" s="9"/>
      <c r="AT471" s="123"/>
      <c r="AU471" s="123"/>
      <c r="AV471" s="123"/>
      <c r="AW471" s="123"/>
      <c r="AX471" s="123"/>
      <c r="AY471" s="123"/>
      <c r="AZ471" s="123"/>
      <c r="BA471" s="123"/>
      <c r="BC471" s="124">
        <f>'MM $'!G471</f>
        <v>0</v>
      </c>
      <c r="BD471" s="139">
        <f>'MM $'!H471</f>
        <v>0</v>
      </c>
      <c r="BE471" s="431">
        <f>'MM $'!I471</f>
        <v>0</v>
      </c>
      <c r="BF471" s="124">
        <f>'MM $'!L471</f>
        <v>0</v>
      </c>
      <c r="BH471" s="124">
        <f>'MM $'!N471</f>
        <v>0</v>
      </c>
      <c r="BI471" s="139">
        <f>'MM $'!P471</f>
        <v>0</v>
      </c>
      <c r="BJ471" s="431">
        <f>'MM $'!Q471</f>
        <v>0</v>
      </c>
      <c r="BK471" s="124">
        <f>'MM $'!U471</f>
        <v>0</v>
      </c>
      <c r="BM471" s="124">
        <f>'MM $'!W471</f>
        <v>0</v>
      </c>
      <c r="BN471" s="139">
        <f>'MM $'!X471</f>
        <v>0</v>
      </c>
      <c r="BO471" s="431">
        <f>'MM $'!Y471</f>
        <v>0</v>
      </c>
      <c r="BP471" s="124">
        <f>'MM $'!AB471</f>
        <v>0</v>
      </c>
      <c r="BR471" s="124">
        <f>'MM $'!AD471</f>
        <v>0</v>
      </c>
      <c r="BS471" s="139">
        <f>'MM $'!AE471</f>
        <v>0</v>
      </c>
      <c r="BT471" s="431">
        <f>'MM $'!AF471</f>
        <v>0</v>
      </c>
      <c r="BU471" s="124">
        <f>'MM $'!AB471</f>
        <v>0</v>
      </c>
      <c r="BV471" s="439"/>
      <c r="BW471" s="120">
        <f t="shared" si="549"/>
        <v>22450000</v>
      </c>
      <c r="BX471" s="121">
        <f t="shared" si="404"/>
        <v>3.5000000000000003E-2</v>
      </c>
      <c r="BY471" s="121">
        <f t="shared" si="409"/>
        <v>3.7437639198218263E-2</v>
      </c>
      <c r="BZ471" s="120">
        <f t="shared" si="550"/>
        <v>2334.6527777777778</v>
      </c>
      <c r="CA471" s="120">
        <f t="shared" si="551"/>
        <v>370.27777777777783</v>
      </c>
    </row>
    <row r="472" spans="2:79" x14ac:dyDescent="0.25">
      <c r="B472" s="123" t="str">
        <f t="shared" si="531"/>
        <v>4 2026</v>
      </c>
      <c r="C472" s="122">
        <f t="shared" si="532"/>
        <v>46121</v>
      </c>
      <c r="D472" s="122">
        <f t="shared" si="410"/>
        <v>46122</v>
      </c>
      <c r="E472" s="123">
        <f t="shared" si="533"/>
        <v>1</v>
      </c>
      <c r="F472" s="123" t="s">
        <v>7</v>
      </c>
      <c r="G472" s="124">
        <f t="shared" ref="G472:H472" si="560">G471</f>
        <v>1450000</v>
      </c>
      <c r="H472" s="125">
        <f t="shared" si="560"/>
        <v>3.15E-2</v>
      </c>
      <c r="I472" s="124">
        <f t="shared" si="535"/>
        <v>126.875</v>
      </c>
      <c r="J472" s="124">
        <f t="shared" si="536"/>
        <v>11278.75</v>
      </c>
      <c r="K472" s="9"/>
      <c r="L472" s="11"/>
      <c r="M472" s="306"/>
      <c r="N472" s="97"/>
      <c r="O472" s="421"/>
      <c r="P472" s="304"/>
      <c r="Q472" s="307"/>
      <c r="S472" s="11" t="s">
        <v>192</v>
      </c>
      <c r="T472" s="306">
        <f t="shared" ref="T472:U472" si="561">T471</f>
        <v>5000000</v>
      </c>
      <c r="U472" s="97">
        <f t="shared" si="561"/>
        <v>3.9199999999999999E-2</v>
      </c>
      <c r="V472" s="421">
        <f t="shared" si="538"/>
        <v>544.44444444444446</v>
      </c>
      <c r="W472" s="304">
        <f t="shared" si="539"/>
        <v>54444.444444444511</v>
      </c>
      <c r="X472" s="307">
        <f t="shared" si="540"/>
        <v>106.94444444444446</v>
      </c>
      <c r="Z472" s="11" t="s">
        <v>192</v>
      </c>
      <c r="AA472" s="306">
        <f t="shared" ref="AA472:AB472" si="562">AA471</f>
        <v>10000000</v>
      </c>
      <c r="AB472" s="97">
        <f t="shared" si="562"/>
        <v>3.7499999999999999E-2</v>
      </c>
      <c r="AC472" s="421">
        <f t="shared" si="542"/>
        <v>1041.6666666666667</v>
      </c>
      <c r="AD472" s="304">
        <f t="shared" si="543"/>
        <v>104166.66666666679</v>
      </c>
      <c r="AE472" s="307">
        <f t="shared" si="544"/>
        <v>166.66666666666674</v>
      </c>
      <c r="AG472" s="11" t="s">
        <v>192</v>
      </c>
      <c r="AH472" s="306">
        <f t="shared" ref="AH472:AI472" si="563">AH471</f>
        <v>6000000</v>
      </c>
      <c r="AI472" s="97">
        <f t="shared" si="563"/>
        <v>3.73E-2</v>
      </c>
      <c r="AJ472" s="421">
        <f t="shared" si="546"/>
        <v>621.66666666666663</v>
      </c>
      <c r="AK472" s="304">
        <f t="shared" si="547"/>
        <v>1243.3333333333333</v>
      </c>
      <c r="AL472" s="307">
        <f t="shared" si="548"/>
        <v>96.666666666666629</v>
      </c>
      <c r="AN472" s="304">
        <f>'codeis $'!AB472</f>
        <v>0</v>
      </c>
      <c r="AO472" s="340">
        <f>'codeis $'!AH472</f>
        <v>0</v>
      </c>
      <c r="AP472" s="304">
        <f>'codeis $'!AE472</f>
        <v>0</v>
      </c>
      <c r="AQ472" s="304">
        <f>'codeis $'!AK472</f>
        <v>0</v>
      </c>
      <c r="AR472" s="9"/>
      <c r="AS472" s="9"/>
      <c r="AT472" s="123"/>
      <c r="AU472" s="123"/>
      <c r="AV472" s="123"/>
      <c r="AW472" s="123"/>
      <c r="AX472" s="123"/>
      <c r="AY472" s="123"/>
      <c r="AZ472" s="123"/>
      <c r="BA472" s="123"/>
      <c r="BC472" s="124">
        <f>'MM $'!G472</f>
        <v>0</v>
      </c>
      <c r="BD472" s="139">
        <f>'MM $'!H472</f>
        <v>0</v>
      </c>
      <c r="BE472" s="431">
        <f>'MM $'!I472</f>
        <v>0</v>
      </c>
      <c r="BF472" s="124">
        <f>'MM $'!L472</f>
        <v>0</v>
      </c>
      <c r="BH472" s="124">
        <f>'MM $'!N472</f>
        <v>0</v>
      </c>
      <c r="BI472" s="139">
        <f>'MM $'!P472</f>
        <v>0</v>
      </c>
      <c r="BJ472" s="431">
        <f>'MM $'!Q472</f>
        <v>0</v>
      </c>
      <c r="BK472" s="124">
        <f>'MM $'!U472</f>
        <v>0</v>
      </c>
      <c r="BM472" s="124">
        <f>'MM $'!W472</f>
        <v>0</v>
      </c>
      <c r="BN472" s="139">
        <f>'MM $'!X472</f>
        <v>0</v>
      </c>
      <c r="BO472" s="431">
        <f>'MM $'!Y472</f>
        <v>0</v>
      </c>
      <c r="BP472" s="124">
        <f>'MM $'!AB472</f>
        <v>0</v>
      </c>
      <c r="BR472" s="124">
        <f>'MM $'!AD472</f>
        <v>0</v>
      </c>
      <c r="BS472" s="139">
        <f>'MM $'!AE472</f>
        <v>0</v>
      </c>
      <c r="BT472" s="431">
        <f>'MM $'!AF472</f>
        <v>0</v>
      </c>
      <c r="BU472" s="124">
        <f>'MM $'!AB472</f>
        <v>0</v>
      </c>
      <c r="BV472" s="439"/>
      <c r="BW472" s="120">
        <f t="shared" si="549"/>
        <v>22450000</v>
      </c>
      <c r="BX472" s="121">
        <f t="shared" si="404"/>
        <v>3.5000000000000003E-2</v>
      </c>
      <c r="BY472" s="121">
        <f t="shared" si="409"/>
        <v>3.7437639198218263E-2</v>
      </c>
      <c r="BZ472" s="120">
        <f t="shared" si="550"/>
        <v>2334.6527777777778</v>
      </c>
      <c r="CA472" s="120">
        <f t="shared" si="551"/>
        <v>370.27777777777783</v>
      </c>
    </row>
    <row r="473" spans="2:79" x14ac:dyDescent="0.25">
      <c r="B473" s="123" t="str">
        <f t="shared" si="531"/>
        <v>4 2026</v>
      </c>
      <c r="C473" s="122">
        <f t="shared" si="532"/>
        <v>46122</v>
      </c>
      <c r="D473" s="122">
        <f t="shared" si="410"/>
        <v>46123</v>
      </c>
      <c r="E473" s="123">
        <f t="shared" si="533"/>
        <v>1</v>
      </c>
      <c r="F473" s="123" t="s">
        <v>7</v>
      </c>
      <c r="G473" s="124">
        <f t="shared" ref="G473:H473" si="564">G472</f>
        <v>1450000</v>
      </c>
      <c r="H473" s="125">
        <f t="shared" si="564"/>
        <v>3.15E-2</v>
      </c>
      <c r="I473" s="124">
        <f t="shared" si="535"/>
        <v>126.875</v>
      </c>
      <c r="J473" s="124">
        <f t="shared" si="536"/>
        <v>11405.625</v>
      </c>
      <c r="K473" s="9"/>
      <c r="L473" s="11"/>
      <c r="M473" s="306"/>
      <c r="N473" s="97"/>
      <c r="O473" s="421"/>
      <c r="P473" s="304"/>
      <c r="Q473" s="307"/>
      <c r="S473" s="11" t="s">
        <v>192</v>
      </c>
      <c r="T473" s="306">
        <f t="shared" ref="T473:U473" si="565">T472</f>
        <v>5000000</v>
      </c>
      <c r="U473" s="97">
        <f t="shared" si="565"/>
        <v>3.9199999999999999E-2</v>
      </c>
      <c r="V473" s="421">
        <f t="shared" si="538"/>
        <v>544.44444444444446</v>
      </c>
      <c r="W473" s="304">
        <f t="shared" si="539"/>
        <v>54988.888888888956</v>
      </c>
      <c r="X473" s="307">
        <f t="shared" si="540"/>
        <v>106.94444444444446</v>
      </c>
      <c r="Z473" s="11" t="s">
        <v>192</v>
      </c>
      <c r="AA473" s="306">
        <f t="shared" ref="AA473:AB473" si="566">AA472</f>
        <v>10000000</v>
      </c>
      <c r="AB473" s="97">
        <f t="shared" si="566"/>
        <v>3.7499999999999999E-2</v>
      </c>
      <c r="AC473" s="421">
        <f t="shared" si="542"/>
        <v>1041.6666666666667</v>
      </c>
      <c r="AD473" s="304">
        <f t="shared" si="543"/>
        <v>105208.33333333346</v>
      </c>
      <c r="AE473" s="307">
        <f t="shared" si="544"/>
        <v>166.66666666666674</v>
      </c>
      <c r="AG473" s="11" t="s">
        <v>192</v>
      </c>
      <c r="AH473" s="306">
        <f t="shared" ref="AH473:AI473" si="567">AH472</f>
        <v>6000000</v>
      </c>
      <c r="AI473" s="97">
        <f t="shared" si="567"/>
        <v>3.73E-2</v>
      </c>
      <c r="AJ473" s="421">
        <f t="shared" si="546"/>
        <v>621.66666666666663</v>
      </c>
      <c r="AK473" s="304">
        <f t="shared" si="547"/>
        <v>1243.3333333333333</v>
      </c>
      <c r="AL473" s="307">
        <f t="shared" si="548"/>
        <v>96.666666666666629</v>
      </c>
      <c r="AN473" s="304">
        <f>'codeis $'!AB473</f>
        <v>0</v>
      </c>
      <c r="AO473" s="340">
        <f>'codeis $'!AH473</f>
        <v>0</v>
      </c>
      <c r="AP473" s="304">
        <f>'codeis $'!AE473</f>
        <v>0</v>
      </c>
      <c r="AQ473" s="304">
        <f>'codeis $'!AK473</f>
        <v>0</v>
      </c>
      <c r="AR473" s="9"/>
      <c r="AS473" s="9"/>
      <c r="AT473" s="123"/>
      <c r="AU473" s="123"/>
      <c r="AV473" s="123"/>
      <c r="AW473" s="123"/>
      <c r="AX473" s="123"/>
      <c r="AY473" s="123"/>
      <c r="AZ473" s="123"/>
      <c r="BA473" s="123"/>
      <c r="BC473" s="124">
        <f>'MM $'!G473</f>
        <v>0</v>
      </c>
      <c r="BD473" s="139">
        <f>'MM $'!H473</f>
        <v>0</v>
      </c>
      <c r="BE473" s="431">
        <f>'MM $'!I473</f>
        <v>0</v>
      </c>
      <c r="BF473" s="124">
        <f>'MM $'!L473</f>
        <v>0</v>
      </c>
      <c r="BH473" s="124">
        <f>'MM $'!N473</f>
        <v>0</v>
      </c>
      <c r="BI473" s="139">
        <f>'MM $'!P473</f>
        <v>0</v>
      </c>
      <c r="BJ473" s="431">
        <f>'MM $'!Q473</f>
        <v>0</v>
      </c>
      <c r="BK473" s="124">
        <f>'MM $'!U473</f>
        <v>0</v>
      </c>
      <c r="BM473" s="124">
        <f>'MM $'!W473</f>
        <v>0</v>
      </c>
      <c r="BN473" s="139">
        <f>'MM $'!X473</f>
        <v>0</v>
      </c>
      <c r="BO473" s="431">
        <f>'MM $'!Y473</f>
        <v>0</v>
      </c>
      <c r="BP473" s="124">
        <f>'MM $'!AB473</f>
        <v>0</v>
      </c>
      <c r="BR473" s="124">
        <f>'MM $'!AD473</f>
        <v>0</v>
      </c>
      <c r="BS473" s="139">
        <f>'MM $'!AE473</f>
        <v>0</v>
      </c>
      <c r="BT473" s="431">
        <f>'MM $'!AF473</f>
        <v>0</v>
      </c>
      <c r="BU473" s="124">
        <f>'MM $'!AB473</f>
        <v>0</v>
      </c>
      <c r="BV473" s="439"/>
      <c r="BW473" s="120">
        <f t="shared" si="549"/>
        <v>22450000</v>
      </c>
      <c r="BX473" s="121">
        <f t="shared" si="404"/>
        <v>3.5000000000000003E-2</v>
      </c>
      <c r="BY473" s="121">
        <f t="shared" si="409"/>
        <v>3.7437639198218263E-2</v>
      </c>
      <c r="BZ473" s="120">
        <f t="shared" si="550"/>
        <v>2334.6527777777778</v>
      </c>
      <c r="CA473" s="120">
        <f t="shared" si="551"/>
        <v>370.27777777777783</v>
      </c>
    </row>
    <row r="474" spans="2:79" x14ac:dyDescent="0.25">
      <c r="B474" s="123" t="str">
        <f t="shared" si="531"/>
        <v>4 2026</v>
      </c>
      <c r="C474" s="122">
        <f t="shared" si="532"/>
        <v>46123</v>
      </c>
      <c r="D474" s="122">
        <f t="shared" si="410"/>
        <v>46124</v>
      </c>
      <c r="E474" s="123">
        <f t="shared" si="533"/>
        <v>1</v>
      </c>
      <c r="F474" s="123" t="s">
        <v>7</v>
      </c>
      <c r="G474" s="124">
        <f t="shared" ref="G474:H474" si="568">G473</f>
        <v>1450000</v>
      </c>
      <c r="H474" s="125">
        <f t="shared" si="568"/>
        <v>3.15E-2</v>
      </c>
      <c r="I474" s="124">
        <f t="shared" si="535"/>
        <v>126.875</v>
      </c>
      <c r="J474" s="124">
        <f t="shared" si="536"/>
        <v>11532.5</v>
      </c>
      <c r="K474" s="9"/>
      <c r="L474" s="11"/>
      <c r="M474" s="306"/>
      <c r="N474" s="97"/>
      <c r="O474" s="421"/>
      <c r="P474" s="304"/>
      <c r="Q474" s="307"/>
      <c r="S474" s="11" t="s">
        <v>192</v>
      </c>
      <c r="T474" s="306">
        <f t="shared" ref="T474:U474" si="569">T473</f>
        <v>5000000</v>
      </c>
      <c r="U474" s="97">
        <f t="shared" si="569"/>
        <v>3.9199999999999999E-2</v>
      </c>
      <c r="V474" s="421">
        <f t="shared" si="538"/>
        <v>544.44444444444446</v>
      </c>
      <c r="W474" s="304">
        <f t="shared" si="539"/>
        <v>55533.333333333401</v>
      </c>
      <c r="X474" s="307">
        <f t="shared" si="540"/>
        <v>106.94444444444446</v>
      </c>
      <c r="Z474" s="11" t="s">
        <v>192</v>
      </c>
      <c r="AA474" s="306">
        <f t="shared" ref="AA474:AB474" si="570">AA473</f>
        <v>10000000</v>
      </c>
      <c r="AB474" s="97">
        <f t="shared" si="570"/>
        <v>3.7499999999999999E-2</v>
      </c>
      <c r="AC474" s="421">
        <f t="shared" si="542"/>
        <v>1041.6666666666667</v>
      </c>
      <c r="AD474" s="304">
        <f t="shared" si="543"/>
        <v>106250.00000000013</v>
      </c>
      <c r="AE474" s="307">
        <f t="shared" si="544"/>
        <v>166.66666666666674</v>
      </c>
      <c r="AG474" s="11" t="s">
        <v>192</v>
      </c>
      <c r="AH474" s="306">
        <f t="shared" ref="AH474:AI474" si="571">AH473</f>
        <v>6000000</v>
      </c>
      <c r="AI474" s="97">
        <f t="shared" si="571"/>
        <v>3.73E-2</v>
      </c>
      <c r="AJ474" s="421">
        <f t="shared" si="546"/>
        <v>621.66666666666663</v>
      </c>
      <c r="AK474" s="304">
        <f t="shared" si="547"/>
        <v>1243.3333333333333</v>
      </c>
      <c r="AL474" s="307">
        <f t="shared" si="548"/>
        <v>96.666666666666629</v>
      </c>
      <c r="AN474" s="304">
        <f>'codeis $'!AB474</f>
        <v>0</v>
      </c>
      <c r="AO474" s="340">
        <f>'codeis $'!AH474</f>
        <v>0</v>
      </c>
      <c r="AP474" s="304">
        <f>'codeis $'!AE474</f>
        <v>0</v>
      </c>
      <c r="AQ474" s="304">
        <f>'codeis $'!AK474</f>
        <v>0</v>
      </c>
      <c r="AR474" s="9"/>
      <c r="AS474" s="9"/>
      <c r="AT474" s="123"/>
      <c r="AU474" s="123"/>
      <c r="AV474" s="123"/>
      <c r="AW474" s="123"/>
      <c r="AX474" s="123"/>
      <c r="AY474" s="123"/>
      <c r="AZ474" s="123"/>
      <c r="BA474" s="123"/>
      <c r="BC474" s="124">
        <f>'MM $'!G474</f>
        <v>0</v>
      </c>
      <c r="BD474" s="139">
        <f>'MM $'!H474</f>
        <v>0</v>
      </c>
      <c r="BE474" s="431">
        <f>'MM $'!I474</f>
        <v>0</v>
      </c>
      <c r="BF474" s="124">
        <f>'MM $'!L474</f>
        <v>0</v>
      </c>
      <c r="BH474" s="124">
        <f>'MM $'!N474</f>
        <v>0</v>
      </c>
      <c r="BI474" s="139">
        <f>'MM $'!P474</f>
        <v>0</v>
      </c>
      <c r="BJ474" s="431">
        <f>'MM $'!Q474</f>
        <v>0</v>
      </c>
      <c r="BK474" s="124">
        <f>'MM $'!U474</f>
        <v>0</v>
      </c>
      <c r="BM474" s="124">
        <f>'MM $'!W474</f>
        <v>0</v>
      </c>
      <c r="BN474" s="139">
        <f>'MM $'!X474</f>
        <v>0</v>
      </c>
      <c r="BO474" s="431">
        <f>'MM $'!Y474</f>
        <v>0</v>
      </c>
      <c r="BP474" s="124">
        <f>'MM $'!AB474</f>
        <v>0</v>
      </c>
      <c r="BR474" s="124">
        <f>'MM $'!AD474</f>
        <v>0</v>
      </c>
      <c r="BS474" s="139">
        <f>'MM $'!AE474</f>
        <v>0</v>
      </c>
      <c r="BT474" s="431">
        <f>'MM $'!AF474</f>
        <v>0</v>
      </c>
      <c r="BU474" s="124">
        <f>'MM $'!AB474</f>
        <v>0</v>
      </c>
      <c r="BV474" s="439"/>
      <c r="BW474" s="120">
        <f t="shared" si="549"/>
        <v>22450000</v>
      </c>
      <c r="BX474" s="121">
        <f t="shared" si="404"/>
        <v>3.5000000000000003E-2</v>
      </c>
      <c r="BY474" s="121">
        <f t="shared" si="409"/>
        <v>3.7437639198218263E-2</v>
      </c>
      <c r="BZ474" s="120">
        <f t="shared" si="550"/>
        <v>2334.6527777777778</v>
      </c>
      <c r="CA474" s="120">
        <f t="shared" si="551"/>
        <v>370.27777777777783</v>
      </c>
    </row>
    <row r="475" spans="2:79" x14ac:dyDescent="0.25">
      <c r="B475" s="123" t="str">
        <f t="shared" si="531"/>
        <v>4 2026</v>
      </c>
      <c r="C475" s="122">
        <f t="shared" si="532"/>
        <v>46124</v>
      </c>
      <c r="D475" s="122">
        <f t="shared" si="410"/>
        <v>46125</v>
      </c>
      <c r="E475" s="123">
        <f t="shared" si="533"/>
        <v>1</v>
      </c>
      <c r="F475" s="123" t="s">
        <v>7</v>
      </c>
      <c r="G475" s="124">
        <f t="shared" ref="G475:H475" si="572">G474</f>
        <v>1450000</v>
      </c>
      <c r="H475" s="125">
        <f t="shared" si="572"/>
        <v>3.15E-2</v>
      </c>
      <c r="I475" s="124">
        <f t="shared" si="535"/>
        <v>126.875</v>
      </c>
      <c r="J475" s="124">
        <f t="shared" si="536"/>
        <v>11659.375</v>
      </c>
      <c r="K475" s="9"/>
      <c r="L475" s="11"/>
      <c r="M475" s="306"/>
      <c r="N475" s="97"/>
      <c r="O475" s="421"/>
      <c r="P475" s="304"/>
      <c r="Q475" s="307"/>
      <c r="S475" s="11" t="s">
        <v>192</v>
      </c>
      <c r="T475" s="306">
        <f t="shared" ref="T475:U475" si="573">T474</f>
        <v>5000000</v>
      </c>
      <c r="U475" s="97">
        <f t="shared" si="573"/>
        <v>3.9199999999999999E-2</v>
      </c>
      <c r="V475" s="421">
        <f t="shared" si="538"/>
        <v>544.44444444444446</v>
      </c>
      <c r="W475" s="304">
        <f t="shared" si="539"/>
        <v>56077.777777777846</v>
      </c>
      <c r="X475" s="307">
        <f t="shared" si="540"/>
        <v>106.94444444444446</v>
      </c>
      <c r="Z475" s="11" t="s">
        <v>192</v>
      </c>
      <c r="AA475" s="306">
        <f t="shared" ref="AA475:AB475" si="574">AA474</f>
        <v>10000000</v>
      </c>
      <c r="AB475" s="97">
        <f t="shared" si="574"/>
        <v>3.7499999999999999E-2</v>
      </c>
      <c r="AC475" s="421">
        <f t="shared" si="542"/>
        <v>1041.6666666666667</v>
      </c>
      <c r="AD475" s="304">
        <f t="shared" si="543"/>
        <v>107291.6666666668</v>
      </c>
      <c r="AE475" s="307">
        <f t="shared" si="544"/>
        <v>166.66666666666674</v>
      </c>
      <c r="AG475" s="11" t="s">
        <v>192</v>
      </c>
      <c r="AH475" s="306">
        <f t="shared" ref="AH475:AI475" si="575">AH474</f>
        <v>6000000</v>
      </c>
      <c r="AI475" s="97">
        <f t="shared" si="575"/>
        <v>3.73E-2</v>
      </c>
      <c r="AJ475" s="421">
        <f t="shared" si="546"/>
        <v>621.66666666666663</v>
      </c>
      <c r="AK475" s="304">
        <f t="shared" si="547"/>
        <v>1243.3333333333333</v>
      </c>
      <c r="AL475" s="307">
        <f t="shared" si="548"/>
        <v>96.666666666666629</v>
      </c>
      <c r="AN475" s="304">
        <f>'codeis $'!AB475</f>
        <v>0</v>
      </c>
      <c r="AO475" s="340">
        <f>'codeis $'!AH475</f>
        <v>0</v>
      </c>
      <c r="AP475" s="304">
        <f>'codeis $'!AE475</f>
        <v>0</v>
      </c>
      <c r="AQ475" s="304">
        <f>'codeis $'!AK475</f>
        <v>0</v>
      </c>
      <c r="AR475" s="9"/>
      <c r="AS475" s="9"/>
      <c r="AT475" s="123"/>
      <c r="AU475" s="123"/>
      <c r="AV475" s="123"/>
      <c r="AW475" s="123"/>
      <c r="AX475" s="123"/>
      <c r="AY475" s="123"/>
      <c r="AZ475" s="123"/>
      <c r="BA475" s="123"/>
      <c r="BC475" s="124">
        <f>'MM $'!G475</f>
        <v>0</v>
      </c>
      <c r="BD475" s="139">
        <f>'MM $'!H475</f>
        <v>0</v>
      </c>
      <c r="BE475" s="431">
        <f>'MM $'!I475</f>
        <v>0</v>
      </c>
      <c r="BF475" s="124">
        <f>'MM $'!L475</f>
        <v>0</v>
      </c>
      <c r="BH475" s="124">
        <f>'MM $'!N475</f>
        <v>0</v>
      </c>
      <c r="BI475" s="139">
        <f>'MM $'!P475</f>
        <v>0</v>
      </c>
      <c r="BJ475" s="431">
        <f>'MM $'!Q475</f>
        <v>0</v>
      </c>
      <c r="BK475" s="124">
        <f>'MM $'!U475</f>
        <v>0</v>
      </c>
      <c r="BM475" s="124">
        <f>'MM $'!W475</f>
        <v>0</v>
      </c>
      <c r="BN475" s="139">
        <f>'MM $'!X475</f>
        <v>0</v>
      </c>
      <c r="BO475" s="431">
        <f>'MM $'!Y475</f>
        <v>0</v>
      </c>
      <c r="BP475" s="124">
        <f>'MM $'!AB475</f>
        <v>0</v>
      </c>
      <c r="BR475" s="124">
        <f>'MM $'!AD475</f>
        <v>0</v>
      </c>
      <c r="BS475" s="139">
        <f>'MM $'!AE475</f>
        <v>0</v>
      </c>
      <c r="BT475" s="431">
        <f>'MM $'!AF475</f>
        <v>0</v>
      </c>
      <c r="BU475" s="124">
        <f>'MM $'!AB475</f>
        <v>0</v>
      </c>
      <c r="BV475" s="439"/>
      <c r="BW475" s="120">
        <f t="shared" si="549"/>
        <v>22450000</v>
      </c>
      <c r="BX475" s="121">
        <f t="shared" si="404"/>
        <v>3.5000000000000003E-2</v>
      </c>
      <c r="BY475" s="121">
        <f t="shared" si="409"/>
        <v>3.7437639198218263E-2</v>
      </c>
      <c r="BZ475" s="120">
        <f t="shared" si="550"/>
        <v>2334.6527777777778</v>
      </c>
      <c r="CA475" s="120">
        <f t="shared" si="551"/>
        <v>370.27777777777783</v>
      </c>
    </row>
    <row r="476" spans="2:79" x14ac:dyDescent="0.25">
      <c r="B476" s="123" t="str">
        <f t="shared" si="531"/>
        <v>4 2026</v>
      </c>
      <c r="C476" s="122">
        <f t="shared" si="532"/>
        <v>46125</v>
      </c>
      <c r="D476" s="122">
        <f t="shared" si="410"/>
        <v>46126</v>
      </c>
      <c r="E476" s="123">
        <f t="shared" si="533"/>
        <v>1</v>
      </c>
      <c r="F476" s="123" t="s">
        <v>7</v>
      </c>
      <c r="G476" s="124">
        <f t="shared" ref="G476:H476" si="576">G475</f>
        <v>1450000</v>
      </c>
      <c r="H476" s="125">
        <f t="shared" si="576"/>
        <v>3.15E-2</v>
      </c>
      <c r="I476" s="124">
        <f t="shared" si="535"/>
        <v>126.875</v>
      </c>
      <c r="J476" s="124">
        <f t="shared" si="536"/>
        <v>11786.25</v>
      </c>
      <c r="K476" s="9"/>
      <c r="L476" s="11"/>
      <c r="M476" s="306"/>
      <c r="N476" s="97"/>
      <c r="O476" s="421"/>
      <c r="P476" s="304"/>
      <c r="Q476" s="307"/>
      <c r="S476" s="11" t="s">
        <v>192</v>
      </c>
      <c r="T476" s="306">
        <f t="shared" ref="T476:U476" si="577">T475</f>
        <v>5000000</v>
      </c>
      <c r="U476" s="97">
        <f t="shared" si="577"/>
        <v>3.9199999999999999E-2</v>
      </c>
      <c r="V476" s="421">
        <f t="shared" si="538"/>
        <v>544.44444444444446</v>
      </c>
      <c r="W476" s="304">
        <f t="shared" si="539"/>
        <v>56622.222222222292</v>
      </c>
      <c r="X476" s="307">
        <f t="shared" si="540"/>
        <v>106.94444444444446</v>
      </c>
      <c r="Z476" s="11" t="s">
        <v>192</v>
      </c>
      <c r="AA476" s="306">
        <f t="shared" ref="AA476:AB476" si="578">AA475</f>
        <v>10000000</v>
      </c>
      <c r="AB476" s="97">
        <f t="shared" si="578"/>
        <v>3.7499999999999999E-2</v>
      </c>
      <c r="AC476" s="421">
        <f t="shared" si="542"/>
        <v>1041.6666666666667</v>
      </c>
      <c r="AD476" s="304">
        <f t="shared" si="543"/>
        <v>108333.33333333347</v>
      </c>
      <c r="AE476" s="307">
        <f t="shared" si="544"/>
        <v>166.66666666666674</v>
      </c>
      <c r="AG476" s="11" t="s">
        <v>192</v>
      </c>
      <c r="AH476" s="306">
        <f t="shared" ref="AH476:AI476" si="579">AH475</f>
        <v>6000000</v>
      </c>
      <c r="AI476" s="97">
        <f t="shared" si="579"/>
        <v>3.73E-2</v>
      </c>
      <c r="AJ476" s="421">
        <f t="shared" si="546"/>
        <v>621.66666666666663</v>
      </c>
      <c r="AK476" s="304">
        <f t="shared" si="547"/>
        <v>1243.3333333333333</v>
      </c>
      <c r="AL476" s="307">
        <f t="shared" si="548"/>
        <v>96.666666666666629</v>
      </c>
      <c r="AN476" s="304">
        <f>'codeis $'!AB476</f>
        <v>0</v>
      </c>
      <c r="AO476" s="340">
        <f>'codeis $'!AH476</f>
        <v>0</v>
      </c>
      <c r="AP476" s="304">
        <f>'codeis $'!AE476</f>
        <v>0</v>
      </c>
      <c r="AQ476" s="304">
        <f>'codeis $'!AK476</f>
        <v>0</v>
      </c>
      <c r="AR476" s="9"/>
      <c r="AS476" s="9"/>
      <c r="AT476" s="123"/>
      <c r="AU476" s="123"/>
      <c r="AV476" s="123"/>
      <c r="AW476" s="123"/>
      <c r="AX476" s="123"/>
      <c r="AY476" s="123"/>
      <c r="AZ476" s="123"/>
      <c r="BA476" s="123"/>
      <c r="BC476" s="124">
        <f>'MM $'!G476</f>
        <v>0</v>
      </c>
      <c r="BD476" s="139">
        <f>'MM $'!H476</f>
        <v>0</v>
      </c>
      <c r="BE476" s="431">
        <f>'MM $'!I476</f>
        <v>0</v>
      </c>
      <c r="BF476" s="124">
        <f>'MM $'!L476</f>
        <v>0</v>
      </c>
      <c r="BH476" s="124">
        <f>'MM $'!N476</f>
        <v>0</v>
      </c>
      <c r="BI476" s="139">
        <f>'MM $'!P476</f>
        <v>0</v>
      </c>
      <c r="BJ476" s="431">
        <f>'MM $'!Q476</f>
        <v>0</v>
      </c>
      <c r="BK476" s="124">
        <f>'MM $'!U476</f>
        <v>0</v>
      </c>
      <c r="BM476" s="124">
        <f>'MM $'!W476</f>
        <v>0</v>
      </c>
      <c r="BN476" s="139">
        <f>'MM $'!X476</f>
        <v>0</v>
      </c>
      <c r="BO476" s="431">
        <f>'MM $'!Y476</f>
        <v>0</v>
      </c>
      <c r="BP476" s="124">
        <f>'MM $'!AB476</f>
        <v>0</v>
      </c>
      <c r="BR476" s="124">
        <f>'MM $'!AD476</f>
        <v>0</v>
      </c>
      <c r="BS476" s="139">
        <f>'MM $'!AE476</f>
        <v>0</v>
      </c>
      <c r="BT476" s="431">
        <f>'MM $'!AF476</f>
        <v>0</v>
      </c>
      <c r="BU476" s="124">
        <f>'MM $'!AB476</f>
        <v>0</v>
      </c>
      <c r="BV476" s="439"/>
      <c r="BW476" s="120">
        <f t="shared" si="549"/>
        <v>22450000</v>
      </c>
      <c r="BX476" s="121">
        <f t="shared" si="404"/>
        <v>3.5000000000000003E-2</v>
      </c>
      <c r="BY476" s="121">
        <f t="shared" si="409"/>
        <v>3.7437639198218263E-2</v>
      </c>
      <c r="BZ476" s="120">
        <f t="shared" si="550"/>
        <v>2334.6527777777778</v>
      </c>
      <c r="CA476" s="120">
        <f t="shared" si="551"/>
        <v>370.27777777777783</v>
      </c>
    </row>
    <row r="477" spans="2:79" x14ac:dyDescent="0.25">
      <c r="B477" s="123" t="str">
        <f t="shared" si="531"/>
        <v>4 2026</v>
      </c>
      <c r="C477" s="122">
        <f t="shared" si="532"/>
        <v>46126</v>
      </c>
      <c r="D477" s="122">
        <f t="shared" si="410"/>
        <v>46127</v>
      </c>
      <c r="E477" s="123">
        <f t="shared" si="533"/>
        <v>1</v>
      </c>
      <c r="F477" s="123" t="s">
        <v>7</v>
      </c>
      <c r="G477" s="124">
        <f t="shared" ref="G477:H477" si="580">G476</f>
        <v>1450000</v>
      </c>
      <c r="H477" s="125">
        <f t="shared" si="580"/>
        <v>3.15E-2</v>
      </c>
      <c r="I477" s="124">
        <f t="shared" si="535"/>
        <v>126.875</v>
      </c>
      <c r="J477" s="124">
        <f t="shared" si="536"/>
        <v>11913.125</v>
      </c>
      <c r="K477" s="9"/>
      <c r="L477" s="11"/>
      <c r="M477" s="306"/>
      <c r="N477" s="97"/>
      <c r="O477" s="421"/>
      <c r="P477" s="304"/>
      <c r="Q477" s="307"/>
      <c r="S477" s="11" t="s">
        <v>192</v>
      </c>
      <c r="T477" s="306">
        <f t="shared" ref="T477:U477" si="581">T476</f>
        <v>5000000</v>
      </c>
      <c r="U477" s="97">
        <f t="shared" si="581"/>
        <v>3.9199999999999999E-2</v>
      </c>
      <c r="V477" s="421">
        <f t="shared" si="538"/>
        <v>544.44444444444446</v>
      </c>
      <c r="W477" s="304">
        <f t="shared" si="539"/>
        <v>57166.666666666737</v>
      </c>
      <c r="X477" s="307">
        <f t="shared" si="540"/>
        <v>106.94444444444446</v>
      </c>
      <c r="Z477" s="11" t="s">
        <v>192</v>
      </c>
      <c r="AA477" s="306">
        <f t="shared" ref="AA477:AB477" si="582">AA476</f>
        <v>10000000</v>
      </c>
      <c r="AB477" s="97">
        <f t="shared" si="582"/>
        <v>3.7499999999999999E-2</v>
      </c>
      <c r="AC477" s="421">
        <f t="shared" si="542"/>
        <v>1041.6666666666667</v>
      </c>
      <c r="AD477" s="304">
        <f t="shared" si="543"/>
        <v>109375.00000000015</v>
      </c>
      <c r="AE477" s="307">
        <f t="shared" si="544"/>
        <v>166.66666666666674</v>
      </c>
      <c r="AG477" s="11" t="s">
        <v>192</v>
      </c>
      <c r="AH477" s="306">
        <f t="shared" ref="AH477:AI477" si="583">AH476</f>
        <v>6000000</v>
      </c>
      <c r="AI477" s="97">
        <f t="shared" si="583"/>
        <v>3.73E-2</v>
      </c>
      <c r="AJ477" s="421">
        <f t="shared" si="546"/>
        <v>621.66666666666663</v>
      </c>
      <c r="AK477" s="304">
        <f t="shared" si="547"/>
        <v>1243.3333333333333</v>
      </c>
      <c r="AL477" s="307">
        <f t="shared" si="548"/>
        <v>96.666666666666629</v>
      </c>
      <c r="AN477" s="304">
        <f>'codeis $'!AB477</f>
        <v>0</v>
      </c>
      <c r="AO477" s="340">
        <f>'codeis $'!AH477</f>
        <v>0</v>
      </c>
      <c r="AP477" s="304">
        <f>'codeis $'!AE477</f>
        <v>0</v>
      </c>
      <c r="AQ477" s="304">
        <f>'codeis $'!AK477</f>
        <v>0</v>
      </c>
      <c r="AR477" s="9"/>
      <c r="AS477" s="9"/>
      <c r="AT477" s="123"/>
      <c r="AU477" s="123"/>
      <c r="AV477" s="123"/>
      <c r="AW477" s="123"/>
      <c r="AX477" s="123"/>
      <c r="AY477" s="123"/>
      <c r="AZ477" s="123"/>
      <c r="BA477" s="123"/>
      <c r="BC477" s="124">
        <f>'MM $'!G477</f>
        <v>0</v>
      </c>
      <c r="BD477" s="139">
        <f>'MM $'!H477</f>
        <v>0</v>
      </c>
      <c r="BE477" s="431">
        <f>'MM $'!I477</f>
        <v>0</v>
      </c>
      <c r="BF477" s="124">
        <f>'MM $'!L477</f>
        <v>0</v>
      </c>
      <c r="BH477" s="124">
        <f>'MM $'!N477</f>
        <v>0</v>
      </c>
      <c r="BI477" s="139">
        <f>'MM $'!P477</f>
        <v>0</v>
      </c>
      <c r="BJ477" s="431">
        <f>'MM $'!Q477</f>
        <v>0</v>
      </c>
      <c r="BK477" s="124">
        <f>'MM $'!U477</f>
        <v>0</v>
      </c>
      <c r="BM477" s="124">
        <f>'MM $'!W477</f>
        <v>0</v>
      </c>
      <c r="BN477" s="139">
        <f>'MM $'!X477</f>
        <v>0</v>
      </c>
      <c r="BO477" s="431">
        <f>'MM $'!Y477</f>
        <v>0</v>
      </c>
      <c r="BP477" s="124">
        <f>'MM $'!AB477</f>
        <v>0</v>
      </c>
      <c r="BR477" s="124">
        <f>'MM $'!AD477</f>
        <v>0</v>
      </c>
      <c r="BS477" s="139">
        <f>'MM $'!AE477</f>
        <v>0</v>
      </c>
      <c r="BT477" s="431">
        <f>'MM $'!AF477</f>
        <v>0</v>
      </c>
      <c r="BU477" s="124">
        <f>'MM $'!AB477</f>
        <v>0</v>
      </c>
      <c r="BV477" s="439"/>
      <c r="BW477" s="120">
        <f t="shared" si="549"/>
        <v>22450000</v>
      </c>
      <c r="BX477" s="121">
        <f t="shared" si="404"/>
        <v>3.5000000000000003E-2</v>
      </c>
      <c r="BY477" s="121">
        <f t="shared" si="409"/>
        <v>3.7437639198218263E-2</v>
      </c>
      <c r="BZ477" s="120">
        <f t="shared" si="550"/>
        <v>2334.6527777777778</v>
      </c>
      <c r="CA477" s="120">
        <f t="shared" si="551"/>
        <v>370.27777777777783</v>
      </c>
    </row>
    <row r="478" spans="2:79" x14ac:dyDescent="0.25">
      <c r="B478" s="123" t="str">
        <f t="shared" si="531"/>
        <v>4 2026</v>
      </c>
      <c r="C478" s="122">
        <f t="shared" si="532"/>
        <v>46127</v>
      </c>
      <c r="D478" s="122">
        <f t="shared" si="410"/>
        <v>46128</v>
      </c>
      <c r="E478" s="123">
        <f t="shared" si="533"/>
        <v>1</v>
      </c>
      <c r="F478" s="123" t="s">
        <v>7</v>
      </c>
      <c r="G478" s="124">
        <f t="shared" ref="G478:H478" si="584">G477</f>
        <v>1450000</v>
      </c>
      <c r="H478" s="125">
        <f t="shared" si="584"/>
        <v>3.15E-2</v>
      </c>
      <c r="I478" s="124">
        <f t="shared" si="535"/>
        <v>126.875</v>
      </c>
      <c r="J478" s="124">
        <f t="shared" si="536"/>
        <v>12040</v>
      </c>
      <c r="K478" s="9"/>
      <c r="L478" s="11"/>
      <c r="M478" s="306"/>
      <c r="N478" s="97"/>
      <c r="O478" s="421"/>
      <c r="P478" s="304"/>
      <c r="Q478" s="307"/>
      <c r="S478" s="11" t="s">
        <v>192</v>
      </c>
      <c r="T478" s="306">
        <f t="shared" ref="T478:U478" si="585">T477</f>
        <v>5000000</v>
      </c>
      <c r="U478" s="97">
        <f t="shared" si="585"/>
        <v>3.9199999999999999E-2</v>
      </c>
      <c r="V478" s="421">
        <f t="shared" si="538"/>
        <v>544.44444444444446</v>
      </c>
      <c r="W478" s="304">
        <f t="shared" si="539"/>
        <v>57711.111111111182</v>
      </c>
      <c r="X478" s="307">
        <f t="shared" si="540"/>
        <v>106.94444444444446</v>
      </c>
      <c r="Z478" s="11" t="s">
        <v>192</v>
      </c>
      <c r="AA478" s="306">
        <f t="shared" ref="AA478:AB478" si="586">AA477</f>
        <v>10000000</v>
      </c>
      <c r="AB478" s="97">
        <f t="shared" si="586"/>
        <v>3.7499999999999999E-2</v>
      </c>
      <c r="AC478" s="421">
        <f t="shared" si="542"/>
        <v>1041.6666666666667</v>
      </c>
      <c r="AD478" s="304">
        <f t="shared" si="543"/>
        <v>110416.66666666682</v>
      </c>
      <c r="AE478" s="307">
        <f t="shared" si="544"/>
        <v>166.66666666666674</v>
      </c>
      <c r="AG478" s="11" t="s">
        <v>192</v>
      </c>
      <c r="AH478" s="306">
        <f t="shared" ref="AH478:AI478" si="587">AH477</f>
        <v>6000000</v>
      </c>
      <c r="AI478" s="97">
        <f t="shared" si="587"/>
        <v>3.73E-2</v>
      </c>
      <c r="AJ478" s="421">
        <f t="shared" si="546"/>
        <v>621.66666666666663</v>
      </c>
      <c r="AK478" s="304">
        <f t="shared" si="547"/>
        <v>1243.3333333333333</v>
      </c>
      <c r="AL478" s="307">
        <f t="shared" si="548"/>
        <v>96.666666666666629</v>
      </c>
      <c r="AN478" s="304">
        <f>'codeis $'!AB478</f>
        <v>0</v>
      </c>
      <c r="AO478" s="340">
        <f>'codeis $'!AH478</f>
        <v>0</v>
      </c>
      <c r="AP478" s="304">
        <f>'codeis $'!AE478</f>
        <v>0</v>
      </c>
      <c r="AQ478" s="304">
        <f>'codeis $'!AK478</f>
        <v>0</v>
      </c>
      <c r="AR478" s="9"/>
      <c r="AS478" s="9"/>
      <c r="AT478" s="123"/>
      <c r="AU478" s="123"/>
      <c r="AV478" s="123"/>
      <c r="AW478" s="123"/>
      <c r="AX478" s="123"/>
      <c r="AY478" s="123"/>
      <c r="AZ478" s="123"/>
      <c r="BA478" s="123"/>
      <c r="BC478" s="124">
        <f>'MM $'!G478</f>
        <v>0</v>
      </c>
      <c r="BD478" s="139">
        <f>'MM $'!H478</f>
        <v>0</v>
      </c>
      <c r="BE478" s="431">
        <f>'MM $'!I478</f>
        <v>0</v>
      </c>
      <c r="BF478" s="124">
        <f>'MM $'!L478</f>
        <v>0</v>
      </c>
      <c r="BH478" s="124">
        <f>'MM $'!N478</f>
        <v>0</v>
      </c>
      <c r="BI478" s="139">
        <f>'MM $'!P478</f>
        <v>0</v>
      </c>
      <c r="BJ478" s="431">
        <f>'MM $'!Q478</f>
        <v>0</v>
      </c>
      <c r="BK478" s="124">
        <f>'MM $'!U478</f>
        <v>0</v>
      </c>
      <c r="BM478" s="124">
        <f>'MM $'!W478</f>
        <v>0</v>
      </c>
      <c r="BN478" s="139">
        <f>'MM $'!X478</f>
        <v>0</v>
      </c>
      <c r="BO478" s="431">
        <f>'MM $'!Y478</f>
        <v>0</v>
      </c>
      <c r="BP478" s="124">
        <f>'MM $'!AB478</f>
        <v>0</v>
      </c>
      <c r="BR478" s="124">
        <f>'MM $'!AD478</f>
        <v>0</v>
      </c>
      <c r="BS478" s="139">
        <f>'MM $'!AE478</f>
        <v>0</v>
      </c>
      <c r="BT478" s="431">
        <f>'MM $'!AF478</f>
        <v>0</v>
      </c>
      <c r="BU478" s="124">
        <f>'MM $'!AB478</f>
        <v>0</v>
      </c>
      <c r="BV478" s="439"/>
      <c r="BW478" s="120">
        <f t="shared" si="549"/>
        <v>22450000</v>
      </c>
      <c r="BX478" s="121">
        <f t="shared" si="404"/>
        <v>3.5000000000000003E-2</v>
      </c>
      <c r="BY478" s="121">
        <f t="shared" si="409"/>
        <v>3.7437639198218263E-2</v>
      </c>
      <c r="BZ478" s="120">
        <f t="shared" si="550"/>
        <v>2334.6527777777778</v>
      </c>
      <c r="CA478" s="120">
        <f t="shared" si="551"/>
        <v>370.27777777777783</v>
      </c>
    </row>
    <row r="479" spans="2:79" x14ac:dyDescent="0.25">
      <c r="B479" s="123" t="str">
        <f t="shared" si="531"/>
        <v>4 2026</v>
      </c>
      <c r="C479" s="122">
        <f t="shared" si="532"/>
        <v>46128</v>
      </c>
      <c r="D479" s="122">
        <f t="shared" si="410"/>
        <v>46129</v>
      </c>
      <c r="E479" s="123">
        <f t="shared" si="533"/>
        <v>1</v>
      </c>
      <c r="F479" s="123" t="s">
        <v>7</v>
      </c>
      <c r="G479" s="124">
        <f t="shared" ref="G479:H479" si="588">G478</f>
        <v>1450000</v>
      </c>
      <c r="H479" s="125">
        <f t="shared" si="588"/>
        <v>3.15E-2</v>
      </c>
      <c r="I479" s="124">
        <f t="shared" si="535"/>
        <v>126.875</v>
      </c>
      <c r="J479" s="124">
        <f t="shared" si="536"/>
        <v>12166.875</v>
      </c>
      <c r="K479" s="9"/>
      <c r="L479" s="11"/>
      <c r="M479" s="306"/>
      <c r="N479" s="97"/>
      <c r="O479" s="421"/>
      <c r="P479" s="304"/>
      <c r="Q479" s="307"/>
      <c r="S479" s="11" t="s">
        <v>192</v>
      </c>
      <c r="T479" s="306">
        <f t="shared" ref="T479:U479" si="589">T478</f>
        <v>5000000</v>
      </c>
      <c r="U479" s="97">
        <f t="shared" si="589"/>
        <v>3.9199999999999999E-2</v>
      </c>
      <c r="V479" s="421">
        <f t="shared" si="538"/>
        <v>544.44444444444446</v>
      </c>
      <c r="W479" s="304">
        <f t="shared" si="539"/>
        <v>58255.555555555628</v>
      </c>
      <c r="X479" s="307">
        <f t="shared" si="540"/>
        <v>106.94444444444446</v>
      </c>
      <c r="Z479" s="11" t="s">
        <v>192</v>
      </c>
      <c r="AA479" s="306">
        <f t="shared" ref="AA479:AB479" si="590">AA478</f>
        <v>10000000</v>
      </c>
      <c r="AB479" s="97">
        <f t="shared" si="590"/>
        <v>3.7499999999999999E-2</v>
      </c>
      <c r="AC479" s="421">
        <f t="shared" si="542"/>
        <v>1041.6666666666667</v>
      </c>
      <c r="AD479" s="304">
        <f t="shared" si="543"/>
        <v>111458.33333333349</v>
      </c>
      <c r="AE479" s="307">
        <f t="shared" si="544"/>
        <v>166.66666666666674</v>
      </c>
      <c r="AG479" s="11" t="s">
        <v>192</v>
      </c>
      <c r="AH479" s="306">
        <f t="shared" ref="AH479:AI479" si="591">AH478</f>
        <v>6000000</v>
      </c>
      <c r="AI479" s="97">
        <f t="shared" si="591"/>
        <v>3.73E-2</v>
      </c>
      <c r="AJ479" s="421">
        <f t="shared" si="546"/>
        <v>621.66666666666663</v>
      </c>
      <c r="AK479" s="304">
        <f t="shared" si="547"/>
        <v>1243.3333333333333</v>
      </c>
      <c r="AL479" s="307">
        <f t="shared" si="548"/>
        <v>96.666666666666629</v>
      </c>
      <c r="AN479" s="304">
        <f>'codeis $'!AB479</f>
        <v>0</v>
      </c>
      <c r="AO479" s="340">
        <f>'codeis $'!AH479</f>
        <v>0</v>
      </c>
      <c r="AP479" s="304">
        <f>'codeis $'!AE479</f>
        <v>0</v>
      </c>
      <c r="AQ479" s="304">
        <f>'codeis $'!AK479</f>
        <v>0</v>
      </c>
      <c r="AR479" s="9"/>
      <c r="AS479" s="9"/>
      <c r="AT479" s="123"/>
      <c r="AU479" s="123"/>
      <c r="AV479" s="123"/>
      <c r="AW479" s="123"/>
      <c r="AX479" s="123"/>
      <c r="AY479" s="123"/>
      <c r="AZ479" s="123"/>
      <c r="BA479" s="123"/>
      <c r="BC479" s="124">
        <f>'MM $'!G479</f>
        <v>0</v>
      </c>
      <c r="BD479" s="139">
        <f>'MM $'!H479</f>
        <v>0</v>
      </c>
      <c r="BE479" s="431">
        <f>'MM $'!I479</f>
        <v>0</v>
      </c>
      <c r="BF479" s="124">
        <f>'MM $'!L479</f>
        <v>0</v>
      </c>
      <c r="BH479" s="124">
        <f>'MM $'!N479</f>
        <v>0</v>
      </c>
      <c r="BI479" s="139">
        <f>'MM $'!P479</f>
        <v>0</v>
      </c>
      <c r="BJ479" s="431">
        <f>'MM $'!Q479</f>
        <v>0</v>
      </c>
      <c r="BK479" s="124">
        <f>'MM $'!U479</f>
        <v>0</v>
      </c>
      <c r="BM479" s="124">
        <f>'MM $'!W479</f>
        <v>0</v>
      </c>
      <c r="BN479" s="139">
        <f>'MM $'!X479</f>
        <v>0</v>
      </c>
      <c r="BO479" s="431">
        <f>'MM $'!Y479</f>
        <v>0</v>
      </c>
      <c r="BP479" s="124">
        <f>'MM $'!AB479</f>
        <v>0</v>
      </c>
      <c r="BR479" s="124">
        <f>'MM $'!AD479</f>
        <v>0</v>
      </c>
      <c r="BS479" s="139">
        <f>'MM $'!AE479</f>
        <v>0</v>
      </c>
      <c r="BT479" s="431">
        <f>'MM $'!AF479</f>
        <v>0</v>
      </c>
      <c r="BU479" s="124">
        <f>'MM $'!AB479</f>
        <v>0</v>
      </c>
      <c r="BV479" s="439"/>
      <c r="BW479" s="120">
        <f t="shared" si="549"/>
        <v>22450000</v>
      </c>
      <c r="BX479" s="121">
        <f t="shared" si="404"/>
        <v>3.5000000000000003E-2</v>
      </c>
      <c r="BY479" s="121">
        <f t="shared" si="409"/>
        <v>3.7437639198218263E-2</v>
      </c>
      <c r="BZ479" s="120">
        <f t="shared" si="550"/>
        <v>2334.6527777777778</v>
      </c>
      <c r="CA479" s="120">
        <f t="shared" si="551"/>
        <v>370.27777777777783</v>
      </c>
    </row>
    <row r="480" spans="2:79" x14ac:dyDescent="0.25">
      <c r="B480" s="123" t="str">
        <f t="shared" si="531"/>
        <v>4 2026</v>
      </c>
      <c r="C480" s="122">
        <f t="shared" si="532"/>
        <v>46129</v>
      </c>
      <c r="D480" s="122">
        <f t="shared" si="410"/>
        <v>46130</v>
      </c>
      <c r="E480" s="123">
        <f t="shared" si="533"/>
        <v>1</v>
      </c>
      <c r="F480" s="123" t="s">
        <v>7</v>
      </c>
      <c r="G480" s="124">
        <f t="shared" ref="G480:H480" si="592">G479</f>
        <v>1450000</v>
      </c>
      <c r="H480" s="125">
        <f t="shared" si="592"/>
        <v>3.15E-2</v>
      </c>
      <c r="I480" s="124">
        <f t="shared" si="535"/>
        <v>126.875</v>
      </c>
      <c r="J480" s="124">
        <f t="shared" si="536"/>
        <v>12293.75</v>
      </c>
      <c r="K480" s="9"/>
      <c r="L480" s="11"/>
      <c r="M480" s="306"/>
      <c r="N480" s="97"/>
      <c r="O480" s="421"/>
      <c r="P480" s="304"/>
      <c r="Q480" s="307"/>
      <c r="S480" s="11" t="s">
        <v>192</v>
      </c>
      <c r="T480" s="306">
        <f t="shared" ref="T480:U480" si="593">T479</f>
        <v>5000000</v>
      </c>
      <c r="U480" s="97">
        <f t="shared" si="593"/>
        <v>3.9199999999999999E-2</v>
      </c>
      <c r="V480" s="421">
        <f t="shared" si="538"/>
        <v>544.44444444444446</v>
      </c>
      <c r="W480" s="304">
        <f t="shared" si="539"/>
        <v>58800.000000000073</v>
      </c>
      <c r="X480" s="307">
        <f t="shared" si="540"/>
        <v>106.94444444444446</v>
      </c>
      <c r="Z480" s="11" t="s">
        <v>192</v>
      </c>
      <c r="AA480" s="306">
        <f t="shared" ref="AA480:AB480" si="594">AA479</f>
        <v>10000000</v>
      </c>
      <c r="AB480" s="97">
        <f t="shared" si="594"/>
        <v>3.7499999999999999E-2</v>
      </c>
      <c r="AC480" s="421">
        <f t="shared" si="542"/>
        <v>1041.6666666666667</v>
      </c>
      <c r="AD480" s="304">
        <f t="shared" si="543"/>
        <v>112500.00000000016</v>
      </c>
      <c r="AE480" s="307">
        <f t="shared" si="544"/>
        <v>166.66666666666674</v>
      </c>
      <c r="AG480" s="11" t="s">
        <v>192</v>
      </c>
      <c r="AH480" s="306">
        <f t="shared" ref="AH480:AI480" si="595">AH479</f>
        <v>6000000</v>
      </c>
      <c r="AI480" s="97">
        <f t="shared" si="595"/>
        <v>3.73E-2</v>
      </c>
      <c r="AJ480" s="421">
        <f t="shared" si="546"/>
        <v>621.66666666666663</v>
      </c>
      <c r="AK480" s="304">
        <f t="shared" si="547"/>
        <v>1243.3333333333333</v>
      </c>
      <c r="AL480" s="307">
        <f t="shared" si="548"/>
        <v>96.666666666666629</v>
      </c>
      <c r="AN480" s="304">
        <f>'codeis $'!AB480</f>
        <v>0</v>
      </c>
      <c r="AO480" s="340">
        <f>'codeis $'!AH480</f>
        <v>0</v>
      </c>
      <c r="AP480" s="304">
        <f>'codeis $'!AE480</f>
        <v>0</v>
      </c>
      <c r="AQ480" s="304">
        <f>'codeis $'!AK480</f>
        <v>0</v>
      </c>
      <c r="AR480" s="9"/>
      <c r="AS480" s="9"/>
      <c r="AT480" s="123"/>
      <c r="AU480" s="123"/>
      <c r="AV480" s="123"/>
      <c r="AW480" s="123"/>
      <c r="AX480" s="123"/>
      <c r="AY480" s="123"/>
      <c r="AZ480" s="123"/>
      <c r="BA480" s="123"/>
      <c r="BC480" s="124">
        <f>'MM $'!G480</f>
        <v>0</v>
      </c>
      <c r="BD480" s="139">
        <f>'MM $'!H480</f>
        <v>0</v>
      </c>
      <c r="BE480" s="431">
        <f>'MM $'!I480</f>
        <v>0</v>
      </c>
      <c r="BF480" s="124">
        <f>'MM $'!L480</f>
        <v>0</v>
      </c>
      <c r="BH480" s="124">
        <f>'MM $'!N480</f>
        <v>0</v>
      </c>
      <c r="BI480" s="139">
        <f>'MM $'!P480</f>
        <v>0</v>
      </c>
      <c r="BJ480" s="431">
        <f>'MM $'!Q480</f>
        <v>0</v>
      </c>
      <c r="BK480" s="124">
        <f>'MM $'!U480</f>
        <v>0</v>
      </c>
      <c r="BM480" s="124">
        <f>'MM $'!W480</f>
        <v>0</v>
      </c>
      <c r="BN480" s="139">
        <f>'MM $'!X480</f>
        <v>0</v>
      </c>
      <c r="BO480" s="431">
        <f>'MM $'!Y480</f>
        <v>0</v>
      </c>
      <c r="BP480" s="124">
        <f>'MM $'!AB480</f>
        <v>0</v>
      </c>
      <c r="BR480" s="124">
        <f>'MM $'!AD480</f>
        <v>0</v>
      </c>
      <c r="BS480" s="139">
        <f>'MM $'!AE480</f>
        <v>0</v>
      </c>
      <c r="BT480" s="431">
        <f>'MM $'!AF480</f>
        <v>0</v>
      </c>
      <c r="BU480" s="124">
        <f>'MM $'!AB480</f>
        <v>0</v>
      </c>
      <c r="BV480" s="439"/>
      <c r="BW480" s="120">
        <f t="shared" si="549"/>
        <v>22450000</v>
      </c>
      <c r="BX480" s="121">
        <f t="shared" si="404"/>
        <v>3.5000000000000003E-2</v>
      </c>
      <c r="BY480" s="121">
        <f t="shared" si="409"/>
        <v>3.7437639198218263E-2</v>
      </c>
      <c r="BZ480" s="120">
        <f t="shared" si="550"/>
        <v>2334.6527777777778</v>
      </c>
      <c r="CA480" s="120">
        <f t="shared" si="551"/>
        <v>370.27777777777783</v>
      </c>
    </row>
    <row r="481" spans="2:79" x14ac:dyDescent="0.25">
      <c r="B481" s="123" t="str">
        <f t="shared" si="531"/>
        <v>4 2026</v>
      </c>
      <c r="C481" s="122">
        <f t="shared" si="532"/>
        <v>46130</v>
      </c>
      <c r="D481" s="122">
        <f t="shared" si="410"/>
        <v>46131</v>
      </c>
      <c r="E481" s="123">
        <f t="shared" si="533"/>
        <v>1</v>
      </c>
      <c r="F481" s="123" t="s">
        <v>7</v>
      </c>
      <c r="G481" s="124">
        <f t="shared" ref="G481:H481" si="596">G480</f>
        <v>1450000</v>
      </c>
      <c r="H481" s="125">
        <f t="shared" si="596"/>
        <v>3.15E-2</v>
      </c>
      <c r="I481" s="124">
        <f t="shared" si="535"/>
        <v>126.875</v>
      </c>
      <c r="J481" s="124">
        <f t="shared" si="536"/>
        <v>12420.625</v>
      </c>
      <c r="K481" s="9"/>
      <c r="L481" s="11"/>
      <c r="M481" s="306"/>
      <c r="N481" s="97"/>
      <c r="O481" s="421"/>
      <c r="P481" s="304"/>
      <c r="Q481" s="307"/>
      <c r="S481" s="11" t="s">
        <v>192</v>
      </c>
      <c r="T481" s="306">
        <f t="shared" ref="T481:U481" si="597">T480</f>
        <v>5000000</v>
      </c>
      <c r="U481" s="97">
        <f t="shared" si="597"/>
        <v>3.9199999999999999E-2</v>
      </c>
      <c r="V481" s="421">
        <f t="shared" si="538"/>
        <v>544.44444444444446</v>
      </c>
      <c r="W481" s="304">
        <f t="shared" si="539"/>
        <v>59344.444444444518</v>
      </c>
      <c r="X481" s="307">
        <f t="shared" si="540"/>
        <v>106.94444444444446</v>
      </c>
      <c r="Z481" s="11" t="s">
        <v>192</v>
      </c>
      <c r="AA481" s="306">
        <f t="shared" ref="AA481:AB481" si="598">AA480</f>
        <v>10000000</v>
      </c>
      <c r="AB481" s="97">
        <f t="shared" si="598"/>
        <v>3.7499999999999999E-2</v>
      </c>
      <c r="AC481" s="421">
        <f t="shared" si="542"/>
        <v>1041.6666666666667</v>
      </c>
      <c r="AD481" s="304">
        <f t="shared" si="543"/>
        <v>113541.66666666683</v>
      </c>
      <c r="AE481" s="307">
        <f t="shared" si="544"/>
        <v>166.66666666666674</v>
      </c>
      <c r="AG481" s="11" t="s">
        <v>192</v>
      </c>
      <c r="AH481" s="306">
        <f t="shared" ref="AH481:AI481" si="599">AH480</f>
        <v>6000000</v>
      </c>
      <c r="AI481" s="97">
        <f t="shared" si="599"/>
        <v>3.73E-2</v>
      </c>
      <c r="AJ481" s="421">
        <f t="shared" si="546"/>
        <v>621.66666666666663</v>
      </c>
      <c r="AK481" s="304">
        <f t="shared" si="547"/>
        <v>1243.3333333333333</v>
      </c>
      <c r="AL481" s="307">
        <f t="shared" si="548"/>
        <v>96.666666666666629</v>
      </c>
      <c r="AN481" s="304">
        <f>'codeis $'!AB481</f>
        <v>0</v>
      </c>
      <c r="AO481" s="340">
        <f>'codeis $'!AH481</f>
        <v>0</v>
      </c>
      <c r="AP481" s="304">
        <f>'codeis $'!AE481</f>
        <v>0</v>
      </c>
      <c r="AQ481" s="304">
        <f>'codeis $'!AK481</f>
        <v>0</v>
      </c>
      <c r="AR481" s="9"/>
      <c r="AS481" s="9"/>
      <c r="AT481" s="123"/>
      <c r="AU481" s="123"/>
      <c r="AV481" s="123"/>
      <c r="AW481" s="123"/>
      <c r="AX481" s="123"/>
      <c r="AY481" s="123"/>
      <c r="AZ481" s="123"/>
      <c r="BA481" s="123"/>
      <c r="BC481" s="124">
        <f>'MM $'!G481</f>
        <v>0</v>
      </c>
      <c r="BD481" s="139">
        <f>'MM $'!H481</f>
        <v>0</v>
      </c>
      <c r="BE481" s="431">
        <f>'MM $'!I481</f>
        <v>0</v>
      </c>
      <c r="BF481" s="124">
        <f>'MM $'!L481</f>
        <v>0</v>
      </c>
      <c r="BH481" s="124">
        <f>'MM $'!N481</f>
        <v>0</v>
      </c>
      <c r="BI481" s="139">
        <f>'MM $'!P481</f>
        <v>0</v>
      </c>
      <c r="BJ481" s="431">
        <f>'MM $'!Q481</f>
        <v>0</v>
      </c>
      <c r="BK481" s="124">
        <f>'MM $'!U481</f>
        <v>0</v>
      </c>
      <c r="BM481" s="124">
        <f>'MM $'!W481</f>
        <v>0</v>
      </c>
      <c r="BN481" s="139">
        <f>'MM $'!X481</f>
        <v>0</v>
      </c>
      <c r="BO481" s="431">
        <f>'MM $'!Y481</f>
        <v>0</v>
      </c>
      <c r="BP481" s="124">
        <f>'MM $'!AB481</f>
        <v>0</v>
      </c>
      <c r="BR481" s="124">
        <f>'MM $'!AD481</f>
        <v>0</v>
      </c>
      <c r="BS481" s="139">
        <f>'MM $'!AE481</f>
        <v>0</v>
      </c>
      <c r="BT481" s="431">
        <f>'MM $'!AF481</f>
        <v>0</v>
      </c>
      <c r="BU481" s="124">
        <f>'MM $'!AB481</f>
        <v>0</v>
      </c>
      <c r="BV481" s="439"/>
      <c r="BW481" s="120">
        <f t="shared" si="549"/>
        <v>22450000</v>
      </c>
      <c r="BX481" s="121">
        <f t="shared" si="404"/>
        <v>3.5000000000000003E-2</v>
      </c>
      <c r="BY481" s="121">
        <f t="shared" si="409"/>
        <v>3.7437639198218263E-2</v>
      </c>
      <c r="BZ481" s="120">
        <f t="shared" si="550"/>
        <v>2334.6527777777778</v>
      </c>
      <c r="CA481" s="120">
        <f t="shared" si="551"/>
        <v>370.27777777777783</v>
      </c>
    </row>
    <row r="482" spans="2:79" x14ac:dyDescent="0.25">
      <c r="B482" s="123" t="str">
        <f t="shared" si="531"/>
        <v>4 2026</v>
      </c>
      <c r="C482" s="122">
        <f t="shared" si="532"/>
        <v>46131</v>
      </c>
      <c r="D482" s="122">
        <f t="shared" si="410"/>
        <v>46132</v>
      </c>
      <c r="E482" s="123">
        <f t="shared" si="533"/>
        <v>1</v>
      </c>
      <c r="F482" s="123" t="s">
        <v>7</v>
      </c>
      <c r="G482" s="124">
        <f t="shared" ref="G482:H482" si="600">G481</f>
        <v>1450000</v>
      </c>
      <c r="H482" s="125">
        <f t="shared" si="600"/>
        <v>3.15E-2</v>
      </c>
      <c r="I482" s="124">
        <f t="shared" si="535"/>
        <v>126.875</v>
      </c>
      <c r="J482" s="124">
        <f t="shared" si="536"/>
        <v>12547.5</v>
      </c>
      <c r="K482" s="9"/>
      <c r="L482" s="11"/>
      <c r="M482" s="306"/>
      <c r="N482" s="97"/>
      <c r="O482" s="421"/>
      <c r="P482" s="304"/>
      <c r="Q482" s="307"/>
      <c r="S482" s="11" t="s">
        <v>192</v>
      </c>
      <c r="T482" s="306">
        <f t="shared" ref="T482:U482" si="601">T481</f>
        <v>5000000</v>
      </c>
      <c r="U482" s="97">
        <f t="shared" si="601"/>
        <v>3.9199999999999999E-2</v>
      </c>
      <c r="V482" s="421">
        <f t="shared" si="538"/>
        <v>544.44444444444446</v>
      </c>
      <c r="W482" s="304">
        <f t="shared" si="539"/>
        <v>59888.888888888963</v>
      </c>
      <c r="X482" s="307">
        <f t="shared" si="540"/>
        <v>106.94444444444446</v>
      </c>
      <c r="Z482" s="11" t="s">
        <v>192</v>
      </c>
      <c r="AA482" s="306">
        <f t="shared" ref="AA482:AB482" si="602">AA481</f>
        <v>10000000</v>
      </c>
      <c r="AB482" s="97">
        <f t="shared" si="602"/>
        <v>3.7499999999999999E-2</v>
      </c>
      <c r="AC482" s="421">
        <f t="shared" si="542"/>
        <v>1041.6666666666667</v>
      </c>
      <c r="AD482" s="304">
        <f t="shared" si="543"/>
        <v>114583.3333333335</v>
      </c>
      <c r="AE482" s="307">
        <f t="shared" si="544"/>
        <v>166.66666666666674</v>
      </c>
      <c r="AG482" s="11" t="s">
        <v>192</v>
      </c>
      <c r="AH482" s="306">
        <f t="shared" ref="AH482:AI482" si="603">AH481</f>
        <v>6000000</v>
      </c>
      <c r="AI482" s="97">
        <f t="shared" si="603"/>
        <v>3.73E-2</v>
      </c>
      <c r="AJ482" s="421">
        <f t="shared" si="546"/>
        <v>621.66666666666663</v>
      </c>
      <c r="AK482" s="304">
        <f t="shared" si="547"/>
        <v>1243.3333333333333</v>
      </c>
      <c r="AL482" s="307">
        <f t="shared" si="548"/>
        <v>96.666666666666629</v>
      </c>
      <c r="AN482" s="304">
        <f>'codeis $'!AB482</f>
        <v>0</v>
      </c>
      <c r="AO482" s="340">
        <f>'codeis $'!AH482</f>
        <v>0</v>
      </c>
      <c r="AP482" s="304">
        <f>'codeis $'!AE482</f>
        <v>0</v>
      </c>
      <c r="AQ482" s="304">
        <f>'codeis $'!AK482</f>
        <v>0</v>
      </c>
      <c r="AR482" s="9"/>
      <c r="AS482" s="9"/>
      <c r="AT482" s="123"/>
      <c r="AU482" s="123"/>
      <c r="AV482" s="123"/>
      <c r="AW482" s="123"/>
      <c r="AX482" s="123"/>
      <c r="AY482" s="123"/>
      <c r="AZ482" s="123"/>
      <c r="BA482" s="123"/>
      <c r="BC482" s="124">
        <f>'MM $'!G482</f>
        <v>0</v>
      </c>
      <c r="BD482" s="139">
        <f>'MM $'!H482</f>
        <v>0</v>
      </c>
      <c r="BE482" s="431">
        <f>'MM $'!I482</f>
        <v>0</v>
      </c>
      <c r="BF482" s="124">
        <f>'MM $'!L482</f>
        <v>0</v>
      </c>
      <c r="BH482" s="124">
        <f>'MM $'!N482</f>
        <v>0</v>
      </c>
      <c r="BI482" s="139">
        <f>'MM $'!P482</f>
        <v>0</v>
      </c>
      <c r="BJ482" s="431">
        <f>'MM $'!Q482</f>
        <v>0</v>
      </c>
      <c r="BK482" s="124">
        <f>'MM $'!U482</f>
        <v>0</v>
      </c>
      <c r="BM482" s="124">
        <f>'MM $'!W482</f>
        <v>0</v>
      </c>
      <c r="BN482" s="139">
        <f>'MM $'!X482</f>
        <v>0</v>
      </c>
      <c r="BO482" s="431">
        <f>'MM $'!Y482</f>
        <v>0</v>
      </c>
      <c r="BP482" s="124">
        <f>'MM $'!AB482</f>
        <v>0</v>
      </c>
      <c r="BR482" s="124">
        <f>'MM $'!AD482</f>
        <v>0</v>
      </c>
      <c r="BS482" s="139">
        <f>'MM $'!AE482</f>
        <v>0</v>
      </c>
      <c r="BT482" s="431">
        <f>'MM $'!AF482</f>
        <v>0</v>
      </c>
      <c r="BU482" s="124">
        <f>'MM $'!AB482</f>
        <v>0</v>
      </c>
      <c r="BV482" s="439"/>
      <c r="BW482" s="120">
        <f t="shared" si="549"/>
        <v>22450000</v>
      </c>
      <c r="BX482" s="121">
        <f t="shared" si="404"/>
        <v>3.5000000000000003E-2</v>
      </c>
      <c r="BY482" s="121">
        <f t="shared" si="409"/>
        <v>3.7437639198218263E-2</v>
      </c>
      <c r="BZ482" s="120">
        <f t="shared" si="550"/>
        <v>2334.6527777777778</v>
      </c>
      <c r="CA482" s="120">
        <f t="shared" si="551"/>
        <v>370.27777777777783</v>
      </c>
    </row>
    <row r="483" spans="2:79" x14ac:dyDescent="0.25">
      <c r="B483" s="123" t="str">
        <f t="shared" si="531"/>
        <v>4 2026</v>
      </c>
      <c r="C483" s="122">
        <f t="shared" si="532"/>
        <v>46132</v>
      </c>
      <c r="D483" s="122">
        <f t="shared" si="410"/>
        <v>46133</v>
      </c>
      <c r="E483" s="123">
        <f t="shared" si="533"/>
        <v>1</v>
      </c>
      <c r="F483" s="123" t="s">
        <v>7</v>
      </c>
      <c r="G483" s="124">
        <f t="shared" ref="G483:H483" si="604">G482</f>
        <v>1450000</v>
      </c>
      <c r="H483" s="125">
        <f t="shared" si="604"/>
        <v>3.15E-2</v>
      </c>
      <c r="I483" s="124">
        <f t="shared" si="535"/>
        <v>126.875</v>
      </c>
      <c r="J483" s="124">
        <f t="shared" si="536"/>
        <v>12674.375</v>
      </c>
      <c r="K483" s="9"/>
      <c r="L483" s="11"/>
      <c r="M483" s="306"/>
      <c r="N483" s="97"/>
      <c r="O483" s="421"/>
      <c r="P483" s="304"/>
      <c r="Q483" s="307"/>
      <c r="S483" s="11" t="s">
        <v>192</v>
      </c>
      <c r="T483" s="306">
        <f t="shared" ref="T483:U483" si="605">T482</f>
        <v>5000000</v>
      </c>
      <c r="U483" s="97">
        <f t="shared" si="605"/>
        <v>3.9199999999999999E-2</v>
      </c>
      <c r="V483" s="421">
        <f t="shared" si="538"/>
        <v>544.44444444444446</v>
      </c>
      <c r="W483" s="304">
        <f t="shared" si="539"/>
        <v>60433.333333333409</v>
      </c>
      <c r="X483" s="307">
        <f t="shared" si="540"/>
        <v>106.94444444444446</v>
      </c>
      <c r="Z483" s="11" t="s">
        <v>192</v>
      </c>
      <c r="AA483" s="306">
        <f t="shared" ref="AA483:AB483" si="606">AA482</f>
        <v>10000000</v>
      </c>
      <c r="AB483" s="97">
        <f t="shared" si="606"/>
        <v>3.7499999999999999E-2</v>
      </c>
      <c r="AC483" s="421">
        <f t="shared" si="542"/>
        <v>1041.6666666666667</v>
      </c>
      <c r="AD483" s="304">
        <f t="shared" si="543"/>
        <v>115625.00000000017</v>
      </c>
      <c r="AE483" s="307">
        <f t="shared" si="544"/>
        <v>166.66666666666674</v>
      </c>
      <c r="AG483" s="11" t="s">
        <v>192</v>
      </c>
      <c r="AH483" s="306">
        <f t="shared" ref="AH483:AI483" si="607">AH482</f>
        <v>6000000</v>
      </c>
      <c r="AI483" s="97">
        <f t="shared" si="607"/>
        <v>3.73E-2</v>
      </c>
      <c r="AJ483" s="421">
        <f t="shared" si="546"/>
        <v>621.66666666666663</v>
      </c>
      <c r="AK483" s="304">
        <f t="shared" si="547"/>
        <v>1243.3333333333333</v>
      </c>
      <c r="AL483" s="307">
        <f t="shared" si="548"/>
        <v>96.666666666666629</v>
      </c>
      <c r="AN483" s="304">
        <f>'codeis $'!AB483</f>
        <v>0</v>
      </c>
      <c r="AO483" s="340">
        <f>'codeis $'!AH483</f>
        <v>0</v>
      </c>
      <c r="AP483" s="304">
        <f>'codeis $'!AE483</f>
        <v>0</v>
      </c>
      <c r="AQ483" s="304">
        <f>'codeis $'!AK483</f>
        <v>0</v>
      </c>
      <c r="AR483" s="9"/>
      <c r="AS483" s="9"/>
      <c r="AT483" s="123"/>
      <c r="AU483" s="123"/>
      <c r="AV483" s="123"/>
      <c r="AW483" s="123"/>
      <c r="AX483" s="123"/>
      <c r="AY483" s="123"/>
      <c r="AZ483" s="123"/>
      <c r="BA483" s="123"/>
      <c r="BC483" s="124">
        <f>'MM $'!G483</f>
        <v>0</v>
      </c>
      <c r="BD483" s="139">
        <f>'MM $'!H483</f>
        <v>0</v>
      </c>
      <c r="BE483" s="431">
        <f>'MM $'!I483</f>
        <v>0</v>
      </c>
      <c r="BF483" s="124">
        <f>'MM $'!L483</f>
        <v>0</v>
      </c>
      <c r="BH483" s="124">
        <f>'MM $'!N483</f>
        <v>0</v>
      </c>
      <c r="BI483" s="139">
        <f>'MM $'!P483</f>
        <v>0</v>
      </c>
      <c r="BJ483" s="431">
        <f>'MM $'!Q483</f>
        <v>0</v>
      </c>
      <c r="BK483" s="124">
        <f>'MM $'!U483</f>
        <v>0</v>
      </c>
      <c r="BM483" s="124">
        <f>'MM $'!W483</f>
        <v>0</v>
      </c>
      <c r="BN483" s="139">
        <f>'MM $'!X483</f>
        <v>0</v>
      </c>
      <c r="BO483" s="431">
        <f>'MM $'!Y483</f>
        <v>0</v>
      </c>
      <c r="BP483" s="124">
        <f>'MM $'!AB483</f>
        <v>0</v>
      </c>
      <c r="BR483" s="124">
        <f>'MM $'!AD483</f>
        <v>0</v>
      </c>
      <c r="BS483" s="139">
        <f>'MM $'!AE483</f>
        <v>0</v>
      </c>
      <c r="BT483" s="431">
        <f>'MM $'!AF483</f>
        <v>0</v>
      </c>
      <c r="BU483" s="124">
        <f>'MM $'!AB483</f>
        <v>0</v>
      </c>
      <c r="BV483" s="439"/>
      <c r="BW483" s="120">
        <f t="shared" si="549"/>
        <v>22450000</v>
      </c>
      <c r="BX483" s="121">
        <f t="shared" si="404"/>
        <v>3.5000000000000003E-2</v>
      </c>
      <c r="BY483" s="121">
        <f t="shared" si="409"/>
        <v>3.7437639198218263E-2</v>
      </c>
      <c r="BZ483" s="120">
        <f t="shared" si="550"/>
        <v>2334.6527777777778</v>
      </c>
      <c r="CA483" s="120">
        <f t="shared" si="551"/>
        <v>370.27777777777783</v>
      </c>
    </row>
    <row r="484" spans="2:79" x14ac:dyDescent="0.25">
      <c r="B484" s="123" t="str">
        <f t="shared" si="531"/>
        <v>4 2026</v>
      </c>
      <c r="C484" s="122">
        <f t="shared" si="532"/>
        <v>46133</v>
      </c>
      <c r="D484" s="122">
        <f t="shared" si="410"/>
        <v>46134</v>
      </c>
      <c r="E484" s="123">
        <f t="shared" si="533"/>
        <v>1</v>
      </c>
      <c r="F484" s="123" t="s">
        <v>7</v>
      </c>
      <c r="G484" s="124">
        <f t="shared" ref="G484:H484" si="608">G483</f>
        <v>1450000</v>
      </c>
      <c r="H484" s="125">
        <f t="shared" si="608"/>
        <v>3.15E-2</v>
      </c>
      <c r="I484" s="124">
        <f t="shared" si="535"/>
        <v>126.875</v>
      </c>
      <c r="J484" s="124">
        <f t="shared" si="536"/>
        <v>12801.25</v>
      </c>
      <c r="K484" s="9"/>
      <c r="L484" s="11"/>
      <c r="M484" s="306"/>
      <c r="N484" s="97"/>
      <c r="O484" s="421"/>
      <c r="P484" s="304"/>
      <c r="Q484" s="307"/>
      <c r="S484" s="11" t="s">
        <v>192</v>
      </c>
      <c r="T484" s="306">
        <f t="shared" ref="T484:U484" si="609">T483</f>
        <v>5000000</v>
      </c>
      <c r="U484" s="97">
        <f t="shared" si="609"/>
        <v>3.9199999999999999E-2</v>
      </c>
      <c r="V484" s="421">
        <f t="shared" si="538"/>
        <v>544.44444444444446</v>
      </c>
      <c r="W484" s="304">
        <f t="shared" si="539"/>
        <v>60977.777777777854</v>
      </c>
      <c r="X484" s="307">
        <f t="shared" si="540"/>
        <v>106.94444444444446</v>
      </c>
      <c r="Z484" s="11" t="s">
        <v>192</v>
      </c>
      <c r="AA484" s="306">
        <f t="shared" ref="AA484:AB484" si="610">AA483</f>
        <v>10000000</v>
      </c>
      <c r="AB484" s="97">
        <f t="shared" si="610"/>
        <v>3.7499999999999999E-2</v>
      </c>
      <c r="AC484" s="421">
        <f t="shared" si="542"/>
        <v>1041.6666666666667</v>
      </c>
      <c r="AD484" s="304">
        <f t="shared" si="543"/>
        <v>116666.66666666685</v>
      </c>
      <c r="AE484" s="307">
        <f t="shared" si="544"/>
        <v>166.66666666666674</v>
      </c>
      <c r="AG484" s="11" t="s">
        <v>192</v>
      </c>
      <c r="AH484" s="306">
        <f t="shared" ref="AH484:AI484" si="611">AH483</f>
        <v>6000000</v>
      </c>
      <c r="AI484" s="97">
        <f t="shared" si="611"/>
        <v>3.73E-2</v>
      </c>
      <c r="AJ484" s="421">
        <f t="shared" si="546"/>
        <v>621.66666666666663</v>
      </c>
      <c r="AK484" s="304">
        <f t="shared" si="547"/>
        <v>1243.3333333333333</v>
      </c>
      <c r="AL484" s="307">
        <f t="shared" si="548"/>
        <v>96.666666666666629</v>
      </c>
      <c r="AN484" s="304">
        <f>'codeis $'!AB484</f>
        <v>0</v>
      </c>
      <c r="AO484" s="340">
        <f>'codeis $'!AH484</f>
        <v>0</v>
      </c>
      <c r="AP484" s="304">
        <f>'codeis $'!AE484</f>
        <v>0</v>
      </c>
      <c r="AQ484" s="304">
        <f>'codeis $'!AK484</f>
        <v>0</v>
      </c>
      <c r="AR484" s="9"/>
      <c r="AS484" s="9"/>
      <c r="AT484" s="123"/>
      <c r="AU484" s="123"/>
      <c r="AV484" s="123"/>
      <c r="AW484" s="123"/>
      <c r="AX484" s="123"/>
      <c r="AY484" s="123"/>
      <c r="AZ484" s="123"/>
      <c r="BA484" s="123"/>
      <c r="BC484" s="124">
        <f>'MM $'!G484</f>
        <v>0</v>
      </c>
      <c r="BD484" s="139">
        <f>'MM $'!H484</f>
        <v>0</v>
      </c>
      <c r="BE484" s="431">
        <f>'MM $'!I484</f>
        <v>0</v>
      </c>
      <c r="BF484" s="124">
        <f>'MM $'!L484</f>
        <v>0</v>
      </c>
      <c r="BH484" s="124">
        <f>'MM $'!N484</f>
        <v>0</v>
      </c>
      <c r="BI484" s="139">
        <f>'MM $'!P484</f>
        <v>0</v>
      </c>
      <c r="BJ484" s="431">
        <f>'MM $'!Q484</f>
        <v>0</v>
      </c>
      <c r="BK484" s="124">
        <f>'MM $'!U484</f>
        <v>0</v>
      </c>
      <c r="BM484" s="124">
        <f>'MM $'!W484</f>
        <v>0</v>
      </c>
      <c r="BN484" s="139">
        <f>'MM $'!X484</f>
        <v>0</v>
      </c>
      <c r="BO484" s="431">
        <f>'MM $'!Y484</f>
        <v>0</v>
      </c>
      <c r="BP484" s="124">
        <f>'MM $'!AB484</f>
        <v>0</v>
      </c>
      <c r="BR484" s="124">
        <f>'MM $'!AD484</f>
        <v>0</v>
      </c>
      <c r="BS484" s="139">
        <f>'MM $'!AE484</f>
        <v>0</v>
      </c>
      <c r="BT484" s="431">
        <f>'MM $'!AF484</f>
        <v>0</v>
      </c>
      <c r="BU484" s="124">
        <f>'MM $'!AB484</f>
        <v>0</v>
      </c>
      <c r="BV484" s="439"/>
      <c r="BW484" s="120">
        <f t="shared" si="549"/>
        <v>22450000</v>
      </c>
      <c r="BX484" s="121">
        <f t="shared" si="404"/>
        <v>3.5000000000000003E-2</v>
      </c>
      <c r="BY484" s="121">
        <f t="shared" si="409"/>
        <v>3.7437639198218263E-2</v>
      </c>
      <c r="BZ484" s="120">
        <f t="shared" si="550"/>
        <v>2334.6527777777778</v>
      </c>
      <c r="CA484" s="120">
        <f t="shared" si="551"/>
        <v>370.27777777777783</v>
      </c>
    </row>
    <row r="485" spans="2:79" x14ac:dyDescent="0.25">
      <c r="B485" s="123" t="str">
        <f t="shared" si="531"/>
        <v>4 2026</v>
      </c>
      <c r="C485" s="122">
        <f t="shared" si="532"/>
        <v>46134</v>
      </c>
      <c r="D485" s="122">
        <f t="shared" si="410"/>
        <v>46135</v>
      </c>
      <c r="E485" s="123">
        <f t="shared" si="533"/>
        <v>1</v>
      </c>
      <c r="F485" s="123" t="s">
        <v>7</v>
      </c>
      <c r="G485" s="124">
        <f t="shared" ref="G485:H485" si="612">G484</f>
        <v>1450000</v>
      </c>
      <c r="H485" s="125">
        <f t="shared" si="612"/>
        <v>3.15E-2</v>
      </c>
      <c r="I485" s="124">
        <f t="shared" si="535"/>
        <v>126.875</v>
      </c>
      <c r="J485" s="124">
        <f t="shared" si="536"/>
        <v>12928.125</v>
      </c>
      <c r="K485" s="9"/>
      <c r="L485" s="11"/>
      <c r="M485" s="306"/>
      <c r="N485" s="97"/>
      <c r="O485" s="421"/>
      <c r="P485" s="304"/>
      <c r="Q485" s="307"/>
      <c r="S485" s="11" t="s">
        <v>192</v>
      </c>
      <c r="T485" s="306">
        <f t="shared" ref="T485:U485" si="613">T484</f>
        <v>5000000</v>
      </c>
      <c r="U485" s="97">
        <f t="shared" si="613"/>
        <v>3.9199999999999999E-2</v>
      </c>
      <c r="V485" s="421">
        <f t="shared" si="538"/>
        <v>544.44444444444446</v>
      </c>
      <c r="W485" s="304">
        <f t="shared" si="539"/>
        <v>61522.222222222299</v>
      </c>
      <c r="X485" s="307">
        <f t="shared" si="540"/>
        <v>106.94444444444446</v>
      </c>
      <c r="Z485" s="11" t="s">
        <v>192</v>
      </c>
      <c r="AA485" s="306">
        <f t="shared" ref="AA485:AB485" si="614">AA484</f>
        <v>10000000</v>
      </c>
      <c r="AB485" s="97">
        <f t="shared" si="614"/>
        <v>3.7499999999999999E-2</v>
      </c>
      <c r="AC485" s="421">
        <f t="shared" si="542"/>
        <v>1041.6666666666667</v>
      </c>
      <c r="AD485" s="304">
        <f t="shared" si="543"/>
        <v>117708.33333333352</v>
      </c>
      <c r="AE485" s="307">
        <f t="shared" si="544"/>
        <v>166.66666666666674</v>
      </c>
      <c r="AG485" s="11" t="s">
        <v>192</v>
      </c>
      <c r="AH485" s="306">
        <f t="shared" ref="AH485:AI485" si="615">AH484</f>
        <v>6000000</v>
      </c>
      <c r="AI485" s="97">
        <f t="shared" si="615"/>
        <v>3.73E-2</v>
      </c>
      <c r="AJ485" s="421">
        <f t="shared" si="546"/>
        <v>621.66666666666663</v>
      </c>
      <c r="AK485" s="304">
        <f t="shared" si="547"/>
        <v>1243.3333333333333</v>
      </c>
      <c r="AL485" s="307">
        <f t="shared" si="548"/>
        <v>96.666666666666629</v>
      </c>
      <c r="AN485" s="304">
        <f>'codeis $'!AB485</f>
        <v>0</v>
      </c>
      <c r="AO485" s="340">
        <f>'codeis $'!AH485</f>
        <v>0</v>
      </c>
      <c r="AP485" s="304">
        <f>'codeis $'!AE485</f>
        <v>0</v>
      </c>
      <c r="AQ485" s="304">
        <f>'codeis $'!AK485</f>
        <v>0</v>
      </c>
      <c r="AR485" s="9"/>
      <c r="AS485" s="9"/>
      <c r="AT485" s="123"/>
      <c r="AU485" s="123"/>
      <c r="AV485" s="123"/>
      <c r="AW485" s="123"/>
      <c r="AX485" s="123"/>
      <c r="AY485" s="123"/>
      <c r="AZ485" s="123"/>
      <c r="BA485" s="123"/>
      <c r="BC485" s="124">
        <f>'MM $'!G485</f>
        <v>0</v>
      </c>
      <c r="BD485" s="139">
        <f>'MM $'!H485</f>
        <v>0</v>
      </c>
      <c r="BE485" s="431">
        <f>'MM $'!I485</f>
        <v>0</v>
      </c>
      <c r="BF485" s="124">
        <f>'MM $'!L485</f>
        <v>0</v>
      </c>
      <c r="BH485" s="124">
        <f>'MM $'!N485</f>
        <v>0</v>
      </c>
      <c r="BI485" s="139">
        <f>'MM $'!P485</f>
        <v>0</v>
      </c>
      <c r="BJ485" s="431">
        <f>'MM $'!Q485</f>
        <v>0</v>
      </c>
      <c r="BK485" s="124">
        <f>'MM $'!U485</f>
        <v>0</v>
      </c>
      <c r="BM485" s="124">
        <f>'MM $'!W485</f>
        <v>0</v>
      </c>
      <c r="BN485" s="139">
        <f>'MM $'!X485</f>
        <v>0</v>
      </c>
      <c r="BO485" s="431">
        <f>'MM $'!Y485</f>
        <v>0</v>
      </c>
      <c r="BP485" s="124">
        <f>'MM $'!AB485</f>
        <v>0</v>
      </c>
      <c r="BR485" s="124">
        <f>'MM $'!AD485</f>
        <v>0</v>
      </c>
      <c r="BS485" s="139">
        <f>'MM $'!AE485</f>
        <v>0</v>
      </c>
      <c r="BT485" s="431">
        <f>'MM $'!AF485</f>
        <v>0</v>
      </c>
      <c r="BU485" s="124">
        <f>'MM $'!AB485</f>
        <v>0</v>
      </c>
      <c r="BV485" s="439"/>
      <c r="BW485" s="120">
        <f t="shared" si="549"/>
        <v>22450000</v>
      </c>
      <c r="BX485" s="121">
        <f t="shared" si="404"/>
        <v>3.5000000000000003E-2</v>
      </c>
      <c r="BY485" s="121">
        <f t="shared" si="409"/>
        <v>3.7437639198218263E-2</v>
      </c>
      <c r="BZ485" s="120">
        <f t="shared" si="550"/>
        <v>2334.6527777777778</v>
      </c>
      <c r="CA485" s="120">
        <f t="shared" si="551"/>
        <v>370.27777777777783</v>
      </c>
    </row>
    <row r="486" spans="2:79" x14ac:dyDescent="0.25">
      <c r="B486" s="123" t="str">
        <f t="shared" si="531"/>
        <v>4 2026</v>
      </c>
      <c r="C486" s="122">
        <f t="shared" si="532"/>
        <v>46135</v>
      </c>
      <c r="D486" s="122">
        <f t="shared" si="410"/>
        <v>46136</v>
      </c>
      <c r="E486" s="123">
        <f t="shared" si="533"/>
        <v>1</v>
      </c>
      <c r="F486" s="123" t="s">
        <v>7</v>
      </c>
      <c r="G486" s="124">
        <f t="shared" ref="G486:H486" si="616">G485</f>
        <v>1450000</v>
      </c>
      <c r="H486" s="125">
        <f t="shared" si="616"/>
        <v>3.15E-2</v>
      </c>
      <c r="I486" s="124">
        <f t="shared" si="535"/>
        <v>126.875</v>
      </c>
      <c r="J486" s="124">
        <f t="shared" si="536"/>
        <v>13055</v>
      </c>
      <c r="K486" s="9"/>
      <c r="L486" s="11"/>
      <c r="M486" s="306"/>
      <c r="N486" s="97"/>
      <c r="O486" s="421"/>
      <c r="P486" s="304"/>
      <c r="Q486" s="307"/>
      <c r="S486" s="11" t="s">
        <v>192</v>
      </c>
      <c r="T486" s="306">
        <f t="shared" ref="T486:U486" si="617">T485</f>
        <v>5000000</v>
      </c>
      <c r="U486" s="97">
        <f t="shared" si="617"/>
        <v>3.9199999999999999E-2</v>
      </c>
      <c r="V486" s="421">
        <f t="shared" si="538"/>
        <v>544.44444444444446</v>
      </c>
      <c r="W486" s="304">
        <f t="shared" si="539"/>
        <v>62066.666666666744</v>
      </c>
      <c r="X486" s="307">
        <f t="shared" si="540"/>
        <v>106.94444444444446</v>
      </c>
      <c r="Z486" s="11" t="s">
        <v>192</v>
      </c>
      <c r="AA486" s="306">
        <f t="shared" ref="AA486:AB486" si="618">AA485</f>
        <v>10000000</v>
      </c>
      <c r="AB486" s="97">
        <f t="shared" si="618"/>
        <v>3.7499999999999999E-2</v>
      </c>
      <c r="AC486" s="421">
        <f t="shared" si="542"/>
        <v>1041.6666666666667</v>
      </c>
      <c r="AD486" s="304">
        <f t="shared" si="543"/>
        <v>118750.00000000019</v>
      </c>
      <c r="AE486" s="307">
        <f t="shared" si="544"/>
        <v>166.66666666666674</v>
      </c>
      <c r="AG486" s="11" t="s">
        <v>192</v>
      </c>
      <c r="AH486" s="306">
        <f t="shared" ref="AH486:AI486" si="619">AH485</f>
        <v>6000000</v>
      </c>
      <c r="AI486" s="97">
        <f t="shared" si="619"/>
        <v>3.73E-2</v>
      </c>
      <c r="AJ486" s="421">
        <f t="shared" si="546"/>
        <v>621.66666666666663</v>
      </c>
      <c r="AK486" s="304">
        <f t="shared" si="547"/>
        <v>1243.3333333333333</v>
      </c>
      <c r="AL486" s="307">
        <f t="shared" si="548"/>
        <v>96.666666666666629</v>
      </c>
      <c r="AN486" s="304">
        <f>'codeis $'!AB486</f>
        <v>0</v>
      </c>
      <c r="AO486" s="340">
        <f>'codeis $'!AH486</f>
        <v>0</v>
      </c>
      <c r="AP486" s="304">
        <f>'codeis $'!AE486</f>
        <v>0</v>
      </c>
      <c r="AQ486" s="304">
        <f>'codeis $'!AK486</f>
        <v>0</v>
      </c>
      <c r="AR486" s="9"/>
      <c r="AS486" s="9"/>
      <c r="AT486" s="123"/>
      <c r="AU486" s="123"/>
      <c r="AV486" s="123"/>
      <c r="AW486" s="123"/>
      <c r="AX486" s="123"/>
      <c r="AY486" s="123"/>
      <c r="AZ486" s="123"/>
      <c r="BA486" s="123"/>
      <c r="BC486" s="124">
        <f>'MM $'!G486</f>
        <v>0</v>
      </c>
      <c r="BD486" s="139">
        <f>'MM $'!H486</f>
        <v>0</v>
      </c>
      <c r="BE486" s="431">
        <f>'MM $'!I486</f>
        <v>0</v>
      </c>
      <c r="BF486" s="124">
        <f>'MM $'!L486</f>
        <v>0</v>
      </c>
      <c r="BH486" s="124">
        <f>'MM $'!N486</f>
        <v>0</v>
      </c>
      <c r="BI486" s="139">
        <f>'MM $'!P486</f>
        <v>0</v>
      </c>
      <c r="BJ486" s="431">
        <f>'MM $'!Q486</f>
        <v>0</v>
      </c>
      <c r="BK486" s="124">
        <f>'MM $'!U486</f>
        <v>0</v>
      </c>
      <c r="BM486" s="124">
        <f>'MM $'!W486</f>
        <v>0</v>
      </c>
      <c r="BN486" s="139">
        <f>'MM $'!X486</f>
        <v>0</v>
      </c>
      <c r="BO486" s="431">
        <f>'MM $'!Y486</f>
        <v>0</v>
      </c>
      <c r="BP486" s="124">
        <f>'MM $'!AB486</f>
        <v>0</v>
      </c>
      <c r="BR486" s="124">
        <f>'MM $'!AD486</f>
        <v>0</v>
      </c>
      <c r="BS486" s="139">
        <f>'MM $'!AE486</f>
        <v>0</v>
      </c>
      <c r="BT486" s="431">
        <f>'MM $'!AF486</f>
        <v>0</v>
      </c>
      <c r="BU486" s="124">
        <f>'MM $'!AB486</f>
        <v>0</v>
      </c>
      <c r="BV486" s="439"/>
      <c r="BW486" s="120">
        <f t="shared" si="549"/>
        <v>22450000</v>
      </c>
      <c r="BX486" s="121">
        <f t="shared" si="404"/>
        <v>3.5000000000000003E-2</v>
      </c>
      <c r="BY486" s="121">
        <f t="shared" si="409"/>
        <v>3.7437639198218263E-2</v>
      </c>
      <c r="BZ486" s="120">
        <f t="shared" si="550"/>
        <v>2334.6527777777778</v>
      </c>
      <c r="CA486" s="120">
        <f t="shared" si="551"/>
        <v>370.27777777777783</v>
      </c>
    </row>
    <row r="487" spans="2:79" x14ac:dyDescent="0.25">
      <c r="B487" s="123" t="str">
        <f t="shared" si="531"/>
        <v>4 2026</v>
      </c>
      <c r="C487" s="122">
        <f t="shared" si="532"/>
        <v>46136</v>
      </c>
      <c r="D487" s="122">
        <f t="shared" si="410"/>
        <v>46137</v>
      </c>
      <c r="E487" s="123">
        <f t="shared" si="533"/>
        <v>1</v>
      </c>
      <c r="F487" s="123" t="s">
        <v>7</v>
      </c>
      <c r="G487" s="124">
        <f t="shared" ref="G487:H487" si="620">G486</f>
        <v>1450000</v>
      </c>
      <c r="H487" s="125">
        <f t="shared" si="620"/>
        <v>3.15E-2</v>
      </c>
      <c r="I487" s="124">
        <f t="shared" si="535"/>
        <v>126.875</v>
      </c>
      <c r="J487" s="124">
        <f t="shared" si="536"/>
        <v>13181.875</v>
      </c>
      <c r="K487" s="9"/>
      <c r="L487" s="11"/>
      <c r="M487" s="306"/>
      <c r="N487" s="97"/>
      <c r="O487" s="421"/>
      <c r="P487" s="304"/>
      <c r="Q487" s="307"/>
      <c r="S487" s="11" t="s">
        <v>192</v>
      </c>
      <c r="T487" s="306">
        <f t="shared" ref="T487:U487" si="621">T486</f>
        <v>5000000</v>
      </c>
      <c r="U487" s="97">
        <f t="shared" si="621"/>
        <v>3.9199999999999999E-2</v>
      </c>
      <c r="V487" s="421">
        <f t="shared" si="538"/>
        <v>544.44444444444446</v>
      </c>
      <c r="W487" s="304">
        <f t="shared" si="539"/>
        <v>62611.11111111119</v>
      </c>
      <c r="X487" s="307">
        <f t="shared" si="540"/>
        <v>106.94444444444446</v>
      </c>
      <c r="Z487" s="11" t="s">
        <v>192</v>
      </c>
      <c r="AA487" s="306">
        <f t="shared" ref="AA487:AB487" si="622">AA486</f>
        <v>10000000</v>
      </c>
      <c r="AB487" s="97">
        <f t="shared" si="622"/>
        <v>3.7499999999999999E-2</v>
      </c>
      <c r="AC487" s="421">
        <f t="shared" si="542"/>
        <v>1041.6666666666667</v>
      </c>
      <c r="AD487" s="304">
        <f t="shared" si="543"/>
        <v>119791.66666666686</v>
      </c>
      <c r="AE487" s="307">
        <f t="shared" si="544"/>
        <v>166.66666666666674</v>
      </c>
      <c r="AG487" s="11" t="s">
        <v>192</v>
      </c>
      <c r="AH487" s="306">
        <f t="shared" ref="AH487:AI487" si="623">AH486</f>
        <v>6000000</v>
      </c>
      <c r="AI487" s="97">
        <f t="shared" si="623"/>
        <v>3.73E-2</v>
      </c>
      <c r="AJ487" s="421">
        <f t="shared" si="546"/>
        <v>621.66666666666663</v>
      </c>
      <c r="AK487" s="304">
        <f t="shared" si="547"/>
        <v>1243.3333333333333</v>
      </c>
      <c r="AL487" s="307">
        <f t="shared" si="548"/>
        <v>96.666666666666629</v>
      </c>
      <c r="AN487" s="304">
        <f>'codeis $'!AB487</f>
        <v>0</v>
      </c>
      <c r="AO487" s="340">
        <f>'codeis $'!AH487</f>
        <v>0</v>
      </c>
      <c r="AP487" s="304">
        <f>'codeis $'!AE487</f>
        <v>0</v>
      </c>
      <c r="AQ487" s="304">
        <f>'codeis $'!AK487</f>
        <v>0</v>
      </c>
      <c r="AR487" s="9"/>
      <c r="AS487" s="9"/>
      <c r="AT487" s="123"/>
      <c r="AU487" s="123"/>
      <c r="AV487" s="123"/>
      <c r="AW487" s="123"/>
      <c r="AX487" s="123"/>
      <c r="AY487" s="123"/>
      <c r="AZ487" s="123"/>
      <c r="BA487" s="123"/>
      <c r="BC487" s="124">
        <f>'MM $'!G487</f>
        <v>0</v>
      </c>
      <c r="BD487" s="139">
        <f>'MM $'!H487</f>
        <v>0</v>
      </c>
      <c r="BE487" s="431">
        <f>'MM $'!I487</f>
        <v>0</v>
      </c>
      <c r="BF487" s="124">
        <f>'MM $'!L487</f>
        <v>0</v>
      </c>
      <c r="BH487" s="124">
        <f>'MM $'!N487</f>
        <v>0</v>
      </c>
      <c r="BI487" s="139">
        <f>'MM $'!P487</f>
        <v>0</v>
      </c>
      <c r="BJ487" s="431">
        <f>'MM $'!Q487</f>
        <v>0</v>
      </c>
      <c r="BK487" s="124">
        <f>'MM $'!U487</f>
        <v>0</v>
      </c>
      <c r="BM487" s="124">
        <f>'MM $'!W487</f>
        <v>0</v>
      </c>
      <c r="BN487" s="139">
        <f>'MM $'!X487</f>
        <v>0</v>
      </c>
      <c r="BO487" s="431">
        <f>'MM $'!Y487</f>
        <v>0</v>
      </c>
      <c r="BP487" s="124">
        <f>'MM $'!AB487</f>
        <v>0</v>
      </c>
      <c r="BR487" s="124">
        <f>'MM $'!AD487</f>
        <v>0</v>
      </c>
      <c r="BS487" s="139">
        <f>'MM $'!AE487</f>
        <v>0</v>
      </c>
      <c r="BT487" s="431">
        <f>'MM $'!AF487</f>
        <v>0</v>
      </c>
      <c r="BU487" s="124">
        <f>'MM $'!AB487</f>
        <v>0</v>
      </c>
      <c r="BV487" s="439"/>
      <c r="BW487" s="120">
        <f t="shared" si="549"/>
        <v>22450000</v>
      </c>
      <c r="BX487" s="121">
        <f t="shared" si="404"/>
        <v>3.5000000000000003E-2</v>
      </c>
      <c r="BY487" s="121">
        <f t="shared" si="409"/>
        <v>3.7437639198218263E-2</v>
      </c>
      <c r="BZ487" s="120">
        <f t="shared" si="550"/>
        <v>2334.6527777777778</v>
      </c>
      <c r="CA487" s="120">
        <f t="shared" si="551"/>
        <v>370.27777777777783</v>
      </c>
    </row>
    <row r="488" spans="2:79" x14ac:dyDescent="0.25">
      <c r="B488" s="123" t="str">
        <f t="shared" si="531"/>
        <v>4 2026</v>
      </c>
      <c r="C488" s="122">
        <f t="shared" si="532"/>
        <v>46137</v>
      </c>
      <c r="D488" s="122">
        <f t="shared" si="410"/>
        <v>46138</v>
      </c>
      <c r="E488" s="123">
        <f t="shared" si="533"/>
        <v>1</v>
      </c>
      <c r="F488" s="123" t="s">
        <v>7</v>
      </c>
      <c r="G488" s="124">
        <f t="shared" ref="G488:H488" si="624">G487</f>
        <v>1450000</v>
      </c>
      <c r="H488" s="125">
        <f t="shared" si="624"/>
        <v>3.15E-2</v>
      </c>
      <c r="I488" s="124">
        <f t="shared" si="535"/>
        <v>126.875</v>
      </c>
      <c r="J488" s="124">
        <f t="shared" si="536"/>
        <v>13308.75</v>
      </c>
      <c r="K488" s="9"/>
      <c r="L488" s="11"/>
      <c r="M488" s="306"/>
      <c r="N488" s="97"/>
      <c r="O488" s="421"/>
      <c r="P488" s="304"/>
      <c r="Q488" s="307"/>
      <c r="S488" s="11" t="s">
        <v>192</v>
      </c>
      <c r="T488" s="306">
        <f t="shared" ref="T488:U488" si="625">T487</f>
        <v>5000000</v>
      </c>
      <c r="U488" s="97">
        <f t="shared" si="625"/>
        <v>3.9199999999999999E-2</v>
      </c>
      <c r="V488" s="421">
        <f t="shared" si="538"/>
        <v>544.44444444444446</v>
      </c>
      <c r="W488" s="304">
        <f t="shared" si="539"/>
        <v>63155.555555555635</v>
      </c>
      <c r="X488" s="307">
        <f t="shared" si="540"/>
        <v>106.94444444444446</v>
      </c>
      <c r="Z488" s="11" t="s">
        <v>192</v>
      </c>
      <c r="AA488" s="306">
        <f t="shared" ref="AA488:AB488" si="626">AA487</f>
        <v>10000000</v>
      </c>
      <c r="AB488" s="97">
        <f t="shared" si="626"/>
        <v>3.7499999999999999E-2</v>
      </c>
      <c r="AC488" s="421">
        <f t="shared" si="542"/>
        <v>1041.6666666666667</v>
      </c>
      <c r="AD488" s="304">
        <f t="shared" si="543"/>
        <v>120833.33333333353</v>
      </c>
      <c r="AE488" s="307">
        <f t="shared" si="544"/>
        <v>166.66666666666674</v>
      </c>
      <c r="AG488" s="11" t="s">
        <v>192</v>
      </c>
      <c r="AH488" s="306">
        <f t="shared" ref="AH488:AI488" si="627">AH487</f>
        <v>6000000</v>
      </c>
      <c r="AI488" s="97">
        <f t="shared" si="627"/>
        <v>3.73E-2</v>
      </c>
      <c r="AJ488" s="421">
        <f t="shared" si="546"/>
        <v>621.66666666666663</v>
      </c>
      <c r="AK488" s="304">
        <f t="shared" si="547"/>
        <v>1243.3333333333333</v>
      </c>
      <c r="AL488" s="307">
        <f t="shared" si="548"/>
        <v>96.666666666666629</v>
      </c>
      <c r="AN488" s="304">
        <f>'codeis $'!AB488</f>
        <v>0</v>
      </c>
      <c r="AO488" s="340">
        <f>'codeis $'!AH488</f>
        <v>0</v>
      </c>
      <c r="AP488" s="304">
        <f>'codeis $'!AE488</f>
        <v>0</v>
      </c>
      <c r="AQ488" s="304">
        <f>'codeis $'!AK488</f>
        <v>0</v>
      </c>
      <c r="AR488" s="9"/>
      <c r="AS488" s="9"/>
      <c r="AT488" s="123"/>
      <c r="AU488" s="123"/>
      <c r="AV488" s="123"/>
      <c r="AW488" s="123"/>
      <c r="AX488" s="123"/>
      <c r="AY488" s="123"/>
      <c r="AZ488" s="123"/>
      <c r="BA488" s="123"/>
      <c r="BC488" s="124">
        <f>'MM $'!G488</f>
        <v>0</v>
      </c>
      <c r="BD488" s="139">
        <f>'MM $'!H488</f>
        <v>0</v>
      </c>
      <c r="BE488" s="431">
        <f>'MM $'!I488</f>
        <v>0</v>
      </c>
      <c r="BF488" s="124">
        <f>'MM $'!L488</f>
        <v>0</v>
      </c>
      <c r="BH488" s="124">
        <f>'MM $'!N488</f>
        <v>0</v>
      </c>
      <c r="BI488" s="139">
        <f>'MM $'!P488</f>
        <v>0</v>
      </c>
      <c r="BJ488" s="431">
        <f>'MM $'!Q488</f>
        <v>0</v>
      </c>
      <c r="BK488" s="124">
        <f>'MM $'!U488</f>
        <v>0</v>
      </c>
      <c r="BM488" s="124">
        <f>'MM $'!W488</f>
        <v>0</v>
      </c>
      <c r="BN488" s="139">
        <f>'MM $'!X488</f>
        <v>0</v>
      </c>
      <c r="BO488" s="431">
        <f>'MM $'!Y488</f>
        <v>0</v>
      </c>
      <c r="BP488" s="124">
        <f>'MM $'!AB488</f>
        <v>0</v>
      </c>
      <c r="BR488" s="124">
        <f>'MM $'!AD488</f>
        <v>0</v>
      </c>
      <c r="BS488" s="139">
        <f>'MM $'!AE488</f>
        <v>0</v>
      </c>
      <c r="BT488" s="431">
        <f>'MM $'!AF488</f>
        <v>0</v>
      </c>
      <c r="BU488" s="124">
        <f>'MM $'!AB488</f>
        <v>0</v>
      </c>
      <c r="BV488" s="439"/>
      <c r="BW488" s="120">
        <f t="shared" si="549"/>
        <v>22450000</v>
      </c>
      <c r="BX488" s="121">
        <f t="shared" si="404"/>
        <v>3.5000000000000003E-2</v>
      </c>
      <c r="BY488" s="121">
        <f t="shared" si="409"/>
        <v>3.7437639198218263E-2</v>
      </c>
      <c r="BZ488" s="120">
        <f t="shared" si="550"/>
        <v>2334.6527777777778</v>
      </c>
      <c r="CA488" s="120">
        <f t="shared" si="551"/>
        <v>370.27777777777783</v>
      </c>
    </row>
    <row r="489" spans="2:79" x14ac:dyDescent="0.25">
      <c r="B489" s="123" t="str">
        <f t="shared" si="531"/>
        <v>4 2026</v>
      </c>
      <c r="C489" s="122">
        <f t="shared" si="532"/>
        <v>46138</v>
      </c>
      <c r="D489" s="122">
        <f t="shared" si="410"/>
        <v>46139</v>
      </c>
      <c r="E489" s="123">
        <f t="shared" si="533"/>
        <v>1</v>
      </c>
      <c r="F489" s="123" t="s">
        <v>7</v>
      </c>
      <c r="G489" s="124">
        <f t="shared" ref="G489:H489" si="628">G488</f>
        <v>1450000</v>
      </c>
      <c r="H489" s="125">
        <f t="shared" si="628"/>
        <v>3.15E-2</v>
      </c>
      <c r="I489" s="124">
        <f t="shared" si="535"/>
        <v>126.875</v>
      </c>
      <c r="J489" s="124">
        <f t="shared" si="536"/>
        <v>13435.625</v>
      </c>
      <c r="K489" s="9"/>
      <c r="L489" s="11"/>
      <c r="M489" s="306"/>
      <c r="N489" s="97"/>
      <c r="O489" s="421"/>
      <c r="P489" s="304"/>
      <c r="Q489" s="307"/>
      <c r="S489" s="11" t="s">
        <v>192</v>
      </c>
      <c r="T489" s="306">
        <f t="shared" ref="T489:U489" si="629">T488</f>
        <v>5000000</v>
      </c>
      <c r="U489" s="97">
        <f t="shared" si="629"/>
        <v>3.9199999999999999E-2</v>
      </c>
      <c r="V489" s="421">
        <f t="shared" si="538"/>
        <v>544.44444444444446</v>
      </c>
      <c r="W489" s="304">
        <f t="shared" si="539"/>
        <v>63700.00000000008</v>
      </c>
      <c r="X489" s="307">
        <f t="shared" si="540"/>
        <v>106.94444444444446</v>
      </c>
      <c r="Z489" s="11" t="s">
        <v>192</v>
      </c>
      <c r="AA489" s="306">
        <f t="shared" ref="AA489:AB489" si="630">AA488</f>
        <v>10000000</v>
      </c>
      <c r="AB489" s="97">
        <f t="shared" si="630"/>
        <v>3.7499999999999999E-2</v>
      </c>
      <c r="AC489" s="421">
        <f t="shared" si="542"/>
        <v>1041.6666666666667</v>
      </c>
      <c r="AD489" s="304">
        <f t="shared" si="543"/>
        <v>121875.0000000002</v>
      </c>
      <c r="AE489" s="307">
        <f t="shared" si="544"/>
        <v>166.66666666666674</v>
      </c>
      <c r="AG489" s="11" t="s">
        <v>192</v>
      </c>
      <c r="AH489" s="306">
        <f t="shared" ref="AH489:AI489" si="631">AH488</f>
        <v>6000000</v>
      </c>
      <c r="AI489" s="97">
        <f t="shared" si="631"/>
        <v>3.73E-2</v>
      </c>
      <c r="AJ489" s="421">
        <f t="shared" si="546"/>
        <v>621.66666666666663</v>
      </c>
      <c r="AK489" s="304">
        <f t="shared" si="547"/>
        <v>1243.3333333333333</v>
      </c>
      <c r="AL489" s="307">
        <f t="shared" si="548"/>
        <v>96.666666666666629</v>
      </c>
      <c r="AN489" s="304">
        <f>'codeis $'!AB489</f>
        <v>0</v>
      </c>
      <c r="AO489" s="340">
        <f>'codeis $'!AH489</f>
        <v>0</v>
      </c>
      <c r="AP489" s="304">
        <f>'codeis $'!AE489</f>
        <v>0</v>
      </c>
      <c r="AQ489" s="304">
        <f>'codeis $'!AK489</f>
        <v>0</v>
      </c>
      <c r="AR489" s="9"/>
      <c r="AS489" s="9"/>
      <c r="AT489" s="123"/>
      <c r="AU489" s="123"/>
      <c r="AV489" s="123"/>
      <c r="AW489" s="123"/>
      <c r="AX489" s="123"/>
      <c r="AY489" s="123"/>
      <c r="AZ489" s="123"/>
      <c r="BA489" s="123"/>
      <c r="BC489" s="124">
        <f>'MM $'!G489</f>
        <v>0</v>
      </c>
      <c r="BD489" s="139">
        <f>'MM $'!H489</f>
        <v>0</v>
      </c>
      <c r="BE489" s="431">
        <f>'MM $'!I489</f>
        <v>0</v>
      </c>
      <c r="BF489" s="124">
        <f>'MM $'!L489</f>
        <v>0</v>
      </c>
      <c r="BH489" s="124">
        <f>'MM $'!N489</f>
        <v>0</v>
      </c>
      <c r="BI489" s="139">
        <f>'MM $'!P489</f>
        <v>0</v>
      </c>
      <c r="BJ489" s="431">
        <f>'MM $'!Q489</f>
        <v>0</v>
      </c>
      <c r="BK489" s="124">
        <f>'MM $'!U489</f>
        <v>0</v>
      </c>
      <c r="BM489" s="124">
        <f>'MM $'!W489</f>
        <v>0</v>
      </c>
      <c r="BN489" s="139">
        <f>'MM $'!X489</f>
        <v>0</v>
      </c>
      <c r="BO489" s="431">
        <f>'MM $'!Y489</f>
        <v>0</v>
      </c>
      <c r="BP489" s="124">
        <f>'MM $'!AB489</f>
        <v>0</v>
      </c>
      <c r="BR489" s="124">
        <f>'MM $'!AD489</f>
        <v>0</v>
      </c>
      <c r="BS489" s="139">
        <f>'MM $'!AE489</f>
        <v>0</v>
      </c>
      <c r="BT489" s="431">
        <f>'MM $'!AF489</f>
        <v>0</v>
      </c>
      <c r="BU489" s="124">
        <f>'MM $'!AB489</f>
        <v>0</v>
      </c>
      <c r="BV489" s="439"/>
      <c r="BW489" s="120">
        <f t="shared" si="549"/>
        <v>22450000</v>
      </c>
      <c r="BX489" s="121">
        <f t="shared" si="404"/>
        <v>3.5000000000000003E-2</v>
      </c>
      <c r="BY489" s="121">
        <f t="shared" si="409"/>
        <v>3.7437639198218263E-2</v>
      </c>
      <c r="BZ489" s="120">
        <f t="shared" si="550"/>
        <v>2334.6527777777778</v>
      </c>
      <c r="CA489" s="120">
        <f t="shared" si="551"/>
        <v>370.27777777777783</v>
      </c>
    </row>
    <row r="490" spans="2:79" x14ac:dyDescent="0.25">
      <c r="B490" s="123" t="str">
        <f t="shared" si="531"/>
        <v>4 2026</v>
      </c>
      <c r="C490" s="122">
        <f t="shared" si="532"/>
        <v>46139</v>
      </c>
      <c r="D490" s="122">
        <f t="shared" si="410"/>
        <v>46140</v>
      </c>
      <c r="E490" s="123">
        <f t="shared" si="533"/>
        <v>1</v>
      </c>
      <c r="F490" s="123" t="s">
        <v>7</v>
      </c>
      <c r="G490" s="124">
        <f t="shared" ref="G490:H490" si="632">G489</f>
        <v>1450000</v>
      </c>
      <c r="H490" s="125">
        <f t="shared" si="632"/>
        <v>3.15E-2</v>
      </c>
      <c r="I490" s="124">
        <f t="shared" si="535"/>
        <v>126.875</v>
      </c>
      <c r="J490" s="124">
        <f t="shared" si="536"/>
        <v>13562.5</v>
      </c>
      <c r="K490" s="9"/>
      <c r="L490" s="11"/>
      <c r="M490" s="306"/>
      <c r="N490" s="97"/>
      <c r="O490" s="421"/>
      <c r="P490" s="304"/>
      <c r="Q490" s="307"/>
      <c r="S490" s="11" t="s">
        <v>192</v>
      </c>
      <c r="T490" s="306">
        <f t="shared" ref="T490:U490" si="633">T489</f>
        <v>5000000</v>
      </c>
      <c r="U490" s="97">
        <f t="shared" si="633"/>
        <v>3.9199999999999999E-2</v>
      </c>
      <c r="V490" s="421">
        <f t="shared" si="538"/>
        <v>544.44444444444446</v>
      </c>
      <c r="W490" s="304">
        <f t="shared" si="539"/>
        <v>64244.444444444525</v>
      </c>
      <c r="X490" s="307">
        <f t="shared" si="540"/>
        <v>106.94444444444446</v>
      </c>
      <c r="Z490" s="11" t="s">
        <v>192</v>
      </c>
      <c r="AA490" s="306">
        <f t="shared" ref="AA490:AB490" si="634">AA489</f>
        <v>10000000</v>
      </c>
      <c r="AB490" s="97">
        <f t="shared" si="634"/>
        <v>3.7499999999999999E-2</v>
      </c>
      <c r="AC490" s="421">
        <f t="shared" si="542"/>
        <v>1041.6666666666667</v>
      </c>
      <c r="AD490" s="304">
        <f t="shared" si="543"/>
        <v>122916.66666666688</v>
      </c>
      <c r="AE490" s="307">
        <f t="shared" si="544"/>
        <v>166.66666666666674</v>
      </c>
      <c r="AG490" s="11" t="s">
        <v>192</v>
      </c>
      <c r="AH490" s="306">
        <f t="shared" ref="AH490:AI490" si="635">AH489</f>
        <v>6000000</v>
      </c>
      <c r="AI490" s="97">
        <f t="shared" si="635"/>
        <v>3.73E-2</v>
      </c>
      <c r="AJ490" s="421">
        <f t="shared" si="546"/>
        <v>621.66666666666663</v>
      </c>
      <c r="AK490" s="304">
        <f t="shared" si="547"/>
        <v>1243.3333333333333</v>
      </c>
      <c r="AL490" s="307">
        <f t="shared" si="548"/>
        <v>96.666666666666629</v>
      </c>
      <c r="AN490" s="304">
        <f>'codeis $'!AB490</f>
        <v>0</v>
      </c>
      <c r="AO490" s="340">
        <f>'codeis $'!AH490</f>
        <v>0</v>
      </c>
      <c r="AP490" s="304">
        <f>'codeis $'!AE490</f>
        <v>0</v>
      </c>
      <c r="AQ490" s="304">
        <f>'codeis $'!AK490</f>
        <v>0</v>
      </c>
      <c r="AR490" s="9"/>
      <c r="AS490" s="9"/>
      <c r="AT490" s="123"/>
      <c r="AU490" s="123"/>
      <c r="AV490" s="123"/>
      <c r="AW490" s="123"/>
      <c r="AX490" s="123"/>
      <c r="AY490" s="123"/>
      <c r="AZ490" s="123"/>
      <c r="BA490" s="123"/>
      <c r="BC490" s="124">
        <f>'MM $'!G490</f>
        <v>0</v>
      </c>
      <c r="BD490" s="139">
        <f>'MM $'!H490</f>
        <v>0</v>
      </c>
      <c r="BE490" s="431">
        <f>'MM $'!I490</f>
        <v>0</v>
      </c>
      <c r="BF490" s="124">
        <f>'MM $'!L490</f>
        <v>0</v>
      </c>
      <c r="BH490" s="124">
        <f>'MM $'!N490</f>
        <v>0</v>
      </c>
      <c r="BI490" s="139">
        <f>'MM $'!P490</f>
        <v>0</v>
      </c>
      <c r="BJ490" s="431">
        <f>'MM $'!Q490</f>
        <v>0</v>
      </c>
      <c r="BK490" s="124">
        <f>'MM $'!U490</f>
        <v>0</v>
      </c>
      <c r="BM490" s="124">
        <f>'MM $'!W490</f>
        <v>0</v>
      </c>
      <c r="BN490" s="139">
        <f>'MM $'!X490</f>
        <v>0</v>
      </c>
      <c r="BO490" s="431">
        <f>'MM $'!Y490</f>
        <v>0</v>
      </c>
      <c r="BP490" s="124">
        <f>'MM $'!AB490</f>
        <v>0</v>
      </c>
      <c r="BR490" s="124">
        <f>'MM $'!AD490</f>
        <v>0</v>
      </c>
      <c r="BS490" s="139">
        <f>'MM $'!AE490</f>
        <v>0</v>
      </c>
      <c r="BT490" s="431">
        <f>'MM $'!AF490</f>
        <v>0</v>
      </c>
      <c r="BU490" s="124">
        <f>'MM $'!AB490</f>
        <v>0</v>
      </c>
      <c r="BV490" s="439"/>
      <c r="BW490" s="120">
        <f t="shared" si="549"/>
        <v>22450000</v>
      </c>
      <c r="BX490" s="121">
        <f t="shared" si="404"/>
        <v>3.5000000000000003E-2</v>
      </c>
      <c r="BY490" s="121">
        <f t="shared" si="409"/>
        <v>3.7437639198218263E-2</v>
      </c>
      <c r="BZ490" s="120">
        <f t="shared" si="550"/>
        <v>2334.6527777777778</v>
      </c>
      <c r="CA490" s="120">
        <f t="shared" si="551"/>
        <v>370.27777777777783</v>
      </c>
    </row>
    <row r="491" spans="2:79" x14ac:dyDescent="0.25">
      <c r="B491" s="123" t="str">
        <f t="shared" si="531"/>
        <v>4 2026</v>
      </c>
      <c r="C491" s="122">
        <f t="shared" si="532"/>
        <v>46140</v>
      </c>
      <c r="D491" s="122">
        <f t="shared" si="410"/>
        <v>46141</v>
      </c>
      <c r="E491" s="123">
        <f t="shared" si="533"/>
        <v>1</v>
      </c>
      <c r="F491" s="123" t="s">
        <v>7</v>
      </c>
      <c r="G491" s="124">
        <f t="shared" ref="G491:H491" si="636">G490</f>
        <v>1450000</v>
      </c>
      <c r="H491" s="125">
        <f t="shared" si="636"/>
        <v>3.15E-2</v>
      </c>
      <c r="I491" s="124">
        <f t="shared" si="535"/>
        <v>126.875</v>
      </c>
      <c r="J491" s="124">
        <f t="shared" si="536"/>
        <v>13689.375</v>
      </c>
      <c r="K491" s="9"/>
      <c r="L491" s="11"/>
      <c r="M491" s="306"/>
      <c r="N491" s="97"/>
      <c r="O491" s="421"/>
      <c r="P491" s="304"/>
      <c r="Q491" s="307"/>
      <c r="S491" s="11" t="s">
        <v>192</v>
      </c>
      <c r="T491" s="306">
        <f t="shared" ref="T491:U491" si="637">T490</f>
        <v>5000000</v>
      </c>
      <c r="U491" s="97">
        <f t="shared" si="637"/>
        <v>3.9199999999999999E-2</v>
      </c>
      <c r="V491" s="421">
        <f t="shared" si="538"/>
        <v>544.44444444444446</v>
      </c>
      <c r="W491" s="304">
        <f t="shared" si="539"/>
        <v>64788.888888888971</v>
      </c>
      <c r="X491" s="307">
        <f t="shared" si="540"/>
        <v>106.94444444444446</v>
      </c>
      <c r="Z491" s="11" t="s">
        <v>192</v>
      </c>
      <c r="AA491" s="306">
        <f t="shared" ref="AA491:AB491" si="638">AA490</f>
        <v>10000000</v>
      </c>
      <c r="AB491" s="97">
        <f t="shared" si="638"/>
        <v>3.7499999999999999E-2</v>
      </c>
      <c r="AC491" s="421">
        <f t="shared" si="542"/>
        <v>1041.6666666666667</v>
      </c>
      <c r="AD491" s="304">
        <f t="shared" si="543"/>
        <v>123958.33333333355</v>
      </c>
      <c r="AE491" s="307">
        <f t="shared" si="544"/>
        <v>166.66666666666674</v>
      </c>
      <c r="AG491" s="11" t="s">
        <v>192</v>
      </c>
      <c r="AH491" s="306">
        <f t="shared" ref="AH491:AI491" si="639">AH490</f>
        <v>6000000</v>
      </c>
      <c r="AI491" s="97">
        <f t="shared" si="639"/>
        <v>3.73E-2</v>
      </c>
      <c r="AJ491" s="421">
        <f t="shared" si="546"/>
        <v>621.66666666666663</v>
      </c>
      <c r="AK491" s="304">
        <f t="shared" si="547"/>
        <v>1243.3333333333333</v>
      </c>
      <c r="AL491" s="307">
        <f t="shared" si="548"/>
        <v>96.666666666666629</v>
      </c>
      <c r="AN491" s="304">
        <f>'codeis $'!AB491</f>
        <v>0</v>
      </c>
      <c r="AO491" s="340">
        <f>'codeis $'!AH491</f>
        <v>0</v>
      </c>
      <c r="AP491" s="304">
        <f>'codeis $'!AE491</f>
        <v>0</v>
      </c>
      <c r="AQ491" s="304">
        <f>'codeis $'!AK491</f>
        <v>0</v>
      </c>
      <c r="AR491" s="9"/>
      <c r="AS491" s="9"/>
      <c r="AT491" s="123"/>
      <c r="AU491" s="123"/>
      <c r="AV491" s="123"/>
      <c r="AW491" s="123"/>
      <c r="AX491" s="123"/>
      <c r="AY491" s="123"/>
      <c r="AZ491" s="123"/>
      <c r="BA491" s="123"/>
      <c r="BC491" s="124">
        <f>'MM $'!G491</f>
        <v>0</v>
      </c>
      <c r="BD491" s="139">
        <f>'MM $'!H491</f>
        <v>0</v>
      </c>
      <c r="BE491" s="431">
        <f>'MM $'!I491</f>
        <v>0</v>
      </c>
      <c r="BF491" s="124">
        <f>'MM $'!L491</f>
        <v>0</v>
      </c>
      <c r="BH491" s="124">
        <f>'MM $'!N491</f>
        <v>0</v>
      </c>
      <c r="BI491" s="139">
        <f>'MM $'!P491</f>
        <v>0</v>
      </c>
      <c r="BJ491" s="431">
        <f>'MM $'!Q491</f>
        <v>0</v>
      </c>
      <c r="BK491" s="124">
        <f>'MM $'!U491</f>
        <v>0</v>
      </c>
      <c r="BM491" s="124">
        <f>'MM $'!W491</f>
        <v>0</v>
      </c>
      <c r="BN491" s="139">
        <f>'MM $'!X491</f>
        <v>0</v>
      </c>
      <c r="BO491" s="431">
        <f>'MM $'!Y491</f>
        <v>0</v>
      </c>
      <c r="BP491" s="124">
        <f>'MM $'!AB491</f>
        <v>0</v>
      </c>
      <c r="BR491" s="124">
        <f>'MM $'!AD491</f>
        <v>0</v>
      </c>
      <c r="BS491" s="139">
        <f>'MM $'!AE491</f>
        <v>0</v>
      </c>
      <c r="BT491" s="431">
        <f>'MM $'!AF491</f>
        <v>0</v>
      </c>
      <c r="BU491" s="124">
        <f>'MM $'!AB491</f>
        <v>0</v>
      </c>
      <c r="BV491" s="439"/>
      <c r="BW491" s="120">
        <f t="shared" si="549"/>
        <v>22450000</v>
      </c>
      <c r="BX491" s="121">
        <f t="shared" si="404"/>
        <v>3.5000000000000003E-2</v>
      </c>
      <c r="BY491" s="121">
        <f t="shared" si="409"/>
        <v>3.7437639198218263E-2</v>
      </c>
      <c r="BZ491" s="120">
        <f t="shared" si="550"/>
        <v>2334.6527777777778</v>
      </c>
      <c r="CA491" s="120">
        <f t="shared" si="551"/>
        <v>370.27777777777783</v>
      </c>
    </row>
    <row r="492" spans="2:79" x14ac:dyDescent="0.25">
      <c r="B492" s="123" t="str">
        <f t="shared" si="531"/>
        <v>4 2026</v>
      </c>
      <c r="C492" s="122">
        <f t="shared" si="532"/>
        <v>46141</v>
      </c>
      <c r="D492" s="122">
        <f t="shared" si="410"/>
        <v>46142</v>
      </c>
      <c r="E492" s="123">
        <f t="shared" si="533"/>
        <v>1</v>
      </c>
      <c r="F492" s="123" t="s">
        <v>7</v>
      </c>
      <c r="G492" s="124">
        <f t="shared" ref="G492:H492" si="640">G491</f>
        <v>1450000</v>
      </c>
      <c r="H492" s="125">
        <f t="shared" si="640"/>
        <v>3.15E-2</v>
      </c>
      <c r="I492" s="124">
        <f t="shared" si="535"/>
        <v>126.875</v>
      </c>
      <c r="J492" s="124">
        <f t="shared" si="536"/>
        <v>13816.25</v>
      </c>
      <c r="K492" s="9"/>
      <c r="L492" s="11"/>
      <c r="M492" s="306"/>
      <c r="N492" s="97"/>
      <c r="O492" s="421"/>
      <c r="P492" s="304"/>
      <c r="Q492" s="307"/>
      <c r="S492" s="11" t="s">
        <v>192</v>
      </c>
      <c r="T492" s="306">
        <f t="shared" ref="T492:U492" si="641">T491</f>
        <v>5000000</v>
      </c>
      <c r="U492" s="97">
        <f t="shared" si="641"/>
        <v>3.9199999999999999E-2</v>
      </c>
      <c r="V492" s="421">
        <f t="shared" si="538"/>
        <v>544.44444444444446</v>
      </c>
      <c r="W492" s="304">
        <f t="shared" si="539"/>
        <v>65333.333333333416</v>
      </c>
      <c r="X492" s="307">
        <f t="shared" si="540"/>
        <v>106.94444444444446</v>
      </c>
      <c r="Z492" s="11" t="s">
        <v>192</v>
      </c>
      <c r="AA492" s="306">
        <f t="shared" ref="AA492:AB492" si="642">AA491</f>
        <v>10000000</v>
      </c>
      <c r="AB492" s="97">
        <f t="shared" si="642"/>
        <v>3.7499999999999999E-2</v>
      </c>
      <c r="AC492" s="421">
        <f t="shared" si="542"/>
        <v>1041.6666666666667</v>
      </c>
      <c r="AD492" s="304">
        <f t="shared" si="543"/>
        <v>125000.00000000022</v>
      </c>
      <c r="AE492" s="307">
        <f t="shared" si="544"/>
        <v>166.66666666666674</v>
      </c>
      <c r="AG492" s="11" t="s">
        <v>192</v>
      </c>
      <c r="AH492" s="306">
        <f t="shared" ref="AH492:AI492" si="643">AH491</f>
        <v>6000000</v>
      </c>
      <c r="AI492" s="97">
        <f t="shared" si="643"/>
        <v>3.73E-2</v>
      </c>
      <c r="AJ492" s="421">
        <f t="shared" si="546"/>
        <v>621.66666666666663</v>
      </c>
      <c r="AK492" s="304">
        <f t="shared" si="547"/>
        <v>1243.3333333333333</v>
      </c>
      <c r="AL492" s="307">
        <f t="shared" si="548"/>
        <v>96.666666666666629</v>
      </c>
      <c r="AN492" s="304">
        <f>'codeis $'!AB492</f>
        <v>0</v>
      </c>
      <c r="AO492" s="340">
        <f>'codeis $'!AH492</f>
        <v>0</v>
      </c>
      <c r="AP492" s="304">
        <f>'codeis $'!AE492</f>
        <v>0</v>
      </c>
      <c r="AQ492" s="304">
        <f>'codeis $'!AK492</f>
        <v>0</v>
      </c>
      <c r="AR492" s="9"/>
      <c r="AS492" s="9"/>
      <c r="AT492" s="123"/>
      <c r="AU492" s="123"/>
      <c r="AV492" s="123"/>
      <c r="AW492" s="123"/>
      <c r="AX492" s="123"/>
      <c r="AY492" s="123"/>
      <c r="AZ492" s="123"/>
      <c r="BA492" s="123"/>
      <c r="BC492" s="124">
        <f>'MM $'!G492</f>
        <v>0</v>
      </c>
      <c r="BD492" s="139">
        <f>'MM $'!H492</f>
        <v>0</v>
      </c>
      <c r="BE492" s="431">
        <f>'MM $'!I492</f>
        <v>0</v>
      </c>
      <c r="BF492" s="124">
        <f>'MM $'!L492</f>
        <v>0</v>
      </c>
      <c r="BH492" s="124">
        <f>'MM $'!N492</f>
        <v>0</v>
      </c>
      <c r="BI492" s="139">
        <f>'MM $'!P492</f>
        <v>0</v>
      </c>
      <c r="BJ492" s="431">
        <f>'MM $'!Q492</f>
        <v>0</v>
      </c>
      <c r="BK492" s="124">
        <f>'MM $'!U492</f>
        <v>0</v>
      </c>
      <c r="BM492" s="124">
        <f>'MM $'!W492</f>
        <v>0</v>
      </c>
      <c r="BN492" s="139">
        <f>'MM $'!X492</f>
        <v>0</v>
      </c>
      <c r="BO492" s="431">
        <f>'MM $'!Y492</f>
        <v>0</v>
      </c>
      <c r="BP492" s="124">
        <f>'MM $'!AB492</f>
        <v>0</v>
      </c>
      <c r="BR492" s="124">
        <f>'MM $'!AD492</f>
        <v>0</v>
      </c>
      <c r="BS492" s="139">
        <f>'MM $'!AE492</f>
        <v>0</v>
      </c>
      <c r="BT492" s="431">
        <f>'MM $'!AF492</f>
        <v>0</v>
      </c>
      <c r="BU492" s="124">
        <f>'MM $'!AB492</f>
        <v>0</v>
      </c>
      <c r="BV492" s="439"/>
      <c r="BW492" s="120">
        <f t="shared" si="549"/>
        <v>22450000</v>
      </c>
      <c r="BX492" s="121">
        <f t="shared" si="404"/>
        <v>3.5000000000000003E-2</v>
      </c>
      <c r="BY492" s="121">
        <f t="shared" si="409"/>
        <v>3.7437639198218263E-2</v>
      </c>
      <c r="BZ492" s="120">
        <f t="shared" si="550"/>
        <v>2334.6527777777778</v>
      </c>
      <c r="CA492" s="120">
        <f t="shared" si="551"/>
        <v>370.27777777777783</v>
      </c>
    </row>
    <row r="493" spans="2:79" x14ac:dyDescent="0.25">
      <c r="B493" s="123" t="str">
        <f t="shared" si="531"/>
        <v>5 2026</v>
      </c>
      <c r="C493" s="122">
        <f t="shared" si="532"/>
        <v>46142</v>
      </c>
      <c r="D493" s="122">
        <f t="shared" si="410"/>
        <v>46143</v>
      </c>
      <c r="E493" s="123">
        <f t="shared" si="533"/>
        <v>1</v>
      </c>
      <c r="F493" s="123" t="s">
        <v>7</v>
      </c>
      <c r="G493" s="124">
        <f t="shared" ref="G493:H493" si="644">G492</f>
        <v>1450000</v>
      </c>
      <c r="H493" s="125">
        <f t="shared" si="644"/>
        <v>3.15E-2</v>
      </c>
      <c r="I493" s="124">
        <f t="shared" si="535"/>
        <v>126.875</v>
      </c>
      <c r="J493" s="124">
        <f t="shared" si="536"/>
        <v>13943.125</v>
      </c>
      <c r="K493" s="9"/>
      <c r="L493" s="11"/>
      <c r="M493" s="306"/>
      <c r="N493" s="97"/>
      <c r="O493" s="421"/>
      <c r="P493" s="304"/>
      <c r="Q493" s="307"/>
      <c r="S493" s="11" t="s">
        <v>192</v>
      </c>
      <c r="T493" s="306">
        <f t="shared" ref="T493:U493" si="645">T492</f>
        <v>5000000</v>
      </c>
      <c r="U493" s="97">
        <f t="shared" si="645"/>
        <v>3.9199999999999999E-2</v>
      </c>
      <c r="V493" s="421">
        <f t="shared" si="538"/>
        <v>544.44444444444446</v>
      </c>
      <c r="W493" s="304">
        <f t="shared" si="539"/>
        <v>65877.777777777854</v>
      </c>
      <c r="X493" s="307">
        <f t="shared" si="540"/>
        <v>106.94444444444446</v>
      </c>
      <c r="Z493" s="11" t="s">
        <v>192</v>
      </c>
      <c r="AA493" s="306">
        <f t="shared" ref="AA493:AB493" si="646">AA492</f>
        <v>10000000</v>
      </c>
      <c r="AB493" s="97">
        <f t="shared" si="646"/>
        <v>3.7499999999999999E-2</v>
      </c>
      <c r="AC493" s="421">
        <f t="shared" si="542"/>
        <v>1041.6666666666667</v>
      </c>
      <c r="AD493" s="304">
        <f t="shared" si="543"/>
        <v>126041.66666666689</v>
      </c>
      <c r="AE493" s="307">
        <f t="shared" si="544"/>
        <v>166.66666666666674</v>
      </c>
      <c r="AG493" s="11" t="s">
        <v>192</v>
      </c>
      <c r="AH493" s="306">
        <f t="shared" ref="AH493:AI493" si="647">AH492</f>
        <v>6000000</v>
      </c>
      <c r="AI493" s="97">
        <f t="shared" si="647"/>
        <v>3.73E-2</v>
      </c>
      <c r="AJ493" s="421">
        <f t="shared" si="546"/>
        <v>621.66666666666663</v>
      </c>
      <c r="AK493" s="304">
        <f t="shared" si="547"/>
        <v>1243.3333333333333</v>
      </c>
      <c r="AL493" s="307">
        <f t="shared" si="548"/>
        <v>96.666666666666629</v>
      </c>
      <c r="AN493" s="304">
        <f>'codeis $'!AB493</f>
        <v>0</v>
      </c>
      <c r="AO493" s="340">
        <f>'codeis $'!AH493</f>
        <v>0</v>
      </c>
      <c r="AP493" s="304">
        <f>'codeis $'!AE493</f>
        <v>0</v>
      </c>
      <c r="AQ493" s="304">
        <f>'codeis $'!AK493</f>
        <v>0</v>
      </c>
      <c r="AR493" s="9"/>
      <c r="AS493" s="9"/>
      <c r="AT493" s="123"/>
      <c r="AU493" s="123"/>
      <c r="AV493" s="123"/>
      <c r="AW493" s="123"/>
      <c r="AX493" s="123"/>
      <c r="AY493" s="123"/>
      <c r="AZ493" s="123"/>
      <c r="BA493" s="123"/>
      <c r="BC493" s="124">
        <f>'MM $'!G493</f>
        <v>0</v>
      </c>
      <c r="BD493" s="139">
        <f>'MM $'!H493</f>
        <v>0</v>
      </c>
      <c r="BE493" s="431">
        <f>'MM $'!I493</f>
        <v>0</v>
      </c>
      <c r="BF493" s="124">
        <f>'MM $'!L493</f>
        <v>0</v>
      </c>
      <c r="BH493" s="124">
        <f>'MM $'!N493</f>
        <v>0</v>
      </c>
      <c r="BI493" s="139">
        <f>'MM $'!P493</f>
        <v>0</v>
      </c>
      <c r="BJ493" s="431">
        <f>'MM $'!Q493</f>
        <v>0</v>
      </c>
      <c r="BK493" s="124">
        <f>'MM $'!U493</f>
        <v>0</v>
      </c>
      <c r="BM493" s="124">
        <f>'MM $'!W493</f>
        <v>0</v>
      </c>
      <c r="BN493" s="139">
        <f>'MM $'!X493</f>
        <v>0</v>
      </c>
      <c r="BO493" s="431">
        <f>'MM $'!Y493</f>
        <v>0</v>
      </c>
      <c r="BP493" s="124">
        <f>'MM $'!AB493</f>
        <v>0</v>
      </c>
      <c r="BR493" s="124">
        <f>'MM $'!AD493</f>
        <v>0</v>
      </c>
      <c r="BS493" s="139">
        <f>'MM $'!AE493</f>
        <v>0</v>
      </c>
      <c r="BT493" s="431">
        <f>'MM $'!AF493</f>
        <v>0</v>
      </c>
      <c r="BU493" s="124">
        <f>'MM $'!AB493</f>
        <v>0</v>
      </c>
      <c r="BV493" s="439"/>
      <c r="BW493" s="120">
        <f t="shared" si="549"/>
        <v>22450000</v>
      </c>
      <c r="BX493" s="121">
        <f t="shared" si="404"/>
        <v>3.5000000000000003E-2</v>
      </c>
      <c r="BY493" s="121">
        <f t="shared" si="409"/>
        <v>3.7437639198218263E-2</v>
      </c>
      <c r="BZ493" s="120">
        <f t="shared" si="550"/>
        <v>2334.6527777777778</v>
      </c>
      <c r="CA493" s="120">
        <f t="shared" si="551"/>
        <v>370.27777777777783</v>
      </c>
    </row>
    <row r="494" spans="2:79" x14ac:dyDescent="0.25">
      <c r="B494" s="123" t="str">
        <f t="shared" si="531"/>
        <v>5 2026</v>
      </c>
      <c r="C494" s="122">
        <f t="shared" si="532"/>
        <v>46143</v>
      </c>
      <c r="D494" s="122">
        <f t="shared" si="410"/>
        <v>46144</v>
      </c>
      <c r="E494" s="123">
        <f t="shared" si="533"/>
        <v>1</v>
      </c>
      <c r="F494" s="123" t="s">
        <v>7</v>
      </c>
      <c r="G494" s="124">
        <f t="shared" ref="G494:H494" si="648">G493</f>
        <v>1450000</v>
      </c>
      <c r="H494" s="125">
        <f t="shared" si="648"/>
        <v>3.15E-2</v>
      </c>
      <c r="I494" s="124">
        <f t="shared" si="535"/>
        <v>126.875</v>
      </c>
      <c r="J494" s="124">
        <f t="shared" si="536"/>
        <v>14070</v>
      </c>
      <c r="K494" s="9"/>
      <c r="L494" s="11"/>
      <c r="M494" s="306"/>
      <c r="N494" s="97"/>
      <c r="O494" s="421"/>
      <c r="P494" s="304"/>
      <c r="Q494" s="307"/>
      <c r="S494" s="11" t="s">
        <v>192</v>
      </c>
      <c r="T494" s="306">
        <f t="shared" ref="T494:U494" si="649">T493</f>
        <v>5000000</v>
      </c>
      <c r="U494" s="97">
        <f t="shared" si="649"/>
        <v>3.9199999999999999E-2</v>
      </c>
      <c r="V494" s="421">
        <f t="shared" si="538"/>
        <v>544.44444444444446</v>
      </c>
      <c r="W494" s="304">
        <f t="shared" si="539"/>
        <v>66422.222222222292</v>
      </c>
      <c r="X494" s="307">
        <f t="shared" si="540"/>
        <v>106.94444444444446</v>
      </c>
      <c r="Z494" s="11" t="s">
        <v>192</v>
      </c>
      <c r="AA494" s="306">
        <f t="shared" ref="AA494:AB494" si="650">AA493</f>
        <v>10000000</v>
      </c>
      <c r="AB494" s="97">
        <f t="shared" si="650"/>
        <v>3.7499999999999999E-2</v>
      </c>
      <c r="AC494" s="421">
        <f t="shared" si="542"/>
        <v>1041.6666666666667</v>
      </c>
      <c r="AD494" s="304">
        <f t="shared" si="543"/>
        <v>127083.33333333356</v>
      </c>
      <c r="AE494" s="307">
        <f t="shared" si="544"/>
        <v>166.66666666666674</v>
      </c>
      <c r="AG494" s="11" t="s">
        <v>192</v>
      </c>
      <c r="AH494" s="306">
        <f t="shared" ref="AH494:AI494" si="651">AH493</f>
        <v>6000000</v>
      </c>
      <c r="AI494" s="97">
        <f t="shared" si="651"/>
        <v>3.73E-2</v>
      </c>
      <c r="AJ494" s="421">
        <f t="shared" si="546"/>
        <v>621.66666666666663</v>
      </c>
      <c r="AK494" s="304">
        <f t="shared" si="547"/>
        <v>1243.3333333333333</v>
      </c>
      <c r="AL494" s="307">
        <f t="shared" si="548"/>
        <v>96.666666666666629</v>
      </c>
      <c r="AN494" s="304">
        <f>'codeis $'!AB494</f>
        <v>0</v>
      </c>
      <c r="AO494" s="340">
        <f>'codeis $'!AH494</f>
        <v>0</v>
      </c>
      <c r="AP494" s="304">
        <f>'codeis $'!AE494</f>
        <v>0</v>
      </c>
      <c r="AQ494" s="304">
        <f>'codeis $'!AK494</f>
        <v>0</v>
      </c>
      <c r="AR494" s="9"/>
      <c r="AS494" s="9"/>
      <c r="AT494" s="123"/>
      <c r="AU494" s="123"/>
      <c r="AV494" s="123"/>
      <c r="AW494" s="123"/>
      <c r="AX494" s="123"/>
      <c r="AY494" s="123"/>
      <c r="AZ494" s="123"/>
      <c r="BA494" s="123"/>
      <c r="BC494" s="124">
        <f>'MM $'!G494</f>
        <v>0</v>
      </c>
      <c r="BD494" s="139">
        <f>'MM $'!H494</f>
        <v>0</v>
      </c>
      <c r="BE494" s="431">
        <f>'MM $'!I494</f>
        <v>0</v>
      </c>
      <c r="BF494" s="124">
        <f>'MM $'!L494</f>
        <v>0</v>
      </c>
      <c r="BH494" s="124">
        <f>'MM $'!N494</f>
        <v>0</v>
      </c>
      <c r="BI494" s="139">
        <f>'MM $'!P494</f>
        <v>0</v>
      </c>
      <c r="BJ494" s="431">
        <f>'MM $'!Q494</f>
        <v>0</v>
      </c>
      <c r="BK494" s="124">
        <f>'MM $'!U494</f>
        <v>0</v>
      </c>
      <c r="BM494" s="124">
        <f>'MM $'!W494</f>
        <v>0</v>
      </c>
      <c r="BN494" s="139">
        <f>'MM $'!X494</f>
        <v>0</v>
      </c>
      <c r="BO494" s="431">
        <f>'MM $'!Y494</f>
        <v>0</v>
      </c>
      <c r="BP494" s="124">
        <f>'MM $'!AB494</f>
        <v>0</v>
      </c>
      <c r="BR494" s="124">
        <f>'MM $'!AD494</f>
        <v>0</v>
      </c>
      <c r="BS494" s="139">
        <f>'MM $'!AE494</f>
        <v>0</v>
      </c>
      <c r="BT494" s="431">
        <f>'MM $'!AF494</f>
        <v>0</v>
      </c>
      <c r="BU494" s="124">
        <f>'MM $'!AB494</f>
        <v>0</v>
      </c>
      <c r="BV494" s="439"/>
      <c r="BW494" s="120">
        <f t="shared" si="549"/>
        <v>22450000</v>
      </c>
      <c r="BX494" s="121">
        <f t="shared" si="404"/>
        <v>3.5000000000000003E-2</v>
      </c>
      <c r="BY494" s="121">
        <f t="shared" si="409"/>
        <v>3.7437639198218263E-2</v>
      </c>
      <c r="BZ494" s="120">
        <f t="shared" si="550"/>
        <v>2334.6527777777778</v>
      </c>
      <c r="CA494" s="120">
        <f t="shared" si="551"/>
        <v>370.27777777777783</v>
      </c>
    </row>
    <row r="495" spans="2:79" x14ac:dyDescent="0.25">
      <c r="B495" s="123" t="str">
        <f t="shared" si="531"/>
        <v>5 2026</v>
      </c>
      <c r="C495" s="122">
        <f t="shared" si="532"/>
        <v>46144</v>
      </c>
      <c r="D495" s="122">
        <f t="shared" si="410"/>
        <v>46145</v>
      </c>
      <c r="E495" s="123">
        <f t="shared" si="533"/>
        <v>1</v>
      </c>
      <c r="F495" s="123" t="s">
        <v>7</v>
      </c>
      <c r="G495" s="124">
        <f t="shared" ref="G495:H495" si="652">G494</f>
        <v>1450000</v>
      </c>
      <c r="H495" s="125">
        <f t="shared" si="652"/>
        <v>3.15E-2</v>
      </c>
      <c r="I495" s="124">
        <f t="shared" si="535"/>
        <v>126.875</v>
      </c>
      <c r="J495" s="124">
        <f t="shared" si="536"/>
        <v>14196.875</v>
      </c>
      <c r="K495" s="9"/>
      <c r="L495" s="11"/>
      <c r="M495" s="306"/>
      <c r="N495" s="97"/>
      <c r="O495" s="421"/>
      <c r="P495" s="304"/>
      <c r="Q495" s="307"/>
      <c r="S495" s="11" t="s">
        <v>192</v>
      </c>
      <c r="T495" s="306">
        <f t="shared" ref="T495:U495" si="653">T494</f>
        <v>5000000</v>
      </c>
      <c r="U495" s="97">
        <f t="shared" si="653"/>
        <v>3.9199999999999999E-2</v>
      </c>
      <c r="V495" s="421">
        <f t="shared" si="538"/>
        <v>544.44444444444446</v>
      </c>
      <c r="W495" s="304">
        <f t="shared" si="539"/>
        <v>66966.66666666673</v>
      </c>
      <c r="X495" s="307">
        <f t="shared" si="540"/>
        <v>106.94444444444446</v>
      </c>
      <c r="Z495" s="11" t="s">
        <v>192</v>
      </c>
      <c r="AA495" s="306">
        <f t="shared" ref="AA495:AB495" si="654">AA494</f>
        <v>10000000</v>
      </c>
      <c r="AB495" s="97">
        <f t="shared" si="654"/>
        <v>3.7499999999999999E-2</v>
      </c>
      <c r="AC495" s="421">
        <f t="shared" si="542"/>
        <v>1041.6666666666667</v>
      </c>
      <c r="AD495" s="304">
        <f t="shared" si="543"/>
        <v>128125.00000000023</v>
      </c>
      <c r="AE495" s="307">
        <f t="shared" si="544"/>
        <v>166.66666666666674</v>
      </c>
      <c r="AG495" s="11" t="s">
        <v>192</v>
      </c>
      <c r="AH495" s="306">
        <f t="shared" ref="AH495:AI495" si="655">AH494</f>
        <v>6000000</v>
      </c>
      <c r="AI495" s="97">
        <f t="shared" si="655"/>
        <v>3.73E-2</v>
      </c>
      <c r="AJ495" s="421">
        <f t="shared" si="546"/>
        <v>621.66666666666663</v>
      </c>
      <c r="AK495" s="304">
        <f t="shared" si="547"/>
        <v>1243.3333333333333</v>
      </c>
      <c r="AL495" s="307">
        <f t="shared" si="548"/>
        <v>96.666666666666629</v>
      </c>
      <c r="AN495" s="304">
        <f>'codeis $'!AB495</f>
        <v>0</v>
      </c>
      <c r="AO495" s="340">
        <f>'codeis $'!AH495</f>
        <v>0</v>
      </c>
      <c r="AP495" s="304">
        <f>'codeis $'!AE495</f>
        <v>0</v>
      </c>
      <c r="AQ495" s="304">
        <f>'codeis $'!AK495</f>
        <v>0</v>
      </c>
      <c r="AR495" s="9"/>
      <c r="AS495" s="9"/>
      <c r="AT495" s="123"/>
      <c r="AU495" s="123"/>
      <c r="AV495" s="123"/>
      <c r="AW495" s="123"/>
      <c r="AX495" s="123"/>
      <c r="AY495" s="123"/>
      <c r="AZ495" s="123"/>
      <c r="BA495" s="123"/>
      <c r="BC495" s="124">
        <f>'MM $'!G495</f>
        <v>0</v>
      </c>
      <c r="BD495" s="139">
        <f>'MM $'!H495</f>
        <v>0</v>
      </c>
      <c r="BE495" s="431">
        <f>'MM $'!I495</f>
        <v>0</v>
      </c>
      <c r="BF495" s="124">
        <f>'MM $'!L495</f>
        <v>0</v>
      </c>
      <c r="BH495" s="124">
        <f>'MM $'!N495</f>
        <v>0</v>
      </c>
      <c r="BI495" s="139">
        <f>'MM $'!P495</f>
        <v>0</v>
      </c>
      <c r="BJ495" s="431">
        <f>'MM $'!Q495</f>
        <v>0</v>
      </c>
      <c r="BK495" s="124">
        <f>'MM $'!U495</f>
        <v>0</v>
      </c>
      <c r="BM495" s="124">
        <f>'MM $'!W495</f>
        <v>0</v>
      </c>
      <c r="BN495" s="139">
        <f>'MM $'!X495</f>
        <v>0</v>
      </c>
      <c r="BO495" s="431">
        <f>'MM $'!Y495</f>
        <v>0</v>
      </c>
      <c r="BP495" s="124">
        <f>'MM $'!AB495</f>
        <v>0</v>
      </c>
      <c r="BR495" s="124">
        <f>'MM $'!AD495</f>
        <v>0</v>
      </c>
      <c r="BS495" s="139">
        <f>'MM $'!AE495</f>
        <v>0</v>
      </c>
      <c r="BT495" s="431">
        <f>'MM $'!AF495</f>
        <v>0</v>
      </c>
      <c r="BU495" s="124">
        <f>'MM $'!AB495</f>
        <v>0</v>
      </c>
      <c r="BV495" s="439"/>
      <c r="BW495" s="120">
        <f t="shared" si="549"/>
        <v>22450000</v>
      </c>
      <c r="BX495" s="121">
        <f t="shared" si="404"/>
        <v>3.5000000000000003E-2</v>
      </c>
      <c r="BY495" s="121">
        <f t="shared" si="409"/>
        <v>3.7437639198218263E-2</v>
      </c>
      <c r="BZ495" s="120">
        <f t="shared" si="550"/>
        <v>2334.6527777777778</v>
      </c>
      <c r="CA495" s="120">
        <f t="shared" si="551"/>
        <v>370.27777777777783</v>
      </c>
    </row>
    <row r="496" spans="2:79" x14ac:dyDescent="0.25">
      <c r="B496" s="123" t="str">
        <f t="shared" si="531"/>
        <v>5 2026</v>
      </c>
      <c r="C496" s="122">
        <f t="shared" si="532"/>
        <v>46145</v>
      </c>
      <c r="D496" s="122">
        <f t="shared" si="410"/>
        <v>46146</v>
      </c>
      <c r="E496" s="123">
        <f t="shared" si="533"/>
        <v>1</v>
      </c>
      <c r="F496" s="123" t="s">
        <v>7</v>
      </c>
      <c r="G496" s="124">
        <f t="shared" ref="G496:H496" si="656">G495</f>
        <v>1450000</v>
      </c>
      <c r="H496" s="125">
        <f t="shared" si="656"/>
        <v>3.15E-2</v>
      </c>
      <c r="I496" s="124">
        <f t="shared" si="535"/>
        <v>126.875</v>
      </c>
      <c r="J496" s="124">
        <f t="shared" si="536"/>
        <v>14323.75</v>
      </c>
      <c r="K496" s="9"/>
      <c r="L496" s="11"/>
      <c r="M496" s="306"/>
      <c r="N496" s="97"/>
      <c r="O496" s="421"/>
      <c r="P496" s="304"/>
      <c r="Q496" s="307"/>
      <c r="S496" s="11" t="s">
        <v>192</v>
      </c>
      <c r="T496" s="306">
        <f t="shared" ref="T496:U496" si="657">T495</f>
        <v>5000000</v>
      </c>
      <c r="U496" s="97">
        <f t="shared" si="657"/>
        <v>3.9199999999999999E-2</v>
      </c>
      <c r="V496" s="421">
        <f t="shared" si="538"/>
        <v>544.44444444444446</v>
      </c>
      <c r="W496" s="304">
        <f t="shared" si="539"/>
        <v>67511.111111111168</v>
      </c>
      <c r="X496" s="307">
        <f t="shared" si="540"/>
        <v>106.94444444444446</v>
      </c>
      <c r="Z496" s="11" t="s">
        <v>192</v>
      </c>
      <c r="AA496" s="306">
        <f t="shared" ref="AA496:AB496" si="658">AA495</f>
        <v>10000000</v>
      </c>
      <c r="AB496" s="97">
        <f t="shared" si="658"/>
        <v>3.7499999999999999E-2</v>
      </c>
      <c r="AC496" s="421">
        <f t="shared" si="542"/>
        <v>1041.6666666666667</v>
      </c>
      <c r="AD496" s="304">
        <f t="shared" si="543"/>
        <v>129166.6666666669</v>
      </c>
      <c r="AE496" s="307">
        <f t="shared" si="544"/>
        <v>166.66666666666674</v>
      </c>
      <c r="AG496" s="11" t="s">
        <v>192</v>
      </c>
      <c r="AH496" s="306">
        <f t="shared" ref="AH496:AI496" si="659">AH495</f>
        <v>6000000</v>
      </c>
      <c r="AI496" s="97">
        <f t="shared" si="659"/>
        <v>3.73E-2</v>
      </c>
      <c r="AJ496" s="421">
        <f t="shared" si="546"/>
        <v>621.66666666666663</v>
      </c>
      <c r="AK496" s="304">
        <f t="shared" si="547"/>
        <v>1243.3333333333333</v>
      </c>
      <c r="AL496" s="307">
        <f t="shared" si="548"/>
        <v>96.666666666666629</v>
      </c>
      <c r="AN496" s="304">
        <f>'codeis $'!AB496</f>
        <v>0</v>
      </c>
      <c r="AO496" s="340">
        <f>'codeis $'!AH496</f>
        <v>0</v>
      </c>
      <c r="AP496" s="304">
        <f>'codeis $'!AE496</f>
        <v>0</v>
      </c>
      <c r="AQ496" s="304">
        <f>'codeis $'!AK496</f>
        <v>0</v>
      </c>
      <c r="AR496" s="9"/>
      <c r="AS496" s="9"/>
      <c r="AT496" s="123"/>
      <c r="AU496" s="123"/>
      <c r="AV496" s="123"/>
      <c r="AW496" s="123"/>
      <c r="AX496" s="123"/>
      <c r="AY496" s="123"/>
      <c r="AZ496" s="123"/>
      <c r="BA496" s="123"/>
      <c r="BC496" s="124">
        <f>'MM $'!G496</f>
        <v>0</v>
      </c>
      <c r="BD496" s="139">
        <f>'MM $'!H496</f>
        <v>0</v>
      </c>
      <c r="BE496" s="431">
        <f>'MM $'!I496</f>
        <v>0</v>
      </c>
      <c r="BF496" s="124">
        <f>'MM $'!L496</f>
        <v>0</v>
      </c>
      <c r="BH496" s="124">
        <f>'MM $'!N496</f>
        <v>0</v>
      </c>
      <c r="BI496" s="139">
        <f>'MM $'!P496</f>
        <v>0</v>
      </c>
      <c r="BJ496" s="431">
        <f>'MM $'!Q496</f>
        <v>0</v>
      </c>
      <c r="BK496" s="124">
        <f>'MM $'!U496</f>
        <v>0</v>
      </c>
      <c r="BM496" s="124">
        <f>'MM $'!W496</f>
        <v>0</v>
      </c>
      <c r="BN496" s="139">
        <f>'MM $'!X496</f>
        <v>0</v>
      </c>
      <c r="BO496" s="431">
        <f>'MM $'!Y496</f>
        <v>0</v>
      </c>
      <c r="BP496" s="124">
        <f>'MM $'!AB496</f>
        <v>0</v>
      </c>
      <c r="BR496" s="124">
        <f>'MM $'!AD496</f>
        <v>0</v>
      </c>
      <c r="BS496" s="139">
        <f>'MM $'!AE496</f>
        <v>0</v>
      </c>
      <c r="BT496" s="431">
        <f>'MM $'!AF496</f>
        <v>0</v>
      </c>
      <c r="BU496" s="124">
        <f>'MM $'!AB496</f>
        <v>0</v>
      </c>
      <c r="BV496" s="439"/>
      <c r="BW496" s="120">
        <f t="shared" si="549"/>
        <v>22450000</v>
      </c>
      <c r="BX496" s="121">
        <f t="shared" si="404"/>
        <v>3.5000000000000003E-2</v>
      </c>
      <c r="BY496" s="121">
        <f t="shared" si="409"/>
        <v>3.7437639198218263E-2</v>
      </c>
      <c r="BZ496" s="120">
        <f t="shared" si="550"/>
        <v>2334.6527777777778</v>
      </c>
      <c r="CA496" s="120">
        <f t="shared" si="551"/>
        <v>370.27777777777783</v>
      </c>
    </row>
    <row r="497" spans="2:79" x14ac:dyDescent="0.25">
      <c r="B497" s="123" t="str">
        <f t="shared" si="531"/>
        <v>5 2026</v>
      </c>
      <c r="C497" s="122">
        <f t="shared" si="532"/>
        <v>46146</v>
      </c>
      <c r="D497" s="122">
        <f t="shared" si="410"/>
        <v>46147</v>
      </c>
      <c r="E497" s="123">
        <f t="shared" si="533"/>
        <v>1</v>
      </c>
      <c r="F497" s="123" t="s">
        <v>7</v>
      </c>
      <c r="G497" s="124">
        <f t="shared" ref="G497:H497" si="660">G496</f>
        <v>1450000</v>
      </c>
      <c r="H497" s="125">
        <f t="shared" si="660"/>
        <v>3.15E-2</v>
      </c>
      <c r="I497" s="124">
        <f t="shared" si="535"/>
        <v>126.875</v>
      </c>
      <c r="J497" s="124">
        <f t="shared" si="536"/>
        <v>14450.625</v>
      </c>
      <c r="K497" s="9"/>
      <c r="L497" s="11"/>
      <c r="M497" s="306"/>
      <c r="N497" s="97"/>
      <c r="O497" s="421"/>
      <c r="P497" s="304"/>
      <c r="Q497" s="307"/>
      <c r="S497" s="11" t="s">
        <v>192</v>
      </c>
      <c r="T497" s="635">
        <f t="shared" ref="T497" si="661">T496</f>
        <v>5000000</v>
      </c>
      <c r="U497" s="97"/>
      <c r="V497" s="421"/>
      <c r="W497" s="304"/>
      <c r="X497" s="307"/>
      <c r="Z497" s="11" t="s">
        <v>192</v>
      </c>
      <c r="AA497" s="306">
        <f t="shared" ref="AA497:AB497" si="662">AA496</f>
        <v>10000000</v>
      </c>
      <c r="AB497" s="97">
        <f t="shared" si="662"/>
        <v>3.7499999999999999E-2</v>
      </c>
      <c r="AC497" s="421">
        <f t="shared" si="542"/>
        <v>1041.6666666666667</v>
      </c>
      <c r="AD497" s="304">
        <f t="shared" si="543"/>
        <v>130208.33333333358</v>
      </c>
      <c r="AE497" s="307">
        <f t="shared" si="544"/>
        <v>166.66666666666674</v>
      </c>
      <c r="AG497" s="11" t="s">
        <v>192</v>
      </c>
      <c r="AH497" s="306">
        <f t="shared" ref="AH497:AI497" si="663">AH496</f>
        <v>6000000</v>
      </c>
      <c r="AI497" s="97">
        <f t="shared" si="663"/>
        <v>3.73E-2</v>
      </c>
      <c r="AJ497" s="421">
        <f t="shared" si="546"/>
        <v>621.66666666666663</v>
      </c>
      <c r="AK497" s="304">
        <f t="shared" si="547"/>
        <v>1243.3333333333333</v>
      </c>
      <c r="AL497" s="307">
        <f t="shared" si="548"/>
        <v>96.666666666666629</v>
      </c>
      <c r="AN497" s="304">
        <f>'codeis $'!AB497</f>
        <v>0</v>
      </c>
      <c r="AO497" s="340">
        <f>'codeis $'!AH497</f>
        <v>0</v>
      </c>
      <c r="AP497" s="304">
        <f>'codeis $'!AE497</f>
        <v>0</v>
      </c>
      <c r="AQ497" s="304">
        <f>'codeis $'!AK497</f>
        <v>0</v>
      </c>
      <c r="AR497" s="9"/>
      <c r="AS497" s="9"/>
      <c r="AT497" s="123"/>
      <c r="AU497" s="123"/>
      <c r="AV497" s="123"/>
      <c r="AW497" s="123"/>
      <c r="AX497" s="123"/>
      <c r="AY497" s="123"/>
      <c r="AZ497" s="123"/>
      <c r="BA497" s="123"/>
      <c r="BC497" s="122"/>
      <c r="BD497" s="122"/>
      <c r="BE497" s="122"/>
      <c r="BF497" s="122"/>
      <c r="BH497" s="122"/>
      <c r="BI497" s="122"/>
      <c r="BJ497" s="122"/>
      <c r="BK497" s="122"/>
      <c r="BM497" s="122"/>
      <c r="BN497" s="122"/>
      <c r="BO497" s="122"/>
      <c r="BP497" s="122"/>
      <c r="BR497" s="122"/>
      <c r="BS497" s="122"/>
      <c r="BT497" s="122"/>
      <c r="BU497" s="122"/>
      <c r="BV497" s="439"/>
      <c r="BW497" s="120">
        <f t="shared" si="549"/>
        <v>22450000</v>
      </c>
      <c r="BX497" s="121">
        <f t="shared" si="404"/>
        <v>3.5000000000000003E-2</v>
      </c>
      <c r="BY497" s="121">
        <f t="shared" si="409"/>
        <v>2.8707126948775055E-2</v>
      </c>
      <c r="BZ497" s="120">
        <f t="shared" si="550"/>
        <v>1790.2083333333335</v>
      </c>
      <c r="CA497" s="120">
        <f t="shared" si="551"/>
        <v>263.33333333333337</v>
      </c>
    </row>
    <row r="498" spans="2:79" x14ac:dyDescent="0.25">
      <c r="B498" s="123" t="str">
        <f t="shared" si="531"/>
        <v>5 2026</v>
      </c>
      <c r="C498" s="122">
        <f t="shared" si="532"/>
        <v>46147</v>
      </c>
      <c r="D498" s="122">
        <f t="shared" si="410"/>
        <v>46148</v>
      </c>
      <c r="E498" s="123">
        <f t="shared" si="533"/>
        <v>1</v>
      </c>
      <c r="F498" s="123" t="s">
        <v>7</v>
      </c>
      <c r="G498" s="124">
        <f t="shared" ref="G498:H498" si="664">G497</f>
        <v>1450000</v>
      </c>
      <c r="H498" s="125">
        <f t="shared" si="664"/>
        <v>3.15E-2</v>
      </c>
      <c r="I498" s="124">
        <f t="shared" si="535"/>
        <v>126.875</v>
      </c>
      <c r="J498" s="124">
        <f t="shared" si="536"/>
        <v>14577.5</v>
      </c>
      <c r="K498" s="9"/>
      <c r="L498" s="11"/>
      <c r="M498" s="306"/>
      <c r="N498" s="97"/>
      <c r="O498" s="421"/>
      <c r="P498" s="304"/>
      <c r="Q498" s="307"/>
      <c r="S498" s="11"/>
      <c r="T498" s="306"/>
      <c r="U498" s="97"/>
      <c r="V498" s="421"/>
      <c r="W498" s="304"/>
      <c r="X498" s="307"/>
      <c r="Z498" s="11" t="s">
        <v>192</v>
      </c>
      <c r="AA498" s="306">
        <f t="shared" ref="AA498:AB498" si="665">AA497</f>
        <v>10000000</v>
      </c>
      <c r="AB498" s="97">
        <f t="shared" si="665"/>
        <v>3.7499999999999999E-2</v>
      </c>
      <c r="AC498" s="421">
        <f t="shared" si="542"/>
        <v>1041.6666666666667</v>
      </c>
      <c r="AD498" s="304">
        <f t="shared" si="543"/>
        <v>131250.00000000023</v>
      </c>
      <c r="AE498" s="307">
        <f t="shared" si="544"/>
        <v>166.66666666666674</v>
      </c>
      <c r="AG498" s="11" t="s">
        <v>192</v>
      </c>
      <c r="AH498" s="306">
        <f t="shared" ref="AH498:AI498" si="666">AH497</f>
        <v>6000000</v>
      </c>
      <c r="AI498" s="97">
        <f t="shared" si="666"/>
        <v>3.73E-2</v>
      </c>
      <c r="AJ498" s="421">
        <f t="shared" si="546"/>
        <v>621.66666666666663</v>
      </c>
      <c r="AK498" s="304">
        <f t="shared" si="547"/>
        <v>1243.3333333333333</v>
      </c>
      <c r="AL498" s="307">
        <f t="shared" si="548"/>
        <v>96.666666666666629</v>
      </c>
      <c r="AN498" s="304">
        <f>'codeis $'!AB498</f>
        <v>0</v>
      </c>
      <c r="AO498" s="340">
        <f>'codeis $'!AH498</f>
        <v>0</v>
      </c>
      <c r="AP498" s="304">
        <f>'codeis $'!AE498</f>
        <v>0</v>
      </c>
      <c r="AQ498" s="304">
        <f>'codeis $'!AK498</f>
        <v>0</v>
      </c>
      <c r="AR498" s="9"/>
      <c r="AS498" s="9"/>
      <c r="AT498" s="123"/>
      <c r="AU498" s="123"/>
      <c r="AV498" s="123"/>
      <c r="AW498" s="123"/>
      <c r="AX498" s="123"/>
      <c r="AY498" s="123"/>
      <c r="AZ498" s="123"/>
      <c r="BA498" s="123"/>
      <c r="BC498" s="122"/>
      <c r="BD498" s="122"/>
      <c r="BE498" s="122"/>
      <c r="BF498" s="122"/>
      <c r="BH498" s="122"/>
      <c r="BI498" s="122"/>
      <c r="BJ498" s="122"/>
      <c r="BK498" s="122"/>
      <c r="BM498" s="122"/>
      <c r="BN498" s="122"/>
      <c r="BO498" s="122"/>
      <c r="BP498" s="122"/>
      <c r="BR498" s="122"/>
      <c r="BS498" s="122"/>
      <c r="BT498" s="122"/>
      <c r="BU498" s="122"/>
      <c r="BV498" s="439"/>
      <c r="BW498" s="120">
        <f t="shared" si="549"/>
        <v>17450000</v>
      </c>
      <c r="BX498" s="121">
        <f t="shared" si="404"/>
        <v>3.5000000000000003E-2</v>
      </c>
      <c r="BY498" s="121">
        <f t="shared" si="409"/>
        <v>3.6932664756446992E-2</v>
      </c>
      <c r="BZ498" s="120">
        <f t="shared" si="550"/>
        <v>1790.2083333333335</v>
      </c>
      <c r="CA498" s="120">
        <f t="shared" si="551"/>
        <v>263.33333333333337</v>
      </c>
    </row>
    <row r="499" spans="2:79" x14ac:dyDescent="0.25">
      <c r="B499" s="123" t="str">
        <f t="shared" si="531"/>
        <v>5 2026</v>
      </c>
      <c r="C499" s="122">
        <f t="shared" si="532"/>
        <v>46148</v>
      </c>
      <c r="D499" s="122">
        <f t="shared" si="410"/>
        <v>46149</v>
      </c>
      <c r="E499" s="123">
        <f t="shared" si="533"/>
        <v>1</v>
      </c>
      <c r="F499" s="123" t="s">
        <v>7</v>
      </c>
      <c r="G499" s="124">
        <f t="shared" ref="G499:H499" si="667">G498</f>
        <v>1450000</v>
      </c>
      <c r="H499" s="125">
        <f t="shared" si="667"/>
        <v>3.15E-2</v>
      </c>
      <c r="I499" s="124">
        <f t="shared" si="535"/>
        <v>126.875</v>
      </c>
      <c r="J499" s="124">
        <f t="shared" si="536"/>
        <v>14704.375</v>
      </c>
      <c r="K499" s="9"/>
      <c r="L499" s="11"/>
      <c r="M499" s="306"/>
      <c r="N499" s="97"/>
      <c r="O499" s="421"/>
      <c r="P499" s="304"/>
      <c r="Q499" s="307"/>
      <c r="S499" s="11"/>
      <c r="T499" s="306"/>
      <c r="U499" s="97"/>
      <c r="V499" s="421"/>
      <c r="W499" s="304"/>
      <c r="X499" s="307"/>
      <c r="Z499" s="11" t="s">
        <v>192</v>
      </c>
      <c r="AA499" s="306">
        <f t="shared" ref="AA499:AB499" si="668">AA498</f>
        <v>10000000</v>
      </c>
      <c r="AB499" s="97">
        <f t="shared" si="668"/>
        <v>3.7499999999999999E-2</v>
      </c>
      <c r="AC499" s="421">
        <f t="shared" si="542"/>
        <v>1041.6666666666667</v>
      </c>
      <c r="AD499" s="304">
        <f t="shared" si="543"/>
        <v>132291.66666666689</v>
      </c>
      <c r="AE499" s="307">
        <f t="shared" si="544"/>
        <v>166.66666666666674</v>
      </c>
      <c r="AG499" s="11" t="s">
        <v>192</v>
      </c>
      <c r="AH499" s="306">
        <f t="shared" ref="AH499:AI499" si="669">AH498</f>
        <v>6000000</v>
      </c>
      <c r="AI499" s="97">
        <f t="shared" si="669"/>
        <v>3.73E-2</v>
      </c>
      <c r="AJ499" s="421">
        <f t="shared" si="546"/>
        <v>621.66666666666663</v>
      </c>
      <c r="AK499" s="304">
        <f t="shared" si="547"/>
        <v>1243.3333333333333</v>
      </c>
      <c r="AL499" s="307">
        <f t="shared" si="548"/>
        <v>96.666666666666629</v>
      </c>
      <c r="AN499" s="304">
        <f>'codeis $'!AB499</f>
        <v>0</v>
      </c>
      <c r="AO499" s="340">
        <f>'codeis $'!AH499</f>
        <v>0</v>
      </c>
      <c r="AP499" s="304">
        <f>'codeis $'!AE499</f>
        <v>0</v>
      </c>
      <c r="AQ499" s="304">
        <f>'codeis $'!AK499</f>
        <v>0</v>
      </c>
      <c r="AR499" s="9"/>
      <c r="AS499" s="9"/>
      <c r="AT499" s="123"/>
      <c r="AU499" s="123"/>
      <c r="AV499" s="123"/>
      <c r="AW499" s="123"/>
      <c r="AX499" s="123"/>
      <c r="AY499" s="123"/>
      <c r="AZ499" s="123"/>
      <c r="BA499" s="123"/>
      <c r="BC499" s="122"/>
      <c r="BD499" s="122"/>
      <c r="BE499" s="122"/>
      <c r="BF499" s="122"/>
      <c r="BH499" s="122"/>
      <c r="BI499" s="122"/>
      <c r="BJ499" s="122"/>
      <c r="BK499" s="122"/>
      <c r="BM499" s="122"/>
      <c r="BN499" s="122"/>
      <c r="BO499" s="122"/>
      <c r="BP499" s="122"/>
      <c r="BR499" s="122"/>
      <c r="BS499" s="122"/>
      <c r="BT499" s="122"/>
      <c r="BU499" s="122"/>
      <c r="BV499" s="439"/>
      <c r="BW499" s="120">
        <f t="shared" si="549"/>
        <v>17450000</v>
      </c>
      <c r="BX499" s="121">
        <f t="shared" si="404"/>
        <v>3.5000000000000003E-2</v>
      </c>
      <c r="BY499" s="121">
        <f t="shared" si="409"/>
        <v>3.6932664756446992E-2</v>
      </c>
      <c r="BZ499" s="120">
        <f t="shared" si="550"/>
        <v>1790.2083333333335</v>
      </c>
      <c r="CA499" s="120">
        <f t="shared" si="551"/>
        <v>263.33333333333337</v>
      </c>
    </row>
    <row r="500" spans="2:79" x14ac:dyDescent="0.25">
      <c r="B500" s="123" t="str">
        <f t="shared" si="531"/>
        <v>5 2026</v>
      </c>
      <c r="C500" s="122">
        <f t="shared" si="532"/>
        <v>46149</v>
      </c>
      <c r="D500" s="122">
        <f t="shared" si="410"/>
        <v>46150</v>
      </c>
      <c r="E500" s="123">
        <f t="shared" si="533"/>
        <v>1</v>
      </c>
      <c r="F500" s="123" t="s">
        <v>7</v>
      </c>
      <c r="G500" s="124">
        <f t="shared" ref="G500:H500" si="670">G499</f>
        <v>1450000</v>
      </c>
      <c r="H500" s="125">
        <f t="shared" si="670"/>
        <v>3.15E-2</v>
      </c>
      <c r="I500" s="124">
        <f t="shared" si="535"/>
        <v>126.875</v>
      </c>
      <c r="J500" s="124">
        <f t="shared" si="536"/>
        <v>14831.25</v>
      </c>
      <c r="K500" s="9"/>
      <c r="L500" s="11"/>
      <c r="M500" s="306"/>
      <c r="N500" s="97"/>
      <c r="O500" s="421"/>
      <c r="P500" s="304"/>
      <c r="Q500" s="307"/>
      <c r="S500" s="11"/>
      <c r="T500" s="306"/>
      <c r="U500" s="97"/>
      <c r="V500" s="421"/>
      <c r="W500" s="304"/>
      <c r="X500" s="307"/>
      <c r="Z500" s="11" t="s">
        <v>192</v>
      </c>
      <c r="AA500" s="306">
        <f t="shared" ref="AA500:AB500" si="671">AA499</f>
        <v>10000000</v>
      </c>
      <c r="AB500" s="97">
        <f t="shared" si="671"/>
        <v>3.7499999999999999E-2</v>
      </c>
      <c r="AC500" s="421">
        <f t="shared" si="542"/>
        <v>1041.6666666666667</v>
      </c>
      <c r="AD500" s="304">
        <f t="shared" si="543"/>
        <v>133333.33333333355</v>
      </c>
      <c r="AE500" s="307">
        <f t="shared" si="544"/>
        <v>166.66666666666674</v>
      </c>
      <c r="AG500" s="11" t="s">
        <v>192</v>
      </c>
      <c r="AH500" s="306">
        <f t="shared" ref="AH500:AI500" si="672">AH499</f>
        <v>6000000</v>
      </c>
      <c r="AI500" s="97">
        <f t="shared" si="672"/>
        <v>3.73E-2</v>
      </c>
      <c r="AJ500" s="421">
        <f t="shared" si="546"/>
        <v>621.66666666666663</v>
      </c>
      <c r="AK500" s="304">
        <f t="shared" si="547"/>
        <v>1243.3333333333333</v>
      </c>
      <c r="AL500" s="307">
        <f t="shared" si="548"/>
        <v>96.666666666666629</v>
      </c>
      <c r="AN500" s="304">
        <f>'codeis $'!AB500</f>
        <v>0</v>
      </c>
      <c r="AO500" s="340">
        <f>'codeis $'!AH500</f>
        <v>0</v>
      </c>
      <c r="AP500" s="304">
        <f>'codeis $'!AE500</f>
        <v>0</v>
      </c>
      <c r="AQ500" s="304">
        <f>'codeis $'!AK500</f>
        <v>0</v>
      </c>
      <c r="AR500" s="9"/>
      <c r="AS500" s="9"/>
      <c r="AT500" s="123"/>
      <c r="AU500" s="123"/>
      <c r="AV500" s="123"/>
      <c r="AW500" s="123"/>
      <c r="AX500" s="123"/>
      <c r="AY500" s="123"/>
      <c r="AZ500" s="123"/>
      <c r="BA500" s="123"/>
      <c r="BC500" s="122"/>
      <c r="BD500" s="122"/>
      <c r="BE500" s="122"/>
      <c r="BF500" s="122"/>
      <c r="BH500" s="122"/>
      <c r="BI500" s="122"/>
      <c r="BJ500" s="122"/>
      <c r="BK500" s="122"/>
      <c r="BM500" s="122"/>
      <c r="BN500" s="122"/>
      <c r="BO500" s="122"/>
      <c r="BP500" s="122"/>
      <c r="BR500" s="122"/>
      <c r="BS500" s="122"/>
      <c r="BT500" s="122"/>
      <c r="BU500" s="122"/>
      <c r="BV500" s="439"/>
      <c r="BW500" s="120">
        <f t="shared" si="549"/>
        <v>17450000</v>
      </c>
      <c r="BX500" s="121">
        <f t="shared" si="404"/>
        <v>3.5000000000000003E-2</v>
      </c>
      <c r="BY500" s="121">
        <f t="shared" si="409"/>
        <v>3.6932664756446992E-2</v>
      </c>
      <c r="BZ500" s="120">
        <f t="shared" si="550"/>
        <v>1790.2083333333335</v>
      </c>
      <c r="CA500" s="120">
        <f t="shared" si="551"/>
        <v>263.33333333333337</v>
      </c>
    </row>
    <row r="501" spans="2:79" x14ac:dyDescent="0.25">
      <c r="B501" s="123" t="str">
        <f t="shared" si="531"/>
        <v>5 2026</v>
      </c>
      <c r="C501" s="122">
        <f t="shared" si="532"/>
        <v>46150</v>
      </c>
      <c r="D501" s="122">
        <f t="shared" si="410"/>
        <v>46151</v>
      </c>
      <c r="E501" s="123">
        <f t="shared" si="533"/>
        <v>1</v>
      </c>
      <c r="F501" s="123" t="s">
        <v>7</v>
      </c>
      <c r="G501" s="124">
        <f t="shared" ref="G501:H501" si="673">G500</f>
        <v>1450000</v>
      </c>
      <c r="H501" s="125">
        <f t="shared" si="673"/>
        <v>3.15E-2</v>
      </c>
      <c r="I501" s="124">
        <f t="shared" si="535"/>
        <v>126.875</v>
      </c>
      <c r="J501" s="124">
        <f t="shared" si="536"/>
        <v>14958.125</v>
      </c>
      <c r="K501" s="9"/>
      <c r="L501" s="11"/>
      <c r="M501" s="306"/>
      <c r="N501" s="97"/>
      <c r="O501" s="421"/>
      <c r="P501" s="304"/>
      <c r="Q501" s="307"/>
      <c r="S501" s="11"/>
      <c r="T501" s="306"/>
      <c r="U501" s="97"/>
      <c r="V501" s="421"/>
      <c r="W501" s="304"/>
      <c r="X501" s="307"/>
      <c r="Z501" s="11" t="s">
        <v>192</v>
      </c>
      <c r="AA501" s="306">
        <f t="shared" ref="AA501:AB501" si="674">AA500</f>
        <v>10000000</v>
      </c>
      <c r="AB501" s="97">
        <f t="shared" si="674"/>
        <v>3.7499999999999999E-2</v>
      </c>
      <c r="AC501" s="421">
        <f t="shared" si="542"/>
        <v>1041.6666666666667</v>
      </c>
      <c r="AD501" s="304">
        <f t="shared" si="543"/>
        <v>134375.0000000002</v>
      </c>
      <c r="AE501" s="307">
        <f t="shared" si="544"/>
        <v>166.66666666666674</v>
      </c>
      <c r="AG501" s="11" t="s">
        <v>192</v>
      </c>
      <c r="AH501" s="306">
        <f t="shared" ref="AH501:AI501" si="675">AH500</f>
        <v>6000000</v>
      </c>
      <c r="AI501" s="97">
        <f t="shared" si="675"/>
        <v>3.73E-2</v>
      </c>
      <c r="AJ501" s="421">
        <f t="shared" si="546"/>
        <v>621.66666666666663</v>
      </c>
      <c r="AK501" s="304">
        <f t="shared" si="547"/>
        <v>1243.3333333333333</v>
      </c>
      <c r="AL501" s="307">
        <f t="shared" si="548"/>
        <v>96.666666666666629</v>
      </c>
      <c r="AN501" s="304">
        <f>'codeis $'!AB501</f>
        <v>0</v>
      </c>
      <c r="AO501" s="340">
        <f>'codeis $'!AH501</f>
        <v>0</v>
      </c>
      <c r="AP501" s="304">
        <f>'codeis $'!AE501</f>
        <v>0</v>
      </c>
      <c r="AQ501" s="304">
        <f>'codeis $'!AK501</f>
        <v>0</v>
      </c>
      <c r="AR501" s="9"/>
      <c r="AS501" s="9"/>
      <c r="AT501" s="123"/>
      <c r="AU501" s="123"/>
      <c r="AV501" s="123"/>
      <c r="AW501" s="123"/>
      <c r="AX501" s="123"/>
      <c r="AY501" s="123"/>
      <c r="AZ501" s="123"/>
      <c r="BA501" s="123"/>
      <c r="BC501" s="122"/>
      <c r="BD501" s="122"/>
      <c r="BE501" s="122"/>
      <c r="BF501" s="122"/>
      <c r="BH501" s="122"/>
      <c r="BI501" s="122"/>
      <c r="BJ501" s="122"/>
      <c r="BK501" s="122"/>
      <c r="BM501" s="122"/>
      <c r="BN501" s="122"/>
      <c r="BO501" s="122"/>
      <c r="BP501" s="122"/>
      <c r="BR501" s="122"/>
      <c r="BS501" s="122"/>
      <c r="BT501" s="122"/>
      <c r="BU501" s="122"/>
      <c r="BV501" s="439"/>
      <c r="BW501" s="120">
        <f t="shared" si="549"/>
        <v>17450000</v>
      </c>
      <c r="BX501" s="121">
        <f t="shared" ref="BX501:BX564" si="676">BX500</f>
        <v>3.5000000000000003E-2</v>
      </c>
      <c r="BY501" s="121">
        <f t="shared" si="409"/>
        <v>3.6932664756446992E-2</v>
      </c>
      <c r="BZ501" s="120">
        <f t="shared" si="550"/>
        <v>1790.2083333333335</v>
      </c>
      <c r="CA501" s="120">
        <f t="shared" si="551"/>
        <v>263.33333333333337</v>
      </c>
    </row>
    <row r="502" spans="2:79" x14ac:dyDescent="0.25">
      <c r="B502" s="123" t="str">
        <f t="shared" si="531"/>
        <v>5 2026</v>
      </c>
      <c r="C502" s="122">
        <f t="shared" si="532"/>
        <v>46151</v>
      </c>
      <c r="D502" s="122">
        <f t="shared" si="410"/>
        <v>46152</v>
      </c>
      <c r="E502" s="123">
        <f t="shared" si="533"/>
        <v>1</v>
      </c>
      <c r="F502" s="123" t="s">
        <v>7</v>
      </c>
      <c r="G502" s="124">
        <f t="shared" ref="G502:H502" si="677">G501</f>
        <v>1450000</v>
      </c>
      <c r="H502" s="125">
        <f t="shared" si="677"/>
        <v>3.15E-2</v>
      </c>
      <c r="I502" s="124">
        <f t="shared" si="535"/>
        <v>126.875</v>
      </c>
      <c r="J502" s="124">
        <f t="shared" si="536"/>
        <v>15085</v>
      </c>
      <c r="K502" s="9"/>
      <c r="L502" s="11"/>
      <c r="M502" s="306"/>
      <c r="N502" s="97"/>
      <c r="O502" s="421"/>
      <c r="P502" s="304"/>
      <c r="Q502" s="307"/>
      <c r="S502" s="11"/>
      <c r="T502" s="306"/>
      <c r="U502" s="97"/>
      <c r="V502" s="421"/>
      <c r="W502" s="304"/>
      <c r="X502" s="307"/>
      <c r="Z502" s="11" t="s">
        <v>192</v>
      </c>
      <c r="AA502" s="306">
        <f t="shared" ref="AA502:AB502" si="678">AA501</f>
        <v>10000000</v>
      </c>
      <c r="AB502" s="97">
        <f t="shared" si="678"/>
        <v>3.7499999999999999E-2</v>
      </c>
      <c r="AC502" s="421">
        <f t="shared" si="542"/>
        <v>1041.6666666666667</v>
      </c>
      <c r="AD502" s="304">
        <f t="shared" si="543"/>
        <v>135416.66666666686</v>
      </c>
      <c r="AE502" s="307">
        <f t="shared" si="544"/>
        <v>166.66666666666674</v>
      </c>
      <c r="AG502" s="11" t="s">
        <v>192</v>
      </c>
      <c r="AH502" s="306">
        <f t="shared" ref="AH502:AI502" si="679">AH501</f>
        <v>6000000</v>
      </c>
      <c r="AI502" s="97">
        <f t="shared" si="679"/>
        <v>3.73E-2</v>
      </c>
      <c r="AJ502" s="421">
        <f t="shared" si="546"/>
        <v>621.66666666666663</v>
      </c>
      <c r="AK502" s="304">
        <f t="shared" si="547"/>
        <v>1243.3333333333333</v>
      </c>
      <c r="AL502" s="307">
        <f t="shared" si="548"/>
        <v>96.666666666666629</v>
      </c>
      <c r="AN502" s="304">
        <f>'codeis $'!AB502</f>
        <v>0</v>
      </c>
      <c r="AO502" s="340">
        <f>'codeis $'!AH502</f>
        <v>0</v>
      </c>
      <c r="AP502" s="304">
        <f>'codeis $'!AE502</f>
        <v>0</v>
      </c>
      <c r="AQ502" s="304">
        <f>'codeis $'!AK502</f>
        <v>0</v>
      </c>
      <c r="AR502" s="9"/>
      <c r="AS502" s="9"/>
      <c r="AT502" s="123"/>
      <c r="AU502" s="123"/>
      <c r="AV502" s="123"/>
      <c r="AW502" s="123"/>
      <c r="AX502" s="123"/>
      <c r="AY502" s="123"/>
      <c r="AZ502" s="123"/>
      <c r="BA502" s="123"/>
      <c r="BC502" s="122"/>
      <c r="BD502" s="122"/>
      <c r="BE502" s="122"/>
      <c r="BF502" s="122"/>
      <c r="BH502" s="122"/>
      <c r="BI502" s="122"/>
      <c r="BJ502" s="122"/>
      <c r="BK502" s="122"/>
      <c r="BM502" s="122"/>
      <c r="BN502" s="122"/>
      <c r="BO502" s="122"/>
      <c r="BP502" s="122"/>
      <c r="BR502" s="122"/>
      <c r="BS502" s="122"/>
      <c r="BT502" s="122"/>
      <c r="BU502" s="122"/>
      <c r="BV502" s="439"/>
      <c r="BW502" s="120">
        <f t="shared" si="549"/>
        <v>17450000</v>
      </c>
      <c r="BX502" s="121">
        <f t="shared" si="676"/>
        <v>3.5000000000000003E-2</v>
      </c>
      <c r="BY502" s="121">
        <f t="shared" ref="BY502:BY565" si="680">(SUM((AW502*AV502),(H502*G502),(M502*N502),(T502*U502),(AA502*AB502),(AH502*AI502),(AN502*AO502),(BC502*BD502),(BH502*BI502),(BM502*BN502),(BR502*BS502))/BW502)</f>
        <v>3.6932664756446992E-2</v>
      </c>
      <c r="BZ502" s="120">
        <f t="shared" si="550"/>
        <v>1790.2083333333335</v>
      </c>
      <c r="CA502" s="120">
        <f t="shared" si="551"/>
        <v>263.33333333333337</v>
      </c>
    </row>
    <row r="503" spans="2:79" x14ac:dyDescent="0.25">
      <c r="B503" s="123" t="str">
        <f t="shared" si="531"/>
        <v>5 2026</v>
      </c>
      <c r="C503" s="122">
        <f t="shared" si="532"/>
        <v>46152</v>
      </c>
      <c r="D503" s="122">
        <f t="shared" ref="D503:D566" si="681">D502+1</f>
        <v>46153</v>
      </c>
      <c r="E503" s="123">
        <f t="shared" si="533"/>
        <v>1</v>
      </c>
      <c r="F503" s="123" t="s">
        <v>7</v>
      </c>
      <c r="G503" s="124">
        <f t="shared" ref="G503:H503" si="682">G502</f>
        <v>1450000</v>
      </c>
      <c r="H503" s="125">
        <f t="shared" si="682"/>
        <v>3.15E-2</v>
      </c>
      <c r="I503" s="124">
        <f t="shared" si="535"/>
        <v>126.875</v>
      </c>
      <c r="J503" s="124">
        <f t="shared" si="536"/>
        <v>15211.875</v>
      </c>
      <c r="K503" s="9"/>
      <c r="L503" s="11"/>
      <c r="M503" s="306"/>
      <c r="N503" s="97"/>
      <c r="O503" s="421"/>
      <c r="P503" s="304"/>
      <c r="Q503" s="307"/>
      <c r="S503" s="11"/>
      <c r="T503" s="306"/>
      <c r="U503" s="97"/>
      <c r="V503" s="421"/>
      <c r="W503" s="304"/>
      <c r="X503" s="307"/>
      <c r="Z503" s="11" t="s">
        <v>192</v>
      </c>
      <c r="AA503" s="306">
        <f t="shared" ref="AA503:AB503" si="683">AA502</f>
        <v>10000000</v>
      </c>
      <c r="AB503" s="97">
        <f t="shared" si="683"/>
        <v>3.7499999999999999E-2</v>
      </c>
      <c r="AC503" s="421">
        <f t="shared" si="542"/>
        <v>1041.6666666666667</v>
      </c>
      <c r="AD503" s="304">
        <f t="shared" si="543"/>
        <v>136458.33333333352</v>
      </c>
      <c r="AE503" s="307">
        <f t="shared" si="544"/>
        <v>166.66666666666674</v>
      </c>
      <c r="AG503" s="11" t="s">
        <v>192</v>
      </c>
      <c r="AH503" s="306">
        <f t="shared" ref="AH503:AI503" si="684">AH502</f>
        <v>6000000</v>
      </c>
      <c r="AI503" s="97">
        <f t="shared" si="684"/>
        <v>3.73E-2</v>
      </c>
      <c r="AJ503" s="421">
        <f t="shared" si="546"/>
        <v>621.66666666666663</v>
      </c>
      <c r="AK503" s="304">
        <f t="shared" si="547"/>
        <v>1243.3333333333333</v>
      </c>
      <c r="AL503" s="307">
        <f t="shared" si="548"/>
        <v>96.666666666666629</v>
      </c>
      <c r="AN503" s="304">
        <f>'codeis $'!AB503</f>
        <v>0</v>
      </c>
      <c r="AO503" s="340">
        <f>'codeis $'!AH503</f>
        <v>0</v>
      </c>
      <c r="AP503" s="304">
        <f>'codeis $'!AE503</f>
        <v>0</v>
      </c>
      <c r="AQ503" s="304">
        <f>'codeis $'!AK503</f>
        <v>0</v>
      </c>
      <c r="AR503" s="9"/>
      <c r="AS503" s="9"/>
      <c r="AT503" s="123"/>
      <c r="AU503" s="123"/>
      <c r="AV503" s="123"/>
      <c r="AW503" s="123"/>
      <c r="AX503" s="123"/>
      <c r="AY503" s="123"/>
      <c r="AZ503" s="123"/>
      <c r="BA503" s="123"/>
      <c r="BC503" s="122"/>
      <c r="BD503" s="122"/>
      <c r="BE503" s="122"/>
      <c r="BF503" s="122"/>
      <c r="BH503" s="122"/>
      <c r="BI503" s="122"/>
      <c r="BJ503" s="122"/>
      <c r="BK503" s="122"/>
      <c r="BM503" s="122"/>
      <c r="BN503" s="122"/>
      <c r="BO503" s="122"/>
      <c r="BP503" s="122"/>
      <c r="BR503" s="122"/>
      <c r="BS503" s="122"/>
      <c r="BT503" s="122"/>
      <c r="BU503" s="122"/>
      <c r="BV503" s="439"/>
      <c r="BW503" s="120">
        <f t="shared" si="549"/>
        <v>17450000</v>
      </c>
      <c r="BX503" s="121">
        <f t="shared" si="676"/>
        <v>3.5000000000000003E-2</v>
      </c>
      <c r="BY503" s="121">
        <f t="shared" si="680"/>
        <v>3.6932664756446992E-2</v>
      </c>
      <c r="BZ503" s="120">
        <f t="shared" si="550"/>
        <v>1790.2083333333335</v>
      </c>
      <c r="CA503" s="120">
        <f t="shared" si="551"/>
        <v>263.33333333333337</v>
      </c>
    </row>
    <row r="504" spans="2:79" x14ac:dyDescent="0.25">
      <c r="B504" s="123" t="str">
        <f t="shared" si="531"/>
        <v>5 2026</v>
      </c>
      <c r="C504" s="122">
        <f t="shared" si="532"/>
        <v>46153</v>
      </c>
      <c r="D504" s="122">
        <f t="shared" si="681"/>
        <v>46154</v>
      </c>
      <c r="E504" s="123">
        <f t="shared" si="533"/>
        <v>1</v>
      </c>
      <c r="F504" s="123" t="s">
        <v>7</v>
      </c>
      <c r="G504" s="124">
        <f t="shared" ref="G504:H504" si="685">G503</f>
        <v>1450000</v>
      </c>
      <c r="H504" s="125">
        <f t="shared" si="685"/>
        <v>3.15E-2</v>
      </c>
      <c r="I504" s="124">
        <f t="shared" si="535"/>
        <v>126.875</v>
      </c>
      <c r="J504" s="124">
        <f t="shared" si="536"/>
        <v>15338.75</v>
      </c>
      <c r="K504" s="9"/>
      <c r="L504" s="11"/>
      <c r="M504" s="306"/>
      <c r="N504" s="97"/>
      <c r="O504" s="421"/>
      <c r="P504" s="304"/>
      <c r="Q504" s="307"/>
      <c r="S504" s="11"/>
      <c r="T504" s="306"/>
      <c r="U504" s="97"/>
      <c r="V504" s="421"/>
      <c r="W504" s="304"/>
      <c r="X504" s="307"/>
      <c r="Z504" s="11" t="s">
        <v>192</v>
      </c>
      <c r="AA504" s="306">
        <f t="shared" ref="AA504:AB504" si="686">AA503</f>
        <v>10000000</v>
      </c>
      <c r="AB504" s="97">
        <f t="shared" si="686"/>
        <v>3.7499999999999999E-2</v>
      </c>
      <c r="AC504" s="421">
        <f t="shared" si="542"/>
        <v>1041.6666666666667</v>
      </c>
      <c r="AD504" s="304">
        <f t="shared" si="543"/>
        <v>137500.00000000017</v>
      </c>
      <c r="AE504" s="307">
        <f t="shared" si="544"/>
        <v>166.66666666666674</v>
      </c>
      <c r="AG504" s="11" t="s">
        <v>192</v>
      </c>
      <c r="AH504" s="306">
        <f t="shared" ref="AH504:AI504" si="687">AH503</f>
        <v>6000000</v>
      </c>
      <c r="AI504" s="97">
        <f t="shared" si="687"/>
        <v>3.73E-2</v>
      </c>
      <c r="AJ504" s="421">
        <f t="shared" si="546"/>
        <v>621.66666666666663</v>
      </c>
      <c r="AK504" s="304">
        <f t="shared" si="547"/>
        <v>1243.3333333333333</v>
      </c>
      <c r="AL504" s="307">
        <f t="shared" si="548"/>
        <v>96.666666666666629</v>
      </c>
      <c r="AN504" s="304">
        <f>'codeis $'!AB504</f>
        <v>0</v>
      </c>
      <c r="AO504" s="340">
        <f>'codeis $'!AH504</f>
        <v>0</v>
      </c>
      <c r="AP504" s="304">
        <f>'codeis $'!AE504</f>
        <v>0</v>
      </c>
      <c r="AQ504" s="304">
        <f>'codeis $'!AK504</f>
        <v>0</v>
      </c>
      <c r="AR504" s="9"/>
      <c r="AS504" s="9"/>
      <c r="AT504" s="123"/>
      <c r="AU504" s="123"/>
      <c r="AV504" s="123"/>
      <c r="AW504" s="123"/>
      <c r="AX504" s="123"/>
      <c r="AY504" s="123"/>
      <c r="AZ504" s="123"/>
      <c r="BA504" s="123"/>
      <c r="BC504" s="122"/>
      <c r="BD504" s="122"/>
      <c r="BE504" s="122"/>
      <c r="BF504" s="122"/>
      <c r="BH504" s="122"/>
      <c r="BI504" s="122"/>
      <c r="BJ504" s="122"/>
      <c r="BK504" s="122"/>
      <c r="BM504" s="122"/>
      <c r="BN504" s="122"/>
      <c r="BO504" s="122"/>
      <c r="BP504" s="122"/>
      <c r="BR504" s="122"/>
      <c r="BS504" s="122"/>
      <c r="BT504" s="122"/>
      <c r="BU504" s="122"/>
      <c r="BV504" s="439"/>
      <c r="BW504" s="120">
        <f t="shared" si="549"/>
        <v>17450000</v>
      </c>
      <c r="BX504" s="121">
        <f t="shared" si="676"/>
        <v>3.5000000000000003E-2</v>
      </c>
      <c r="BY504" s="121">
        <f t="shared" si="680"/>
        <v>3.6932664756446992E-2</v>
      </c>
      <c r="BZ504" s="120">
        <f t="shared" si="550"/>
        <v>1790.2083333333335</v>
      </c>
      <c r="CA504" s="120">
        <f t="shared" si="551"/>
        <v>263.33333333333337</v>
      </c>
    </row>
    <row r="505" spans="2:79" x14ac:dyDescent="0.25">
      <c r="B505" s="123" t="str">
        <f t="shared" si="531"/>
        <v>5 2026</v>
      </c>
      <c r="C505" s="122">
        <f t="shared" si="532"/>
        <v>46154</v>
      </c>
      <c r="D505" s="122">
        <f t="shared" si="681"/>
        <v>46155</v>
      </c>
      <c r="E505" s="123">
        <f t="shared" si="533"/>
        <v>1</v>
      </c>
      <c r="F505" s="123" t="s">
        <v>7</v>
      </c>
      <c r="G505" s="124">
        <f t="shared" ref="G505:H505" si="688">G504</f>
        <v>1450000</v>
      </c>
      <c r="H505" s="125">
        <f t="shared" si="688"/>
        <v>3.15E-2</v>
      </c>
      <c r="I505" s="124">
        <f t="shared" si="535"/>
        <v>126.875</v>
      </c>
      <c r="J505" s="124">
        <f t="shared" si="536"/>
        <v>15465.625</v>
      </c>
      <c r="K505" s="9"/>
      <c r="L505" s="11"/>
      <c r="M505" s="306"/>
      <c r="N505" s="97"/>
      <c r="O505" s="421"/>
      <c r="P505" s="304"/>
      <c r="Q505" s="307"/>
      <c r="S505" s="11"/>
      <c r="T505" s="306"/>
      <c r="U505" s="97"/>
      <c r="V505" s="421"/>
      <c r="W505" s="304"/>
      <c r="X505" s="307"/>
      <c r="Z505" s="11" t="s">
        <v>192</v>
      </c>
      <c r="AA505" s="306">
        <f t="shared" ref="AA505:AB505" si="689">AA504</f>
        <v>10000000</v>
      </c>
      <c r="AB505" s="97">
        <f t="shared" si="689"/>
        <v>3.7499999999999999E-2</v>
      </c>
      <c r="AC505" s="421">
        <f t="shared" si="542"/>
        <v>1041.6666666666667</v>
      </c>
      <c r="AD505" s="304">
        <f t="shared" si="543"/>
        <v>138541.66666666683</v>
      </c>
      <c r="AE505" s="307">
        <f t="shared" si="544"/>
        <v>166.66666666666674</v>
      </c>
      <c r="AG505" s="11" t="s">
        <v>192</v>
      </c>
      <c r="AH505" s="306">
        <f t="shared" ref="AH505:AI505" si="690">AH504</f>
        <v>6000000</v>
      </c>
      <c r="AI505" s="97">
        <f t="shared" si="690"/>
        <v>3.73E-2</v>
      </c>
      <c r="AJ505" s="421">
        <f t="shared" si="546"/>
        <v>621.66666666666663</v>
      </c>
      <c r="AK505" s="304">
        <f t="shared" si="547"/>
        <v>1243.3333333333333</v>
      </c>
      <c r="AL505" s="307">
        <f t="shared" si="548"/>
        <v>96.666666666666629</v>
      </c>
      <c r="AN505" s="304">
        <f>'codeis $'!AB505</f>
        <v>0</v>
      </c>
      <c r="AO505" s="340">
        <f>'codeis $'!AH505</f>
        <v>0</v>
      </c>
      <c r="AP505" s="304">
        <f>'codeis $'!AE505</f>
        <v>0</v>
      </c>
      <c r="AQ505" s="304">
        <f>'codeis $'!AK505</f>
        <v>0</v>
      </c>
      <c r="AR505" s="9"/>
      <c r="AS505" s="9"/>
      <c r="AT505" s="123"/>
      <c r="AU505" s="123"/>
      <c r="AV505" s="123"/>
      <c r="AW505" s="123"/>
      <c r="AX505" s="123"/>
      <c r="AY505" s="123"/>
      <c r="AZ505" s="123"/>
      <c r="BA505" s="123"/>
      <c r="BC505" s="122"/>
      <c r="BD505" s="122"/>
      <c r="BE505" s="122"/>
      <c r="BF505" s="122"/>
      <c r="BH505" s="122"/>
      <c r="BI505" s="122"/>
      <c r="BJ505" s="122"/>
      <c r="BK505" s="122"/>
      <c r="BM505" s="122"/>
      <c r="BN505" s="122"/>
      <c r="BO505" s="122"/>
      <c r="BP505" s="122"/>
      <c r="BR505" s="122"/>
      <c r="BS505" s="122"/>
      <c r="BT505" s="122"/>
      <c r="BU505" s="122"/>
      <c r="BV505" s="439"/>
      <c r="BW505" s="120">
        <f t="shared" si="549"/>
        <v>17450000</v>
      </c>
      <c r="BX505" s="121">
        <f t="shared" si="676"/>
        <v>3.5000000000000003E-2</v>
      </c>
      <c r="BY505" s="121">
        <f t="shared" si="680"/>
        <v>3.6932664756446992E-2</v>
      </c>
      <c r="BZ505" s="120">
        <f t="shared" si="550"/>
        <v>1790.2083333333335</v>
      </c>
      <c r="CA505" s="120">
        <f t="shared" si="551"/>
        <v>263.33333333333337</v>
      </c>
    </row>
    <row r="506" spans="2:79" x14ac:dyDescent="0.25">
      <c r="B506" s="123" t="str">
        <f t="shared" si="531"/>
        <v>5 2026</v>
      </c>
      <c r="C506" s="122">
        <f t="shared" si="532"/>
        <v>46155</v>
      </c>
      <c r="D506" s="122">
        <f t="shared" si="681"/>
        <v>46156</v>
      </c>
      <c r="E506" s="123">
        <f t="shared" si="533"/>
        <v>1</v>
      </c>
      <c r="F506" s="123" t="s">
        <v>7</v>
      </c>
      <c r="G506" s="124">
        <f t="shared" ref="G506:H506" si="691">G505</f>
        <v>1450000</v>
      </c>
      <c r="H506" s="125">
        <f t="shared" si="691"/>
        <v>3.15E-2</v>
      </c>
      <c r="I506" s="124">
        <f t="shared" si="535"/>
        <v>126.875</v>
      </c>
      <c r="J506" s="124">
        <f t="shared" si="536"/>
        <v>15592.5</v>
      </c>
      <c r="K506" s="9"/>
      <c r="L506" s="11"/>
      <c r="M506" s="306"/>
      <c r="N506" s="97"/>
      <c r="O506" s="421"/>
      <c r="P506" s="304"/>
      <c r="Q506" s="307"/>
      <c r="S506" s="11"/>
      <c r="T506" s="306"/>
      <c r="U506" s="97"/>
      <c r="V506" s="421"/>
      <c r="W506" s="304"/>
      <c r="X506" s="307"/>
      <c r="Z506" s="11" t="s">
        <v>192</v>
      </c>
      <c r="AA506" s="306">
        <f t="shared" ref="AA506:AB506" si="692">AA505</f>
        <v>10000000</v>
      </c>
      <c r="AB506" s="97">
        <f t="shared" si="692"/>
        <v>3.7499999999999999E-2</v>
      </c>
      <c r="AC506" s="421">
        <f t="shared" si="542"/>
        <v>1041.6666666666667</v>
      </c>
      <c r="AD506" s="304">
        <f t="shared" si="543"/>
        <v>139583.33333333349</v>
      </c>
      <c r="AE506" s="307">
        <f t="shared" si="544"/>
        <v>166.66666666666674</v>
      </c>
      <c r="AG506" s="11" t="s">
        <v>192</v>
      </c>
      <c r="AH506" s="306">
        <f t="shared" ref="AH506:AI506" si="693">AH505</f>
        <v>6000000</v>
      </c>
      <c r="AI506" s="97">
        <f t="shared" si="693"/>
        <v>3.73E-2</v>
      </c>
      <c r="AJ506" s="421">
        <f t="shared" si="546"/>
        <v>621.66666666666663</v>
      </c>
      <c r="AK506" s="304">
        <f t="shared" si="547"/>
        <v>1243.3333333333333</v>
      </c>
      <c r="AL506" s="307">
        <f t="shared" si="548"/>
        <v>96.666666666666629</v>
      </c>
      <c r="AN506" s="304">
        <f>'codeis $'!AB506</f>
        <v>0</v>
      </c>
      <c r="AO506" s="340">
        <f>'codeis $'!AH506</f>
        <v>0</v>
      </c>
      <c r="AP506" s="304">
        <f>'codeis $'!AE506</f>
        <v>0</v>
      </c>
      <c r="AQ506" s="304">
        <f>'codeis $'!AK506</f>
        <v>0</v>
      </c>
      <c r="AR506" s="9"/>
      <c r="AS506" s="9"/>
      <c r="AT506" s="123"/>
      <c r="AU506" s="123"/>
      <c r="AV506" s="123"/>
      <c r="AW506" s="123"/>
      <c r="AX506" s="123"/>
      <c r="AY506" s="123"/>
      <c r="AZ506" s="123"/>
      <c r="BA506" s="123"/>
      <c r="BC506" s="122"/>
      <c r="BD506" s="122"/>
      <c r="BE506" s="122"/>
      <c r="BF506" s="122"/>
      <c r="BH506" s="122"/>
      <c r="BI506" s="122"/>
      <c r="BJ506" s="122"/>
      <c r="BK506" s="122"/>
      <c r="BM506" s="122"/>
      <c r="BN506" s="122"/>
      <c r="BO506" s="122"/>
      <c r="BP506" s="122"/>
      <c r="BR506" s="122"/>
      <c r="BS506" s="122"/>
      <c r="BT506" s="122"/>
      <c r="BU506" s="122"/>
      <c r="BV506" s="439"/>
      <c r="BW506" s="120">
        <f t="shared" si="549"/>
        <v>17450000</v>
      </c>
      <c r="BX506" s="121">
        <f t="shared" si="676"/>
        <v>3.5000000000000003E-2</v>
      </c>
      <c r="BY506" s="121">
        <f t="shared" si="680"/>
        <v>3.6932664756446992E-2</v>
      </c>
      <c r="BZ506" s="120">
        <f t="shared" si="550"/>
        <v>1790.2083333333335</v>
      </c>
      <c r="CA506" s="120">
        <f t="shared" si="551"/>
        <v>263.33333333333337</v>
      </c>
    </row>
    <row r="507" spans="2:79" x14ac:dyDescent="0.25">
      <c r="B507" s="123" t="str">
        <f t="shared" si="531"/>
        <v>5 2026</v>
      </c>
      <c r="C507" s="122">
        <f t="shared" si="532"/>
        <v>46156</v>
      </c>
      <c r="D507" s="122">
        <f t="shared" si="681"/>
        <v>46157</v>
      </c>
      <c r="E507" s="123">
        <f t="shared" si="533"/>
        <v>1</v>
      </c>
      <c r="F507" s="123" t="s">
        <v>7</v>
      </c>
      <c r="G507" s="124">
        <f t="shared" ref="G507:H507" si="694">G506</f>
        <v>1450000</v>
      </c>
      <c r="H507" s="125">
        <f t="shared" si="694"/>
        <v>3.15E-2</v>
      </c>
      <c r="I507" s="124">
        <f t="shared" si="535"/>
        <v>126.875</v>
      </c>
      <c r="J507" s="124">
        <f t="shared" si="536"/>
        <v>15719.375</v>
      </c>
      <c r="K507" s="9"/>
      <c r="L507" s="11"/>
      <c r="M507" s="306"/>
      <c r="N507" s="97"/>
      <c r="O507" s="421"/>
      <c r="P507" s="304"/>
      <c r="Q507" s="307"/>
      <c r="S507" s="11"/>
      <c r="T507" s="306"/>
      <c r="U507" s="97"/>
      <c r="V507" s="421"/>
      <c r="W507" s="304"/>
      <c r="X507" s="307"/>
      <c r="Z507" s="11" t="s">
        <v>192</v>
      </c>
      <c r="AA507" s="306">
        <f t="shared" ref="AA507:AB507" si="695">AA506</f>
        <v>10000000</v>
      </c>
      <c r="AB507" s="97">
        <f t="shared" si="695"/>
        <v>3.7499999999999999E-2</v>
      </c>
      <c r="AC507" s="421">
        <f t="shared" si="542"/>
        <v>1041.6666666666667</v>
      </c>
      <c r="AD507" s="304">
        <f t="shared" si="543"/>
        <v>140625.00000000015</v>
      </c>
      <c r="AE507" s="307">
        <f t="shared" si="544"/>
        <v>166.66666666666674</v>
      </c>
      <c r="AG507" s="11" t="s">
        <v>192</v>
      </c>
      <c r="AH507" s="306">
        <f t="shared" ref="AH507:AI507" si="696">AH506</f>
        <v>6000000</v>
      </c>
      <c r="AI507" s="97">
        <f t="shared" si="696"/>
        <v>3.73E-2</v>
      </c>
      <c r="AJ507" s="421">
        <f t="shared" si="546"/>
        <v>621.66666666666663</v>
      </c>
      <c r="AK507" s="304">
        <f t="shared" si="547"/>
        <v>1243.3333333333333</v>
      </c>
      <c r="AL507" s="307">
        <f t="shared" si="548"/>
        <v>96.666666666666629</v>
      </c>
      <c r="AN507" s="304">
        <f>'codeis $'!AB507</f>
        <v>0</v>
      </c>
      <c r="AO507" s="340">
        <f>'codeis $'!AH507</f>
        <v>0</v>
      </c>
      <c r="AP507" s="304">
        <f>'codeis $'!AE507</f>
        <v>0</v>
      </c>
      <c r="AQ507" s="304">
        <f>'codeis $'!AK507</f>
        <v>0</v>
      </c>
      <c r="AR507" s="9"/>
      <c r="AS507" s="9"/>
      <c r="AT507" s="123"/>
      <c r="AU507" s="123"/>
      <c r="AV507" s="123"/>
      <c r="AW507" s="123"/>
      <c r="AX507" s="123"/>
      <c r="AY507" s="123"/>
      <c r="AZ507" s="123"/>
      <c r="BA507" s="123"/>
      <c r="BC507" s="122"/>
      <c r="BD507" s="122"/>
      <c r="BE507" s="122"/>
      <c r="BF507" s="122"/>
      <c r="BH507" s="122"/>
      <c r="BI507" s="122"/>
      <c r="BJ507" s="122"/>
      <c r="BK507" s="122"/>
      <c r="BM507" s="122"/>
      <c r="BN507" s="122"/>
      <c r="BO507" s="122"/>
      <c r="BP507" s="122"/>
      <c r="BR507" s="122"/>
      <c r="BS507" s="122"/>
      <c r="BT507" s="122"/>
      <c r="BU507" s="122"/>
      <c r="BV507" s="439"/>
      <c r="BW507" s="120">
        <f t="shared" si="549"/>
        <v>17450000</v>
      </c>
      <c r="BX507" s="121">
        <f t="shared" si="676"/>
        <v>3.5000000000000003E-2</v>
      </c>
      <c r="BY507" s="121">
        <f t="shared" si="680"/>
        <v>3.6932664756446992E-2</v>
      </c>
      <c r="BZ507" s="120">
        <f t="shared" si="550"/>
        <v>1790.2083333333335</v>
      </c>
      <c r="CA507" s="120">
        <f t="shared" si="551"/>
        <v>263.33333333333337</v>
      </c>
    </row>
    <row r="508" spans="2:79" x14ac:dyDescent="0.25">
      <c r="B508" s="123" t="str">
        <f t="shared" si="531"/>
        <v>5 2026</v>
      </c>
      <c r="C508" s="122">
        <f t="shared" si="532"/>
        <v>46157</v>
      </c>
      <c r="D508" s="122">
        <f t="shared" si="681"/>
        <v>46158</v>
      </c>
      <c r="E508" s="123">
        <f t="shared" si="533"/>
        <v>1</v>
      </c>
      <c r="F508" s="123" t="s">
        <v>7</v>
      </c>
      <c r="G508" s="124">
        <f t="shared" ref="G508:H508" si="697">G507</f>
        <v>1450000</v>
      </c>
      <c r="H508" s="125">
        <f t="shared" si="697"/>
        <v>3.15E-2</v>
      </c>
      <c r="I508" s="124">
        <f t="shared" si="535"/>
        <v>126.875</v>
      </c>
      <c r="J508" s="124">
        <f t="shared" si="536"/>
        <v>15846.25</v>
      </c>
      <c r="K508" s="9"/>
      <c r="L508" s="11"/>
      <c r="M508" s="306"/>
      <c r="N508" s="97"/>
      <c r="O508" s="421"/>
      <c r="P508" s="304"/>
      <c r="Q508" s="307"/>
      <c r="S508" s="11"/>
      <c r="T508" s="306"/>
      <c r="U508" s="97"/>
      <c r="V508" s="421"/>
      <c r="W508" s="304"/>
      <c r="X508" s="307"/>
      <c r="Z508" s="11" t="s">
        <v>192</v>
      </c>
      <c r="AA508" s="306">
        <f t="shared" ref="AA508:AB508" si="698">AA507</f>
        <v>10000000</v>
      </c>
      <c r="AB508" s="97">
        <f t="shared" si="698"/>
        <v>3.7499999999999999E-2</v>
      </c>
      <c r="AC508" s="421">
        <f t="shared" si="542"/>
        <v>1041.6666666666667</v>
      </c>
      <c r="AD508" s="304">
        <f t="shared" si="543"/>
        <v>141666.6666666668</v>
      </c>
      <c r="AE508" s="307">
        <f t="shared" si="544"/>
        <v>166.66666666666674</v>
      </c>
      <c r="AG508" s="11" t="s">
        <v>192</v>
      </c>
      <c r="AH508" s="306">
        <f t="shared" ref="AH508:AI508" si="699">AH507</f>
        <v>6000000</v>
      </c>
      <c r="AI508" s="97">
        <f t="shared" si="699"/>
        <v>3.73E-2</v>
      </c>
      <c r="AJ508" s="421">
        <f t="shared" si="546"/>
        <v>621.66666666666663</v>
      </c>
      <c r="AK508" s="304">
        <f t="shared" si="547"/>
        <v>1243.3333333333333</v>
      </c>
      <c r="AL508" s="307">
        <f t="shared" si="548"/>
        <v>96.666666666666629</v>
      </c>
      <c r="AN508" s="304">
        <f>'codeis $'!AB508</f>
        <v>0</v>
      </c>
      <c r="AO508" s="340">
        <f>'codeis $'!AH508</f>
        <v>0</v>
      </c>
      <c r="AP508" s="304">
        <f>'codeis $'!AE508</f>
        <v>0</v>
      </c>
      <c r="AQ508" s="304">
        <f>'codeis $'!AK508</f>
        <v>0</v>
      </c>
      <c r="AR508" s="9"/>
      <c r="AS508" s="9"/>
      <c r="AT508" s="123"/>
      <c r="AU508" s="123"/>
      <c r="AV508" s="123"/>
      <c r="AW508" s="123"/>
      <c r="AX508" s="123"/>
      <c r="AY508" s="123"/>
      <c r="AZ508" s="123"/>
      <c r="BA508" s="123"/>
      <c r="BC508" s="122"/>
      <c r="BD508" s="122"/>
      <c r="BE508" s="122"/>
      <c r="BF508" s="122"/>
      <c r="BH508" s="122"/>
      <c r="BI508" s="122"/>
      <c r="BJ508" s="122"/>
      <c r="BK508" s="122"/>
      <c r="BM508" s="122"/>
      <c r="BN508" s="122"/>
      <c r="BO508" s="122"/>
      <c r="BP508" s="122"/>
      <c r="BR508" s="122"/>
      <c r="BS508" s="122"/>
      <c r="BT508" s="122"/>
      <c r="BU508" s="122"/>
      <c r="BV508" s="439"/>
      <c r="BW508" s="120">
        <f t="shared" si="549"/>
        <v>17450000</v>
      </c>
      <c r="BX508" s="121">
        <f t="shared" si="676"/>
        <v>3.5000000000000003E-2</v>
      </c>
      <c r="BY508" s="121">
        <f t="shared" si="680"/>
        <v>3.6932664756446992E-2</v>
      </c>
      <c r="BZ508" s="120">
        <f t="shared" si="550"/>
        <v>1790.2083333333335</v>
      </c>
      <c r="CA508" s="120">
        <f t="shared" si="551"/>
        <v>263.33333333333337</v>
      </c>
    </row>
    <row r="509" spans="2:79" x14ac:dyDescent="0.25">
      <c r="B509" s="123" t="str">
        <f t="shared" si="531"/>
        <v>5 2026</v>
      </c>
      <c r="C509" s="122">
        <f t="shared" si="532"/>
        <v>46158</v>
      </c>
      <c r="D509" s="122">
        <f t="shared" si="681"/>
        <v>46159</v>
      </c>
      <c r="E509" s="123">
        <f t="shared" si="533"/>
        <v>1</v>
      </c>
      <c r="F509" s="123" t="s">
        <v>7</v>
      </c>
      <c r="G509" s="124">
        <f t="shared" ref="G509:H509" si="700">G508</f>
        <v>1450000</v>
      </c>
      <c r="H509" s="125">
        <f t="shared" si="700"/>
        <v>3.15E-2</v>
      </c>
      <c r="I509" s="124">
        <f t="shared" si="535"/>
        <v>126.875</v>
      </c>
      <c r="J509" s="124">
        <f t="shared" si="536"/>
        <v>15973.125</v>
      </c>
      <c r="K509" s="9"/>
      <c r="L509" s="11"/>
      <c r="M509" s="306"/>
      <c r="N509" s="97"/>
      <c r="O509" s="421"/>
      <c r="P509" s="304"/>
      <c r="Q509" s="307"/>
      <c r="S509" s="11"/>
      <c r="T509" s="306"/>
      <c r="U509" s="97"/>
      <c r="V509" s="421"/>
      <c r="W509" s="304"/>
      <c r="X509" s="307"/>
      <c r="Z509" s="11" t="s">
        <v>192</v>
      </c>
      <c r="AA509" s="306">
        <f t="shared" ref="AA509:AB509" si="701">AA508</f>
        <v>10000000</v>
      </c>
      <c r="AB509" s="97">
        <f t="shared" si="701"/>
        <v>3.7499999999999999E-2</v>
      </c>
      <c r="AC509" s="421">
        <f t="shared" si="542"/>
        <v>1041.6666666666667</v>
      </c>
      <c r="AD509" s="304">
        <f t="shared" si="543"/>
        <v>142708.33333333346</v>
      </c>
      <c r="AE509" s="307">
        <f t="shared" si="544"/>
        <v>166.66666666666674</v>
      </c>
      <c r="AG509" s="11" t="s">
        <v>192</v>
      </c>
      <c r="AH509" s="306">
        <f t="shared" ref="AH509:AI509" si="702">AH508</f>
        <v>6000000</v>
      </c>
      <c r="AI509" s="97">
        <f t="shared" si="702"/>
        <v>3.73E-2</v>
      </c>
      <c r="AJ509" s="421">
        <f t="shared" si="546"/>
        <v>621.66666666666663</v>
      </c>
      <c r="AK509" s="304">
        <f t="shared" si="547"/>
        <v>1243.3333333333333</v>
      </c>
      <c r="AL509" s="307">
        <f t="shared" si="548"/>
        <v>96.666666666666629</v>
      </c>
      <c r="AN509" s="304">
        <f>'codeis $'!AB509</f>
        <v>0</v>
      </c>
      <c r="AO509" s="340">
        <f>'codeis $'!AH509</f>
        <v>0</v>
      </c>
      <c r="AP509" s="304">
        <f>'codeis $'!AE509</f>
        <v>0</v>
      </c>
      <c r="AQ509" s="304">
        <f>'codeis $'!AK509</f>
        <v>0</v>
      </c>
      <c r="AR509" s="9"/>
      <c r="AS509" s="9"/>
      <c r="AT509" s="123"/>
      <c r="AU509" s="123"/>
      <c r="AV509" s="123"/>
      <c r="AW509" s="123"/>
      <c r="AX509" s="123"/>
      <c r="AY509" s="123"/>
      <c r="AZ509" s="123"/>
      <c r="BA509" s="123"/>
      <c r="BC509" s="122"/>
      <c r="BD509" s="122"/>
      <c r="BE509" s="122"/>
      <c r="BF509" s="122"/>
      <c r="BH509" s="122"/>
      <c r="BI509" s="122"/>
      <c r="BJ509" s="122"/>
      <c r="BK509" s="122"/>
      <c r="BM509" s="122"/>
      <c r="BN509" s="122"/>
      <c r="BO509" s="122"/>
      <c r="BP509" s="122"/>
      <c r="BR509" s="122"/>
      <c r="BS509" s="122"/>
      <c r="BT509" s="122"/>
      <c r="BU509" s="122"/>
      <c r="BV509" s="439"/>
      <c r="BW509" s="120">
        <f t="shared" si="549"/>
        <v>17450000</v>
      </c>
      <c r="BX509" s="121">
        <f t="shared" si="676"/>
        <v>3.5000000000000003E-2</v>
      </c>
      <c r="BY509" s="121">
        <f t="shared" si="680"/>
        <v>3.6932664756446992E-2</v>
      </c>
      <c r="BZ509" s="120">
        <f t="shared" si="550"/>
        <v>1790.2083333333335</v>
      </c>
      <c r="CA509" s="120">
        <f t="shared" si="551"/>
        <v>263.33333333333337</v>
      </c>
    </row>
    <row r="510" spans="2:79" x14ac:dyDescent="0.25">
      <c r="B510" s="123" t="str">
        <f t="shared" si="531"/>
        <v>5 2026</v>
      </c>
      <c r="C510" s="122">
        <f t="shared" si="532"/>
        <v>46159</v>
      </c>
      <c r="D510" s="122">
        <f t="shared" si="681"/>
        <v>46160</v>
      </c>
      <c r="E510" s="123">
        <f t="shared" si="533"/>
        <v>1</v>
      </c>
      <c r="F510" s="123" t="s">
        <v>7</v>
      </c>
      <c r="G510" s="124">
        <f t="shared" ref="G510:H510" si="703">G509</f>
        <v>1450000</v>
      </c>
      <c r="H510" s="125">
        <f t="shared" si="703"/>
        <v>3.15E-2</v>
      </c>
      <c r="I510" s="124">
        <f t="shared" si="535"/>
        <v>126.875</v>
      </c>
      <c r="J510" s="124">
        <f t="shared" si="536"/>
        <v>16100</v>
      </c>
      <c r="K510" s="9"/>
      <c r="L510" s="11"/>
      <c r="M510" s="306"/>
      <c r="N510" s="97"/>
      <c r="O510" s="421"/>
      <c r="P510" s="304"/>
      <c r="Q510" s="307"/>
      <c r="S510" s="11"/>
      <c r="T510" s="306"/>
      <c r="U510" s="97"/>
      <c r="V510" s="421"/>
      <c r="W510" s="304"/>
      <c r="X510" s="307"/>
      <c r="Z510" s="11" t="s">
        <v>192</v>
      </c>
      <c r="AA510" s="306">
        <f t="shared" ref="AA510:AB510" si="704">AA509</f>
        <v>10000000</v>
      </c>
      <c r="AB510" s="97">
        <f t="shared" si="704"/>
        <v>3.7499999999999999E-2</v>
      </c>
      <c r="AC510" s="421">
        <f t="shared" si="542"/>
        <v>1041.6666666666667</v>
      </c>
      <c r="AD510" s="304">
        <f t="shared" si="543"/>
        <v>143750.00000000012</v>
      </c>
      <c r="AE510" s="307">
        <f t="shared" si="544"/>
        <v>166.66666666666674</v>
      </c>
      <c r="AG510" s="11" t="s">
        <v>192</v>
      </c>
      <c r="AH510" s="306">
        <f t="shared" ref="AH510:AI510" si="705">AH509</f>
        <v>6000000</v>
      </c>
      <c r="AI510" s="97">
        <f t="shared" si="705"/>
        <v>3.73E-2</v>
      </c>
      <c r="AJ510" s="421">
        <f t="shared" si="546"/>
        <v>621.66666666666663</v>
      </c>
      <c r="AK510" s="304">
        <f t="shared" si="547"/>
        <v>1243.3333333333333</v>
      </c>
      <c r="AL510" s="307">
        <f t="shared" si="548"/>
        <v>96.666666666666629</v>
      </c>
      <c r="AN510" s="304">
        <f>'codeis $'!AB510</f>
        <v>0</v>
      </c>
      <c r="AO510" s="340">
        <f>'codeis $'!AH510</f>
        <v>0</v>
      </c>
      <c r="AP510" s="304">
        <f>'codeis $'!AE510</f>
        <v>0</v>
      </c>
      <c r="AQ510" s="304">
        <f>'codeis $'!AK510</f>
        <v>0</v>
      </c>
      <c r="AR510" s="9"/>
      <c r="AS510" s="9"/>
      <c r="AT510" s="123"/>
      <c r="AU510" s="123"/>
      <c r="AV510" s="123"/>
      <c r="AW510" s="123"/>
      <c r="AX510" s="123"/>
      <c r="AY510" s="123"/>
      <c r="AZ510" s="123"/>
      <c r="BA510" s="123"/>
      <c r="BC510" s="122"/>
      <c r="BD510" s="122"/>
      <c r="BE510" s="122"/>
      <c r="BF510" s="122"/>
      <c r="BH510" s="122"/>
      <c r="BI510" s="122"/>
      <c r="BJ510" s="122"/>
      <c r="BK510" s="122"/>
      <c r="BM510" s="122"/>
      <c r="BN510" s="122"/>
      <c r="BO510" s="122"/>
      <c r="BP510" s="122"/>
      <c r="BR510" s="122"/>
      <c r="BS510" s="122"/>
      <c r="BT510" s="122"/>
      <c r="BU510" s="122"/>
      <c r="BV510" s="439"/>
      <c r="BW510" s="120">
        <f t="shared" si="549"/>
        <v>17450000</v>
      </c>
      <c r="BX510" s="121">
        <f t="shared" si="676"/>
        <v>3.5000000000000003E-2</v>
      </c>
      <c r="BY510" s="121">
        <f t="shared" si="680"/>
        <v>3.6932664756446992E-2</v>
      </c>
      <c r="BZ510" s="120">
        <f t="shared" si="550"/>
        <v>1790.2083333333335</v>
      </c>
      <c r="CA510" s="120">
        <f t="shared" si="551"/>
        <v>263.33333333333337</v>
      </c>
    </row>
    <row r="511" spans="2:79" x14ac:dyDescent="0.25">
      <c r="B511" s="123" t="str">
        <f t="shared" si="531"/>
        <v>5 2026</v>
      </c>
      <c r="C511" s="122">
        <f t="shared" si="532"/>
        <v>46160</v>
      </c>
      <c r="D511" s="122">
        <f t="shared" si="681"/>
        <v>46161</v>
      </c>
      <c r="E511" s="123">
        <f t="shared" si="533"/>
        <v>1</v>
      </c>
      <c r="F511" s="123" t="s">
        <v>7</v>
      </c>
      <c r="G511" s="124">
        <f t="shared" ref="G511:H511" si="706">G510</f>
        <v>1450000</v>
      </c>
      <c r="H511" s="125">
        <f t="shared" si="706"/>
        <v>3.15E-2</v>
      </c>
      <c r="I511" s="124">
        <f t="shared" si="535"/>
        <v>126.875</v>
      </c>
      <c r="J511" s="124">
        <f t="shared" si="536"/>
        <v>16226.875</v>
      </c>
      <c r="K511" s="9"/>
      <c r="L511" s="11"/>
      <c r="M511" s="306"/>
      <c r="N511" s="97"/>
      <c r="O511" s="421"/>
      <c r="P511" s="304"/>
      <c r="Q511" s="307"/>
      <c r="S511" s="11"/>
      <c r="T511" s="306"/>
      <c r="U511" s="97"/>
      <c r="V511" s="421"/>
      <c r="W511" s="304"/>
      <c r="X511" s="307"/>
      <c r="Z511" s="11" t="s">
        <v>192</v>
      </c>
      <c r="AA511" s="306">
        <f t="shared" ref="AA511:AB511" si="707">AA510</f>
        <v>10000000</v>
      </c>
      <c r="AB511" s="97">
        <f t="shared" si="707"/>
        <v>3.7499999999999999E-2</v>
      </c>
      <c r="AC511" s="421">
        <f t="shared" si="542"/>
        <v>1041.6666666666667</v>
      </c>
      <c r="AD511" s="304">
        <f t="shared" si="543"/>
        <v>144791.66666666677</v>
      </c>
      <c r="AE511" s="307">
        <f t="shared" si="544"/>
        <v>166.66666666666674</v>
      </c>
      <c r="AG511" s="11" t="s">
        <v>192</v>
      </c>
      <c r="AH511" s="306">
        <f t="shared" ref="AH511:AI511" si="708">AH510</f>
        <v>6000000</v>
      </c>
      <c r="AI511" s="97">
        <f t="shared" si="708"/>
        <v>3.73E-2</v>
      </c>
      <c r="AJ511" s="421">
        <f t="shared" si="546"/>
        <v>621.66666666666663</v>
      </c>
      <c r="AK511" s="304">
        <f t="shared" si="547"/>
        <v>1243.3333333333333</v>
      </c>
      <c r="AL511" s="307">
        <f t="shared" si="548"/>
        <v>96.666666666666629</v>
      </c>
      <c r="AN511" s="304">
        <f>'codeis $'!AB511</f>
        <v>0</v>
      </c>
      <c r="AO511" s="340">
        <f>'codeis $'!AH511</f>
        <v>0</v>
      </c>
      <c r="AP511" s="304">
        <f>'codeis $'!AE511</f>
        <v>0</v>
      </c>
      <c r="AQ511" s="304">
        <f>'codeis $'!AK511</f>
        <v>0</v>
      </c>
      <c r="AR511" s="9"/>
      <c r="AS511" s="9"/>
      <c r="AT511" s="123"/>
      <c r="AU511" s="123"/>
      <c r="AV511" s="123"/>
      <c r="AW511" s="123"/>
      <c r="AX511" s="123"/>
      <c r="AY511" s="123"/>
      <c r="AZ511" s="123"/>
      <c r="BA511" s="123"/>
      <c r="BC511" s="122"/>
      <c r="BD511" s="122"/>
      <c r="BE511" s="122"/>
      <c r="BF511" s="122"/>
      <c r="BH511" s="122"/>
      <c r="BI511" s="122"/>
      <c r="BJ511" s="122"/>
      <c r="BK511" s="122"/>
      <c r="BM511" s="122"/>
      <c r="BN511" s="122"/>
      <c r="BO511" s="122"/>
      <c r="BP511" s="122"/>
      <c r="BR511" s="122"/>
      <c r="BS511" s="122"/>
      <c r="BT511" s="122"/>
      <c r="BU511" s="122"/>
      <c r="BV511" s="439"/>
      <c r="BW511" s="120">
        <f t="shared" si="549"/>
        <v>17450000</v>
      </c>
      <c r="BX511" s="121">
        <f t="shared" si="676"/>
        <v>3.5000000000000003E-2</v>
      </c>
      <c r="BY511" s="121">
        <f t="shared" si="680"/>
        <v>3.6932664756446992E-2</v>
      </c>
      <c r="BZ511" s="120">
        <f t="shared" si="550"/>
        <v>1790.2083333333335</v>
      </c>
      <c r="CA511" s="120">
        <f t="shared" si="551"/>
        <v>263.33333333333337</v>
      </c>
    </row>
    <row r="512" spans="2:79" x14ac:dyDescent="0.25">
      <c r="B512" s="123" t="str">
        <f t="shared" si="531"/>
        <v>5 2026</v>
      </c>
      <c r="C512" s="122">
        <f t="shared" si="532"/>
        <v>46161</v>
      </c>
      <c r="D512" s="122">
        <f t="shared" si="681"/>
        <v>46162</v>
      </c>
      <c r="E512" s="123">
        <f t="shared" si="533"/>
        <v>1</v>
      </c>
      <c r="F512" s="123" t="s">
        <v>7</v>
      </c>
      <c r="G512" s="124">
        <f t="shared" ref="G512:H512" si="709">G511</f>
        <v>1450000</v>
      </c>
      <c r="H512" s="125">
        <f t="shared" si="709"/>
        <v>3.15E-2</v>
      </c>
      <c r="I512" s="124">
        <f t="shared" si="535"/>
        <v>126.875</v>
      </c>
      <c r="J512" s="124">
        <f t="shared" si="536"/>
        <v>16353.75</v>
      </c>
      <c r="K512" s="9"/>
      <c r="L512" s="11"/>
      <c r="M512" s="306"/>
      <c r="N512" s="97"/>
      <c r="O512" s="421"/>
      <c r="P512" s="304"/>
      <c r="Q512" s="307"/>
      <c r="S512" s="11"/>
      <c r="T512" s="306"/>
      <c r="U512" s="97"/>
      <c r="V512" s="421"/>
      <c r="W512" s="304"/>
      <c r="X512" s="307"/>
      <c r="Z512" s="11" t="s">
        <v>192</v>
      </c>
      <c r="AA512" s="306">
        <f t="shared" ref="AA512:AB512" si="710">AA511</f>
        <v>10000000</v>
      </c>
      <c r="AB512" s="97">
        <f t="shared" si="710"/>
        <v>3.7499999999999999E-2</v>
      </c>
      <c r="AC512" s="421">
        <f t="shared" si="542"/>
        <v>1041.6666666666667</v>
      </c>
      <c r="AD512" s="304">
        <f t="shared" si="543"/>
        <v>145833.33333333343</v>
      </c>
      <c r="AE512" s="307">
        <f t="shared" si="544"/>
        <v>166.66666666666674</v>
      </c>
      <c r="AG512" s="11" t="s">
        <v>192</v>
      </c>
      <c r="AH512" s="306">
        <f t="shared" ref="AH512:AI512" si="711">AH511</f>
        <v>6000000</v>
      </c>
      <c r="AI512" s="97">
        <f t="shared" si="711"/>
        <v>3.73E-2</v>
      </c>
      <c r="AJ512" s="421">
        <f t="shared" si="546"/>
        <v>621.66666666666663</v>
      </c>
      <c r="AK512" s="304">
        <f t="shared" si="547"/>
        <v>1243.3333333333333</v>
      </c>
      <c r="AL512" s="307">
        <f t="shared" si="548"/>
        <v>96.666666666666629</v>
      </c>
      <c r="AN512" s="304">
        <f>'codeis $'!AB512</f>
        <v>0</v>
      </c>
      <c r="AO512" s="340">
        <f>'codeis $'!AH512</f>
        <v>0</v>
      </c>
      <c r="AP512" s="304">
        <f>'codeis $'!AE512</f>
        <v>0</v>
      </c>
      <c r="AQ512" s="304">
        <f>'codeis $'!AK512</f>
        <v>0</v>
      </c>
      <c r="AR512" s="9"/>
      <c r="AS512" s="9"/>
      <c r="AT512" s="123"/>
      <c r="AU512" s="123"/>
      <c r="AV512" s="123"/>
      <c r="AW512" s="123"/>
      <c r="AX512" s="123"/>
      <c r="AY512" s="123"/>
      <c r="AZ512" s="123"/>
      <c r="BA512" s="123"/>
      <c r="BC512" s="122"/>
      <c r="BD512" s="122"/>
      <c r="BE512" s="122"/>
      <c r="BF512" s="122"/>
      <c r="BH512" s="122"/>
      <c r="BI512" s="122"/>
      <c r="BJ512" s="122"/>
      <c r="BK512" s="122"/>
      <c r="BM512" s="122"/>
      <c r="BN512" s="122"/>
      <c r="BO512" s="122"/>
      <c r="BP512" s="122"/>
      <c r="BR512" s="122"/>
      <c r="BS512" s="122"/>
      <c r="BT512" s="122"/>
      <c r="BU512" s="122"/>
      <c r="BV512" s="439"/>
      <c r="BW512" s="120">
        <f t="shared" si="549"/>
        <v>17450000</v>
      </c>
      <c r="BX512" s="121">
        <f t="shared" si="676"/>
        <v>3.5000000000000003E-2</v>
      </c>
      <c r="BY512" s="121">
        <f t="shared" si="680"/>
        <v>3.6932664756446992E-2</v>
      </c>
      <c r="BZ512" s="120">
        <f t="shared" si="550"/>
        <v>1790.2083333333335</v>
      </c>
      <c r="CA512" s="120">
        <f t="shared" si="551"/>
        <v>263.33333333333337</v>
      </c>
    </row>
    <row r="513" spans="2:79" x14ac:dyDescent="0.25">
      <c r="B513" s="123" t="str">
        <f t="shared" si="531"/>
        <v>5 2026</v>
      </c>
      <c r="C513" s="122">
        <f t="shared" si="532"/>
        <v>46162</v>
      </c>
      <c r="D513" s="122">
        <f t="shared" si="681"/>
        <v>46163</v>
      </c>
      <c r="E513" s="123">
        <f t="shared" si="533"/>
        <v>1</v>
      </c>
      <c r="F513" s="123" t="s">
        <v>7</v>
      </c>
      <c r="G513" s="124">
        <f t="shared" ref="G513:H513" si="712">G512</f>
        <v>1450000</v>
      </c>
      <c r="H513" s="125">
        <f t="shared" si="712"/>
        <v>3.15E-2</v>
      </c>
      <c r="I513" s="124">
        <f t="shared" si="535"/>
        <v>126.875</v>
      </c>
      <c r="J513" s="124">
        <f t="shared" si="536"/>
        <v>16480.625</v>
      </c>
      <c r="K513" s="9"/>
      <c r="L513" s="11"/>
      <c r="M513" s="306"/>
      <c r="N513" s="97"/>
      <c r="O513" s="421"/>
      <c r="P513" s="304"/>
      <c r="Q513" s="307"/>
      <c r="S513" s="11"/>
      <c r="T513" s="306"/>
      <c r="U513" s="97"/>
      <c r="V513" s="421"/>
      <c r="W513" s="304"/>
      <c r="X513" s="307"/>
      <c r="Z513" s="11" t="s">
        <v>192</v>
      </c>
      <c r="AA513" s="306">
        <f t="shared" ref="AA513:AB513" si="713">AA512</f>
        <v>10000000</v>
      </c>
      <c r="AB513" s="97">
        <f t="shared" si="713"/>
        <v>3.7499999999999999E-2</v>
      </c>
      <c r="AC513" s="421">
        <f t="shared" si="542"/>
        <v>1041.6666666666667</v>
      </c>
      <c r="AD513" s="304">
        <f t="shared" si="543"/>
        <v>146875.00000000009</v>
      </c>
      <c r="AE513" s="307">
        <f t="shared" si="544"/>
        <v>166.66666666666674</v>
      </c>
      <c r="AG513" s="11" t="s">
        <v>192</v>
      </c>
      <c r="AH513" s="306">
        <f t="shared" ref="AH513:AI513" si="714">AH512</f>
        <v>6000000</v>
      </c>
      <c r="AI513" s="97">
        <f t="shared" si="714"/>
        <v>3.73E-2</v>
      </c>
      <c r="AJ513" s="421">
        <f t="shared" si="546"/>
        <v>621.66666666666663</v>
      </c>
      <c r="AK513" s="304">
        <f t="shared" si="547"/>
        <v>1243.3333333333333</v>
      </c>
      <c r="AL513" s="307">
        <f t="shared" si="548"/>
        <v>96.666666666666629</v>
      </c>
      <c r="AN513" s="304">
        <f>'codeis $'!AB513</f>
        <v>0</v>
      </c>
      <c r="AO513" s="340">
        <f>'codeis $'!AH513</f>
        <v>0</v>
      </c>
      <c r="AP513" s="304">
        <f>'codeis $'!AE513</f>
        <v>0</v>
      </c>
      <c r="AQ513" s="304">
        <f>'codeis $'!AK513</f>
        <v>0</v>
      </c>
      <c r="AR513" s="9"/>
      <c r="AS513" s="9"/>
      <c r="AT513" s="123"/>
      <c r="AU513" s="123"/>
      <c r="AV513" s="123"/>
      <c r="AW513" s="123"/>
      <c r="AX513" s="123"/>
      <c r="AY513" s="123"/>
      <c r="AZ513" s="123"/>
      <c r="BA513" s="123"/>
      <c r="BC513" s="122"/>
      <c r="BD513" s="122"/>
      <c r="BE513" s="122"/>
      <c r="BF513" s="122"/>
      <c r="BH513" s="122"/>
      <c r="BI513" s="122"/>
      <c r="BJ513" s="122"/>
      <c r="BK513" s="122"/>
      <c r="BM513" s="122"/>
      <c r="BN513" s="122"/>
      <c r="BO513" s="122"/>
      <c r="BP513" s="122"/>
      <c r="BR513" s="122"/>
      <c r="BS513" s="122"/>
      <c r="BT513" s="122"/>
      <c r="BU513" s="122"/>
      <c r="BV513" s="439"/>
      <c r="BW513" s="120">
        <f t="shared" si="549"/>
        <v>17450000</v>
      </c>
      <c r="BX513" s="121">
        <f t="shared" si="676"/>
        <v>3.5000000000000003E-2</v>
      </c>
      <c r="BY513" s="121">
        <f t="shared" si="680"/>
        <v>3.6932664756446992E-2</v>
      </c>
      <c r="BZ513" s="120">
        <f t="shared" si="550"/>
        <v>1790.2083333333335</v>
      </c>
      <c r="CA513" s="120">
        <f t="shared" si="551"/>
        <v>263.33333333333337</v>
      </c>
    </row>
    <row r="514" spans="2:79" x14ac:dyDescent="0.25">
      <c r="B514" s="123" t="str">
        <f t="shared" si="531"/>
        <v>5 2026</v>
      </c>
      <c r="C514" s="122">
        <f t="shared" si="532"/>
        <v>46163</v>
      </c>
      <c r="D514" s="122">
        <f t="shared" si="681"/>
        <v>46164</v>
      </c>
      <c r="E514" s="123">
        <f t="shared" si="533"/>
        <v>1</v>
      </c>
      <c r="F514" s="123" t="s">
        <v>7</v>
      </c>
      <c r="G514" s="124">
        <f t="shared" ref="G514:H514" si="715">G513</f>
        <v>1450000</v>
      </c>
      <c r="H514" s="125">
        <f t="shared" si="715"/>
        <v>3.15E-2</v>
      </c>
      <c r="I514" s="124">
        <f t="shared" si="535"/>
        <v>126.875</v>
      </c>
      <c r="J514" s="124">
        <f t="shared" si="536"/>
        <v>16607.5</v>
      </c>
      <c r="K514" s="9"/>
      <c r="L514" s="11"/>
      <c r="M514" s="306"/>
      <c r="N514" s="97"/>
      <c r="O514" s="421"/>
      <c r="P514" s="304"/>
      <c r="Q514" s="307"/>
      <c r="S514" s="11"/>
      <c r="T514" s="306"/>
      <c r="U514" s="97"/>
      <c r="V514" s="421"/>
      <c r="W514" s="304"/>
      <c r="X514" s="307"/>
      <c r="Z514" s="11" t="s">
        <v>192</v>
      </c>
      <c r="AA514" s="306">
        <f t="shared" ref="AA514:AB514" si="716">AA513</f>
        <v>10000000</v>
      </c>
      <c r="AB514" s="97">
        <f t="shared" si="716"/>
        <v>3.7499999999999999E-2</v>
      </c>
      <c r="AC514" s="421">
        <f t="shared" si="542"/>
        <v>1041.6666666666667</v>
      </c>
      <c r="AD514" s="304">
        <f t="shared" si="543"/>
        <v>147916.66666666674</v>
      </c>
      <c r="AE514" s="307">
        <f t="shared" si="544"/>
        <v>166.66666666666674</v>
      </c>
      <c r="AG514" s="11" t="s">
        <v>192</v>
      </c>
      <c r="AH514" s="306">
        <f t="shared" ref="AH514:AI514" si="717">AH513</f>
        <v>6000000</v>
      </c>
      <c r="AI514" s="97">
        <f t="shared" si="717"/>
        <v>3.73E-2</v>
      </c>
      <c r="AJ514" s="421">
        <f t="shared" si="546"/>
        <v>621.66666666666663</v>
      </c>
      <c r="AK514" s="304">
        <f t="shared" si="547"/>
        <v>1243.3333333333333</v>
      </c>
      <c r="AL514" s="307">
        <f t="shared" si="548"/>
        <v>96.666666666666629</v>
      </c>
      <c r="AN514" s="304">
        <f>'codeis $'!AB514</f>
        <v>0</v>
      </c>
      <c r="AO514" s="340">
        <f>'codeis $'!AH514</f>
        <v>0</v>
      </c>
      <c r="AP514" s="304">
        <f>'codeis $'!AE514</f>
        <v>0</v>
      </c>
      <c r="AQ514" s="304">
        <f>'codeis $'!AK514</f>
        <v>0</v>
      </c>
      <c r="AR514" s="9"/>
      <c r="AS514" s="9"/>
      <c r="AT514" s="123"/>
      <c r="AU514" s="123"/>
      <c r="AV514" s="123"/>
      <c r="AW514" s="123"/>
      <c r="AX514" s="123"/>
      <c r="AY514" s="123"/>
      <c r="AZ514" s="123"/>
      <c r="BA514" s="123"/>
      <c r="BC514" s="122"/>
      <c r="BD514" s="122"/>
      <c r="BE514" s="122"/>
      <c r="BF514" s="122"/>
      <c r="BH514" s="122"/>
      <c r="BI514" s="122"/>
      <c r="BJ514" s="122"/>
      <c r="BK514" s="122"/>
      <c r="BM514" s="122"/>
      <c r="BN514" s="122"/>
      <c r="BO514" s="122"/>
      <c r="BP514" s="122"/>
      <c r="BR514" s="122"/>
      <c r="BS514" s="122"/>
      <c r="BT514" s="122"/>
      <c r="BU514" s="122"/>
      <c r="BV514" s="439"/>
      <c r="BW514" s="120">
        <f t="shared" si="549"/>
        <v>17450000</v>
      </c>
      <c r="BX514" s="121">
        <f t="shared" si="676"/>
        <v>3.5000000000000003E-2</v>
      </c>
      <c r="BY514" s="121">
        <f t="shared" si="680"/>
        <v>3.6932664756446992E-2</v>
      </c>
      <c r="BZ514" s="120">
        <f t="shared" si="550"/>
        <v>1790.2083333333335</v>
      </c>
      <c r="CA514" s="120">
        <f t="shared" si="551"/>
        <v>263.33333333333337</v>
      </c>
    </row>
    <row r="515" spans="2:79" x14ac:dyDescent="0.25">
      <c r="B515" s="123" t="str">
        <f t="shared" si="531"/>
        <v>5 2026</v>
      </c>
      <c r="C515" s="122">
        <f t="shared" si="532"/>
        <v>46164</v>
      </c>
      <c r="D515" s="122">
        <f t="shared" si="681"/>
        <v>46165</v>
      </c>
      <c r="E515" s="123">
        <f t="shared" si="533"/>
        <v>1</v>
      </c>
      <c r="F515" s="123" t="s">
        <v>7</v>
      </c>
      <c r="G515" s="124">
        <f t="shared" ref="G515:H515" si="718">G514</f>
        <v>1450000</v>
      </c>
      <c r="H515" s="125">
        <f t="shared" si="718"/>
        <v>3.15E-2</v>
      </c>
      <c r="I515" s="124">
        <f t="shared" si="535"/>
        <v>126.875</v>
      </c>
      <c r="J515" s="124">
        <f t="shared" si="536"/>
        <v>16734.375</v>
      </c>
      <c r="K515" s="9"/>
      <c r="L515" s="11"/>
      <c r="M515" s="306"/>
      <c r="N515" s="97"/>
      <c r="O515" s="421"/>
      <c r="P515" s="304"/>
      <c r="Q515" s="307"/>
      <c r="S515" s="11"/>
      <c r="T515" s="306"/>
      <c r="U515" s="97"/>
      <c r="V515" s="421"/>
      <c r="W515" s="304"/>
      <c r="X515" s="307"/>
      <c r="Z515" s="11" t="s">
        <v>192</v>
      </c>
      <c r="AA515" s="306">
        <f t="shared" ref="AA515:AB515" si="719">AA514</f>
        <v>10000000</v>
      </c>
      <c r="AB515" s="97">
        <f t="shared" si="719"/>
        <v>3.7499999999999999E-2</v>
      </c>
      <c r="AC515" s="421">
        <f t="shared" si="542"/>
        <v>1041.6666666666667</v>
      </c>
      <c r="AD515" s="304">
        <f t="shared" si="543"/>
        <v>148958.3333333334</v>
      </c>
      <c r="AE515" s="307">
        <f t="shared" si="544"/>
        <v>166.66666666666674</v>
      </c>
      <c r="AG515" s="11" t="s">
        <v>192</v>
      </c>
      <c r="AH515" s="306">
        <f t="shared" ref="AH515:AI515" si="720">AH514</f>
        <v>6000000</v>
      </c>
      <c r="AI515" s="97">
        <f t="shared" si="720"/>
        <v>3.73E-2</v>
      </c>
      <c r="AJ515" s="421">
        <f t="shared" si="546"/>
        <v>621.66666666666663</v>
      </c>
      <c r="AK515" s="304">
        <f t="shared" si="547"/>
        <v>1243.3333333333333</v>
      </c>
      <c r="AL515" s="307">
        <f t="shared" si="548"/>
        <v>96.666666666666629</v>
      </c>
      <c r="AN515" s="304">
        <f>'codeis $'!AB515</f>
        <v>0</v>
      </c>
      <c r="AO515" s="340">
        <f>'codeis $'!AH515</f>
        <v>0</v>
      </c>
      <c r="AP515" s="304">
        <f>'codeis $'!AE515</f>
        <v>0</v>
      </c>
      <c r="AQ515" s="304">
        <f>'codeis $'!AK515</f>
        <v>0</v>
      </c>
      <c r="AR515" s="9"/>
      <c r="AS515" s="9"/>
      <c r="AT515" s="123"/>
      <c r="AU515" s="123"/>
      <c r="AV515" s="123"/>
      <c r="AW515" s="123"/>
      <c r="AX515" s="123"/>
      <c r="AY515" s="123"/>
      <c r="AZ515" s="123"/>
      <c r="BA515" s="123"/>
      <c r="BC515" s="122"/>
      <c r="BD515" s="122"/>
      <c r="BE515" s="122"/>
      <c r="BF515" s="122"/>
      <c r="BH515" s="122"/>
      <c r="BI515" s="122"/>
      <c r="BJ515" s="122"/>
      <c r="BK515" s="122"/>
      <c r="BM515" s="122"/>
      <c r="BN515" s="122"/>
      <c r="BO515" s="122"/>
      <c r="BP515" s="122"/>
      <c r="BR515" s="122"/>
      <c r="BS515" s="122"/>
      <c r="BT515" s="122"/>
      <c r="BU515" s="122"/>
      <c r="BV515" s="439"/>
      <c r="BW515" s="120">
        <f t="shared" si="549"/>
        <v>17450000</v>
      </c>
      <c r="BX515" s="121">
        <f t="shared" si="676"/>
        <v>3.5000000000000003E-2</v>
      </c>
      <c r="BY515" s="121">
        <f t="shared" si="680"/>
        <v>3.6932664756446992E-2</v>
      </c>
      <c r="BZ515" s="120">
        <f t="shared" si="550"/>
        <v>1790.2083333333335</v>
      </c>
      <c r="CA515" s="120">
        <f t="shared" si="551"/>
        <v>263.33333333333337</v>
      </c>
    </row>
    <row r="516" spans="2:79" x14ac:dyDescent="0.25">
      <c r="B516" s="123" t="str">
        <f t="shared" si="531"/>
        <v>5 2026</v>
      </c>
      <c r="C516" s="122">
        <f t="shared" si="532"/>
        <v>46165</v>
      </c>
      <c r="D516" s="122">
        <f t="shared" si="681"/>
        <v>46166</v>
      </c>
      <c r="E516" s="123">
        <f t="shared" si="533"/>
        <v>1</v>
      </c>
      <c r="F516" s="123" t="s">
        <v>7</v>
      </c>
      <c r="G516" s="124">
        <f t="shared" ref="G516:H516" si="721">G515</f>
        <v>1450000</v>
      </c>
      <c r="H516" s="125">
        <f t="shared" si="721"/>
        <v>3.15E-2</v>
      </c>
      <c r="I516" s="124">
        <f t="shared" si="535"/>
        <v>126.875</v>
      </c>
      <c r="J516" s="124">
        <f t="shared" si="536"/>
        <v>16861.25</v>
      </c>
      <c r="K516" s="9"/>
      <c r="L516" s="11"/>
      <c r="M516" s="306"/>
      <c r="N516" s="97"/>
      <c r="O516" s="421"/>
      <c r="P516" s="304"/>
      <c r="Q516" s="307"/>
      <c r="S516" s="11"/>
      <c r="T516" s="306"/>
      <c r="U516" s="97"/>
      <c r="V516" s="421"/>
      <c r="W516" s="304"/>
      <c r="X516" s="307"/>
      <c r="Z516" s="11" t="s">
        <v>192</v>
      </c>
      <c r="AA516" s="306">
        <f t="shared" ref="AA516:AB516" si="722">AA515</f>
        <v>10000000</v>
      </c>
      <c r="AB516" s="97">
        <f t="shared" si="722"/>
        <v>3.7499999999999999E-2</v>
      </c>
      <c r="AC516" s="421">
        <f t="shared" si="542"/>
        <v>1041.6666666666667</v>
      </c>
      <c r="AD516" s="304">
        <f t="shared" si="543"/>
        <v>150000.00000000006</v>
      </c>
      <c r="AE516" s="307">
        <f t="shared" si="544"/>
        <v>166.66666666666674</v>
      </c>
      <c r="AG516" s="11" t="s">
        <v>192</v>
      </c>
      <c r="AH516" s="306">
        <f t="shared" ref="AH516:AI516" si="723">AH515</f>
        <v>6000000</v>
      </c>
      <c r="AI516" s="97">
        <f t="shared" si="723"/>
        <v>3.73E-2</v>
      </c>
      <c r="AJ516" s="421">
        <f t="shared" si="546"/>
        <v>621.66666666666663</v>
      </c>
      <c r="AK516" s="304">
        <f t="shared" si="547"/>
        <v>1243.3333333333333</v>
      </c>
      <c r="AL516" s="307">
        <f t="shared" si="548"/>
        <v>96.666666666666629</v>
      </c>
      <c r="AN516" s="304">
        <f>'codeis $'!AB516</f>
        <v>0</v>
      </c>
      <c r="AO516" s="340">
        <f>'codeis $'!AH516</f>
        <v>0</v>
      </c>
      <c r="AP516" s="304">
        <f>'codeis $'!AE516</f>
        <v>0</v>
      </c>
      <c r="AQ516" s="304">
        <f>'codeis $'!AK516</f>
        <v>0</v>
      </c>
      <c r="AR516" s="9"/>
      <c r="AS516" s="9"/>
      <c r="AT516" s="123"/>
      <c r="AU516" s="123"/>
      <c r="AV516" s="123"/>
      <c r="AW516" s="123"/>
      <c r="AX516" s="123"/>
      <c r="AY516" s="123"/>
      <c r="AZ516" s="123"/>
      <c r="BA516" s="123"/>
      <c r="BC516" s="122"/>
      <c r="BD516" s="122"/>
      <c r="BE516" s="122"/>
      <c r="BF516" s="122"/>
      <c r="BH516" s="122"/>
      <c r="BI516" s="122"/>
      <c r="BJ516" s="122"/>
      <c r="BK516" s="122"/>
      <c r="BM516" s="122"/>
      <c r="BN516" s="122"/>
      <c r="BO516" s="122"/>
      <c r="BP516" s="122"/>
      <c r="BR516" s="122"/>
      <c r="BS516" s="122"/>
      <c r="BT516" s="122"/>
      <c r="BU516" s="122"/>
      <c r="BV516" s="439"/>
      <c r="BW516" s="120">
        <f t="shared" si="549"/>
        <v>17450000</v>
      </c>
      <c r="BX516" s="121">
        <f t="shared" si="676"/>
        <v>3.5000000000000003E-2</v>
      </c>
      <c r="BY516" s="121">
        <f t="shared" si="680"/>
        <v>3.6932664756446992E-2</v>
      </c>
      <c r="BZ516" s="120">
        <f t="shared" si="550"/>
        <v>1790.2083333333335</v>
      </c>
      <c r="CA516" s="120">
        <f t="shared" si="551"/>
        <v>263.33333333333337</v>
      </c>
    </row>
    <row r="517" spans="2:79" x14ac:dyDescent="0.25">
      <c r="B517" s="123" t="str">
        <f t="shared" si="531"/>
        <v>5 2026</v>
      </c>
      <c r="C517" s="122">
        <f t="shared" si="532"/>
        <v>46166</v>
      </c>
      <c r="D517" s="122">
        <f t="shared" si="681"/>
        <v>46167</v>
      </c>
      <c r="E517" s="123">
        <f t="shared" si="533"/>
        <v>1</v>
      </c>
      <c r="F517" s="123" t="s">
        <v>7</v>
      </c>
      <c r="G517" s="124">
        <f t="shared" ref="G517:H517" si="724">G516</f>
        <v>1450000</v>
      </c>
      <c r="H517" s="125">
        <f t="shared" si="724"/>
        <v>3.15E-2</v>
      </c>
      <c r="I517" s="124">
        <f t="shared" si="535"/>
        <v>126.875</v>
      </c>
      <c r="J517" s="124">
        <f t="shared" si="536"/>
        <v>16988.125</v>
      </c>
      <c r="K517" s="9"/>
      <c r="L517" s="11"/>
      <c r="M517" s="306"/>
      <c r="N517" s="97"/>
      <c r="O517" s="421"/>
      <c r="P517" s="304"/>
      <c r="Q517" s="307"/>
      <c r="S517" s="11"/>
      <c r="T517" s="306"/>
      <c r="U517" s="97"/>
      <c r="V517" s="421"/>
      <c r="W517" s="304"/>
      <c r="X517" s="307"/>
      <c r="Z517" s="11" t="s">
        <v>192</v>
      </c>
      <c r="AA517" s="306">
        <f t="shared" ref="AA517:AB517" si="725">AA516</f>
        <v>10000000</v>
      </c>
      <c r="AB517" s="97">
        <f t="shared" si="725"/>
        <v>3.7499999999999999E-2</v>
      </c>
      <c r="AC517" s="421">
        <f t="shared" si="542"/>
        <v>1041.6666666666667</v>
      </c>
      <c r="AD517" s="304">
        <f t="shared" si="543"/>
        <v>151041.66666666672</v>
      </c>
      <c r="AE517" s="307">
        <f t="shared" si="544"/>
        <v>166.66666666666674</v>
      </c>
      <c r="AG517" s="11" t="s">
        <v>192</v>
      </c>
      <c r="AH517" s="306">
        <f t="shared" ref="AH517:AI517" si="726">AH516</f>
        <v>6000000</v>
      </c>
      <c r="AI517" s="97">
        <f t="shared" si="726"/>
        <v>3.73E-2</v>
      </c>
      <c r="AJ517" s="421">
        <f t="shared" si="546"/>
        <v>621.66666666666663</v>
      </c>
      <c r="AK517" s="304">
        <f t="shared" si="547"/>
        <v>1243.3333333333333</v>
      </c>
      <c r="AL517" s="307">
        <f t="shared" si="548"/>
        <v>96.666666666666629</v>
      </c>
      <c r="AN517" s="304">
        <f>'codeis $'!AB517</f>
        <v>0</v>
      </c>
      <c r="AO517" s="340">
        <f>'codeis $'!AH517</f>
        <v>0</v>
      </c>
      <c r="AP517" s="304">
        <f>'codeis $'!AE517</f>
        <v>0</v>
      </c>
      <c r="AQ517" s="304">
        <f>'codeis $'!AK517</f>
        <v>0</v>
      </c>
      <c r="AR517" s="9"/>
      <c r="AS517" s="9"/>
      <c r="AT517" s="123"/>
      <c r="AU517" s="123"/>
      <c r="AV517" s="123"/>
      <c r="AW517" s="123"/>
      <c r="AX517" s="123"/>
      <c r="AY517" s="123"/>
      <c r="AZ517" s="123"/>
      <c r="BA517" s="123"/>
      <c r="BC517" s="122"/>
      <c r="BD517" s="122"/>
      <c r="BE517" s="122"/>
      <c r="BF517" s="122"/>
      <c r="BH517" s="122"/>
      <c r="BI517" s="122"/>
      <c r="BJ517" s="122"/>
      <c r="BK517" s="122"/>
      <c r="BM517" s="122"/>
      <c r="BN517" s="122"/>
      <c r="BO517" s="122"/>
      <c r="BP517" s="122"/>
      <c r="BR517" s="122"/>
      <c r="BS517" s="122"/>
      <c r="BT517" s="122"/>
      <c r="BU517" s="122"/>
      <c r="BV517" s="439"/>
      <c r="BW517" s="120">
        <f t="shared" si="549"/>
        <v>17450000</v>
      </c>
      <c r="BX517" s="121">
        <f t="shared" si="676"/>
        <v>3.5000000000000003E-2</v>
      </c>
      <c r="BY517" s="121">
        <f t="shared" si="680"/>
        <v>3.6932664756446992E-2</v>
      </c>
      <c r="BZ517" s="120">
        <f t="shared" si="550"/>
        <v>1790.2083333333335</v>
      </c>
      <c r="CA517" s="120">
        <f t="shared" si="551"/>
        <v>263.33333333333337</v>
      </c>
    </row>
    <row r="518" spans="2:79" x14ac:dyDescent="0.25">
      <c r="B518" s="123" t="str">
        <f t="shared" si="531"/>
        <v>5 2026</v>
      </c>
      <c r="C518" s="122">
        <f t="shared" si="532"/>
        <v>46167</v>
      </c>
      <c r="D518" s="122">
        <f t="shared" si="681"/>
        <v>46168</v>
      </c>
      <c r="E518" s="123">
        <f t="shared" si="533"/>
        <v>1</v>
      </c>
      <c r="F518" s="123" t="s">
        <v>7</v>
      </c>
      <c r="G518" s="124">
        <f t="shared" ref="G518:H518" si="727">G517</f>
        <v>1450000</v>
      </c>
      <c r="H518" s="125">
        <f t="shared" si="727"/>
        <v>3.15E-2</v>
      </c>
      <c r="I518" s="124">
        <f t="shared" si="535"/>
        <v>126.875</v>
      </c>
      <c r="J518" s="124">
        <f t="shared" si="536"/>
        <v>17115</v>
      </c>
      <c r="K518" s="9"/>
      <c r="L518" s="11"/>
      <c r="M518" s="306"/>
      <c r="N518" s="97"/>
      <c r="O518" s="421"/>
      <c r="P518" s="304"/>
      <c r="Q518" s="307"/>
      <c r="S518" s="11"/>
      <c r="T518" s="306"/>
      <c r="U518" s="97"/>
      <c r="V518" s="421"/>
      <c r="W518" s="304"/>
      <c r="X518" s="307"/>
      <c r="Z518" s="11" t="s">
        <v>192</v>
      </c>
      <c r="AA518" s="306">
        <f t="shared" ref="AA518:AB518" si="728">AA517</f>
        <v>10000000</v>
      </c>
      <c r="AB518" s="97">
        <f t="shared" si="728"/>
        <v>3.7499999999999999E-2</v>
      </c>
      <c r="AC518" s="421">
        <f t="shared" si="542"/>
        <v>1041.6666666666667</v>
      </c>
      <c r="AD518" s="304">
        <f t="shared" si="543"/>
        <v>152083.33333333337</v>
      </c>
      <c r="AE518" s="307">
        <f t="shared" si="544"/>
        <v>166.66666666666674</v>
      </c>
      <c r="AG518" s="11" t="s">
        <v>192</v>
      </c>
      <c r="AH518" s="306">
        <f t="shared" ref="AH518:AI518" si="729">AH517</f>
        <v>6000000</v>
      </c>
      <c r="AI518" s="97">
        <f t="shared" si="729"/>
        <v>3.73E-2</v>
      </c>
      <c r="AJ518" s="421">
        <f t="shared" si="546"/>
        <v>621.66666666666663</v>
      </c>
      <c r="AK518" s="304">
        <f t="shared" si="547"/>
        <v>1243.3333333333333</v>
      </c>
      <c r="AL518" s="307">
        <f t="shared" si="548"/>
        <v>96.666666666666629</v>
      </c>
      <c r="AN518" s="304">
        <f>'codeis $'!AB518</f>
        <v>0</v>
      </c>
      <c r="AO518" s="340">
        <f>'codeis $'!AH518</f>
        <v>0</v>
      </c>
      <c r="AP518" s="304">
        <f>'codeis $'!AE518</f>
        <v>0</v>
      </c>
      <c r="AQ518" s="304">
        <f>'codeis $'!AK518</f>
        <v>0</v>
      </c>
      <c r="AR518" s="9"/>
      <c r="AS518" s="9"/>
      <c r="AT518" s="123"/>
      <c r="AU518" s="123"/>
      <c r="AV518" s="123"/>
      <c r="AW518" s="123"/>
      <c r="AX518" s="123"/>
      <c r="AY518" s="123"/>
      <c r="AZ518" s="123"/>
      <c r="BA518" s="123"/>
      <c r="BC518" s="122"/>
      <c r="BD518" s="122"/>
      <c r="BE518" s="122"/>
      <c r="BF518" s="122"/>
      <c r="BH518" s="122"/>
      <c r="BI518" s="122"/>
      <c r="BJ518" s="122"/>
      <c r="BK518" s="122"/>
      <c r="BM518" s="122"/>
      <c r="BN518" s="122"/>
      <c r="BO518" s="122"/>
      <c r="BP518" s="122"/>
      <c r="BR518" s="122"/>
      <c r="BS518" s="122"/>
      <c r="BT518" s="122"/>
      <c r="BU518" s="122"/>
      <c r="BV518" s="439"/>
      <c r="BW518" s="120">
        <f t="shared" si="549"/>
        <v>17450000</v>
      </c>
      <c r="BX518" s="121">
        <f t="shared" si="676"/>
        <v>3.5000000000000003E-2</v>
      </c>
      <c r="BY518" s="121">
        <f t="shared" si="680"/>
        <v>3.6932664756446992E-2</v>
      </c>
      <c r="BZ518" s="120">
        <f t="shared" si="550"/>
        <v>1790.2083333333335</v>
      </c>
      <c r="CA518" s="120">
        <f t="shared" si="551"/>
        <v>263.33333333333337</v>
      </c>
    </row>
    <row r="519" spans="2:79" x14ac:dyDescent="0.25">
      <c r="B519" s="123" t="str">
        <f t="shared" si="531"/>
        <v>5 2026</v>
      </c>
      <c r="C519" s="122">
        <f t="shared" si="532"/>
        <v>46168</v>
      </c>
      <c r="D519" s="122">
        <f t="shared" si="681"/>
        <v>46169</v>
      </c>
      <c r="E519" s="123">
        <f t="shared" si="533"/>
        <v>1</v>
      </c>
      <c r="F519" s="123" t="s">
        <v>7</v>
      </c>
      <c r="G519" s="124">
        <f t="shared" ref="G519:H519" si="730">G518</f>
        <v>1450000</v>
      </c>
      <c r="H519" s="125">
        <f t="shared" si="730"/>
        <v>3.15E-2</v>
      </c>
      <c r="I519" s="124">
        <f t="shared" si="535"/>
        <v>126.875</v>
      </c>
      <c r="J519" s="124">
        <f t="shared" si="536"/>
        <v>17241.875</v>
      </c>
      <c r="K519" s="9"/>
      <c r="L519" s="11"/>
      <c r="M519" s="306"/>
      <c r="N519" s="97"/>
      <c r="O519" s="421"/>
      <c r="P519" s="304"/>
      <c r="Q519" s="307"/>
      <c r="S519" s="11"/>
      <c r="T519" s="306"/>
      <c r="U519" s="97"/>
      <c r="V519" s="421"/>
      <c r="W519" s="304"/>
      <c r="X519" s="307"/>
      <c r="Z519" s="11" t="s">
        <v>192</v>
      </c>
      <c r="AA519" s="306">
        <f t="shared" ref="AA519:AB519" si="731">AA518</f>
        <v>10000000</v>
      </c>
      <c r="AB519" s="97">
        <f t="shared" si="731"/>
        <v>3.7499999999999999E-2</v>
      </c>
      <c r="AC519" s="421">
        <f t="shared" si="542"/>
        <v>1041.6666666666667</v>
      </c>
      <c r="AD519" s="304">
        <f t="shared" si="543"/>
        <v>153125.00000000003</v>
      </c>
      <c r="AE519" s="307">
        <f t="shared" si="544"/>
        <v>166.66666666666674</v>
      </c>
      <c r="AG519" s="11" t="s">
        <v>192</v>
      </c>
      <c r="AH519" s="306">
        <f t="shared" ref="AH519:AI519" si="732">AH518</f>
        <v>6000000</v>
      </c>
      <c r="AI519" s="97">
        <f t="shared" si="732"/>
        <v>3.73E-2</v>
      </c>
      <c r="AJ519" s="421">
        <f t="shared" si="546"/>
        <v>621.66666666666663</v>
      </c>
      <c r="AK519" s="304">
        <f t="shared" si="547"/>
        <v>1243.3333333333333</v>
      </c>
      <c r="AL519" s="307">
        <f t="shared" si="548"/>
        <v>96.666666666666629</v>
      </c>
      <c r="AN519" s="304">
        <f>'codeis $'!AB519</f>
        <v>0</v>
      </c>
      <c r="AO519" s="340">
        <f>'codeis $'!AH519</f>
        <v>0</v>
      </c>
      <c r="AP519" s="304">
        <f>'codeis $'!AE519</f>
        <v>0</v>
      </c>
      <c r="AQ519" s="304">
        <f>'codeis $'!AK519</f>
        <v>0</v>
      </c>
      <c r="AR519" s="9"/>
      <c r="AS519" s="9"/>
      <c r="AT519" s="123"/>
      <c r="AU519" s="123"/>
      <c r="AV519" s="123"/>
      <c r="AW519" s="123"/>
      <c r="AX519" s="123"/>
      <c r="AY519" s="123"/>
      <c r="AZ519" s="123"/>
      <c r="BA519" s="123"/>
      <c r="BC519" s="122"/>
      <c r="BD519" s="122"/>
      <c r="BE519" s="122"/>
      <c r="BF519" s="122"/>
      <c r="BH519" s="122"/>
      <c r="BI519" s="122"/>
      <c r="BJ519" s="122"/>
      <c r="BK519" s="122"/>
      <c r="BM519" s="122"/>
      <c r="BN519" s="122"/>
      <c r="BO519" s="122"/>
      <c r="BP519" s="122"/>
      <c r="BR519" s="122"/>
      <c r="BS519" s="122"/>
      <c r="BT519" s="122"/>
      <c r="BU519" s="122"/>
      <c r="BV519" s="439"/>
      <c r="BW519" s="120">
        <f t="shared" si="549"/>
        <v>17450000</v>
      </c>
      <c r="BX519" s="121">
        <f t="shared" si="676"/>
        <v>3.5000000000000003E-2</v>
      </c>
      <c r="BY519" s="121">
        <f t="shared" si="680"/>
        <v>3.6932664756446992E-2</v>
      </c>
      <c r="BZ519" s="120">
        <f t="shared" si="550"/>
        <v>1790.2083333333335</v>
      </c>
      <c r="CA519" s="120">
        <f t="shared" si="551"/>
        <v>263.33333333333337</v>
      </c>
    </row>
    <row r="520" spans="2:79" x14ac:dyDescent="0.25">
      <c r="B520" s="123" t="str">
        <f t="shared" si="531"/>
        <v>5 2026</v>
      </c>
      <c r="C520" s="122">
        <f t="shared" si="532"/>
        <v>46169</v>
      </c>
      <c r="D520" s="122">
        <f t="shared" si="681"/>
        <v>46170</v>
      </c>
      <c r="E520" s="123">
        <f t="shared" si="533"/>
        <v>1</v>
      </c>
      <c r="F520" s="123" t="s">
        <v>7</v>
      </c>
      <c r="G520" s="124">
        <f t="shared" ref="G520:H520" si="733">G519</f>
        <v>1450000</v>
      </c>
      <c r="H520" s="125">
        <f t="shared" si="733"/>
        <v>3.15E-2</v>
      </c>
      <c r="I520" s="124">
        <f t="shared" si="535"/>
        <v>126.875</v>
      </c>
      <c r="J520" s="124">
        <f t="shared" si="536"/>
        <v>17368.75</v>
      </c>
      <c r="K520" s="9"/>
      <c r="L520" s="11"/>
      <c r="M520" s="306"/>
      <c r="N520" s="97"/>
      <c r="O520" s="421"/>
      <c r="P520" s="304"/>
      <c r="Q520" s="307"/>
      <c r="S520" s="11"/>
      <c r="T520" s="306"/>
      <c r="U520" s="97"/>
      <c r="V520" s="421"/>
      <c r="W520" s="304"/>
      <c r="X520" s="307"/>
      <c r="Z520" s="11" t="s">
        <v>192</v>
      </c>
      <c r="AA520" s="306">
        <f t="shared" ref="AA520:AB520" si="734">AA519</f>
        <v>10000000</v>
      </c>
      <c r="AB520" s="97">
        <f t="shared" si="734"/>
        <v>3.7499999999999999E-2</v>
      </c>
      <c r="AC520" s="421">
        <f t="shared" si="542"/>
        <v>1041.6666666666667</v>
      </c>
      <c r="AD520" s="304">
        <f t="shared" si="543"/>
        <v>154166.66666666669</v>
      </c>
      <c r="AE520" s="307">
        <f t="shared" si="544"/>
        <v>166.66666666666674</v>
      </c>
      <c r="AG520" s="11" t="s">
        <v>192</v>
      </c>
      <c r="AH520" s="306">
        <f t="shared" ref="AH520:AI520" si="735">AH519</f>
        <v>6000000</v>
      </c>
      <c r="AI520" s="97">
        <f t="shared" si="735"/>
        <v>3.73E-2</v>
      </c>
      <c r="AJ520" s="421">
        <f t="shared" si="546"/>
        <v>621.66666666666663</v>
      </c>
      <c r="AK520" s="304">
        <f t="shared" si="547"/>
        <v>1243.3333333333333</v>
      </c>
      <c r="AL520" s="307">
        <f t="shared" si="548"/>
        <v>96.666666666666629</v>
      </c>
      <c r="AN520" s="304">
        <f>'codeis $'!AB520</f>
        <v>0</v>
      </c>
      <c r="AO520" s="340">
        <f>'codeis $'!AH520</f>
        <v>0</v>
      </c>
      <c r="AP520" s="304">
        <f>'codeis $'!AE520</f>
        <v>0</v>
      </c>
      <c r="AQ520" s="304">
        <f>'codeis $'!AK520</f>
        <v>0</v>
      </c>
      <c r="AR520" s="9"/>
      <c r="AS520" s="9"/>
      <c r="AT520" s="123"/>
      <c r="AU520" s="123"/>
      <c r="AV520" s="123"/>
      <c r="AW520" s="123"/>
      <c r="AX520" s="123"/>
      <c r="AY520" s="123"/>
      <c r="AZ520" s="123"/>
      <c r="BA520" s="123"/>
      <c r="BC520" s="122"/>
      <c r="BD520" s="122"/>
      <c r="BE520" s="122"/>
      <c r="BF520" s="122"/>
      <c r="BH520" s="122"/>
      <c r="BI520" s="122"/>
      <c r="BJ520" s="122"/>
      <c r="BK520" s="122"/>
      <c r="BM520" s="122"/>
      <c r="BN520" s="122"/>
      <c r="BO520" s="122"/>
      <c r="BP520" s="122"/>
      <c r="BR520" s="122"/>
      <c r="BS520" s="122"/>
      <c r="BT520" s="122"/>
      <c r="BU520" s="122"/>
      <c r="BV520" s="439"/>
      <c r="BW520" s="120">
        <f t="shared" si="549"/>
        <v>17450000</v>
      </c>
      <c r="BX520" s="121">
        <f t="shared" si="676"/>
        <v>3.5000000000000003E-2</v>
      </c>
      <c r="BY520" s="121">
        <f t="shared" si="680"/>
        <v>3.6932664756446992E-2</v>
      </c>
      <c r="BZ520" s="120">
        <f t="shared" si="550"/>
        <v>1790.2083333333335</v>
      </c>
      <c r="CA520" s="120">
        <f t="shared" si="551"/>
        <v>263.33333333333337</v>
      </c>
    </row>
    <row r="521" spans="2:79" x14ac:dyDescent="0.25">
      <c r="B521" s="123" t="str">
        <f t="shared" si="531"/>
        <v>5 2026</v>
      </c>
      <c r="C521" s="122">
        <f t="shared" si="532"/>
        <v>46170</v>
      </c>
      <c r="D521" s="122">
        <f t="shared" si="681"/>
        <v>46171</v>
      </c>
      <c r="E521" s="123">
        <f t="shared" si="533"/>
        <v>1</v>
      </c>
      <c r="F521" s="123" t="s">
        <v>7</v>
      </c>
      <c r="G521" s="124">
        <f t="shared" ref="G521:H521" si="736">G520</f>
        <v>1450000</v>
      </c>
      <c r="H521" s="125">
        <f t="shared" si="736"/>
        <v>3.15E-2</v>
      </c>
      <c r="I521" s="124">
        <f t="shared" si="535"/>
        <v>126.875</v>
      </c>
      <c r="J521" s="124">
        <f t="shared" si="536"/>
        <v>17495.625</v>
      </c>
      <c r="K521" s="9"/>
      <c r="L521" s="11"/>
      <c r="M521" s="306"/>
      <c r="N521" s="97"/>
      <c r="O521" s="421"/>
      <c r="P521" s="304"/>
      <c r="Q521" s="307"/>
      <c r="S521" s="11"/>
      <c r="T521" s="306"/>
      <c r="U521" s="97"/>
      <c r="V521" s="421"/>
      <c r="W521" s="304"/>
      <c r="X521" s="307"/>
      <c r="Z521" s="11" t="s">
        <v>192</v>
      </c>
      <c r="AA521" s="306">
        <f t="shared" ref="AA521:AB521" si="737">AA520</f>
        <v>10000000</v>
      </c>
      <c r="AB521" s="97">
        <f t="shared" si="737"/>
        <v>3.7499999999999999E-2</v>
      </c>
      <c r="AC521" s="421">
        <f t="shared" si="542"/>
        <v>1041.6666666666667</v>
      </c>
      <c r="AD521" s="304">
        <f t="shared" si="543"/>
        <v>155208.33333333334</v>
      </c>
      <c r="AE521" s="307">
        <f t="shared" si="544"/>
        <v>166.66666666666674</v>
      </c>
      <c r="AG521" s="11" t="s">
        <v>192</v>
      </c>
      <c r="AH521" s="306">
        <f t="shared" ref="AH521:AI521" si="738">AH520</f>
        <v>6000000</v>
      </c>
      <c r="AI521" s="97">
        <f t="shared" si="738"/>
        <v>3.73E-2</v>
      </c>
      <c r="AJ521" s="421">
        <f t="shared" si="546"/>
        <v>621.66666666666663</v>
      </c>
      <c r="AK521" s="304">
        <f t="shared" si="547"/>
        <v>1243.3333333333333</v>
      </c>
      <c r="AL521" s="307">
        <f t="shared" si="548"/>
        <v>96.666666666666629</v>
      </c>
      <c r="AN521" s="304">
        <f>'codeis $'!AB521</f>
        <v>0</v>
      </c>
      <c r="AO521" s="340">
        <f>'codeis $'!AH521</f>
        <v>0</v>
      </c>
      <c r="AP521" s="304">
        <f>'codeis $'!AE521</f>
        <v>0</v>
      </c>
      <c r="AQ521" s="304">
        <f>'codeis $'!AK521</f>
        <v>0</v>
      </c>
      <c r="AR521" s="9"/>
      <c r="AS521" s="9"/>
      <c r="AT521" s="123"/>
      <c r="AU521" s="123"/>
      <c r="AV521" s="123"/>
      <c r="AW521" s="123"/>
      <c r="AX521" s="123"/>
      <c r="AY521" s="123"/>
      <c r="AZ521" s="123"/>
      <c r="BA521" s="123"/>
      <c r="BC521" s="122"/>
      <c r="BD521" s="122"/>
      <c r="BE521" s="122"/>
      <c r="BF521" s="122"/>
      <c r="BH521" s="122"/>
      <c r="BI521" s="122"/>
      <c r="BJ521" s="122"/>
      <c r="BK521" s="122"/>
      <c r="BM521" s="122"/>
      <c r="BN521" s="122"/>
      <c r="BO521" s="122"/>
      <c r="BP521" s="122"/>
      <c r="BR521" s="122"/>
      <c r="BS521" s="122"/>
      <c r="BT521" s="122"/>
      <c r="BU521" s="122"/>
      <c r="BV521" s="439"/>
      <c r="BW521" s="120">
        <f t="shared" si="549"/>
        <v>17450000</v>
      </c>
      <c r="BX521" s="121">
        <f t="shared" si="676"/>
        <v>3.5000000000000003E-2</v>
      </c>
      <c r="BY521" s="121">
        <f t="shared" si="680"/>
        <v>3.6932664756446992E-2</v>
      </c>
      <c r="BZ521" s="120">
        <f t="shared" si="550"/>
        <v>1790.2083333333335</v>
      </c>
      <c r="CA521" s="120">
        <f t="shared" si="551"/>
        <v>263.33333333333337</v>
      </c>
    </row>
    <row r="522" spans="2:79" x14ac:dyDescent="0.25">
      <c r="B522" s="123" t="str">
        <f t="shared" si="531"/>
        <v>5 2026</v>
      </c>
      <c r="C522" s="122">
        <f t="shared" si="532"/>
        <v>46171</v>
      </c>
      <c r="D522" s="122">
        <f t="shared" si="681"/>
        <v>46172</v>
      </c>
      <c r="E522" s="123">
        <f t="shared" si="533"/>
        <v>1</v>
      </c>
      <c r="F522" s="123" t="s">
        <v>7</v>
      </c>
      <c r="G522" s="124">
        <f t="shared" ref="G522:H522" si="739">G521</f>
        <v>1450000</v>
      </c>
      <c r="H522" s="125">
        <f t="shared" si="739"/>
        <v>3.15E-2</v>
      </c>
      <c r="I522" s="124">
        <f t="shared" si="535"/>
        <v>126.875</v>
      </c>
      <c r="J522" s="124">
        <f t="shared" si="536"/>
        <v>17622.5</v>
      </c>
      <c r="K522" s="9"/>
      <c r="L522" s="11"/>
      <c r="M522" s="306"/>
      <c r="N522" s="97"/>
      <c r="O522" s="421"/>
      <c r="P522" s="304"/>
      <c r="Q522" s="307"/>
      <c r="S522" s="11"/>
      <c r="T522" s="306"/>
      <c r="U522" s="97"/>
      <c r="V522" s="421"/>
      <c r="W522" s="304"/>
      <c r="X522" s="307"/>
      <c r="Z522" s="11" t="s">
        <v>192</v>
      </c>
      <c r="AA522" s="306">
        <f t="shared" ref="AA522:AB522" si="740">AA521</f>
        <v>10000000</v>
      </c>
      <c r="AB522" s="97">
        <f t="shared" si="740"/>
        <v>3.7499999999999999E-2</v>
      </c>
      <c r="AC522" s="421">
        <f t="shared" si="542"/>
        <v>1041.6666666666667</v>
      </c>
      <c r="AD522" s="304">
        <f t="shared" si="543"/>
        <v>156250</v>
      </c>
      <c r="AE522" s="307">
        <f t="shared" si="544"/>
        <v>166.66666666666674</v>
      </c>
      <c r="AG522" s="11" t="s">
        <v>192</v>
      </c>
      <c r="AH522" s="306">
        <f t="shared" ref="AH522:AI522" si="741">AH521</f>
        <v>6000000</v>
      </c>
      <c r="AI522" s="97">
        <f t="shared" si="741"/>
        <v>3.73E-2</v>
      </c>
      <c r="AJ522" s="421">
        <f t="shared" si="546"/>
        <v>621.66666666666663</v>
      </c>
      <c r="AK522" s="304">
        <f t="shared" si="547"/>
        <v>1243.3333333333333</v>
      </c>
      <c r="AL522" s="307">
        <f t="shared" si="548"/>
        <v>96.666666666666629</v>
      </c>
      <c r="AN522" s="304">
        <f>'codeis $'!AB522</f>
        <v>0</v>
      </c>
      <c r="AO522" s="340">
        <f>'codeis $'!AH522</f>
        <v>0</v>
      </c>
      <c r="AP522" s="304">
        <f>'codeis $'!AE522</f>
        <v>0</v>
      </c>
      <c r="AQ522" s="304">
        <f>'codeis $'!AK522</f>
        <v>0</v>
      </c>
      <c r="AR522" s="9"/>
      <c r="AS522" s="9"/>
      <c r="AT522" s="123"/>
      <c r="AU522" s="123"/>
      <c r="AV522" s="123"/>
      <c r="AW522" s="123"/>
      <c r="AX522" s="123"/>
      <c r="AY522" s="123"/>
      <c r="AZ522" s="123"/>
      <c r="BA522" s="123"/>
      <c r="BC522" s="122"/>
      <c r="BD522" s="122"/>
      <c r="BE522" s="122"/>
      <c r="BF522" s="122"/>
      <c r="BH522" s="122"/>
      <c r="BI522" s="122"/>
      <c r="BJ522" s="122"/>
      <c r="BK522" s="122"/>
      <c r="BM522" s="122"/>
      <c r="BN522" s="122"/>
      <c r="BO522" s="122"/>
      <c r="BP522" s="122"/>
      <c r="BR522" s="122"/>
      <c r="BS522" s="122"/>
      <c r="BT522" s="122"/>
      <c r="BU522" s="122"/>
      <c r="BV522" s="439"/>
      <c r="BW522" s="120">
        <f t="shared" si="549"/>
        <v>17450000</v>
      </c>
      <c r="BX522" s="121">
        <f t="shared" si="676"/>
        <v>3.5000000000000003E-2</v>
      </c>
      <c r="BY522" s="121">
        <f t="shared" si="680"/>
        <v>3.6932664756446992E-2</v>
      </c>
      <c r="BZ522" s="120">
        <f t="shared" si="550"/>
        <v>1790.2083333333335</v>
      </c>
      <c r="CA522" s="120">
        <f t="shared" si="551"/>
        <v>263.33333333333337</v>
      </c>
    </row>
    <row r="523" spans="2:79" x14ac:dyDescent="0.25">
      <c r="B523" s="123" t="str">
        <f t="shared" si="531"/>
        <v>5 2026</v>
      </c>
      <c r="C523" s="122">
        <f t="shared" si="532"/>
        <v>46172</v>
      </c>
      <c r="D523" s="122">
        <f t="shared" si="681"/>
        <v>46173</v>
      </c>
      <c r="E523" s="123">
        <f t="shared" si="533"/>
        <v>1</v>
      </c>
      <c r="F523" s="123" t="s">
        <v>7</v>
      </c>
      <c r="G523" s="124">
        <f t="shared" ref="G523:H523" si="742">G522</f>
        <v>1450000</v>
      </c>
      <c r="H523" s="125">
        <f t="shared" si="742"/>
        <v>3.15E-2</v>
      </c>
      <c r="I523" s="124">
        <f t="shared" si="535"/>
        <v>126.875</v>
      </c>
      <c r="J523" s="124">
        <f t="shared" si="536"/>
        <v>17749.375</v>
      </c>
      <c r="K523" s="9"/>
      <c r="L523" s="11"/>
      <c r="M523" s="306"/>
      <c r="N523" s="97"/>
      <c r="O523" s="421"/>
      <c r="P523" s="304"/>
      <c r="Q523" s="307"/>
      <c r="S523" s="11"/>
      <c r="T523" s="306"/>
      <c r="U523" s="97"/>
      <c r="V523" s="421"/>
      <c r="W523" s="304"/>
      <c r="X523" s="307"/>
      <c r="Z523" s="11" t="s">
        <v>192</v>
      </c>
      <c r="AA523" s="306">
        <f t="shared" ref="AA523:AB523" si="743">AA522</f>
        <v>10000000</v>
      </c>
      <c r="AB523" s="97">
        <f t="shared" si="743"/>
        <v>3.7499999999999999E-2</v>
      </c>
      <c r="AC523" s="421">
        <f t="shared" si="542"/>
        <v>1041.6666666666667</v>
      </c>
      <c r="AD523" s="304">
        <f t="shared" si="543"/>
        <v>157291.66666666666</v>
      </c>
      <c r="AE523" s="307">
        <f t="shared" si="544"/>
        <v>166.66666666666674</v>
      </c>
      <c r="AG523" s="11" t="s">
        <v>192</v>
      </c>
      <c r="AH523" s="306">
        <f t="shared" ref="AH523:AI523" si="744">AH522</f>
        <v>6000000</v>
      </c>
      <c r="AI523" s="97">
        <f t="shared" si="744"/>
        <v>3.73E-2</v>
      </c>
      <c r="AJ523" s="421">
        <f t="shared" si="546"/>
        <v>621.66666666666663</v>
      </c>
      <c r="AK523" s="304">
        <f t="shared" si="547"/>
        <v>1243.3333333333333</v>
      </c>
      <c r="AL523" s="307">
        <f t="shared" si="548"/>
        <v>96.666666666666629</v>
      </c>
      <c r="AN523" s="304">
        <f>'codeis $'!AB523</f>
        <v>0</v>
      </c>
      <c r="AO523" s="340">
        <f>'codeis $'!AH523</f>
        <v>0</v>
      </c>
      <c r="AP523" s="304">
        <f>'codeis $'!AE523</f>
        <v>0</v>
      </c>
      <c r="AQ523" s="304">
        <f>'codeis $'!AK523</f>
        <v>0</v>
      </c>
      <c r="AR523" s="9"/>
      <c r="AS523" s="9"/>
      <c r="AT523" s="123"/>
      <c r="AU523" s="123"/>
      <c r="AV523" s="123"/>
      <c r="AW523" s="123"/>
      <c r="AX523" s="123"/>
      <c r="AY523" s="123"/>
      <c r="AZ523" s="123"/>
      <c r="BA523" s="123"/>
      <c r="BC523" s="122"/>
      <c r="BD523" s="122"/>
      <c r="BE523" s="122"/>
      <c r="BF523" s="122"/>
      <c r="BH523" s="122"/>
      <c r="BI523" s="122"/>
      <c r="BJ523" s="122"/>
      <c r="BK523" s="122"/>
      <c r="BM523" s="122"/>
      <c r="BN523" s="122"/>
      <c r="BO523" s="122"/>
      <c r="BP523" s="122"/>
      <c r="BR523" s="122"/>
      <c r="BS523" s="122"/>
      <c r="BT523" s="122"/>
      <c r="BU523" s="122"/>
      <c r="BV523" s="439"/>
      <c r="BW523" s="120">
        <f t="shared" si="549"/>
        <v>17450000</v>
      </c>
      <c r="BX523" s="121">
        <f t="shared" si="676"/>
        <v>3.5000000000000003E-2</v>
      </c>
      <c r="BY523" s="121">
        <f t="shared" si="680"/>
        <v>3.6932664756446992E-2</v>
      </c>
      <c r="BZ523" s="120">
        <f t="shared" si="550"/>
        <v>1790.2083333333335</v>
      </c>
      <c r="CA523" s="120">
        <f t="shared" si="551"/>
        <v>263.33333333333337</v>
      </c>
    </row>
    <row r="524" spans="2:79" x14ac:dyDescent="0.25">
      <c r="B524" s="123" t="str">
        <f t="shared" si="531"/>
        <v>6 2026</v>
      </c>
      <c r="C524" s="122">
        <f t="shared" si="532"/>
        <v>46173</v>
      </c>
      <c r="D524" s="122">
        <f t="shared" si="681"/>
        <v>46174</v>
      </c>
      <c r="E524" s="123">
        <f t="shared" si="533"/>
        <v>1</v>
      </c>
      <c r="F524" s="123" t="s">
        <v>7</v>
      </c>
      <c r="G524" s="124">
        <f t="shared" ref="G524:H524" si="745">G523</f>
        <v>1450000</v>
      </c>
      <c r="H524" s="125">
        <f t="shared" si="745"/>
        <v>3.15E-2</v>
      </c>
      <c r="I524" s="124">
        <f t="shared" si="535"/>
        <v>126.875</v>
      </c>
      <c r="J524" s="124">
        <f t="shared" si="536"/>
        <v>17876.25</v>
      </c>
      <c r="K524" s="9"/>
      <c r="L524" s="11"/>
      <c r="M524" s="306"/>
      <c r="N524" s="97"/>
      <c r="O524" s="421"/>
      <c r="P524" s="304"/>
      <c r="Q524" s="307"/>
      <c r="S524" s="11"/>
      <c r="T524" s="306"/>
      <c r="U524" s="97"/>
      <c r="V524" s="421"/>
      <c r="W524" s="304"/>
      <c r="X524" s="307"/>
      <c r="Z524" s="11" t="s">
        <v>192</v>
      </c>
      <c r="AA524" s="306">
        <f t="shared" ref="AA524:AB524" si="746">AA523</f>
        <v>10000000</v>
      </c>
      <c r="AB524" s="97">
        <f t="shared" si="746"/>
        <v>3.7499999999999999E-2</v>
      </c>
      <c r="AC524" s="421">
        <f t="shared" si="542"/>
        <v>1041.6666666666667</v>
      </c>
      <c r="AD524" s="304">
        <f t="shared" si="543"/>
        <v>158333.33333333331</v>
      </c>
      <c r="AE524" s="307">
        <f t="shared" si="544"/>
        <v>166.66666666666674</v>
      </c>
      <c r="AG524" s="11" t="s">
        <v>192</v>
      </c>
      <c r="AH524" s="306">
        <f t="shared" ref="AH524:AI524" si="747">AH523</f>
        <v>6000000</v>
      </c>
      <c r="AI524" s="97">
        <f t="shared" si="747"/>
        <v>3.73E-2</v>
      </c>
      <c r="AJ524" s="421">
        <f t="shared" si="546"/>
        <v>621.66666666666663</v>
      </c>
      <c r="AK524" s="304">
        <f t="shared" si="547"/>
        <v>1243.3333333333333</v>
      </c>
      <c r="AL524" s="307">
        <f t="shared" si="548"/>
        <v>96.666666666666629</v>
      </c>
      <c r="AN524" s="304">
        <f>'codeis $'!AB524</f>
        <v>0</v>
      </c>
      <c r="AO524" s="340">
        <f>'codeis $'!AH524</f>
        <v>0</v>
      </c>
      <c r="AP524" s="304">
        <f>'codeis $'!AE524</f>
        <v>0</v>
      </c>
      <c r="AQ524" s="304">
        <f>'codeis $'!AK524</f>
        <v>0</v>
      </c>
      <c r="AR524" s="9"/>
      <c r="AS524" s="9"/>
      <c r="AT524" s="123"/>
      <c r="AU524" s="123"/>
      <c r="AV524" s="123"/>
      <c r="AW524" s="123"/>
      <c r="AX524" s="123"/>
      <c r="AY524" s="123"/>
      <c r="AZ524" s="123"/>
      <c r="BA524" s="123"/>
      <c r="BC524" s="122"/>
      <c r="BD524" s="122"/>
      <c r="BE524" s="122"/>
      <c r="BF524" s="122"/>
      <c r="BH524" s="122"/>
      <c r="BI524" s="122"/>
      <c r="BJ524" s="122"/>
      <c r="BK524" s="122"/>
      <c r="BM524" s="122"/>
      <c r="BN524" s="122"/>
      <c r="BO524" s="122"/>
      <c r="BP524" s="122"/>
      <c r="BR524" s="122"/>
      <c r="BS524" s="122"/>
      <c r="BT524" s="122"/>
      <c r="BU524" s="122"/>
      <c r="BV524" s="439"/>
      <c r="BW524" s="120">
        <f t="shared" si="549"/>
        <v>17450000</v>
      </c>
      <c r="BX524" s="121">
        <f t="shared" si="676"/>
        <v>3.5000000000000003E-2</v>
      </c>
      <c r="BY524" s="121">
        <f t="shared" si="680"/>
        <v>3.6932664756446992E-2</v>
      </c>
      <c r="BZ524" s="120">
        <f t="shared" si="550"/>
        <v>1790.2083333333335</v>
      </c>
      <c r="CA524" s="120">
        <f t="shared" si="551"/>
        <v>263.33333333333337</v>
      </c>
    </row>
    <row r="525" spans="2:79" x14ac:dyDescent="0.25">
      <c r="B525" s="123" t="str">
        <f t="shared" si="531"/>
        <v>6 2026</v>
      </c>
      <c r="C525" s="122">
        <f t="shared" si="532"/>
        <v>46174</v>
      </c>
      <c r="D525" s="122">
        <f t="shared" si="681"/>
        <v>46175</v>
      </c>
      <c r="E525" s="123">
        <f t="shared" si="533"/>
        <v>1</v>
      </c>
      <c r="F525" s="123" t="s">
        <v>7</v>
      </c>
      <c r="G525" s="124">
        <f t="shared" ref="G525:H525" si="748">G524</f>
        <v>1450000</v>
      </c>
      <c r="H525" s="125">
        <f t="shared" si="748"/>
        <v>3.15E-2</v>
      </c>
      <c r="I525" s="124">
        <f t="shared" si="535"/>
        <v>126.875</v>
      </c>
      <c r="J525" s="124">
        <f t="shared" si="536"/>
        <v>18003.125</v>
      </c>
      <c r="K525" s="9"/>
      <c r="L525" s="11"/>
      <c r="M525" s="306"/>
      <c r="N525" s="97"/>
      <c r="O525" s="421"/>
      <c r="P525" s="304"/>
      <c r="Q525" s="307"/>
      <c r="S525" s="11"/>
      <c r="T525" s="306"/>
      <c r="U525" s="97"/>
      <c r="V525" s="421"/>
      <c r="W525" s="304"/>
      <c r="X525" s="307"/>
      <c r="Z525" s="11" t="s">
        <v>192</v>
      </c>
      <c r="AA525" s="306">
        <f t="shared" ref="AA525:AB525" si="749">AA524</f>
        <v>10000000</v>
      </c>
      <c r="AB525" s="97">
        <f t="shared" si="749"/>
        <v>3.7499999999999999E-2</v>
      </c>
      <c r="AC525" s="421">
        <f t="shared" si="542"/>
        <v>1041.6666666666667</v>
      </c>
      <c r="AD525" s="304">
        <f t="shared" si="543"/>
        <v>159374.99999999997</v>
      </c>
      <c r="AE525" s="307">
        <f t="shared" si="544"/>
        <v>166.66666666666674</v>
      </c>
      <c r="AG525" s="11" t="s">
        <v>192</v>
      </c>
      <c r="AH525" s="306">
        <f t="shared" ref="AH525:AI525" si="750">AH524</f>
        <v>6000000</v>
      </c>
      <c r="AI525" s="97">
        <f t="shared" si="750"/>
        <v>3.73E-2</v>
      </c>
      <c r="AJ525" s="421">
        <f t="shared" si="546"/>
        <v>621.66666666666663</v>
      </c>
      <c r="AK525" s="304">
        <f t="shared" si="547"/>
        <v>1243.3333333333333</v>
      </c>
      <c r="AL525" s="307">
        <f t="shared" si="548"/>
        <v>96.666666666666629</v>
      </c>
      <c r="AN525" s="304">
        <f>'codeis $'!AB525</f>
        <v>0</v>
      </c>
      <c r="AO525" s="340">
        <f>'codeis $'!AH525</f>
        <v>0</v>
      </c>
      <c r="AP525" s="304">
        <f>'codeis $'!AE525</f>
        <v>0</v>
      </c>
      <c r="AQ525" s="304">
        <f>'codeis $'!AK525</f>
        <v>0</v>
      </c>
      <c r="AR525" s="9"/>
      <c r="AS525" s="9"/>
      <c r="AT525" s="123"/>
      <c r="AU525" s="123"/>
      <c r="AV525" s="123"/>
      <c r="AW525" s="123"/>
      <c r="AX525" s="123"/>
      <c r="AY525" s="123"/>
      <c r="AZ525" s="123"/>
      <c r="BA525" s="123"/>
      <c r="BC525" s="122"/>
      <c r="BD525" s="122"/>
      <c r="BE525" s="122"/>
      <c r="BF525" s="122"/>
      <c r="BH525" s="122"/>
      <c r="BI525" s="122"/>
      <c r="BJ525" s="122"/>
      <c r="BK525" s="122"/>
      <c r="BM525" s="122"/>
      <c r="BN525" s="122"/>
      <c r="BO525" s="122"/>
      <c r="BP525" s="122"/>
      <c r="BR525" s="122"/>
      <c r="BS525" s="122"/>
      <c r="BT525" s="122"/>
      <c r="BU525" s="122"/>
      <c r="BV525" s="439"/>
      <c r="BW525" s="120">
        <f t="shared" si="549"/>
        <v>17450000</v>
      </c>
      <c r="BX525" s="121">
        <f t="shared" si="676"/>
        <v>3.5000000000000003E-2</v>
      </c>
      <c r="BY525" s="121">
        <f t="shared" si="680"/>
        <v>3.6932664756446992E-2</v>
      </c>
      <c r="BZ525" s="120">
        <f t="shared" si="550"/>
        <v>1790.2083333333335</v>
      </c>
      <c r="CA525" s="120">
        <f t="shared" si="551"/>
        <v>263.33333333333337</v>
      </c>
    </row>
    <row r="526" spans="2:79" x14ac:dyDescent="0.25">
      <c r="B526" s="123" t="str">
        <f t="shared" si="531"/>
        <v>6 2026</v>
      </c>
      <c r="C526" s="122">
        <f t="shared" si="532"/>
        <v>46175</v>
      </c>
      <c r="D526" s="122">
        <f t="shared" si="681"/>
        <v>46176</v>
      </c>
      <c r="E526" s="123">
        <f t="shared" si="533"/>
        <v>1</v>
      </c>
      <c r="F526" s="123" t="s">
        <v>7</v>
      </c>
      <c r="G526" s="124">
        <f t="shared" ref="G526:H526" si="751">G525</f>
        <v>1450000</v>
      </c>
      <c r="H526" s="125">
        <f t="shared" si="751"/>
        <v>3.15E-2</v>
      </c>
      <c r="I526" s="124">
        <f t="shared" si="535"/>
        <v>126.875</v>
      </c>
      <c r="J526" s="124">
        <f t="shared" si="536"/>
        <v>18130</v>
      </c>
      <c r="K526" s="9"/>
      <c r="L526" s="11"/>
      <c r="M526" s="306"/>
      <c r="N526" s="97"/>
      <c r="O526" s="421"/>
      <c r="P526" s="304"/>
      <c r="Q526" s="307"/>
      <c r="S526" s="11"/>
      <c r="T526" s="306"/>
      <c r="U526" s="97"/>
      <c r="V526" s="421"/>
      <c r="W526" s="304"/>
      <c r="X526" s="307"/>
      <c r="Z526" s="11" t="s">
        <v>192</v>
      </c>
      <c r="AA526" s="306">
        <f t="shared" ref="AA526:AB526" si="752">AA525</f>
        <v>10000000</v>
      </c>
      <c r="AB526" s="97">
        <f t="shared" si="752"/>
        <v>3.7499999999999999E-2</v>
      </c>
      <c r="AC526" s="421">
        <f t="shared" si="542"/>
        <v>1041.6666666666667</v>
      </c>
      <c r="AD526" s="304">
        <f t="shared" si="543"/>
        <v>160416.66666666663</v>
      </c>
      <c r="AE526" s="307">
        <f t="shared" si="544"/>
        <v>166.66666666666674</v>
      </c>
      <c r="AG526" s="11" t="s">
        <v>192</v>
      </c>
      <c r="AH526" s="306">
        <f t="shared" ref="AH526:AI526" si="753">AH525</f>
        <v>6000000</v>
      </c>
      <c r="AI526" s="97">
        <f t="shared" si="753"/>
        <v>3.73E-2</v>
      </c>
      <c r="AJ526" s="421">
        <f t="shared" si="546"/>
        <v>621.66666666666663</v>
      </c>
      <c r="AK526" s="304">
        <f t="shared" si="547"/>
        <v>1243.3333333333333</v>
      </c>
      <c r="AL526" s="307">
        <f t="shared" si="548"/>
        <v>96.666666666666629</v>
      </c>
      <c r="AN526" s="304">
        <f>'codeis $'!AB526</f>
        <v>0</v>
      </c>
      <c r="AO526" s="340">
        <f>'codeis $'!AH526</f>
        <v>0</v>
      </c>
      <c r="AP526" s="304">
        <f>'codeis $'!AE526</f>
        <v>0</v>
      </c>
      <c r="AQ526" s="304">
        <f>'codeis $'!AK526</f>
        <v>0</v>
      </c>
      <c r="AR526" s="9"/>
      <c r="AS526" s="9"/>
      <c r="AT526" s="123"/>
      <c r="AU526" s="123"/>
      <c r="AV526" s="123"/>
      <c r="AW526" s="123"/>
      <c r="AX526" s="123"/>
      <c r="AY526" s="123"/>
      <c r="AZ526" s="123"/>
      <c r="BA526" s="123"/>
      <c r="BC526" s="122"/>
      <c r="BD526" s="122"/>
      <c r="BE526" s="122"/>
      <c r="BF526" s="122"/>
      <c r="BH526" s="122"/>
      <c r="BI526" s="122"/>
      <c r="BJ526" s="122"/>
      <c r="BK526" s="122"/>
      <c r="BM526" s="122"/>
      <c r="BN526" s="122"/>
      <c r="BO526" s="122"/>
      <c r="BP526" s="122"/>
      <c r="BR526" s="122"/>
      <c r="BS526" s="122"/>
      <c r="BT526" s="122"/>
      <c r="BU526" s="122"/>
      <c r="BV526" s="439"/>
      <c r="BW526" s="120">
        <f t="shared" si="549"/>
        <v>17450000</v>
      </c>
      <c r="BX526" s="121">
        <f t="shared" si="676"/>
        <v>3.5000000000000003E-2</v>
      </c>
      <c r="BY526" s="121">
        <f t="shared" si="680"/>
        <v>3.6932664756446992E-2</v>
      </c>
      <c r="BZ526" s="120">
        <f t="shared" si="550"/>
        <v>1790.2083333333335</v>
      </c>
      <c r="CA526" s="120">
        <f t="shared" si="551"/>
        <v>263.33333333333337</v>
      </c>
    </row>
    <row r="527" spans="2:79" x14ac:dyDescent="0.25">
      <c r="B527" s="123" t="str">
        <f t="shared" si="531"/>
        <v>6 2026</v>
      </c>
      <c r="C527" s="122">
        <f t="shared" si="532"/>
        <v>46176</v>
      </c>
      <c r="D527" s="122">
        <f t="shared" si="681"/>
        <v>46177</v>
      </c>
      <c r="E527" s="123">
        <f t="shared" si="533"/>
        <v>1</v>
      </c>
      <c r="F527" s="123" t="s">
        <v>7</v>
      </c>
      <c r="G527" s="124">
        <f t="shared" ref="G527:H527" si="754">G526</f>
        <v>1450000</v>
      </c>
      <c r="H527" s="125">
        <f t="shared" si="754"/>
        <v>3.15E-2</v>
      </c>
      <c r="I527" s="124">
        <f t="shared" si="535"/>
        <v>126.875</v>
      </c>
      <c r="J527" s="124">
        <f t="shared" si="536"/>
        <v>18256.875</v>
      </c>
      <c r="K527" s="9"/>
      <c r="L527" s="11"/>
      <c r="M527" s="306"/>
      <c r="N527" s="97"/>
      <c r="O527" s="421"/>
      <c r="P527" s="304"/>
      <c r="Q527" s="307"/>
      <c r="S527" s="11"/>
      <c r="T527" s="306"/>
      <c r="U527" s="97"/>
      <c r="V527" s="421"/>
      <c r="W527" s="304"/>
      <c r="X527" s="307"/>
      <c r="Z527" s="11" t="s">
        <v>192</v>
      </c>
      <c r="AA527" s="306">
        <f t="shared" ref="AA527:AB527" si="755">AA526</f>
        <v>10000000</v>
      </c>
      <c r="AB527" s="97">
        <f t="shared" si="755"/>
        <v>3.7499999999999999E-2</v>
      </c>
      <c r="AC527" s="421">
        <f t="shared" si="542"/>
        <v>1041.6666666666667</v>
      </c>
      <c r="AD527" s="304">
        <f t="shared" si="543"/>
        <v>161458.33333333328</v>
      </c>
      <c r="AE527" s="307">
        <f t="shared" si="544"/>
        <v>166.66666666666674</v>
      </c>
      <c r="AG527" s="11" t="s">
        <v>192</v>
      </c>
      <c r="AH527" s="306">
        <f t="shared" ref="AH527:AI527" si="756">AH526</f>
        <v>6000000</v>
      </c>
      <c r="AI527" s="97">
        <f t="shared" si="756"/>
        <v>3.73E-2</v>
      </c>
      <c r="AJ527" s="421">
        <f t="shared" si="546"/>
        <v>621.66666666666663</v>
      </c>
      <c r="AK527" s="304">
        <f t="shared" si="547"/>
        <v>1243.3333333333333</v>
      </c>
      <c r="AL527" s="307">
        <f t="shared" si="548"/>
        <v>96.666666666666629</v>
      </c>
      <c r="AN527" s="304">
        <f>'codeis $'!AB527</f>
        <v>0</v>
      </c>
      <c r="AO527" s="340">
        <f>'codeis $'!AH527</f>
        <v>0</v>
      </c>
      <c r="AP527" s="304">
        <f>'codeis $'!AE527</f>
        <v>0</v>
      </c>
      <c r="AQ527" s="304">
        <f>'codeis $'!AK527</f>
        <v>0</v>
      </c>
      <c r="AR527" s="9"/>
      <c r="AS527" s="9"/>
      <c r="AT527" s="123"/>
      <c r="AU527" s="123"/>
      <c r="AV527" s="123"/>
      <c r="AW527" s="123"/>
      <c r="AX527" s="123"/>
      <c r="AY527" s="123"/>
      <c r="AZ527" s="123"/>
      <c r="BA527" s="123"/>
      <c r="BC527" s="122"/>
      <c r="BD527" s="122"/>
      <c r="BE527" s="122"/>
      <c r="BF527" s="122"/>
      <c r="BH527" s="122"/>
      <c r="BI527" s="122"/>
      <c r="BJ527" s="122"/>
      <c r="BK527" s="122"/>
      <c r="BM527" s="122"/>
      <c r="BN527" s="122"/>
      <c r="BO527" s="122"/>
      <c r="BP527" s="122"/>
      <c r="BR527" s="122"/>
      <c r="BS527" s="122"/>
      <c r="BT527" s="122"/>
      <c r="BU527" s="122"/>
      <c r="BV527" s="439"/>
      <c r="BW527" s="120">
        <f t="shared" si="549"/>
        <v>17450000</v>
      </c>
      <c r="BX527" s="121">
        <f t="shared" si="676"/>
        <v>3.5000000000000003E-2</v>
      </c>
      <c r="BY527" s="121">
        <f t="shared" si="680"/>
        <v>3.6932664756446992E-2</v>
      </c>
      <c r="BZ527" s="120">
        <f t="shared" si="550"/>
        <v>1790.2083333333335</v>
      </c>
      <c r="CA527" s="120">
        <f t="shared" si="551"/>
        <v>263.33333333333337</v>
      </c>
    </row>
    <row r="528" spans="2:79" x14ac:dyDescent="0.25">
      <c r="B528" s="123" t="str">
        <f t="shared" si="531"/>
        <v>6 2026</v>
      </c>
      <c r="C528" s="122">
        <f t="shared" si="532"/>
        <v>46177</v>
      </c>
      <c r="D528" s="122">
        <f t="shared" si="681"/>
        <v>46178</v>
      </c>
      <c r="E528" s="123">
        <f t="shared" si="533"/>
        <v>1</v>
      </c>
      <c r="F528" s="123" t="s">
        <v>7</v>
      </c>
      <c r="G528" s="124">
        <f t="shared" ref="G528:H528" si="757">G527</f>
        <v>1450000</v>
      </c>
      <c r="H528" s="125">
        <f t="shared" si="757"/>
        <v>3.15E-2</v>
      </c>
      <c r="I528" s="124">
        <f t="shared" si="535"/>
        <v>126.875</v>
      </c>
      <c r="J528" s="124">
        <f t="shared" si="536"/>
        <v>18383.75</v>
      </c>
      <c r="K528" s="9"/>
      <c r="L528" s="11"/>
      <c r="M528" s="306"/>
      <c r="N528" s="97"/>
      <c r="O528" s="421"/>
      <c r="P528" s="304"/>
      <c r="Q528" s="307"/>
      <c r="S528" s="11"/>
      <c r="T528" s="306"/>
      <c r="U528" s="97"/>
      <c r="V528" s="421"/>
      <c r="W528" s="304"/>
      <c r="X528" s="307"/>
      <c r="Z528" s="11" t="s">
        <v>192</v>
      </c>
      <c r="AA528" s="306">
        <f t="shared" ref="AA528:AB528" si="758">AA527</f>
        <v>10000000</v>
      </c>
      <c r="AB528" s="97">
        <f t="shared" si="758"/>
        <v>3.7499999999999999E-2</v>
      </c>
      <c r="AC528" s="421">
        <f t="shared" si="542"/>
        <v>1041.6666666666667</v>
      </c>
      <c r="AD528" s="304">
        <f t="shared" si="543"/>
        <v>162499.99999999994</v>
      </c>
      <c r="AE528" s="307">
        <f t="shared" si="544"/>
        <v>166.66666666666674</v>
      </c>
      <c r="AG528" s="11" t="s">
        <v>192</v>
      </c>
      <c r="AH528" s="306">
        <f t="shared" ref="AH528:AI528" si="759">AH527</f>
        <v>6000000</v>
      </c>
      <c r="AI528" s="97">
        <f t="shared" si="759"/>
        <v>3.73E-2</v>
      </c>
      <c r="AJ528" s="421">
        <f t="shared" si="546"/>
        <v>621.66666666666663</v>
      </c>
      <c r="AK528" s="304">
        <f t="shared" si="547"/>
        <v>1243.3333333333333</v>
      </c>
      <c r="AL528" s="307">
        <f t="shared" si="548"/>
        <v>96.666666666666629</v>
      </c>
      <c r="AN528" s="304">
        <f>'codeis $'!AB528</f>
        <v>0</v>
      </c>
      <c r="AO528" s="340">
        <f>'codeis $'!AH528</f>
        <v>0</v>
      </c>
      <c r="AP528" s="304">
        <f>'codeis $'!AE528</f>
        <v>0</v>
      </c>
      <c r="AQ528" s="304">
        <f>'codeis $'!AK528</f>
        <v>0</v>
      </c>
      <c r="AR528" s="9"/>
      <c r="AS528" s="9"/>
      <c r="AT528" s="123"/>
      <c r="AU528" s="123"/>
      <c r="AV528" s="123"/>
      <c r="AW528" s="123"/>
      <c r="AX528" s="123"/>
      <c r="AY528" s="123"/>
      <c r="AZ528" s="123"/>
      <c r="BA528" s="123"/>
      <c r="BC528" s="122"/>
      <c r="BD528" s="122"/>
      <c r="BE528" s="122"/>
      <c r="BF528" s="122"/>
      <c r="BH528" s="122"/>
      <c r="BI528" s="122"/>
      <c r="BJ528" s="122"/>
      <c r="BK528" s="122"/>
      <c r="BM528" s="122"/>
      <c r="BN528" s="122"/>
      <c r="BO528" s="122"/>
      <c r="BP528" s="122"/>
      <c r="BR528" s="122"/>
      <c r="BS528" s="122"/>
      <c r="BT528" s="122"/>
      <c r="BU528" s="122"/>
      <c r="BV528" s="439"/>
      <c r="BW528" s="120">
        <f t="shared" si="549"/>
        <v>17450000</v>
      </c>
      <c r="BX528" s="121">
        <f t="shared" si="676"/>
        <v>3.5000000000000003E-2</v>
      </c>
      <c r="BY528" s="121">
        <f t="shared" si="680"/>
        <v>3.6932664756446992E-2</v>
      </c>
      <c r="BZ528" s="120">
        <f t="shared" si="550"/>
        <v>1790.2083333333335</v>
      </c>
      <c r="CA528" s="120">
        <f t="shared" si="551"/>
        <v>263.33333333333337</v>
      </c>
    </row>
    <row r="529" spans="2:79" x14ac:dyDescent="0.25">
      <c r="B529" s="123" t="str">
        <f t="shared" si="531"/>
        <v>6 2026</v>
      </c>
      <c r="C529" s="122">
        <f t="shared" si="532"/>
        <v>46178</v>
      </c>
      <c r="D529" s="122">
        <f t="shared" si="681"/>
        <v>46179</v>
      </c>
      <c r="E529" s="123">
        <f t="shared" si="533"/>
        <v>1</v>
      </c>
      <c r="F529" s="123" t="s">
        <v>7</v>
      </c>
      <c r="G529" s="124">
        <f t="shared" ref="G529:H529" si="760">G528</f>
        <v>1450000</v>
      </c>
      <c r="H529" s="125">
        <f t="shared" si="760"/>
        <v>3.15E-2</v>
      </c>
      <c r="I529" s="124">
        <f t="shared" si="535"/>
        <v>126.875</v>
      </c>
      <c r="J529" s="124">
        <f t="shared" si="536"/>
        <v>18510.625</v>
      </c>
      <c r="K529" s="9"/>
      <c r="L529" s="11"/>
      <c r="M529" s="306"/>
      <c r="N529" s="97"/>
      <c r="O529" s="421"/>
      <c r="P529" s="304"/>
      <c r="Q529" s="307"/>
      <c r="S529" s="11"/>
      <c r="T529" s="306"/>
      <c r="U529" s="97"/>
      <c r="V529" s="421"/>
      <c r="W529" s="304"/>
      <c r="X529" s="307"/>
      <c r="Z529" s="11" t="s">
        <v>192</v>
      </c>
      <c r="AA529" s="306">
        <f t="shared" ref="AA529:AB529" si="761">AA528</f>
        <v>10000000</v>
      </c>
      <c r="AB529" s="97">
        <f t="shared" si="761"/>
        <v>3.7499999999999999E-2</v>
      </c>
      <c r="AC529" s="421">
        <f t="shared" si="542"/>
        <v>1041.6666666666667</v>
      </c>
      <c r="AD529" s="304">
        <f t="shared" si="543"/>
        <v>163541.6666666666</v>
      </c>
      <c r="AE529" s="307">
        <f t="shared" si="544"/>
        <v>166.66666666666674</v>
      </c>
      <c r="AG529" s="11" t="s">
        <v>192</v>
      </c>
      <c r="AH529" s="306">
        <f t="shared" ref="AH529:AI529" si="762">AH528</f>
        <v>6000000</v>
      </c>
      <c r="AI529" s="97">
        <f t="shared" si="762"/>
        <v>3.73E-2</v>
      </c>
      <c r="AJ529" s="421">
        <f t="shared" si="546"/>
        <v>621.66666666666663</v>
      </c>
      <c r="AK529" s="304">
        <f t="shared" si="547"/>
        <v>1243.3333333333333</v>
      </c>
      <c r="AL529" s="307">
        <f t="shared" si="548"/>
        <v>96.666666666666629</v>
      </c>
      <c r="AN529" s="304">
        <f>'codeis $'!AB529</f>
        <v>0</v>
      </c>
      <c r="AO529" s="340">
        <f>'codeis $'!AH529</f>
        <v>0</v>
      </c>
      <c r="AP529" s="304">
        <f>'codeis $'!AE529</f>
        <v>0</v>
      </c>
      <c r="AQ529" s="304">
        <f>'codeis $'!AK529</f>
        <v>0</v>
      </c>
      <c r="AR529" s="9"/>
      <c r="AS529" s="9"/>
      <c r="AT529" s="123"/>
      <c r="AU529" s="123"/>
      <c r="AV529" s="123"/>
      <c r="AW529" s="123"/>
      <c r="AX529" s="123"/>
      <c r="AY529" s="123"/>
      <c r="AZ529" s="123"/>
      <c r="BA529" s="123"/>
      <c r="BC529" s="122"/>
      <c r="BD529" s="122"/>
      <c r="BE529" s="122"/>
      <c r="BF529" s="122"/>
      <c r="BH529" s="122"/>
      <c r="BI529" s="122"/>
      <c r="BJ529" s="122"/>
      <c r="BK529" s="122"/>
      <c r="BM529" s="122"/>
      <c r="BN529" s="122"/>
      <c r="BO529" s="122"/>
      <c r="BP529" s="122"/>
      <c r="BR529" s="122"/>
      <c r="BS529" s="122"/>
      <c r="BT529" s="122"/>
      <c r="BU529" s="122"/>
      <c r="BV529" s="439"/>
      <c r="BW529" s="120">
        <f t="shared" si="549"/>
        <v>17450000</v>
      </c>
      <c r="BX529" s="121">
        <f t="shared" si="676"/>
        <v>3.5000000000000003E-2</v>
      </c>
      <c r="BY529" s="121">
        <f t="shared" si="680"/>
        <v>3.6932664756446992E-2</v>
      </c>
      <c r="BZ529" s="120">
        <f t="shared" si="550"/>
        <v>1790.2083333333335</v>
      </c>
      <c r="CA529" s="120">
        <f t="shared" si="551"/>
        <v>263.33333333333337</v>
      </c>
    </row>
    <row r="530" spans="2:79" x14ac:dyDescent="0.25">
      <c r="B530" s="123" t="str">
        <f t="shared" si="531"/>
        <v>6 2026</v>
      </c>
      <c r="C530" s="122">
        <f t="shared" si="532"/>
        <v>46179</v>
      </c>
      <c r="D530" s="122">
        <f t="shared" si="681"/>
        <v>46180</v>
      </c>
      <c r="E530" s="123">
        <f t="shared" si="533"/>
        <v>1</v>
      </c>
      <c r="F530" s="123" t="s">
        <v>7</v>
      </c>
      <c r="G530" s="124">
        <f t="shared" ref="G530:H530" si="763">G529</f>
        <v>1450000</v>
      </c>
      <c r="H530" s="125">
        <f t="shared" si="763"/>
        <v>3.15E-2</v>
      </c>
      <c r="I530" s="124">
        <f t="shared" si="535"/>
        <v>126.875</v>
      </c>
      <c r="J530" s="124">
        <f t="shared" si="536"/>
        <v>18637.5</v>
      </c>
      <c r="K530" s="9"/>
      <c r="L530" s="11"/>
      <c r="M530" s="306"/>
      <c r="N530" s="97"/>
      <c r="O530" s="421"/>
      <c r="P530" s="304"/>
      <c r="Q530" s="307"/>
      <c r="S530" s="11"/>
      <c r="T530" s="306"/>
      <c r="U530" s="97"/>
      <c r="V530" s="421"/>
      <c r="W530" s="304"/>
      <c r="X530" s="307"/>
      <c r="Z530" s="11" t="s">
        <v>192</v>
      </c>
      <c r="AA530" s="306">
        <f t="shared" ref="AA530:AB530" si="764">AA529</f>
        <v>10000000</v>
      </c>
      <c r="AB530" s="97">
        <f t="shared" si="764"/>
        <v>3.7499999999999999E-2</v>
      </c>
      <c r="AC530" s="421">
        <f t="shared" si="542"/>
        <v>1041.6666666666667</v>
      </c>
      <c r="AD530" s="304">
        <f t="shared" si="543"/>
        <v>164583.33333333326</v>
      </c>
      <c r="AE530" s="307">
        <f t="shared" si="544"/>
        <v>166.66666666666674</v>
      </c>
      <c r="AG530" s="11" t="s">
        <v>192</v>
      </c>
      <c r="AH530" s="306">
        <f t="shared" ref="AH530:AI530" si="765">AH529</f>
        <v>6000000</v>
      </c>
      <c r="AI530" s="97">
        <f t="shared" si="765"/>
        <v>3.73E-2</v>
      </c>
      <c r="AJ530" s="421">
        <f t="shared" si="546"/>
        <v>621.66666666666663</v>
      </c>
      <c r="AK530" s="304">
        <f t="shared" si="547"/>
        <v>1243.3333333333333</v>
      </c>
      <c r="AL530" s="307">
        <f t="shared" si="548"/>
        <v>96.666666666666629</v>
      </c>
      <c r="AN530" s="304">
        <f>'codeis $'!AB530</f>
        <v>0</v>
      </c>
      <c r="AO530" s="340">
        <f>'codeis $'!AH530</f>
        <v>0</v>
      </c>
      <c r="AP530" s="304">
        <f>'codeis $'!AE530</f>
        <v>0</v>
      </c>
      <c r="AQ530" s="304">
        <f>'codeis $'!AK530</f>
        <v>0</v>
      </c>
      <c r="AR530" s="9"/>
      <c r="AS530" s="9"/>
      <c r="AT530" s="123"/>
      <c r="AU530" s="123"/>
      <c r="AV530" s="123"/>
      <c r="AW530" s="123"/>
      <c r="AX530" s="123"/>
      <c r="AY530" s="123"/>
      <c r="AZ530" s="123"/>
      <c r="BA530" s="123"/>
      <c r="BC530" s="122"/>
      <c r="BD530" s="122"/>
      <c r="BE530" s="122"/>
      <c r="BF530" s="122"/>
      <c r="BH530" s="122"/>
      <c r="BI530" s="122"/>
      <c r="BJ530" s="122"/>
      <c r="BK530" s="122"/>
      <c r="BM530" s="122"/>
      <c r="BN530" s="122"/>
      <c r="BO530" s="122"/>
      <c r="BP530" s="122"/>
      <c r="BR530" s="122"/>
      <c r="BS530" s="122"/>
      <c r="BT530" s="122"/>
      <c r="BU530" s="122"/>
      <c r="BV530" s="439"/>
      <c r="BW530" s="120">
        <f t="shared" si="549"/>
        <v>17450000</v>
      </c>
      <c r="BX530" s="121">
        <f t="shared" si="676"/>
        <v>3.5000000000000003E-2</v>
      </c>
      <c r="BY530" s="121">
        <f t="shared" si="680"/>
        <v>3.6932664756446992E-2</v>
      </c>
      <c r="BZ530" s="120">
        <f t="shared" si="550"/>
        <v>1790.2083333333335</v>
      </c>
      <c r="CA530" s="120">
        <f t="shared" si="551"/>
        <v>263.33333333333337</v>
      </c>
    </row>
    <row r="531" spans="2:79" x14ac:dyDescent="0.25">
      <c r="B531" s="123" t="str">
        <f t="shared" si="531"/>
        <v>6 2026</v>
      </c>
      <c r="C531" s="122">
        <f t="shared" si="532"/>
        <v>46180</v>
      </c>
      <c r="D531" s="122">
        <f t="shared" si="681"/>
        <v>46181</v>
      </c>
      <c r="E531" s="123">
        <f t="shared" si="533"/>
        <v>1</v>
      </c>
      <c r="F531" s="123" t="s">
        <v>7</v>
      </c>
      <c r="G531" s="124">
        <f t="shared" ref="G531:H531" si="766">G530</f>
        <v>1450000</v>
      </c>
      <c r="H531" s="125">
        <f t="shared" si="766"/>
        <v>3.15E-2</v>
      </c>
      <c r="I531" s="124">
        <f t="shared" si="535"/>
        <v>126.875</v>
      </c>
      <c r="J531" s="124">
        <f t="shared" si="536"/>
        <v>18764.375</v>
      </c>
      <c r="K531" s="9"/>
      <c r="L531" s="11"/>
      <c r="M531" s="306"/>
      <c r="N531" s="97"/>
      <c r="O531" s="421"/>
      <c r="P531" s="304"/>
      <c r="Q531" s="307"/>
      <c r="S531" s="11"/>
      <c r="T531" s="306"/>
      <c r="U531" s="97"/>
      <c r="V531" s="421"/>
      <c r="W531" s="304"/>
      <c r="X531" s="307"/>
      <c r="Z531" s="11" t="s">
        <v>192</v>
      </c>
      <c r="AA531" s="306">
        <f t="shared" ref="AA531:AB531" si="767">AA530</f>
        <v>10000000</v>
      </c>
      <c r="AB531" s="97">
        <f t="shared" si="767"/>
        <v>3.7499999999999999E-2</v>
      </c>
      <c r="AC531" s="421">
        <f t="shared" si="542"/>
        <v>1041.6666666666667</v>
      </c>
      <c r="AD531" s="304">
        <f t="shared" si="543"/>
        <v>165624.99999999991</v>
      </c>
      <c r="AE531" s="307">
        <f t="shared" si="544"/>
        <v>166.66666666666674</v>
      </c>
      <c r="AG531" s="11" t="s">
        <v>192</v>
      </c>
      <c r="AH531" s="306">
        <f t="shared" ref="AH531:AI531" si="768">AH530</f>
        <v>6000000</v>
      </c>
      <c r="AI531" s="97">
        <f t="shared" si="768"/>
        <v>3.73E-2</v>
      </c>
      <c r="AJ531" s="421">
        <f t="shared" si="546"/>
        <v>621.66666666666663</v>
      </c>
      <c r="AK531" s="304">
        <f t="shared" si="547"/>
        <v>1243.3333333333333</v>
      </c>
      <c r="AL531" s="307">
        <f t="shared" si="548"/>
        <v>96.666666666666629</v>
      </c>
      <c r="AN531" s="304">
        <f>'codeis $'!AB531</f>
        <v>0</v>
      </c>
      <c r="AO531" s="340">
        <f>'codeis $'!AH531</f>
        <v>0</v>
      </c>
      <c r="AP531" s="304">
        <f>'codeis $'!AE531</f>
        <v>0</v>
      </c>
      <c r="AQ531" s="304">
        <f>'codeis $'!AK531</f>
        <v>0</v>
      </c>
      <c r="AR531" s="9"/>
      <c r="AS531" s="9"/>
      <c r="AT531" s="123"/>
      <c r="AU531" s="123"/>
      <c r="AV531" s="123"/>
      <c r="AW531" s="123"/>
      <c r="AX531" s="123"/>
      <c r="AY531" s="123"/>
      <c r="AZ531" s="123"/>
      <c r="BA531" s="123"/>
      <c r="BC531" s="122"/>
      <c r="BD531" s="122"/>
      <c r="BE531" s="122"/>
      <c r="BF531" s="122"/>
      <c r="BH531" s="122"/>
      <c r="BI531" s="122"/>
      <c r="BJ531" s="122"/>
      <c r="BK531" s="122"/>
      <c r="BM531" s="122"/>
      <c r="BN531" s="122"/>
      <c r="BO531" s="122"/>
      <c r="BP531" s="122"/>
      <c r="BR531" s="122"/>
      <c r="BS531" s="122"/>
      <c r="BT531" s="122"/>
      <c r="BU531" s="122"/>
      <c r="BV531" s="439"/>
      <c r="BW531" s="120">
        <f t="shared" si="549"/>
        <v>17450000</v>
      </c>
      <c r="BX531" s="121">
        <f t="shared" si="676"/>
        <v>3.5000000000000003E-2</v>
      </c>
      <c r="BY531" s="121">
        <f t="shared" si="680"/>
        <v>3.6932664756446992E-2</v>
      </c>
      <c r="BZ531" s="120">
        <f t="shared" si="550"/>
        <v>1790.2083333333335</v>
      </c>
      <c r="CA531" s="120">
        <f t="shared" si="551"/>
        <v>263.33333333333337</v>
      </c>
    </row>
    <row r="532" spans="2:79" x14ac:dyDescent="0.25">
      <c r="B532" s="123" t="str">
        <f t="shared" si="531"/>
        <v>6 2026</v>
      </c>
      <c r="C532" s="122">
        <f t="shared" si="532"/>
        <v>46181</v>
      </c>
      <c r="D532" s="122">
        <f t="shared" si="681"/>
        <v>46182</v>
      </c>
      <c r="E532" s="123">
        <f t="shared" si="533"/>
        <v>1</v>
      </c>
      <c r="F532" s="123" t="s">
        <v>7</v>
      </c>
      <c r="G532" s="124">
        <f t="shared" ref="G532:H532" si="769">G531</f>
        <v>1450000</v>
      </c>
      <c r="H532" s="125">
        <f t="shared" si="769"/>
        <v>3.15E-2</v>
      </c>
      <c r="I532" s="124">
        <f t="shared" si="535"/>
        <v>126.875</v>
      </c>
      <c r="J532" s="124">
        <f t="shared" si="536"/>
        <v>18891.25</v>
      </c>
      <c r="K532" s="9"/>
      <c r="L532" s="11"/>
      <c r="M532" s="306"/>
      <c r="N532" s="97"/>
      <c r="O532" s="421"/>
      <c r="P532" s="304"/>
      <c r="Q532" s="307"/>
      <c r="S532" s="11"/>
      <c r="T532" s="306"/>
      <c r="U532" s="97"/>
      <c r="V532" s="421"/>
      <c r="W532" s="304"/>
      <c r="X532" s="307"/>
      <c r="Z532" s="11" t="s">
        <v>192</v>
      </c>
      <c r="AA532" s="306">
        <f t="shared" ref="AA532:AB532" si="770">AA531</f>
        <v>10000000</v>
      </c>
      <c r="AB532" s="97">
        <f t="shared" si="770"/>
        <v>3.7499999999999999E-2</v>
      </c>
      <c r="AC532" s="421">
        <f t="shared" si="542"/>
        <v>1041.6666666666667</v>
      </c>
      <c r="AD532" s="304">
        <f t="shared" si="543"/>
        <v>166666.66666666657</v>
      </c>
      <c r="AE532" s="307">
        <f t="shared" si="544"/>
        <v>166.66666666666674</v>
      </c>
      <c r="AG532" s="11" t="s">
        <v>192</v>
      </c>
      <c r="AH532" s="306">
        <f t="shared" ref="AH532:AI532" si="771">AH531</f>
        <v>6000000</v>
      </c>
      <c r="AI532" s="97">
        <f t="shared" si="771"/>
        <v>3.73E-2</v>
      </c>
      <c r="AJ532" s="421">
        <f t="shared" si="546"/>
        <v>621.66666666666663</v>
      </c>
      <c r="AK532" s="304">
        <f t="shared" si="547"/>
        <v>1243.3333333333333</v>
      </c>
      <c r="AL532" s="307">
        <f t="shared" si="548"/>
        <v>96.666666666666629</v>
      </c>
      <c r="AN532" s="304">
        <f>'codeis $'!AB532</f>
        <v>0</v>
      </c>
      <c r="AO532" s="340">
        <f>'codeis $'!AH532</f>
        <v>0</v>
      </c>
      <c r="AP532" s="304">
        <f>'codeis $'!AE532</f>
        <v>0</v>
      </c>
      <c r="AQ532" s="304">
        <f>'codeis $'!AK532</f>
        <v>0</v>
      </c>
      <c r="AR532" s="9"/>
      <c r="AS532" s="9"/>
      <c r="AT532" s="123"/>
      <c r="AU532" s="123"/>
      <c r="AV532" s="123"/>
      <c r="AW532" s="123"/>
      <c r="AX532" s="123"/>
      <c r="AY532" s="123"/>
      <c r="AZ532" s="123"/>
      <c r="BA532" s="123"/>
      <c r="BC532" s="122"/>
      <c r="BD532" s="122"/>
      <c r="BE532" s="122"/>
      <c r="BF532" s="122"/>
      <c r="BH532" s="122"/>
      <c r="BI532" s="122"/>
      <c r="BJ532" s="122"/>
      <c r="BK532" s="122"/>
      <c r="BM532" s="122"/>
      <c r="BN532" s="122"/>
      <c r="BO532" s="122"/>
      <c r="BP532" s="122"/>
      <c r="BR532" s="122"/>
      <c r="BS532" s="122"/>
      <c r="BT532" s="122"/>
      <c r="BU532" s="122"/>
      <c r="BV532" s="439"/>
      <c r="BW532" s="120">
        <f t="shared" si="549"/>
        <v>17450000</v>
      </c>
      <c r="BX532" s="121">
        <f t="shared" si="676"/>
        <v>3.5000000000000003E-2</v>
      </c>
      <c r="BY532" s="121">
        <f t="shared" si="680"/>
        <v>3.6932664756446992E-2</v>
      </c>
      <c r="BZ532" s="120">
        <f t="shared" si="550"/>
        <v>1790.2083333333335</v>
      </c>
      <c r="CA532" s="120">
        <f t="shared" si="551"/>
        <v>263.33333333333337</v>
      </c>
    </row>
    <row r="533" spans="2:79" x14ac:dyDescent="0.25">
      <c r="B533" s="123" t="str">
        <f t="shared" ref="B533:B596" si="772">CONCATENATE(MONTH(D533)," ",YEAR(D533))</f>
        <v>6 2026</v>
      </c>
      <c r="C533" s="122">
        <f t="shared" ref="C533:C596" si="773">D532</f>
        <v>46182</v>
      </c>
      <c r="D533" s="122">
        <f t="shared" si="681"/>
        <v>46183</v>
      </c>
      <c r="E533" s="123">
        <f t="shared" ref="E533:E596" si="774">D533-C533</f>
        <v>1</v>
      </c>
      <c r="F533" s="123" t="s">
        <v>7</v>
      </c>
      <c r="G533" s="124">
        <f t="shared" ref="G533:H533" si="775">G532</f>
        <v>1450000</v>
      </c>
      <c r="H533" s="125">
        <f t="shared" si="775"/>
        <v>3.15E-2</v>
      </c>
      <c r="I533" s="124">
        <f t="shared" ref="I533:I596" si="776">G533*H533*E533/360</f>
        <v>126.875</v>
      </c>
      <c r="J533" s="124">
        <f t="shared" ref="J533:J596" si="777">J532+I533</f>
        <v>19018.125</v>
      </c>
      <c r="K533" s="9"/>
      <c r="L533" s="11"/>
      <c r="M533" s="306"/>
      <c r="N533" s="97"/>
      <c r="O533" s="421"/>
      <c r="P533" s="304"/>
      <c r="Q533" s="307"/>
      <c r="S533" s="11"/>
      <c r="T533" s="306"/>
      <c r="U533" s="97"/>
      <c r="V533" s="421"/>
      <c r="W533" s="304"/>
      <c r="X533" s="307"/>
      <c r="Z533" s="11" t="s">
        <v>192</v>
      </c>
      <c r="AA533" s="306">
        <f t="shared" ref="AA533:AB533" si="778">AA532</f>
        <v>10000000</v>
      </c>
      <c r="AB533" s="97">
        <f t="shared" si="778"/>
        <v>3.7499999999999999E-2</v>
      </c>
      <c r="AC533" s="421">
        <f t="shared" ref="AC533:AC588" si="779">AA533*AB533*$E533/360</f>
        <v>1041.6666666666667</v>
      </c>
      <c r="AD533" s="304">
        <f t="shared" ref="AD533:AD588" si="780">AD532+AC533</f>
        <v>167708.33333333323</v>
      </c>
      <c r="AE533" s="307">
        <f t="shared" ref="AE533:AE588" si="781">AC533-AA533*$H533*$E533/360</f>
        <v>166.66666666666674</v>
      </c>
      <c r="AG533" s="11" t="s">
        <v>192</v>
      </c>
      <c r="AH533" s="306">
        <f t="shared" ref="AH533:AI533" si="782">AH532</f>
        <v>6000000</v>
      </c>
      <c r="AI533" s="97">
        <f t="shared" si="782"/>
        <v>3.73E-2</v>
      </c>
      <c r="AJ533" s="421">
        <f t="shared" ref="AJ533:AJ596" si="783">AH533*AI533*$E533/360</f>
        <v>621.66666666666663</v>
      </c>
      <c r="AK533" s="304">
        <f t="shared" ref="AK533:AK596" si="784">AJ533+AJ532</f>
        <v>1243.3333333333333</v>
      </c>
      <c r="AL533" s="307">
        <f t="shared" ref="AL533:AL596" si="785">AJ533-AH533*$H533*$E533/360</f>
        <v>96.666666666666629</v>
      </c>
      <c r="AN533" s="304">
        <f>'codeis $'!AB533</f>
        <v>0</v>
      </c>
      <c r="AO533" s="340">
        <f>'codeis $'!AH533</f>
        <v>0</v>
      </c>
      <c r="AP533" s="304">
        <f>'codeis $'!AE533</f>
        <v>0</v>
      </c>
      <c r="AQ533" s="304">
        <f>'codeis $'!AK533</f>
        <v>0</v>
      </c>
      <c r="AR533" s="9"/>
      <c r="AS533" s="9"/>
      <c r="AT533" s="123"/>
      <c r="AU533" s="123"/>
      <c r="AV533" s="123"/>
      <c r="AW533" s="123"/>
      <c r="AX533" s="123"/>
      <c r="AY533" s="123"/>
      <c r="AZ533" s="123"/>
      <c r="BA533" s="123"/>
      <c r="BC533" s="122"/>
      <c r="BD533" s="122"/>
      <c r="BE533" s="122"/>
      <c r="BF533" s="122"/>
      <c r="BH533" s="122"/>
      <c r="BI533" s="122"/>
      <c r="BJ533" s="122"/>
      <c r="BK533" s="122"/>
      <c r="BM533" s="122"/>
      <c r="BN533" s="122"/>
      <c r="BO533" s="122"/>
      <c r="BP533" s="122"/>
      <c r="BR533" s="122"/>
      <c r="BS533" s="122"/>
      <c r="BT533" s="122"/>
      <c r="BU533" s="122"/>
      <c r="BV533" s="439"/>
      <c r="BW533" s="120">
        <f t="shared" ref="BW533:BW596" si="786">AV533+G533+M533+T533+AA533+AH533+AN533+BC533+BH533+BM533+BR533</f>
        <v>17450000</v>
      </c>
      <c r="BX533" s="121">
        <f t="shared" si="676"/>
        <v>3.5000000000000003E-2</v>
      </c>
      <c r="BY533" s="121">
        <f t="shared" si="680"/>
        <v>3.6932664756446992E-2</v>
      </c>
      <c r="BZ533" s="120">
        <f t="shared" ref="BZ533:BZ596" si="787">AY533+I533+O533+V533+AC533+AJ533+AP533+BE533+BJ533+BO533+BT533</f>
        <v>1790.2083333333335</v>
      </c>
      <c r="CA533" s="120">
        <f t="shared" ref="CA533:CA596" si="788">BA533+Q533+X533+AE533+AL533+AQ533+BF533+BK533+BP533+BU533</f>
        <v>263.33333333333337</v>
      </c>
    </row>
    <row r="534" spans="2:79" x14ac:dyDescent="0.25">
      <c r="B534" s="123" t="str">
        <f t="shared" si="772"/>
        <v>6 2026</v>
      </c>
      <c r="C534" s="122">
        <f t="shared" si="773"/>
        <v>46183</v>
      </c>
      <c r="D534" s="122">
        <f t="shared" si="681"/>
        <v>46184</v>
      </c>
      <c r="E534" s="123">
        <f t="shared" si="774"/>
        <v>1</v>
      </c>
      <c r="F534" s="123" t="s">
        <v>7</v>
      </c>
      <c r="G534" s="124">
        <f t="shared" ref="G534:H534" si="789">G533</f>
        <v>1450000</v>
      </c>
      <c r="H534" s="125">
        <f t="shared" si="789"/>
        <v>3.15E-2</v>
      </c>
      <c r="I534" s="124">
        <f t="shared" si="776"/>
        <v>126.875</v>
      </c>
      <c r="J534" s="124">
        <f t="shared" si="777"/>
        <v>19145</v>
      </c>
      <c r="K534" s="9"/>
      <c r="L534" s="11"/>
      <c r="M534" s="306"/>
      <c r="N534" s="97"/>
      <c r="O534" s="421"/>
      <c r="P534" s="304"/>
      <c r="Q534" s="307"/>
      <c r="S534" s="11"/>
      <c r="T534" s="306"/>
      <c r="U534" s="97"/>
      <c r="V534" s="421"/>
      <c r="W534" s="304"/>
      <c r="X534" s="307"/>
      <c r="Z534" s="11" t="s">
        <v>192</v>
      </c>
      <c r="AA534" s="306">
        <f t="shared" ref="AA534:AB534" si="790">AA533</f>
        <v>10000000</v>
      </c>
      <c r="AB534" s="97">
        <f t="shared" si="790"/>
        <v>3.7499999999999999E-2</v>
      </c>
      <c r="AC534" s="421">
        <f t="shared" si="779"/>
        <v>1041.6666666666667</v>
      </c>
      <c r="AD534" s="304">
        <f t="shared" si="780"/>
        <v>168749.99999999988</v>
      </c>
      <c r="AE534" s="307">
        <f t="shared" si="781"/>
        <v>166.66666666666674</v>
      </c>
      <c r="AG534" s="11" t="s">
        <v>192</v>
      </c>
      <c r="AH534" s="306">
        <f t="shared" ref="AH534:AI534" si="791">AH533</f>
        <v>6000000</v>
      </c>
      <c r="AI534" s="97">
        <f t="shared" si="791"/>
        <v>3.73E-2</v>
      </c>
      <c r="AJ534" s="421">
        <f t="shared" si="783"/>
        <v>621.66666666666663</v>
      </c>
      <c r="AK534" s="304">
        <f t="shared" si="784"/>
        <v>1243.3333333333333</v>
      </c>
      <c r="AL534" s="307">
        <f t="shared" si="785"/>
        <v>96.666666666666629</v>
      </c>
      <c r="AN534" s="304">
        <f>'codeis $'!AB534</f>
        <v>0</v>
      </c>
      <c r="AO534" s="340">
        <f>'codeis $'!AH534</f>
        <v>0</v>
      </c>
      <c r="AP534" s="304">
        <f>'codeis $'!AE534</f>
        <v>0</v>
      </c>
      <c r="AQ534" s="304">
        <f>'codeis $'!AK534</f>
        <v>0</v>
      </c>
      <c r="AR534" s="9"/>
      <c r="AS534" s="9"/>
      <c r="AT534" s="123"/>
      <c r="AU534" s="123"/>
      <c r="AV534" s="123"/>
      <c r="AW534" s="123"/>
      <c r="AX534" s="123"/>
      <c r="AY534" s="123"/>
      <c r="AZ534" s="123"/>
      <c r="BA534" s="123"/>
      <c r="BC534" s="122"/>
      <c r="BD534" s="122"/>
      <c r="BE534" s="122"/>
      <c r="BF534" s="122"/>
      <c r="BH534" s="122"/>
      <c r="BI534" s="122"/>
      <c r="BJ534" s="122"/>
      <c r="BK534" s="122"/>
      <c r="BM534" s="122"/>
      <c r="BN534" s="122"/>
      <c r="BO534" s="122"/>
      <c r="BP534" s="122"/>
      <c r="BR534" s="122"/>
      <c r="BS534" s="122"/>
      <c r="BT534" s="122"/>
      <c r="BU534" s="122"/>
      <c r="BV534" s="439"/>
      <c r="BW534" s="120">
        <f t="shared" si="786"/>
        <v>17450000</v>
      </c>
      <c r="BX534" s="121">
        <f t="shared" si="676"/>
        <v>3.5000000000000003E-2</v>
      </c>
      <c r="BY534" s="121">
        <f t="shared" si="680"/>
        <v>3.6932664756446992E-2</v>
      </c>
      <c r="BZ534" s="120">
        <f t="shared" si="787"/>
        <v>1790.2083333333335</v>
      </c>
      <c r="CA534" s="120">
        <f t="shared" si="788"/>
        <v>263.33333333333337</v>
      </c>
    </row>
    <row r="535" spans="2:79" x14ac:dyDescent="0.25">
      <c r="B535" s="123" t="str">
        <f t="shared" si="772"/>
        <v>6 2026</v>
      </c>
      <c r="C535" s="122">
        <f t="shared" si="773"/>
        <v>46184</v>
      </c>
      <c r="D535" s="122">
        <f t="shared" si="681"/>
        <v>46185</v>
      </c>
      <c r="E535" s="123">
        <f t="shared" si="774"/>
        <v>1</v>
      </c>
      <c r="F535" s="123" t="s">
        <v>7</v>
      </c>
      <c r="G535" s="124">
        <f t="shared" ref="G535:H535" si="792">G534</f>
        <v>1450000</v>
      </c>
      <c r="H535" s="125">
        <f t="shared" si="792"/>
        <v>3.15E-2</v>
      </c>
      <c r="I535" s="124">
        <f t="shared" si="776"/>
        <v>126.875</v>
      </c>
      <c r="J535" s="124">
        <f t="shared" si="777"/>
        <v>19271.875</v>
      </c>
      <c r="K535" s="9"/>
      <c r="L535" s="11"/>
      <c r="M535" s="306"/>
      <c r="N535" s="97"/>
      <c r="O535" s="421"/>
      <c r="P535" s="304"/>
      <c r="Q535" s="307"/>
      <c r="S535" s="11"/>
      <c r="T535" s="306"/>
      <c r="U535" s="97"/>
      <c r="V535" s="421"/>
      <c r="W535" s="304"/>
      <c r="X535" s="307"/>
      <c r="Z535" s="11" t="s">
        <v>192</v>
      </c>
      <c r="AA535" s="306">
        <f t="shared" ref="AA535:AB535" si="793">AA534</f>
        <v>10000000</v>
      </c>
      <c r="AB535" s="97">
        <f t="shared" si="793"/>
        <v>3.7499999999999999E-2</v>
      </c>
      <c r="AC535" s="421">
        <f t="shared" si="779"/>
        <v>1041.6666666666667</v>
      </c>
      <c r="AD535" s="304">
        <f t="shared" si="780"/>
        <v>169791.66666666654</v>
      </c>
      <c r="AE535" s="307">
        <f t="shared" si="781"/>
        <v>166.66666666666674</v>
      </c>
      <c r="AG535" s="11" t="s">
        <v>192</v>
      </c>
      <c r="AH535" s="306">
        <f t="shared" ref="AH535:AI535" si="794">AH534</f>
        <v>6000000</v>
      </c>
      <c r="AI535" s="97">
        <f t="shared" si="794"/>
        <v>3.73E-2</v>
      </c>
      <c r="AJ535" s="421">
        <f t="shared" si="783"/>
        <v>621.66666666666663</v>
      </c>
      <c r="AK535" s="304">
        <f t="shared" si="784"/>
        <v>1243.3333333333333</v>
      </c>
      <c r="AL535" s="307">
        <f t="shared" si="785"/>
        <v>96.666666666666629</v>
      </c>
      <c r="AN535" s="304">
        <f>'codeis $'!AB535</f>
        <v>0</v>
      </c>
      <c r="AO535" s="340">
        <f>'codeis $'!AH535</f>
        <v>0</v>
      </c>
      <c r="AP535" s="304">
        <f>'codeis $'!AE535</f>
        <v>0</v>
      </c>
      <c r="AQ535" s="304">
        <f>'codeis $'!AK535</f>
        <v>0</v>
      </c>
      <c r="AR535" s="9"/>
      <c r="AS535" s="9"/>
      <c r="AT535" s="123"/>
      <c r="AU535" s="123"/>
      <c r="AV535" s="123"/>
      <c r="AW535" s="123"/>
      <c r="AX535" s="123"/>
      <c r="AY535" s="123"/>
      <c r="AZ535" s="123"/>
      <c r="BA535" s="123"/>
      <c r="BC535" s="122"/>
      <c r="BD535" s="122"/>
      <c r="BE535" s="122"/>
      <c r="BF535" s="122"/>
      <c r="BH535" s="122"/>
      <c r="BI535" s="122"/>
      <c r="BJ535" s="122"/>
      <c r="BK535" s="122"/>
      <c r="BM535" s="122"/>
      <c r="BN535" s="122"/>
      <c r="BO535" s="122"/>
      <c r="BP535" s="122"/>
      <c r="BR535" s="122"/>
      <c r="BS535" s="122"/>
      <c r="BT535" s="122"/>
      <c r="BU535" s="122"/>
      <c r="BV535" s="439"/>
      <c r="BW535" s="120">
        <f t="shared" si="786"/>
        <v>17450000</v>
      </c>
      <c r="BX535" s="121">
        <f t="shared" si="676"/>
        <v>3.5000000000000003E-2</v>
      </c>
      <c r="BY535" s="121">
        <f t="shared" si="680"/>
        <v>3.6932664756446992E-2</v>
      </c>
      <c r="BZ535" s="120">
        <f t="shared" si="787"/>
        <v>1790.2083333333335</v>
      </c>
      <c r="CA535" s="120">
        <f t="shared" si="788"/>
        <v>263.33333333333337</v>
      </c>
    </row>
    <row r="536" spans="2:79" x14ac:dyDescent="0.25">
      <c r="B536" s="123" t="str">
        <f t="shared" si="772"/>
        <v>6 2026</v>
      </c>
      <c r="C536" s="122">
        <f t="shared" si="773"/>
        <v>46185</v>
      </c>
      <c r="D536" s="122">
        <f t="shared" si="681"/>
        <v>46186</v>
      </c>
      <c r="E536" s="123">
        <f t="shared" si="774"/>
        <v>1</v>
      </c>
      <c r="F536" s="123" t="s">
        <v>7</v>
      </c>
      <c r="G536" s="124">
        <f t="shared" ref="G536:H536" si="795">G535</f>
        <v>1450000</v>
      </c>
      <c r="H536" s="125">
        <f t="shared" si="795"/>
        <v>3.15E-2</v>
      </c>
      <c r="I536" s="124">
        <f t="shared" si="776"/>
        <v>126.875</v>
      </c>
      <c r="J536" s="124">
        <f t="shared" si="777"/>
        <v>19398.75</v>
      </c>
      <c r="K536" s="9"/>
      <c r="L536" s="11"/>
      <c r="M536" s="306"/>
      <c r="N536" s="97"/>
      <c r="O536" s="421"/>
      <c r="P536" s="304"/>
      <c r="Q536" s="307"/>
      <c r="S536" s="11"/>
      <c r="T536" s="306"/>
      <c r="U536" s="97"/>
      <c r="V536" s="421"/>
      <c r="W536" s="304"/>
      <c r="X536" s="307"/>
      <c r="Z536" s="11" t="s">
        <v>192</v>
      </c>
      <c r="AA536" s="306">
        <f t="shared" ref="AA536:AB536" si="796">AA535</f>
        <v>10000000</v>
      </c>
      <c r="AB536" s="97">
        <f t="shared" si="796"/>
        <v>3.7499999999999999E-2</v>
      </c>
      <c r="AC536" s="421">
        <f t="shared" si="779"/>
        <v>1041.6666666666667</v>
      </c>
      <c r="AD536" s="304">
        <f t="shared" si="780"/>
        <v>170833.3333333332</v>
      </c>
      <c r="AE536" s="307">
        <f t="shared" si="781"/>
        <v>166.66666666666674</v>
      </c>
      <c r="AG536" s="11" t="s">
        <v>192</v>
      </c>
      <c r="AH536" s="306">
        <f t="shared" ref="AH536:AI536" si="797">AH535</f>
        <v>6000000</v>
      </c>
      <c r="AI536" s="97">
        <f t="shared" si="797"/>
        <v>3.73E-2</v>
      </c>
      <c r="AJ536" s="421">
        <f t="shared" si="783"/>
        <v>621.66666666666663</v>
      </c>
      <c r="AK536" s="304">
        <f t="shared" si="784"/>
        <v>1243.3333333333333</v>
      </c>
      <c r="AL536" s="307">
        <f t="shared" si="785"/>
        <v>96.666666666666629</v>
      </c>
      <c r="AN536" s="304">
        <f>'codeis $'!AB536</f>
        <v>0</v>
      </c>
      <c r="AO536" s="340">
        <f>'codeis $'!AH536</f>
        <v>0</v>
      </c>
      <c r="AP536" s="304">
        <f>'codeis $'!AE536</f>
        <v>0</v>
      </c>
      <c r="AQ536" s="304">
        <f>'codeis $'!AK536</f>
        <v>0</v>
      </c>
      <c r="AR536" s="9"/>
      <c r="AS536" s="9"/>
      <c r="AT536" s="123"/>
      <c r="AU536" s="123"/>
      <c r="AV536" s="123"/>
      <c r="AW536" s="123"/>
      <c r="AX536" s="123"/>
      <c r="AY536" s="123"/>
      <c r="AZ536" s="123"/>
      <c r="BA536" s="123"/>
      <c r="BC536" s="122"/>
      <c r="BD536" s="122"/>
      <c r="BE536" s="122"/>
      <c r="BF536" s="122"/>
      <c r="BH536" s="122"/>
      <c r="BI536" s="122"/>
      <c r="BJ536" s="122"/>
      <c r="BK536" s="122"/>
      <c r="BM536" s="122"/>
      <c r="BN536" s="122"/>
      <c r="BO536" s="122"/>
      <c r="BP536" s="122"/>
      <c r="BR536" s="122"/>
      <c r="BS536" s="122"/>
      <c r="BT536" s="122"/>
      <c r="BU536" s="122"/>
      <c r="BV536" s="439"/>
      <c r="BW536" s="120">
        <f t="shared" si="786"/>
        <v>17450000</v>
      </c>
      <c r="BX536" s="121">
        <f t="shared" si="676"/>
        <v>3.5000000000000003E-2</v>
      </c>
      <c r="BY536" s="121">
        <f t="shared" si="680"/>
        <v>3.6932664756446992E-2</v>
      </c>
      <c r="BZ536" s="120">
        <f t="shared" si="787"/>
        <v>1790.2083333333335</v>
      </c>
      <c r="CA536" s="120">
        <f t="shared" si="788"/>
        <v>263.33333333333337</v>
      </c>
    </row>
    <row r="537" spans="2:79" x14ac:dyDescent="0.25">
      <c r="B537" s="123" t="str">
        <f t="shared" si="772"/>
        <v>6 2026</v>
      </c>
      <c r="C537" s="122">
        <f t="shared" si="773"/>
        <v>46186</v>
      </c>
      <c r="D537" s="122">
        <f t="shared" si="681"/>
        <v>46187</v>
      </c>
      <c r="E537" s="123">
        <f t="shared" si="774"/>
        <v>1</v>
      </c>
      <c r="F537" s="123" t="s">
        <v>7</v>
      </c>
      <c r="G537" s="124">
        <f t="shared" ref="G537:H537" si="798">G536</f>
        <v>1450000</v>
      </c>
      <c r="H537" s="125">
        <f t="shared" si="798"/>
        <v>3.15E-2</v>
      </c>
      <c r="I537" s="124">
        <f t="shared" si="776"/>
        <v>126.875</v>
      </c>
      <c r="J537" s="124">
        <f t="shared" si="777"/>
        <v>19525.625</v>
      </c>
      <c r="K537" s="9"/>
      <c r="L537" s="11"/>
      <c r="M537" s="306"/>
      <c r="N537" s="97"/>
      <c r="O537" s="421"/>
      <c r="P537" s="304"/>
      <c r="Q537" s="307"/>
      <c r="S537" s="11"/>
      <c r="T537" s="306"/>
      <c r="U537" s="97"/>
      <c r="V537" s="421"/>
      <c r="W537" s="304"/>
      <c r="X537" s="307"/>
      <c r="Z537" s="11" t="s">
        <v>192</v>
      </c>
      <c r="AA537" s="306">
        <f t="shared" ref="AA537:AB537" si="799">AA536</f>
        <v>10000000</v>
      </c>
      <c r="AB537" s="97">
        <f t="shared" si="799"/>
        <v>3.7499999999999999E-2</v>
      </c>
      <c r="AC537" s="421">
        <f t="shared" si="779"/>
        <v>1041.6666666666667</v>
      </c>
      <c r="AD537" s="304">
        <f t="shared" si="780"/>
        <v>171874.99999999985</v>
      </c>
      <c r="AE537" s="307">
        <f t="shared" si="781"/>
        <v>166.66666666666674</v>
      </c>
      <c r="AG537" s="11" t="s">
        <v>192</v>
      </c>
      <c r="AH537" s="306">
        <f t="shared" ref="AH537:AI537" si="800">AH536</f>
        <v>6000000</v>
      </c>
      <c r="AI537" s="97">
        <f t="shared" si="800"/>
        <v>3.73E-2</v>
      </c>
      <c r="AJ537" s="421">
        <f t="shared" si="783"/>
        <v>621.66666666666663</v>
      </c>
      <c r="AK537" s="304">
        <f t="shared" si="784"/>
        <v>1243.3333333333333</v>
      </c>
      <c r="AL537" s="307">
        <f t="shared" si="785"/>
        <v>96.666666666666629</v>
      </c>
      <c r="AN537" s="304">
        <f>'codeis $'!AB537</f>
        <v>0</v>
      </c>
      <c r="AO537" s="340">
        <f>'codeis $'!AH537</f>
        <v>0</v>
      </c>
      <c r="AP537" s="304">
        <f>'codeis $'!AE537</f>
        <v>0</v>
      </c>
      <c r="AQ537" s="304">
        <f>'codeis $'!AK537</f>
        <v>0</v>
      </c>
      <c r="AR537" s="9"/>
      <c r="AS537" s="9"/>
      <c r="AT537" s="123"/>
      <c r="AU537" s="123"/>
      <c r="AV537" s="123"/>
      <c r="AW537" s="123"/>
      <c r="AX537" s="123"/>
      <c r="AY537" s="123"/>
      <c r="AZ537" s="123"/>
      <c r="BA537" s="123"/>
      <c r="BC537" s="122"/>
      <c r="BD537" s="122"/>
      <c r="BE537" s="122"/>
      <c r="BF537" s="122"/>
      <c r="BH537" s="122"/>
      <c r="BI537" s="122"/>
      <c r="BJ537" s="122"/>
      <c r="BK537" s="122"/>
      <c r="BM537" s="122"/>
      <c r="BN537" s="122"/>
      <c r="BO537" s="122"/>
      <c r="BP537" s="122"/>
      <c r="BR537" s="122"/>
      <c r="BS537" s="122"/>
      <c r="BT537" s="122"/>
      <c r="BU537" s="122"/>
      <c r="BV537" s="439"/>
      <c r="BW537" s="120">
        <f t="shared" si="786"/>
        <v>17450000</v>
      </c>
      <c r="BX537" s="121">
        <f t="shared" si="676"/>
        <v>3.5000000000000003E-2</v>
      </c>
      <c r="BY537" s="121">
        <f t="shared" si="680"/>
        <v>3.6932664756446992E-2</v>
      </c>
      <c r="BZ537" s="120">
        <f t="shared" si="787"/>
        <v>1790.2083333333335</v>
      </c>
      <c r="CA537" s="120">
        <f t="shared" si="788"/>
        <v>263.33333333333337</v>
      </c>
    </row>
    <row r="538" spans="2:79" x14ac:dyDescent="0.25">
      <c r="B538" s="123" t="str">
        <f t="shared" si="772"/>
        <v>6 2026</v>
      </c>
      <c r="C538" s="122">
        <f t="shared" si="773"/>
        <v>46187</v>
      </c>
      <c r="D538" s="122">
        <f t="shared" si="681"/>
        <v>46188</v>
      </c>
      <c r="E538" s="123">
        <f t="shared" si="774"/>
        <v>1</v>
      </c>
      <c r="F538" s="123" t="s">
        <v>7</v>
      </c>
      <c r="G538" s="124">
        <f t="shared" ref="G538:H538" si="801">G537</f>
        <v>1450000</v>
      </c>
      <c r="H538" s="125">
        <f t="shared" si="801"/>
        <v>3.15E-2</v>
      </c>
      <c r="I538" s="124">
        <f t="shared" si="776"/>
        <v>126.875</v>
      </c>
      <c r="J538" s="124">
        <f t="shared" si="777"/>
        <v>19652.5</v>
      </c>
      <c r="K538" s="9"/>
      <c r="L538" s="11"/>
      <c r="M538" s="306"/>
      <c r="N538" s="97"/>
      <c r="O538" s="421"/>
      <c r="P538" s="304"/>
      <c r="Q538" s="307"/>
      <c r="S538" s="11"/>
      <c r="T538" s="306"/>
      <c r="U538" s="97"/>
      <c r="V538" s="421"/>
      <c r="W538" s="304"/>
      <c r="X538" s="307"/>
      <c r="Z538" s="11" t="s">
        <v>192</v>
      </c>
      <c r="AA538" s="306">
        <f t="shared" ref="AA538:AB538" si="802">AA537</f>
        <v>10000000</v>
      </c>
      <c r="AB538" s="97">
        <f t="shared" si="802"/>
        <v>3.7499999999999999E-2</v>
      </c>
      <c r="AC538" s="421">
        <f t="shared" si="779"/>
        <v>1041.6666666666667</v>
      </c>
      <c r="AD538" s="304">
        <f t="shared" si="780"/>
        <v>172916.66666666651</v>
      </c>
      <c r="AE538" s="307">
        <f t="shared" si="781"/>
        <v>166.66666666666674</v>
      </c>
      <c r="AG538" s="11" t="s">
        <v>192</v>
      </c>
      <c r="AH538" s="306">
        <f t="shared" ref="AH538:AI538" si="803">AH537</f>
        <v>6000000</v>
      </c>
      <c r="AI538" s="97">
        <f t="shared" si="803"/>
        <v>3.73E-2</v>
      </c>
      <c r="AJ538" s="421">
        <f t="shared" si="783"/>
        <v>621.66666666666663</v>
      </c>
      <c r="AK538" s="304">
        <f t="shared" si="784"/>
        <v>1243.3333333333333</v>
      </c>
      <c r="AL538" s="307">
        <f t="shared" si="785"/>
        <v>96.666666666666629</v>
      </c>
      <c r="AN538" s="304">
        <f>'codeis $'!AB538</f>
        <v>0</v>
      </c>
      <c r="AO538" s="340">
        <f>'codeis $'!AH538</f>
        <v>0</v>
      </c>
      <c r="AP538" s="304">
        <f>'codeis $'!AE538</f>
        <v>0</v>
      </c>
      <c r="AQ538" s="304">
        <f>'codeis $'!AK538</f>
        <v>0</v>
      </c>
      <c r="AR538" s="9"/>
      <c r="AS538" s="9"/>
      <c r="AT538" s="123"/>
      <c r="AU538" s="123"/>
      <c r="AV538" s="123"/>
      <c r="AW538" s="123"/>
      <c r="AX538" s="123"/>
      <c r="AY538" s="123"/>
      <c r="AZ538" s="123"/>
      <c r="BA538" s="123"/>
      <c r="BC538" s="122"/>
      <c r="BD538" s="122"/>
      <c r="BE538" s="122"/>
      <c r="BF538" s="122"/>
      <c r="BH538" s="122"/>
      <c r="BI538" s="122"/>
      <c r="BJ538" s="122"/>
      <c r="BK538" s="122"/>
      <c r="BM538" s="122"/>
      <c r="BN538" s="122"/>
      <c r="BO538" s="122"/>
      <c r="BP538" s="122"/>
      <c r="BR538" s="122"/>
      <c r="BS538" s="122"/>
      <c r="BT538" s="122"/>
      <c r="BU538" s="122"/>
      <c r="BV538" s="439"/>
      <c r="BW538" s="120">
        <f t="shared" si="786"/>
        <v>17450000</v>
      </c>
      <c r="BX538" s="121">
        <f t="shared" si="676"/>
        <v>3.5000000000000003E-2</v>
      </c>
      <c r="BY538" s="121">
        <f t="shared" si="680"/>
        <v>3.6932664756446992E-2</v>
      </c>
      <c r="BZ538" s="120">
        <f t="shared" si="787"/>
        <v>1790.2083333333335</v>
      </c>
      <c r="CA538" s="120">
        <f t="shared" si="788"/>
        <v>263.33333333333337</v>
      </c>
    </row>
    <row r="539" spans="2:79" x14ac:dyDescent="0.25">
      <c r="B539" s="123" t="str">
        <f t="shared" si="772"/>
        <v>6 2026</v>
      </c>
      <c r="C539" s="122">
        <f t="shared" si="773"/>
        <v>46188</v>
      </c>
      <c r="D539" s="122">
        <f t="shared" si="681"/>
        <v>46189</v>
      </c>
      <c r="E539" s="123">
        <f t="shared" si="774"/>
        <v>1</v>
      </c>
      <c r="F539" s="123" t="s">
        <v>7</v>
      </c>
      <c r="G539" s="124">
        <f t="shared" ref="G539:H539" si="804">G538</f>
        <v>1450000</v>
      </c>
      <c r="H539" s="125">
        <f t="shared" si="804"/>
        <v>3.15E-2</v>
      </c>
      <c r="I539" s="124">
        <f t="shared" si="776"/>
        <v>126.875</v>
      </c>
      <c r="J539" s="124">
        <f t="shared" si="777"/>
        <v>19779.375</v>
      </c>
      <c r="K539" s="9"/>
      <c r="L539" s="11"/>
      <c r="M539" s="306"/>
      <c r="N539" s="97"/>
      <c r="O539" s="421"/>
      <c r="P539" s="304"/>
      <c r="Q539" s="307"/>
      <c r="S539" s="11"/>
      <c r="T539" s="306"/>
      <c r="U539" s="97"/>
      <c r="V539" s="421"/>
      <c r="W539" s="304"/>
      <c r="X539" s="307"/>
      <c r="Z539" s="11" t="s">
        <v>192</v>
      </c>
      <c r="AA539" s="306">
        <f t="shared" ref="AA539:AB539" si="805">AA538</f>
        <v>10000000</v>
      </c>
      <c r="AB539" s="97">
        <f t="shared" si="805"/>
        <v>3.7499999999999999E-2</v>
      </c>
      <c r="AC539" s="421">
        <f t="shared" si="779"/>
        <v>1041.6666666666667</v>
      </c>
      <c r="AD539" s="304">
        <f t="shared" si="780"/>
        <v>173958.33333333317</v>
      </c>
      <c r="AE539" s="307">
        <f t="shared" si="781"/>
        <v>166.66666666666674</v>
      </c>
      <c r="AG539" s="11" t="s">
        <v>192</v>
      </c>
      <c r="AH539" s="306">
        <f t="shared" ref="AH539:AI539" si="806">AH538</f>
        <v>6000000</v>
      </c>
      <c r="AI539" s="97">
        <f t="shared" si="806"/>
        <v>3.73E-2</v>
      </c>
      <c r="AJ539" s="421">
        <f t="shared" si="783"/>
        <v>621.66666666666663</v>
      </c>
      <c r="AK539" s="304">
        <f t="shared" si="784"/>
        <v>1243.3333333333333</v>
      </c>
      <c r="AL539" s="307">
        <f t="shared" si="785"/>
        <v>96.666666666666629</v>
      </c>
      <c r="AN539" s="304">
        <f>'codeis $'!AB539</f>
        <v>0</v>
      </c>
      <c r="AO539" s="340">
        <f>'codeis $'!AH539</f>
        <v>0</v>
      </c>
      <c r="AP539" s="304">
        <f>'codeis $'!AE539</f>
        <v>0</v>
      </c>
      <c r="AQ539" s="304">
        <f>'codeis $'!AK539</f>
        <v>0</v>
      </c>
      <c r="AR539" s="9"/>
      <c r="AS539" s="9"/>
      <c r="AT539" s="123"/>
      <c r="AU539" s="123"/>
      <c r="AV539" s="123"/>
      <c r="AW539" s="123"/>
      <c r="AX539" s="123"/>
      <c r="AY539" s="123"/>
      <c r="AZ539" s="123"/>
      <c r="BA539" s="123"/>
      <c r="BC539" s="122"/>
      <c r="BD539" s="122"/>
      <c r="BE539" s="122"/>
      <c r="BF539" s="122"/>
      <c r="BH539" s="122"/>
      <c r="BI539" s="122"/>
      <c r="BJ539" s="122"/>
      <c r="BK539" s="122"/>
      <c r="BM539" s="122"/>
      <c r="BN539" s="122"/>
      <c r="BO539" s="122"/>
      <c r="BP539" s="122"/>
      <c r="BR539" s="122"/>
      <c r="BS539" s="122"/>
      <c r="BT539" s="122"/>
      <c r="BU539" s="122"/>
      <c r="BV539" s="439"/>
      <c r="BW539" s="120">
        <f t="shared" si="786"/>
        <v>17450000</v>
      </c>
      <c r="BX539" s="121">
        <f t="shared" si="676"/>
        <v>3.5000000000000003E-2</v>
      </c>
      <c r="BY539" s="121">
        <f t="shared" si="680"/>
        <v>3.6932664756446992E-2</v>
      </c>
      <c r="BZ539" s="120">
        <f t="shared" si="787"/>
        <v>1790.2083333333335</v>
      </c>
      <c r="CA539" s="120">
        <f t="shared" si="788"/>
        <v>263.33333333333337</v>
      </c>
    </row>
    <row r="540" spans="2:79" x14ac:dyDescent="0.25">
      <c r="B540" s="123" t="str">
        <f t="shared" si="772"/>
        <v>6 2026</v>
      </c>
      <c r="C540" s="122">
        <f t="shared" si="773"/>
        <v>46189</v>
      </c>
      <c r="D540" s="122">
        <f t="shared" si="681"/>
        <v>46190</v>
      </c>
      <c r="E540" s="123">
        <f t="shared" si="774"/>
        <v>1</v>
      </c>
      <c r="F540" s="123" t="s">
        <v>7</v>
      </c>
      <c r="G540" s="124">
        <f t="shared" ref="G540:H540" si="807">G539</f>
        <v>1450000</v>
      </c>
      <c r="H540" s="125">
        <f t="shared" si="807"/>
        <v>3.15E-2</v>
      </c>
      <c r="I540" s="124">
        <f t="shared" si="776"/>
        <v>126.875</v>
      </c>
      <c r="J540" s="124">
        <f t="shared" si="777"/>
        <v>19906.25</v>
      </c>
      <c r="K540" s="9"/>
      <c r="L540" s="11"/>
      <c r="M540" s="306"/>
      <c r="N540" s="97"/>
      <c r="O540" s="421"/>
      <c r="P540" s="304"/>
      <c r="Q540" s="307"/>
      <c r="S540" s="11"/>
      <c r="T540" s="306"/>
      <c r="U540" s="97"/>
      <c r="V540" s="421"/>
      <c r="W540" s="304"/>
      <c r="X540" s="307"/>
      <c r="Z540" s="11" t="s">
        <v>192</v>
      </c>
      <c r="AA540" s="306">
        <f t="shared" ref="AA540:AB540" si="808">AA539</f>
        <v>10000000</v>
      </c>
      <c r="AB540" s="97">
        <f t="shared" si="808"/>
        <v>3.7499999999999999E-2</v>
      </c>
      <c r="AC540" s="421">
        <f t="shared" si="779"/>
        <v>1041.6666666666667</v>
      </c>
      <c r="AD540" s="304">
        <f t="shared" si="780"/>
        <v>174999.99999999983</v>
      </c>
      <c r="AE540" s="307">
        <f t="shared" si="781"/>
        <v>166.66666666666674</v>
      </c>
      <c r="AG540" s="11" t="s">
        <v>192</v>
      </c>
      <c r="AH540" s="306">
        <f t="shared" ref="AH540:AI540" si="809">AH539</f>
        <v>6000000</v>
      </c>
      <c r="AI540" s="97">
        <f t="shared" si="809"/>
        <v>3.73E-2</v>
      </c>
      <c r="AJ540" s="421">
        <f t="shared" si="783"/>
        <v>621.66666666666663</v>
      </c>
      <c r="AK540" s="304">
        <f t="shared" si="784"/>
        <v>1243.3333333333333</v>
      </c>
      <c r="AL540" s="307">
        <f t="shared" si="785"/>
        <v>96.666666666666629</v>
      </c>
      <c r="AN540" s="304">
        <f>'codeis $'!AB540</f>
        <v>0</v>
      </c>
      <c r="AO540" s="340">
        <f>'codeis $'!AH540</f>
        <v>0</v>
      </c>
      <c r="AP540" s="304">
        <f>'codeis $'!AE540</f>
        <v>0</v>
      </c>
      <c r="AQ540" s="304">
        <f>'codeis $'!AK540</f>
        <v>0</v>
      </c>
      <c r="AR540" s="9"/>
      <c r="AS540" s="9"/>
      <c r="AT540" s="123"/>
      <c r="AU540" s="123"/>
      <c r="AV540" s="123"/>
      <c r="AW540" s="123"/>
      <c r="AX540" s="123"/>
      <c r="AY540" s="123"/>
      <c r="AZ540" s="123"/>
      <c r="BA540" s="123"/>
      <c r="BC540" s="122"/>
      <c r="BD540" s="122"/>
      <c r="BE540" s="122"/>
      <c r="BF540" s="122"/>
      <c r="BH540" s="122"/>
      <c r="BI540" s="122"/>
      <c r="BJ540" s="122"/>
      <c r="BK540" s="122"/>
      <c r="BM540" s="122"/>
      <c r="BN540" s="122"/>
      <c r="BO540" s="122"/>
      <c r="BP540" s="122"/>
      <c r="BR540" s="122"/>
      <c r="BS540" s="122"/>
      <c r="BT540" s="122"/>
      <c r="BU540" s="122"/>
      <c r="BV540" s="439"/>
      <c r="BW540" s="120">
        <f t="shared" si="786"/>
        <v>17450000</v>
      </c>
      <c r="BX540" s="121">
        <f t="shared" si="676"/>
        <v>3.5000000000000003E-2</v>
      </c>
      <c r="BY540" s="121">
        <f t="shared" si="680"/>
        <v>3.6932664756446992E-2</v>
      </c>
      <c r="BZ540" s="120">
        <f t="shared" si="787"/>
        <v>1790.2083333333335</v>
      </c>
      <c r="CA540" s="120">
        <f t="shared" si="788"/>
        <v>263.33333333333337</v>
      </c>
    </row>
    <row r="541" spans="2:79" x14ac:dyDescent="0.25">
      <c r="B541" s="123" t="str">
        <f t="shared" si="772"/>
        <v>6 2026</v>
      </c>
      <c r="C541" s="122">
        <f t="shared" si="773"/>
        <v>46190</v>
      </c>
      <c r="D541" s="122">
        <f t="shared" si="681"/>
        <v>46191</v>
      </c>
      <c r="E541" s="123">
        <f t="shared" si="774"/>
        <v>1</v>
      </c>
      <c r="F541" s="123" t="s">
        <v>7</v>
      </c>
      <c r="G541" s="124">
        <f t="shared" ref="G541:H541" si="810">G540</f>
        <v>1450000</v>
      </c>
      <c r="H541" s="125">
        <f t="shared" si="810"/>
        <v>3.15E-2</v>
      </c>
      <c r="I541" s="124">
        <f t="shared" si="776"/>
        <v>126.875</v>
      </c>
      <c r="J541" s="124">
        <f t="shared" si="777"/>
        <v>20033.125</v>
      </c>
      <c r="K541" s="9"/>
      <c r="L541" s="11"/>
      <c r="M541" s="306"/>
      <c r="N541" s="97"/>
      <c r="O541" s="421"/>
      <c r="P541" s="304"/>
      <c r="Q541" s="307"/>
      <c r="S541" s="11"/>
      <c r="T541" s="306"/>
      <c r="U541" s="97"/>
      <c r="V541" s="421"/>
      <c r="W541" s="304"/>
      <c r="X541" s="307"/>
      <c r="Z541" s="11" t="s">
        <v>192</v>
      </c>
      <c r="AA541" s="306">
        <f t="shared" ref="AA541:AB541" si="811">AA540</f>
        <v>10000000</v>
      </c>
      <c r="AB541" s="97">
        <f t="shared" si="811"/>
        <v>3.7499999999999999E-2</v>
      </c>
      <c r="AC541" s="421">
        <f t="shared" si="779"/>
        <v>1041.6666666666667</v>
      </c>
      <c r="AD541" s="304">
        <f t="shared" si="780"/>
        <v>176041.66666666648</v>
      </c>
      <c r="AE541" s="307">
        <f t="shared" si="781"/>
        <v>166.66666666666674</v>
      </c>
      <c r="AG541" s="11" t="s">
        <v>192</v>
      </c>
      <c r="AH541" s="306">
        <f t="shared" ref="AH541:AI541" si="812">AH540</f>
        <v>6000000</v>
      </c>
      <c r="AI541" s="97">
        <f t="shared" si="812"/>
        <v>3.73E-2</v>
      </c>
      <c r="AJ541" s="421">
        <f t="shared" si="783"/>
        <v>621.66666666666663</v>
      </c>
      <c r="AK541" s="304">
        <f t="shared" si="784"/>
        <v>1243.3333333333333</v>
      </c>
      <c r="AL541" s="307">
        <f t="shared" si="785"/>
        <v>96.666666666666629</v>
      </c>
      <c r="AN541" s="304">
        <f>'codeis $'!AB541</f>
        <v>0</v>
      </c>
      <c r="AO541" s="340">
        <f>'codeis $'!AH541</f>
        <v>0</v>
      </c>
      <c r="AP541" s="304">
        <f>'codeis $'!AE541</f>
        <v>0</v>
      </c>
      <c r="AQ541" s="304">
        <f>'codeis $'!AK541</f>
        <v>0</v>
      </c>
      <c r="AR541" s="9"/>
      <c r="AS541" s="9"/>
      <c r="AT541" s="123"/>
      <c r="AU541" s="123"/>
      <c r="AV541" s="123"/>
      <c r="AW541" s="123"/>
      <c r="AX541" s="123"/>
      <c r="AY541" s="123"/>
      <c r="AZ541" s="123"/>
      <c r="BA541" s="123"/>
      <c r="BC541" s="122"/>
      <c r="BD541" s="122"/>
      <c r="BE541" s="122"/>
      <c r="BF541" s="122"/>
      <c r="BH541" s="122"/>
      <c r="BI541" s="122"/>
      <c r="BJ541" s="122"/>
      <c r="BK541" s="122"/>
      <c r="BM541" s="122"/>
      <c r="BN541" s="122"/>
      <c r="BO541" s="122"/>
      <c r="BP541" s="122"/>
      <c r="BR541" s="122"/>
      <c r="BS541" s="122"/>
      <c r="BT541" s="122"/>
      <c r="BU541" s="122"/>
      <c r="BV541" s="439"/>
      <c r="BW541" s="120">
        <f t="shared" si="786"/>
        <v>17450000</v>
      </c>
      <c r="BX541" s="121">
        <f t="shared" si="676"/>
        <v>3.5000000000000003E-2</v>
      </c>
      <c r="BY541" s="121">
        <f t="shared" si="680"/>
        <v>3.6932664756446992E-2</v>
      </c>
      <c r="BZ541" s="120">
        <f t="shared" si="787"/>
        <v>1790.2083333333335</v>
      </c>
      <c r="CA541" s="120">
        <f t="shared" si="788"/>
        <v>263.33333333333337</v>
      </c>
    </row>
    <row r="542" spans="2:79" x14ac:dyDescent="0.25">
      <c r="B542" s="123" t="str">
        <f t="shared" si="772"/>
        <v>6 2026</v>
      </c>
      <c r="C542" s="122">
        <f t="shared" si="773"/>
        <v>46191</v>
      </c>
      <c r="D542" s="122">
        <f t="shared" si="681"/>
        <v>46192</v>
      </c>
      <c r="E542" s="123">
        <f t="shared" si="774"/>
        <v>1</v>
      </c>
      <c r="F542" s="123" t="s">
        <v>7</v>
      </c>
      <c r="G542" s="124">
        <f t="shared" ref="G542:H542" si="813">G541</f>
        <v>1450000</v>
      </c>
      <c r="H542" s="125">
        <f t="shared" si="813"/>
        <v>3.15E-2</v>
      </c>
      <c r="I542" s="124">
        <f t="shared" si="776"/>
        <v>126.875</v>
      </c>
      <c r="J542" s="124">
        <f t="shared" si="777"/>
        <v>20160</v>
      </c>
      <c r="K542" s="9"/>
      <c r="L542" s="11"/>
      <c r="M542" s="306"/>
      <c r="N542" s="97"/>
      <c r="O542" s="421"/>
      <c r="P542" s="304"/>
      <c r="Q542" s="307"/>
      <c r="S542" s="11"/>
      <c r="T542" s="306"/>
      <c r="U542" s="97"/>
      <c r="V542" s="421"/>
      <c r="W542" s="304"/>
      <c r="X542" s="307"/>
      <c r="Z542" s="11" t="s">
        <v>192</v>
      </c>
      <c r="AA542" s="306">
        <f t="shared" ref="AA542:AB542" si="814">AA541</f>
        <v>10000000</v>
      </c>
      <c r="AB542" s="97">
        <f t="shared" si="814"/>
        <v>3.7499999999999999E-2</v>
      </c>
      <c r="AC542" s="421">
        <f t="shared" si="779"/>
        <v>1041.6666666666667</v>
      </c>
      <c r="AD542" s="304">
        <f t="shared" si="780"/>
        <v>177083.33333333314</v>
      </c>
      <c r="AE542" s="307">
        <f t="shared" si="781"/>
        <v>166.66666666666674</v>
      </c>
      <c r="AG542" s="11" t="s">
        <v>192</v>
      </c>
      <c r="AH542" s="306">
        <f t="shared" ref="AH542:AI542" si="815">AH541</f>
        <v>6000000</v>
      </c>
      <c r="AI542" s="97">
        <f t="shared" si="815"/>
        <v>3.73E-2</v>
      </c>
      <c r="AJ542" s="421">
        <f t="shared" si="783"/>
        <v>621.66666666666663</v>
      </c>
      <c r="AK542" s="304">
        <f t="shared" si="784"/>
        <v>1243.3333333333333</v>
      </c>
      <c r="AL542" s="307">
        <f t="shared" si="785"/>
        <v>96.666666666666629</v>
      </c>
      <c r="AN542" s="304">
        <f>'codeis $'!AB542</f>
        <v>0</v>
      </c>
      <c r="AO542" s="340">
        <f>'codeis $'!AH542</f>
        <v>0</v>
      </c>
      <c r="AP542" s="304">
        <f>'codeis $'!AE542</f>
        <v>0</v>
      </c>
      <c r="AQ542" s="304">
        <f>'codeis $'!AK542</f>
        <v>0</v>
      </c>
      <c r="AR542" s="9"/>
      <c r="AS542" s="9"/>
      <c r="AT542" s="123"/>
      <c r="AU542" s="123"/>
      <c r="AV542" s="123"/>
      <c r="AW542" s="123"/>
      <c r="AX542" s="123"/>
      <c r="AY542" s="123"/>
      <c r="AZ542" s="123"/>
      <c r="BA542" s="123"/>
      <c r="BC542" s="122"/>
      <c r="BD542" s="122"/>
      <c r="BE542" s="122"/>
      <c r="BF542" s="122"/>
      <c r="BH542" s="122"/>
      <c r="BI542" s="122"/>
      <c r="BJ542" s="122"/>
      <c r="BK542" s="122"/>
      <c r="BM542" s="122"/>
      <c r="BN542" s="122"/>
      <c r="BO542" s="122"/>
      <c r="BP542" s="122"/>
      <c r="BR542" s="122"/>
      <c r="BS542" s="122"/>
      <c r="BT542" s="122"/>
      <c r="BU542" s="122"/>
      <c r="BV542" s="439"/>
      <c r="BW542" s="120">
        <f t="shared" si="786"/>
        <v>17450000</v>
      </c>
      <c r="BX542" s="121">
        <f t="shared" si="676"/>
        <v>3.5000000000000003E-2</v>
      </c>
      <c r="BY542" s="121">
        <f t="shared" si="680"/>
        <v>3.6932664756446992E-2</v>
      </c>
      <c r="BZ542" s="120">
        <f t="shared" si="787"/>
        <v>1790.2083333333335</v>
      </c>
      <c r="CA542" s="120">
        <f t="shared" si="788"/>
        <v>263.33333333333337</v>
      </c>
    </row>
    <row r="543" spans="2:79" x14ac:dyDescent="0.25">
      <c r="B543" s="123" t="str">
        <f t="shared" si="772"/>
        <v>6 2026</v>
      </c>
      <c r="C543" s="122">
        <f t="shared" si="773"/>
        <v>46192</v>
      </c>
      <c r="D543" s="122">
        <f t="shared" si="681"/>
        <v>46193</v>
      </c>
      <c r="E543" s="123">
        <f t="shared" si="774"/>
        <v>1</v>
      </c>
      <c r="F543" s="123" t="s">
        <v>7</v>
      </c>
      <c r="G543" s="124">
        <f t="shared" ref="G543:H543" si="816">G542</f>
        <v>1450000</v>
      </c>
      <c r="H543" s="125">
        <f t="shared" si="816"/>
        <v>3.15E-2</v>
      </c>
      <c r="I543" s="124">
        <f t="shared" si="776"/>
        <v>126.875</v>
      </c>
      <c r="J543" s="124">
        <f t="shared" si="777"/>
        <v>20286.875</v>
      </c>
      <c r="K543" s="9"/>
      <c r="L543" s="11"/>
      <c r="M543" s="306"/>
      <c r="N543" s="97"/>
      <c r="O543" s="421"/>
      <c r="P543" s="304"/>
      <c r="Q543" s="307"/>
      <c r="S543" s="11"/>
      <c r="T543" s="306"/>
      <c r="U543" s="97"/>
      <c r="V543" s="421"/>
      <c r="W543" s="304"/>
      <c r="X543" s="307"/>
      <c r="Z543" s="11" t="s">
        <v>192</v>
      </c>
      <c r="AA543" s="306">
        <f t="shared" ref="AA543:AB543" si="817">AA542</f>
        <v>10000000</v>
      </c>
      <c r="AB543" s="97">
        <f t="shared" si="817"/>
        <v>3.7499999999999999E-2</v>
      </c>
      <c r="AC543" s="421">
        <f t="shared" si="779"/>
        <v>1041.6666666666667</v>
      </c>
      <c r="AD543" s="304">
        <f t="shared" si="780"/>
        <v>178124.9999999998</v>
      </c>
      <c r="AE543" s="307">
        <f t="shared" si="781"/>
        <v>166.66666666666674</v>
      </c>
      <c r="AG543" s="11" t="s">
        <v>192</v>
      </c>
      <c r="AH543" s="306">
        <f t="shared" ref="AH543:AI543" si="818">AH542</f>
        <v>6000000</v>
      </c>
      <c r="AI543" s="97">
        <f t="shared" si="818"/>
        <v>3.73E-2</v>
      </c>
      <c r="AJ543" s="421">
        <f t="shared" si="783"/>
        <v>621.66666666666663</v>
      </c>
      <c r="AK543" s="304">
        <f t="shared" si="784"/>
        <v>1243.3333333333333</v>
      </c>
      <c r="AL543" s="307">
        <f t="shared" si="785"/>
        <v>96.666666666666629</v>
      </c>
      <c r="AN543" s="304">
        <f>'codeis $'!AB543</f>
        <v>0</v>
      </c>
      <c r="AO543" s="340">
        <f>'codeis $'!AH543</f>
        <v>0</v>
      </c>
      <c r="AP543" s="304">
        <f>'codeis $'!AE543</f>
        <v>0</v>
      </c>
      <c r="AQ543" s="304">
        <f>'codeis $'!AK543</f>
        <v>0</v>
      </c>
      <c r="AR543" s="9"/>
      <c r="AS543" s="9"/>
      <c r="AT543" s="123"/>
      <c r="AU543" s="123"/>
      <c r="AV543" s="123"/>
      <c r="AW543" s="123"/>
      <c r="AX543" s="123"/>
      <c r="AY543" s="123"/>
      <c r="AZ543" s="123"/>
      <c r="BA543" s="123"/>
      <c r="BC543" s="122"/>
      <c r="BD543" s="122"/>
      <c r="BE543" s="122"/>
      <c r="BF543" s="122"/>
      <c r="BH543" s="122"/>
      <c r="BI543" s="122"/>
      <c r="BJ543" s="122"/>
      <c r="BK543" s="122"/>
      <c r="BM543" s="122"/>
      <c r="BN543" s="122"/>
      <c r="BO543" s="122"/>
      <c r="BP543" s="122"/>
      <c r="BR543" s="122"/>
      <c r="BS543" s="122"/>
      <c r="BT543" s="122"/>
      <c r="BU543" s="122"/>
      <c r="BV543" s="439"/>
      <c r="BW543" s="120">
        <f t="shared" si="786"/>
        <v>17450000</v>
      </c>
      <c r="BX543" s="121">
        <f t="shared" si="676"/>
        <v>3.5000000000000003E-2</v>
      </c>
      <c r="BY543" s="121">
        <f t="shared" si="680"/>
        <v>3.6932664756446992E-2</v>
      </c>
      <c r="BZ543" s="120">
        <f t="shared" si="787"/>
        <v>1790.2083333333335</v>
      </c>
      <c r="CA543" s="120">
        <f t="shared" si="788"/>
        <v>263.33333333333337</v>
      </c>
    </row>
    <row r="544" spans="2:79" x14ac:dyDescent="0.25">
      <c r="B544" s="123" t="str">
        <f t="shared" si="772"/>
        <v>6 2026</v>
      </c>
      <c r="C544" s="122">
        <f t="shared" si="773"/>
        <v>46193</v>
      </c>
      <c r="D544" s="122">
        <f t="shared" si="681"/>
        <v>46194</v>
      </c>
      <c r="E544" s="123">
        <f t="shared" si="774"/>
        <v>1</v>
      </c>
      <c r="F544" s="123" t="s">
        <v>7</v>
      </c>
      <c r="G544" s="124">
        <f t="shared" ref="G544:H544" si="819">G543</f>
        <v>1450000</v>
      </c>
      <c r="H544" s="125">
        <f t="shared" si="819"/>
        <v>3.15E-2</v>
      </c>
      <c r="I544" s="124">
        <f t="shared" si="776"/>
        <v>126.875</v>
      </c>
      <c r="J544" s="124">
        <f t="shared" si="777"/>
        <v>20413.75</v>
      </c>
      <c r="K544" s="9"/>
      <c r="L544" s="11"/>
      <c r="M544" s="306"/>
      <c r="N544" s="97"/>
      <c r="O544" s="421"/>
      <c r="P544" s="304"/>
      <c r="Q544" s="307"/>
      <c r="S544" s="11"/>
      <c r="T544" s="306"/>
      <c r="U544" s="97"/>
      <c r="V544" s="421"/>
      <c r="W544" s="304"/>
      <c r="X544" s="307"/>
      <c r="Z544" s="11" t="s">
        <v>192</v>
      </c>
      <c r="AA544" s="306">
        <f t="shared" ref="AA544:AB544" si="820">AA543</f>
        <v>10000000</v>
      </c>
      <c r="AB544" s="97">
        <f t="shared" si="820"/>
        <v>3.7499999999999999E-2</v>
      </c>
      <c r="AC544" s="421">
        <f t="shared" si="779"/>
        <v>1041.6666666666667</v>
      </c>
      <c r="AD544" s="304">
        <f t="shared" si="780"/>
        <v>179166.66666666645</v>
      </c>
      <c r="AE544" s="307">
        <f t="shared" si="781"/>
        <v>166.66666666666674</v>
      </c>
      <c r="AG544" s="11" t="s">
        <v>192</v>
      </c>
      <c r="AH544" s="306">
        <f t="shared" ref="AH544:AI544" si="821">AH543</f>
        <v>6000000</v>
      </c>
      <c r="AI544" s="97">
        <f t="shared" si="821"/>
        <v>3.73E-2</v>
      </c>
      <c r="AJ544" s="421">
        <f t="shared" si="783"/>
        <v>621.66666666666663</v>
      </c>
      <c r="AK544" s="304">
        <f t="shared" si="784"/>
        <v>1243.3333333333333</v>
      </c>
      <c r="AL544" s="307">
        <f t="shared" si="785"/>
        <v>96.666666666666629</v>
      </c>
      <c r="AN544" s="304">
        <f>'codeis $'!AB544</f>
        <v>0</v>
      </c>
      <c r="AO544" s="340">
        <f>'codeis $'!AH544</f>
        <v>0</v>
      </c>
      <c r="AP544" s="304">
        <f>'codeis $'!AE544</f>
        <v>0</v>
      </c>
      <c r="AQ544" s="304">
        <f>'codeis $'!AK544</f>
        <v>0</v>
      </c>
      <c r="AR544" s="9"/>
      <c r="AS544" s="9"/>
      <c r="AT544" s="123"/>
      <c r="AU544" s="123"/>
      <c r="AV544" s="123"/>
      <c r="AW544" s="123"/>
      <c r="AX544" s="123"/>
      <c r="AY544" s="123"/>
      <c r="AZ544" s="123"/>
      <c r="BA544" s="123"/>
      <c r="BC544" s="122"/>
      <c r="BD544" s="122"/>
      <c r="BE544" s="122"/>
      <c r="BF544" s="122"/>
      <c r="BH544" s="122"/>
      <c r="BI544" s="122"/>
      <c r="BJ544" s="122"/>
      <c r="BK544" s="122"/>
      <c r="BM544" s="122"/>
      <c r="BN544" s="122"/>
      <c r="BO544" s="122"/>
      <c r="BP544" s="122"/>
      <c r="BR544" s="122"/>
      <c r="BS544" s="122"/>
      <c r="BT544" s="122"/>
      <c r="BU544" s="122"/>
      <c r="BV544" s="439"/>
      <c r="BW544" s="120">
        <f t="shared" si="786"/>
        <v>17450000</v>
      </c>
      <c r="BX544" s="121">
        <f t="shared" si="676"/>
        <v>3.5000000000000003E-2</v>
      </c>
      <c r="BY544" s="121">
        <f t="shared" si="680"/>
        <v>3.6932664756446992E-2</v>
      </c>
      <c r="BZ544" s="120">
        <f t="shared" si="787"/>
        <v>1790.2083333333335</v>
      </c>
      <c r="CA544" s="120">
        <f t="shared" si="788"/>
        <v>263.33333333333337</v>
      </c>
    </row>
    <row r="545" spans="2:79" x14ac:dyDescent="0.25">
      <c r="B545" s="123" t="str">
        <f t="shared" si="772"/>
        <v>6 2026</v>
      </c>
      <c r="C545" s="122">
        <f t="shared" si="773"/>
        <v>46194</v>
      </c>
      <c r="D545" s="122">
        <f t="shared" si="681"/>
        <v>46195</v>
      </c>
      <c r="E545" s="123">
        <f t="shared" si="774"/>
        <v>1</v>
      </c>
      <c r="F545" s="123" t="s">
        <v>7</v>
      </c>
      <c r="G545" s="124">
        <f t="shared" ref="G545:H545" si="822">G544</f>
        <v>1450000</v>
      </c>
      <c r="H545" s="125">
        <f t="shared" si="822"/>
        <v>3.15E-2</v>
      </c>
      <c r="I545" s="124">
        <f t="shared" si="776"/>
        <v>126.875</v>
      </c>
      <c r="J545" s="124">
        <f t="shared" si="777"/>
        <v>20540.625</v>
      </c>
      <c r="K545" s="9"/>
      <c r="L545" s="11"/>
      <c r="M545" s="306"/>
      <c r="N545" s="97"/>
      <c r="O545" s="421"/>
      <c r="P545" s="304"/>
      <c r="Q545" s="307"/>
      <c r="S545" s="11"/>
      <c r="T545" s="306"/>
      <c r="U545" s="97"/>
      <c r="V545" s="421"/>
      <c r="W545" s="304"/>
      <c r="X545" s="307"/>
      <c r="Z545" s="11" t="s">
        <v>192</v>
      </c>
      <c r="AA545" s="306">
        <f t="shared" ref="AA545:AB545" si="823">AA544</f>
        <v>10000000</v>
      </c>
      <c r="AB545" s="97">
        <f t="shared" si="823"/>
        <v>3.7499999999999999E-2</v>
      </c>
      <c r="AC545" s="421">
        <f t="shared" si="779"/>
        <v>1041.6666666666667</v>
      </c>
      <c r="AD545" s="304">
        <f t="shared" si="780"/>
        <v>180208.33333333311</v>
      </c>
      <c r="AE545" s="307">
        <f t="shared" si="781"/>
        <v>166.66666666666674</v>
      </c>
      <c r="AG545" s="11" t="s">
        <v>192</v>
      </c>
      <c r="AH545" s="306">
        <f t="shared" ref="AH545:AI545" si="824">AH544</f>
        <v>6000000</v>
      </c>
      <c r="AI545" s="97">
        <f t="shared" si="824"/>
        <v>3.73E-2</v>
      </c>
      <c r="AJ545" s="421">
        <f t="shared" si="783"/>
        <v>621.66666666666663</v>
      </c>
      <c r="AK545" s="304">
        <f t="shared" si="784"/>
        <v>1243.3333333333333</v>
      </c>
      <c r="AL545" s="307">
        <f t="shared" si="785"/>
        <v>96.666666666666629</v>
      </c>
      <c r="AN545" s="304">
        <f>'codeis $'!AB545</f>
        <v>0</v>
      </c>
      <c r="AO545" s="340">
        <f>'codeis $'!AH545</f>
        <v>0</v>
      </c>
      <c r="AP545" s="304">
        <f>'codeis $'!AE545</f>
        <v>0</v>
      </c>
      <c r="AQ545" s="304">
        <f>'codeis $'!AK545</f>
        <v>0</v>
      </c>
      <c r="AR545" s="9"/>
      <c r="AS545" s="9"/>
      <c r="AT545" s="123"/>
      <c r="AU545" s="123"/>
      <c r="AV545" s="123"/>
      <c r="AW545" s="123"/>
      <c r="AX545" s="123"/>
      <c r="AY545" s="123"/>
      <c r="AZ545" s="123"/>
      <c r="BA545" s="123"/>
      <c r="BC545" s="122"/>
      <c r="BD545" s="122"/>
      <c r="BE545" s="122"/>
      <c r="BF545" s="122"/>
      <c r="BH545" s="122"/>
      <c r="BI545" s="122"/>
      <c r="BJ545" s="122"/>
      <c r="BK545" s="122"/>
      <c r="BM545" s="122"/>
      <c r="BN545" s="122"/>
      <c r="BO545" s="122"/>
      <c r="BP545" s="122"/>
      <c r="BR545" s="122"/>
      <c r="BS545" s="122"/>
      <c r="BT545" s="122"/>
      <c r="BU545" s="122"/>
      <c r="BV545" s="439"/>
      <c r="BW545" s="120">
        <f t="shared" si="786"/>
        <v>17450000</v>
      </c>
      <c r="BX545" s="121">
        <f t="shared" si="676"/>
        <v>3.5000000000000003E-2</v>
      </c>
      <c r="BY545" s="121">
        <f t="shared" si="680"/>
        <v>3.6932664756446992E-2</v>
      </c>
      <c r="BZ545" s="120">
        <f t="shared" si="787"/>
        <v>1790.2083333333335</v>
      </c>
      <c r="CA545" s="120">
        <f t="shared" si="788"/>
        <v>263.33333333333337</v>
      </c>
    </row>
    <row r="546" spans="2:79" x14ac:dyDescent="0.25">
      <c r="B546" s="123" t="str">
        <f t="shared" si="772"/>
        <v>6 2026</v>
      </c>
      <c r="C546" s="122">
        <f t="shared" si="773"/>
        <v>46195</v>
      </c>
      <c r="D546" s="122">
        <f t="shared" si="681"/>
        <v>46196</v>
      </c>
      <c r="E546" s="123">
        <f t="shared" si="774"/>
        <v>1</v>
      </c>
      <c r="F546" s="123" t="s">
        <v>7</v>
      </c>
      <c r="G546" s="124">
        <f t="shared" ref="G546:H546" si="825">G545</f>
        <v>1450000</v>
      </c>
      <c r="H546" s="125">
        <f t="shared" si="825"/>
        <v>3.15E-2</v>
      </c>
      <c r="I546" s="124">
        <f t="shared" si="776"/>
        <v>126.875</v>
      </c>
      <c r="J546" s="124">
        <f t="shared" si="777"/>
        <v>20667.5</v>
      </c>
      <c r="K546" s="9"/>
      <c r="L546" s="11"/>
      <c r="M546" s="306"/>
      <c r="N546" s="97"/>
      <c r="O546" s="421"/>
      <c r="P546" s="304"/>
      <c r="Q546" s="307"/>
      <c r="S546" s="11"/>
      <c r="T546" s="306"/>
      <c r="U546" s="97"/>
      <c r="V546" s="421"/>
      <c r="W546" s="304"/>
      <c r="X546" s="307"/>
      <c r="Z546" s="11" t="s">
        <v>192</v>
      </c>
      <c r="AA546" s="306">
        <f t="shared" ref="AA546:AB546" si="826">AA545</f>
        <v>10000000</v>
      </c>
      <c r="AB546" s="97">
        <f t="shared" si="826"/>
        <v>3.7499999999999999E-2</v>
      </c>
      <c r="AC546" s="421">
        <f t="shared" si="779"/>
        <v>1041.6666666666667</v>
      </c>
      <c r="AD546" s="304">
        <f t="shared" si="780"/>
        <v>181249.99999999977</v>
      </c>
      <c r="AE546" s="307">
        <f t="shared" si="781"/>
        <v>166.66666666666674</v>
      </c>
      <c r="AG546" s="11" t="s">
        <v>192</v>
      </c>
      <c r="AH546" s="306">
        <f t="shared" ref="AH546:AI546" si="827">AH545</f>
        <v>6000000</v>
      </c>
      <c r="AI546" s="97">
        <f t="shared" si="827"/>
        <v>3.73E-2</v>
      </c>
      <c r="AJ546" s="421">
        <f t="shared" si="783"/>
        <v>621.66666666666663</v>
      </c>
      <c r="AK546" s="304">
        <f t="shared" si="784"/>
        <v>1243.3333333333333</v>
      </c>
      <c r="AL546" s="307">
        <f t="shared" si="785"/>
        <v>96.666666666666629</v>
      </c>
      <c r="AN546" s="304">
        <f>'codeis $'!AB546</f>
        <v>0</v>
      </c>
      <c r="AO546" s="340">
        <f>'codeis $'!AH546</f>
        <v>0</v>
      </c>
      <c r="AP546" s="304">
        <f>'codeis $'!AE546</f>
        <v>0</v>
      </c>
      <c r="AQ546" s="304">
        <f>'codeis $'!AK546</f>
        <v>0</v>
      </c>
      <c r="AR546" s="9"/>
      <c r="AS546" s="9"/>
      <c r="AT546" s="123"/>
      <c r="AU546" s="123"/>
      <c r="AV546" s="123"/>
      <c r="AW546" s="123"/>
      <c r="AX546" s="123"/>
      <c r="AY546" s="123"/>
      <c r="AZ546" s="123"/>
      <c r="BA546" s="123"/>
      <c r="BC546" s="122"/>
      <c r="BD546" s="122"/>
      <c r="BE546" s="122"/>
      <c r="BF546" s="122"/>
      <c r="BH546" s="122"/>
      <c r="BI546" s="122"/>
      <c r="BJ546" s="122"/>
      <c r="BK546" s="122"/>
      <c r="BM546" s="122"/>
      <c r="BN546" s="122"/>
      <c r="BO546" s="122"/>
      <c r="BP546" s="122"/>
      <c r="BR546" s="122"/>
      <c r="BS546" s="122"/>
      <c r="BT546" s="122"/>
      <c r="BU546" s="122"/>
      <c r="BV546" s="439"/>
      <c r="BW546" s="120">
        <f t="shared" si="786"/>
        <v>17450000</v>
      </c>
      <c r="BX546" s="121">
        <f t="shared" si="676"/>
        <v>3.5000000000000003E-2</v>
      </c>
      <c r="BY546" s="121">
        <f t="shared" si="680"/>
        <v>3.6932664756446992E-2</v>
      </c>
      <c r="BZ546" s="120">
        <f t="shared" si="787"/>
        <v>1790.2083333333335</v>
      </c>
      <c r="CA546" s="120">
        <f t="shared" si="788"/>
        <v>263.33333333333337</v>
      </c>
    </row>
    <row r="547" spans="2:79" x14ac:dyDescent="0.25">
      <c r="B547" s="123" t="str">
        <f t="shared" si="772"/>
        <v>6 2026</v>
      </c>
      <c r="C547" s="122">
        <f t="shared" si="773"/>
        <v>46196</v>
      </c>
      <c r="D547" s="122">
        <f t="shared" si="681"/>
        <v>46197</v>
      </c>
      <c r="E547" s="123">
        <f t="shared" si="774"/>
        <v>1</v>
      </c>
      <c r="F547" s="123" t="s">
        <v>7</v>
      </c>
      <c r="G547" s="124">
        <f t="shared" ref="G547:H547" si="828">G546</f>
        <v>1450000</v>
      </c>
      <c r="H547" s="125">
        <f t="shared" si="828"/>
        <v>3.15E-2</v>
      </c>
      <c r="I547" s="124">
        <f t="shared" si="776"/>
        <v>126.875</v>
      </c>
      <c r="J547" s="124">
        <f t="shared" si="777"/>
        <v>20794.375</v>
      </c>
      <c r="K547" s="9"/>
      <c r="L547" s="11"/>
      <c r="M547" s="306"/>
      <c r="N547" s="97"/>
      <c r="O547" s="421"/>
      <c r="P547" s="304"/>
      <c r="Q547" s="307"/>
      <c r="S547" s="11"/>
      <c r="T547" s="306"/>
      <c r="U547" s="97"/>
      <c r="V547" s="421"/>
      <c r="W547" s="304"/>
      <c r="X547" s="307"/>
      <c r="Z547" s="11" t="s">
        <v>192</v>
      </c>
      <c r="AA547" s="306">
        <f t="shared" ref="AA547:AB547" si="829">AA546</f>
        <v>10000000</v>
      </c>
      <c r="AB547" s="97">
        <f t="shared" si="829"/>
        <v>3.7499999999999999E-2</v>
      </c>
      <c r="AC547" s="421">
        <f t="shared" si="779"/>
        <v>1041.6666666666667</v>
      </c>
      <c r="AD547" s="304">
        <f t="shared" si="780"/>
        <v>182291.66666666642</v>
      </c>
      <c r="AE547" s="307">
        <f t="shared" si="781"/>
        <v>166.66666666666674</v>
      </c>
      <c r="AG547" s="11" t="s">
        <v>192</v>
      </c>
      <c r="AH547" s="306">
        <f t="shared" ref="AH547:AI547" si="830">AH546</f>
        <v>6000000</v>
      </c>
      <c r="AI547" s="97">
        <f t="shared" si="830"/>
        <v>3.73E-2</v>
      </c>
      <c r="AJ547" s="421">
        <f t="shared" si="783"/>
        <v>621.66666666666663</v>
      </c>
      <c r="AK547" s="304">
        <f t="shared" si="784"/>
        <v>1243.3333333333333</v>
      </c>
      <c r="AL547" s="307">
        <f t="shared" si="785"/>
        <v>96.666666666666629</v>
      </c>
      <c r="AN547" s="304">
        <f>'codeis $'!AB547</f>
        <v>0</v>
      </c>
      <c r="AO547" s="340">
        <f>'codeis $'!AH547</f>
        <v>0</v>
      </c>
      <c r="AP547" s="304">
        <f>'codeis $'!AE547</f>
        <v>0</v>
      </c>
      <c r="AQ547" s="304">
        <f>'codeis $'!AK547</f>
        <v>0</v>
      </c>
      <c r="AR547" s="9"/>
      <c r="AS547" s="9"/>
      <c r="AT547" s="123"/>
      <c r="AU547" s="123"/>
      <c r="AV547" s="123"/>
      <c r="AW547" s="123"/>
      <c r="AX547" s="123"/>
      <c r="AY547" s="123"/>
      <c r="AZ547" s="123"/>
      <c r="BA547" s="123"/>
      <c r="BC547" s="122"/>
      <c r="BD547" s="122"/>
      <c r="BE547" s="122"/>
      <c r="BF547" s="122"/>
      <c r="BH547" s="122"/>
      <c r="BI547" s="122"/>
      <c r="BJ547" s="122"/>
      <c r="BK547" s="122"/>
      <c r="BM547" s="122"/>
      <c r="BN547" s="122"/>
      <c r="BO547" s="122"/>
      <c r="BP547" s="122"/>
      <c r="BR547" s="122"/>
      <c r="BS547" s="122"/>
      <c r="BT547" s="122"/>
      <c r="BU547" s="122"/>
      <c r="BV547" s="439"/>
      <c r="BW547" s="120">
        <f t="shared" si="786"/>
        <v>17450000</v>
      </c>
      <c r="BX547" s="121">
        <f t="shared" si="676"/>
        <v>3.5000000000000003E-2</v>
      </c>
      <c r="BY547" s="121">
        <f t="shared" si="680"/>
        <v>3.6932664756446992E-2</v>
      </c>
      <c r="BZ547" s="120">
        <f t="shared" si="787"/>
        <v>1790.2083333333335</v>
      </c>
      <c r="CA547" s="120">
        <f t="shared" si="788"/>
        <v>263.33333333333337</v>
      </c>
    </row>
    <row r="548" spans="2:79" x14ac:dyDescent="0.25">
      <c r="B548" s="123" t="str">
        <f t="shared" si="772"/>
        <v>6 2026</v>
      </c>
      <c r="C548" s="122">
        <f t="shared" si="773"/>
        <v>46197</v>
      </c>
      <c r="D548" s="122">
        <f t="shared" si="681"/>
        <v>46198</v>
      </c>
      <c r="E548" s="123">
        <f t="shared" si="774"/>
        <v>1</v>
      </c>
      <c r="F548" s="123" t="s">
        <v>7</v>
      </c>
      <c r="G548" s="124">
        <f t="shared" ref="G548:H548" si="831">G547</f>
        <v>1450000</v>
      </c>
      <c r="H548" s="125">
        <f t="shared" si="831"/>
        <v>3.15E-2</v>
      </c>
      <c r="I548" s="124">
        <f t="shared" si="776"/>
        <v>126.875</v>
      </c>
      <c r="J548" s="124">
        <f t="shared" si="777"/>
        <v>20921.25</v>
      </c>
      <c r="K548" s="9"/>
      <c r="L548" s="11"/>
      <c r="M548" s="306"/>
      <c r="N548" s="97"/>
      <c r="O548" s="421"/>
      <c r="P548" s="304"/>
      <c r="Q548" s="307"/>
      <c r="S548" s="11"/>
      <c r="T548" s="306"/>
      <c r="U548" s="97"/>
      <c r="V548" s="421"/>
      <c r="W548" s="304"/>
      <c r="X548" s="307"/>
      <c r="Z548" s="11" t="s">
        <v>192</v>
      </c>
      <c r="AA548" s="306">
        <f t="shared" ref="AA548:AB548" si="832">AA547</f>
        <v>10000000</v>
      </c>
      <c r="AB548" s="97">
        <f t="shared" si="832"/>
        <v>3.7499999999999999E-2</v>
      </c>
      <c r="AC548" s="421">
        <f t="shared" si="779"/>
        <v>1041.6666666666667</v>
      </c>
      <c r="AD548" s="304">
        <f t="shared" si="780"/>
        <v>183333.33333333308</v>
      </c>
      <c r="AE548" s="307">
        <f t="shared" si="781"/>
        <v>166.66666666666674</v>
      </c>
      <c r="AG548" s="11" t="s">
        <v>192</v>
      </c>
      <c r="AH548" s="306">
        <f t="shared" ref="AH548:AI548" si="833">AH547</f>
        <v>6000000</v>
      </c>
      <c r="AI548" s="97">
        <f t="shared" si="833"/>
        <v>3.73E-2</v>
      </c>
      <c r="AJ548" s="421">
        <f t="shared" si="783"/>
        <v>621.66666666666663</v>
      </c>
      <c r="AK548" s="304">
        <f t="shared" si="784"/>
        <v>1243.3333333333333</v>
      </c>
      <c r="AL548" s="307">
        <f t="shared" si="785"/>
        <v>96.666666666666629</v>
      </c>
      <c r="AN548" s="304">
        <f>'codeis $'!AB548</f>
        <v>0</v>
      </c>
      <c r="AO548" s="340">
        <f>'codeis $'!AH548</f>
        <v>0</v>
      </c>
      <c r="AP548" s="304">
        <f>'codeis $'!AE548</f>
        <v>0</v>
      </c>
      <c r="AQ548" s="304">
        <f>'codeis $'!AK548</f>
        <v>0</v>
      </c>
      <c r="AR548" s="9"/>
      <c r="AS548" s="9"/>
      <c r="AT548" s="123"/>
      <c r="AU548" s="123"/>
      <c r="AV548" s="123"/>
      <c r="AW548" s="123"/>
      <c r="AX548" s="123"/>
      <c r="AY548" s="123"/>
      <c r="AZ548" s="123"/>
      <c r="BA548" s="123"/>
      <c r="BC548" s="122"/>
      <c r="BD548" s="122"/>
      <c r="BE548" s="122"/>
      <c r="BF548" s="122"/>
      <c r="BH548" s="122"/>
      <c r="BI548" s="122"/>
      <c r="BJ548" s="122"/>
      <c r="BK548" s="122"/>
      <c r="BM548" s="122"/>
      <c r="BN548" s="122"/>
      <c r="BO548" s="122"/>
      <c r="BP548" s="122"/>
      <c r="BR548" s="122"/>
      <c r="BS548" s="122"/>
      <c r="BT548" s="122"/>
      <c r="BU548" s="122"/>
      <c r="BV548" s="439"/>
      <c r="BW548" s="120">
        <f t="shared" si="786"/>
        <v>17450000</v>
      </c>
      <c r="BX548" s="121">
        <f t="shared" si="676"/>
        <v>3.5000000000000003E-2</v>
      </c>
      <c r="BY548" s="121">
        <f t="shared" si="680"/>
        <v>3.6932664756446992E-2</v>
      </c>
      <c r="BZ548" s="120">
        <f t="shared" si="787"/>
        <v>1790.2083333333335</v>
      </c>
      <c r="CA548" s="120">
        <f t="shared" si="788"/>
        <v>263.33333333333337</v>
      </c>
    </row>
    <row r="549" spans="2:79" x14ac:dyDescent="0.25">
      <c r="B549" s="123" t="str">
        <f t="shared" si="772"/>
        <v>6 2026</v>
      </c>
      <c r="C549" s="122">
        <f t="shared" si="773"/>
        <v>46198</v>
      </c>
      <c r="D549" s="122">
        <f t="shared" si="681"/>
        <v>46199</v>
      </c>
      <c r="E549" s="123">
        <f t="shared" si="774"/>
        <v>1</v>
      </c>
      <c r="F549" s="123" t="s">
        <v>7</v>
      </c>
      <c r="G549" s="124">
        <f t="shared" ref="G549:H549" si="834">G548</f>
        <v>1450000</v>
      </c>
      <c r="H549" s="125">
        <f t="shared" si="834"/>
        <v>3.15E-2</v>
      </c>
      <c r="I549" s="124">
        <f t="shared" si="776"/>
        <v>126.875</v>
      </c>
      <c r="J549" s="124">
        <f t="shared" si="777"/>
        <v>21048.125</v>
      </c>
      <c r="K549" s="9"/>
      <c r="L549" s="11"/>
      <c r="M549" s="306"/>
      <c r="N549" s="97"/>
      <c r="O549" s="421"/>
      <c r="P549" s="304"/>
      <c r="Q549" s="307"/>
      <c r="S549" s="11"/>
      <c r="T549" s="306"/>
      <c r="U549" s="97"/>
      <c r="V549" s="421"/>
      <c r="W549" s="304"/>
      <c r="X549" s="307"/>
      <c r="Z549" s="11" t="s">
        <v>192</v>
      </c>
      <c r="AA549" s="306">
        <f t="shared" ref="AA549:AB549" si="835">AA548</f>
        <v>10000000</v>
      </c>
      <c r="AB549" s="97">
        <f t="shared" si="835"/>
        <v>3.7499999999999999E-2</v>
      </c>
      <c r="AC549" s="421">
        <f t="shared" si="779"/>
        <v>1041.6666666666667</v>
      </c>
      <c r="AD549" s="304">
        <f t="shared" si="780"/>
        <v>184374.99999999974</v>
      </c>
      <c r="AE549" s="307">
        <f t="shared" si="781"/>
        <v>166.66666666666674</v>
      </c>
      <c r="AG549" s="11" t="s">
        <v>192</v>
      </c>
      <c r="AH549" s="306">
        <f t="shared" ref="AH549:AI549" si="836">AH548</f>
        <v>6000000</v>
      </c>
      <c r="AI549" s="97">
        <f t="shared" si="836"/>
        <v>3.73E-2</v>
      </c>
      <c r="AJ549" s="421">
        <f t="shared" si="783"/>
        <v>621.66666666666663</v>
      </c>
      <c r="AK549" s="304">
        <f t="shared" si="784"/>
        <v>1243.3333333333333</v>
      </c>
      <c r="AL549" s="307">
        <f t="shared" si="785"/>
        <v>96.666666666666629</v>
      </c>
      <c r="AN549" s="304">
        <f>'codeis $'!AB549</f>
        <v>0</v>
      </c>
      <c r="AO549" s="340">
        <f>'codeis $'!AH549</f>
        <v>0</v>
      </c>
      <c r="AP549" s="304">
        <f>'codeis $'!AE549</f>
        <v>0</v>
      </c>
      <c r="AQ549" s="304">
        <f>'codeis $'!AK549</f>
        <v>0</v>
      </c>
      <c r="AR549" s="9"/>
      <c r="AS549" s="9"/>
      <c r="AT549" s="123"/>
      <c r="AU549" s="123"/>
      <c r="AV549" s="123"/>
      <c r="AW549" s="123"/>
      <c r="AX549" s="123"/>
      <c r="AY549" s="123"/>
      <c r="AZ549" s="123"/>
      <c r="BA549" s="123"/>
      <c r="BC549" s="122"/>
      <c r="BD549" s="122"/>
      <c r="BE549" s="122"/>
      <c r="BF549" s="122"/>
      <c r="BH549" s="122"/>
      <c r="BI549" s="122"/>
      <c r="BJ549" s="122"/>
      <c r="BK549" s="122"/>
      <c r="BM549" s="122"/>
      <c r="BN549" s="122"/>
      <c r="BO549" s="122"/>
      <c r="BP549" s="122"/>
      <c r="BR549" s="122"/>
      <c r="BS549" s="122"/>
      <c r="BT549" s="122"/>
      <c r="BU549" s="122"/>
      <c r="BV549" s="439"/>
      <c r="BW549" s="120">
        <f t="shared" si="786"/>
        <v>17450000</v>
      </c>
      <c r="BX549" s="121">
        <f t="shared" si="676"/>
        <v>3.5000000000000003E-2</v>
      </c>
      <c r="BY549" s="121">
        <f t="shared" si="680"/>
        <v>3.6932664756446992E-2</v>
      </c>
      <c r="BZ549" s="120">
        <f t="shared" si="787"/>
        <v>1790.2083333333335</v>
      </c>
      <c r="CA549" s="120">
        <f t="shared" si="788"/>
        <v>263.33333333333337</v>
      </c>
    </row>
    <row r="550" spans="2:79" x14ac:dyDescent="0.25">
      <c r="B550" s="123" t="str">
        <f t="shared" si="772"/>
        <v>6 2026</v>
      </c>
      <c r="C550" s="122">
        <f t="shared" si="773"/>
        <v>46199</v>
      </c>
      <c r="D550" s="122">
        <f t="shared" si="681"/>
        <v>46200</v>
      </c>
      <c r="E550" s="123">
        <f t="shared" si="774"/>
        <v>1</v>
      </c>
      <c r="F550" s="123" t="s">
        <v>7</v>
      </c>
      <c r="G550" s="124">
        <f t="shared" ref="G550:H550" si="837">G549</f>
        <v>1450000</v>
      </c>
      <c r="H550" s="125">
        <f t="shared" si="837"/>
        <v>3.15E-2</v>
      </c>
      <c r="I550" s="124">
        <f t="shared" si="776"/>
        <v>126.875</v>
      </c>
      <c r="J550" s="124">
        <f t="shared" si="777"/>
        <v>21175</v>
      </c>
      <c r="K550" s="9"/>
      <c r="L550" s="11"/>
      <c r="M550" s="306"/>
      <c r="N550" s="97"/>
      <c r="O550" s="421"/>
      <c r="P550" s="304"/>
      <c r="Q550" s="307"/>
      <c r="S550" s="11"/>
      <c r="T550" s="306"/>
      <c r="U550" s="97"/>
      <c r="V550" s="421"/>
      <c r="W550" s="304"/>
      <c r="X550" s="307"/>
      <c r="Z550" s="11" t="s">
        <v>192</v>
      </c>
      <c r="AA550" s="306">
        <f t="shared" ref="AA550:AB550" si="838">AA549</f>
        <v>10000000</v>
      </c>
      <c r="AB550" s="97">
        <f t="shared" si="838"/>
        <v>3.7499999999999999E-2</v>
      </c>
      <c r="AC550" s="421">
        <f t="shared" si="779"/>
        <v>1041.6666666666667</v>
      </c>
      <c r="AD550" s="304">
        <f t="shared" si="780"/>
        <v>185416.6666666664</v>
      </c>
      <c r="AE550" s="307">
        <f t="shared" si="781"/>
        <v>166.66666666666674</v>
      </c>
      <c r="AG550" s="11" t="s">
        <v>192</v>
      </c>
      <c r="AH550" s="306">
        <f t="shared" ref="AH550:AI550" si="839">AH549</f>
        <v>6000000</v>
      </c>
      <c r="AI550" s="97">
        <f t="shared" si="839"/>
        <v>3.73E-2</v>
      </c>
      <c r="AJ550" s="421">
        <f t="shared" si="783"/>
        <v>621.66666666666663</v>
      </c>
      <c r="AK550" s="304">
        <f t="shared" si="784"/>
        <v>1243.3333333333333</v>
      </c>
      <c r="AL550" s="307">
        <f t="shared" si="785"/>
        <v>96.666666666666629</v>
      </c>
      <c r="AN550" s="304">
        <f>'codeis $'!AB550</f>
        <v>0</v>
      </c>
      <c r="AO550" s="340">
        <f>'codeis $'!AH550</f>
        <v>0</v>
      </c>
      <c r="AP550" s="304">
        <f>'codeis $'!AE550</f>
        <v>0</v>
      </c>
      <c r="AQ550" s="304">
        <f>'codeis $'!AK550</f>
        <v>0</v>
      </c>
      <c r="AR550" s="9"/>
      <c r="AS550" s="9"/>
      <c r="AT550" s="123"/>
      <c r="AU550" s="123"/>
      <c r="AV550" s="123"/>
      <c r="AW550" s="123"/>
      <c r="AX550" s="123"/>
      <c r="AY550" s="123"/>
      <c r="AZ550" s="123"/>
      <c r="BA550" s="123"/>
      <c r="BC550" s="122"/>
      <c r="BD550" s="122"/>
      <c r="BE550" s="122"/>
      <c r="BF550" s="122"/>
      <c r="BH550" s="122"/>
      <c r="BI550" s="122"/>
      <c r="BJ550" s="122"/>
      <c r="BK550" s="122"/>
      <c r="BM550" s="122"/>
      <c r="BN550" s="122"/>
      <c r="BO550" s="122"/>
      <c r="BP550" s="122"/>
      <c r="BR550" s="122"/>
      <c r="BS550" s="122"/>
      <c r="BT550" s="122"/>
      <c r="BU550" s="122"/>
      <c r="BV550" s="439"/>
      <c r="BW550" s="120">
        <f t="shared" si="786"/>
        <v>17450000</v>
      </c>
      <c r="BX550" s="121">
        <f t="shared" si="676"/>
        <v>3.5000000000000003E-2</v>
      </c>
      <c r="BY550" s="121">
        <f t="shared" si="680"/>
        <v>3.6932664756446992E-2</v>
      </c>
      <c r="BZ550" s="120">
        <f t="shared" si="787"/>
        <v>1790.2083333333335</v>
      </c>
      <c r="CA550" s="120">
        <f t="shared" si="788"/>
        <v>263.33333333333337</v>
      </c>
    </row>
    <row r="551" spans="2:79" x14ac:dyDescent="0.25">
      <c r="B551" s="123" t="str">
        <f t="shared" si="772"/>
        <v>6 2026</v>
      </c>
      <c r="C551" s="122">
        <f t="shared" si="773"/>
        <v>46200</v>
      </c>
      <c r="D551" s="122">
        <f t="shared" si="681"/>
        <v>46201</v>
      </c>
      <c r="E551" s="123">
        <f t="shared" si="774"/>
        <v>1</v>
      </c>
      <c r="F551" s="123" t="s">
        <v>7</v>
      </c>
      <c r="G551" s="124">
        <f t="shared" ref="G551:H551" si="840">G550</f>
        <v>1450000</v>
      </c>
      <c r="H551" s="125">
        <f t="shared" si="840"/>
        <v>3.15E-2</v>
      </c>
      <c r="I551" s="124">
        <f t="shared" si="776"/>
        <v>126.875</v>
      </c>
      <c r="J551" s="124">
        <f t="shared" si="777"/>
        <v>21301.875</v>
      </c>
      <c r="K551" s="9"/>
      <c r="L551" s="11"/>
      <c r="M551" s="306"/>
      <c r="N551" s="97"/>
      <c r="O551" s="421"/>
      <c r="P551" s="304"/>
      <c r="Q551" s="307"/>
      <c r="S551" s="11"/>
      <c r="T551" s="306"/>
      <c r="U551" s="97"/>
      <c r="V551" s="421"/>
      <c r="W551" s="304"/>
      <c r="X551" s="307"/>
      <c r="Z551" s="11" t="s">
        <v>192</v>
      </c>
      <c r="AA551" s="306">
        <f t="shared" ref="AA551:AB551" si="841">AA550</f>
        <v>10000000</v>
      </c>
      <c r="AB551" s="97">
        <f t="shared" si="841"/>
        <v>3.7499999999999999E-2</v>
      </c>
      <c r="AC551" s="421">
        <f t="shared" si="779"/>
        <v>1041.6666666666667</v>
      </c>
      <c r="AD551" s="304">
        <f t="shared" si="780"/>
        <v>186458.33333333305</v>
      </c>
      <c r="AE551" s="307">
        <f t="shared" si="781"/>
        <v>166.66666666666674</v>
      </c>
      <c r="AG551" s="11" t="s">
        <v>192</v>
      </c>
      <c r="AH551" s="306">
        <f t="shared" ref="AH551:AI551" si="842">AH550</f>
        <v>6000000</v>
      </c>
      <c r="AI551" s="97">
        <f t="shared" si="842"/>
        <v>3.73E-2</v>
      </c>
      <c r="AJ551" s="421">
        <f t="shared" si="783"/>
        <v>621.66666666666663</v>
      </c>
      <c r="AK551" s="304">
        <f t="shared" si="784"/>
        <v>1243.3333333333333</v>
      </c>
      <c r="AL551" s="307">
        <f t="shared" si="785"/>
        <v>96.666666666666629</v>
      </c>
      <c r="AN551" s="304">
        <f>'codeis $'!AB551</f>
        <v>0</v>
      </c>
      <c r="AO551" s="340">
        <f>'codeis $'!AH551</f>
        <v>0</v>
      </c>
      <c r="AP551" s="304">
        <f>'codeis $'!AE551</f>
        <v>0</v>
      </c>
      <c r="AQ551" s="304">
        <f>'codeis $'!AK551</f>
        <v>0</v>
      </c>
      <c r="AR551" s="9"/>
      <c r="AS551" s="9"/>
      <c r="AT551" s="123"/>
      <c r="AU551" s="123"/>
      <c r="AV551" s="123"/>
      <c r="AW551" s="123"/>
      <c r="AX551" s="123"/>
      <c r="AY551" s="123"/>
      <c r="AZ551" s="123"/>
      <c r="BA551" s="123"/>
      <c r="BC551" s="122"/>
      <c r="BD551" s="122"/>
      <c r="BE551" s="122"/>
      <c r="BF551" s="122"/>
      <c r="BH551" s="122"/>
      <c r="BI551" s="122"/>
      <c r="BJ551" s="122"/>
      <c r="BK551" s="122"/>
      <c r="BM551" s="122"/>
      <c r="BN551" s="122"/>
      <c r="BO551" s="122"/>
      <c r="BP551" s="122"/>
      <c r="BR551" s="122"/>
      <c r="BS551" s="122"/>
      <c r="BT551" s="122"/>
      <c r="BU551" s="122"/>
      <c r="BV551" s="439"/>
      <c r="BW551" s="120">
        <f t="shared" si="786"/>
        <v>17450000</v>
      </c>
      <c r="BX551" s="121">
        <f t="shared" si="676"/>
        <v>3.5000000000000003E-2</v>
      </c>
      <c r="BY551" s="121">
        <f t="shared" si="680"/>
        <v>3.6932664756446992E-2</v>
      </c>
      <c r="BZ551" s="120">
        <f t="shared" si="787"/>
        <v>1790.2083333333335</v>
      </c>
      <c r="CA551" s="120">
        <f t="shared" si="788"/>
        <v>263.33333333333337</v>
      </c>
    </row>
    <row r="552" spans="2:79" x14ac:dyDescent="0.25">
      <c r="B552" s="123" t="str">
        <f t="shared" si="772"/>
        <v>6 2026</v>
      </c>
      <c r="C552" s="122">
        <f t="shared" si="773"/>
        <v>46201</v>
      </c>
      <c r="D552" s="122">
        <f t="shared" si="681"/>
        <v>46202</v>
      </c>
      <c r="E552" s="123">
        <f t="shared" si="774"/>
        <v>1</v>
      </c>
      <c r="F552" s="123" t="s">
        <v>7</v>
      </c>
      <c r="G552" s="124">
        <f t="shared" ref="G552:H552" si="843">G551</f>
        <v>1450000</v>
      </c>
      <c r="H552" s="125">
        <f t="shared" si="843"/>
        <v>3.15E-2</v>
      </c>
      <c r="I552" s="124">
        <f t="shared" si="776"/>
        <v>126.875</v>
      </c>
      <c r="J552" s="124">
        <f t="shared" si="777"/>
        <v>21428.75</v>
      </c>
      <c r="K552" s="9"/>
      <c r="L552" s="11"/>
      <c r="M552" s="306"/>
      <c r="N552" s="97"/>
      <c r="O552" s="421"/>
      <c r="P552" s="304"/>
      <c r="Q552" s="307"/>
      <c r="S552" s="11"/>
      <c r="T552" s="306"/>
      <c r="U552" s="97"/>
      <c r="V552" s="421"/>
      <c r="W552" s="304"/>
      <c r="X552" s="307"/>
      <c r="Z552" s="11" t="s">
        <v>192</v>
      </c>
      <c r="AA552" s="306">
        <f t="shared" ref="AA552:AB552" si="844">AA551</f>
        <v>10000000</v>
      </c>
      <c r="AB552" s="97">
        <f t="shared" si="844"/>
        <v>3.7499999999999999E-2</v>
      </c>
      <c r="AC552" s="421">
        <f t="shared" si="779"/>
        <v>1041.6666666666667</v>
      </c>
      <c r="AD552" s="304">
        <f t="shared" si="780"/>
        <v>187499.99999999971</v>
      </c>
      <c r="AE552" s="307">
        <f t="shared" si="781"/>
        <v>166.66666666666674</v>
      </c>
      <c r="AG552" s="11" t="s">
        <v>192</v>
      </c>
      <c r="AH552" s="306">
        <f t="shared" ref="AH552:AI552" si="845">AH551</f>
        <v>6000000</v>
      </c>
      <c r="AI552" s="97">
        <f t="shared" si="845"/>
        <v>3.73E-2</v>
      </c>
      <c r="AJ552" s="421">
        <f t="shared" si="783"/>
        <v>621.66666666666663</v>
      </c>
      <c r="AK552" s="304">
        <f t="shared" si="784"/>
        <v>1243.3333333333333</v>
      </c>
      <c r="AL552" s="307">
        <f t="shared" si="785"/>
        <v>96.666666666666629</v>
      </c>
      <c r="AN552" s="304">
        <f>'codeis $'!AB552</f>
        <v>0</v>
      </c>
      <c r="AO552" s="340">
        <f>'codeis $'!AH552</f>
        <v>0</v>
      </c>
      <c r="AP552" s="304">
        <f>'codeis $'!AE552</f>
        <v>0</v>
      </c>
      <c r="AQ552" s="304">
        <f>'codeis $'!AK552</f>
        <v>0</v>
      </c>
      <c r="AR552" s="9"/>
      <c r="AS552" s="9"/>
      <c r="AT552" s="123"/>
      <c r="AU552" s="123"/>
      <c r="AV552" s="123"/>
      <c r="AW552" s="123"/>
      <c r="AX552" s="123"/>
      <c r="AY552" s="123"/>
      <c r="AZ552" s="123"/>
      <c r="BA552" s="123"/>
      <c r="BC552" s="122"/>
      <c r="BD552" s="122"/>
      <c r="BE552" s="122"/>
      <c r="BF552" s="122"/>
      <c r="BH552" s="122"/>
      <c r="BI552" s="122"/>
      <c r="BJ552" s="122"/>
      <c r="BK552" s="122"/>
      <c r="BM552" s="122"/>
      <c r="BN552" s="122"/>
      <c r="BO552" s="122"/>
      <c r="BP552" s="122"/>
      <c r="BR552" s="122"/>
      <c r="BS552" s="122"/>
      <c r="BT552" s="122"/>
      <c r="BU552" s="122"/>
      <c r="BV552" s="439"/>
      <c r="BW552" s="120">
        <f t="shared" si="786"/>
        <v>17450000</v>
      </c>
      <c r="BX552" s="121">
        <f t="shared" si="676"/>
        <v>3.5000000000000003E-2</v>
      </c>
      <c r="BY552" s="121">
        <f t="shared" si="680"/>
        <v>3.6932664756446992E-2</v>
      </c>
      <c r="BZ552" s="120">
        <f t="shared" si="787"/>
        <v>1790.2083333333335</v>
      </c>
      <c r="CA552" s="120">
        <f t="shared" si="788"/>
        <v>263.33333333333337</v>
      </c>
    </row>
    <row r="553" spans="2:79" x14ac:dyDescent="0.25">
      <c r="B553" s="123" t="str">
        <f t="shared" si="772"/>
        <v>6 2026</v>
      </c>
      <c r="C553" s="122">
        <f t="shared" si="773"/>
        <v>46202</v>
      </c>
      <c r="D553" s="122">
        <f t="shared" si="681"/>
        <v>46203</v>
      </c>
      <c r="E553" s="123">
        <f t="shared" si="774"/>
        <v>1</v>
      </c>
      <c r="F553" s="123" t="s">
        <v>7</v>
      </c>
      <c r="G553" s="124">
        <f t="shared" ref="G553:H553" si="846">G552</f>
        <v>1450000</v>
      </c>
      <c r="H553" s="125">
        <f t="shared" si="846"/>
        <v>3.15E-2</v>
      </c>
      <c r="I553" s="124">
        <f t="shared" si="776"/>
        <v>126.875</v>
      </c>
      <c r="J553" s="124">
        <f t="shared" si="777"/>
        <v>21555.625</v>
      </c>
      <c r="K553" s="9"/>
      <c r="L553" s="11"/>
      <c r="M553" s="306"/>
      <c r="N553" s="97"/>
      <c r="O553" s="421"/>
      <c r="P553" s="304"/>
      <c r="Q553" s="307"/>
      <c r="S553" s="11"/>
      <c r="T553" s="306"/>
      <c r="U553" s="97"/>
      <c r="V553" s="421"/>
      <c r="W553" s="304"/>
      <c r="X553" s="307"/>
      <c r="Z553" s="11" t="s">
        <v>192</v>
      </c>
      <c r="AA553" s="306">
        <f t="shared" ref="AA553:AB553" si="847">AA552</f>
        <v>10000000</v>
      </c>
      <c r="AB553" s="97">
        <f t="shared" si="847"/>
        <v>3.7499999999999999E-2</v>
      </c>
      <c r="AC553" s="421">
        <f t="shared" si="779"/>
        <v>1041.6666666666667</v>
      </c>
      <c r="AD553" s="304">
        <f t="shared" si="780"/>
        <v>188541.66666666637</v>
      </c>
      <c r="AE553" s="307">
        <f t="shared" si="781"/>
        <v>166.66666666666674</v>
      </c>
      <c r="AG553" s="11" t="s">
        <v>192</v>
      </c>
      <c r="AH553" s="306">
        <f t="shared" ref="AH553:AI553" si="848">AH552</f>
        <v>6000000</v>
      </c>
      <c r="AI553" s="97">
        <f t="shared" si="848"/>
        <v>3.73E-2</v>
      </c>
      <c r="AJ553" s="421">
        <f t="shared" si="783"/>
        <v>621.66666666666663</v>
      </c>
      <c r="AK553" s="304">
        <f t="shared" si="784"/>
        <v>1243.3333333333333</v>
      </c>
      <c r="AL553" s="307">
        <f t="shared" si="785"/>
        <v>96.666666666666629</v>
      </c>
      <c r="AN553" s="304">
        <f>'codeis $'!AB553</f>
        <v>0</v>
      </c>
      <c r="AO553" s="340">
        <f>'codeis $'!AH553</f>
        <v>0</v>
      </c>
      <c r="AP553" s="304">
        <f>'codeis $'!AE553</f>
        <v>0</v>
      </c>
      <c r="AQ553" s="304">
        <f>'codeis $'!AK553</f>
        <v>0</v>
      </c>
      <c r="AR553" s="9"/>
      <c r="AS553" s="9"/>
      <c r="AT553" s="123"/>
      <c r="AU553" s="123"/>
      <c r="AV553" s="123"/>
      <c r="AW553" s="123"/>
      <c r="AX553" s="123"/>
      <c r="AY553" s="123"/>
      <c r="AZ553" s="123"/>
      <c r="BA553" s="123"/>
      <c r="BC553" s="122"/>
      <c r="BD553" s="122"/>
      <c r="BE553" s="122"/>
      <c r="BF553" s="122"/>
      <c r="BH553" s="122"/>
      <c r="BI553" s="122"/>
      <c r="BJ553" s="122"/>
      <c r="BK553" s="122"/>
      <c r="BM553" s="122"/>
      <c r="BN553" s="122"/>
      <c r="BO553" s="122"/>
      <c r="BP553" s="122"/>
      <c r="BR553" s="122"/>
      <c r="BS553" s="122"/>
      <c r="BT553" s="122"/>
      <c r="BU553" s="122"/>
      <c r="BV553" s="439"/>
      <c r="BW553" s="120">
        <f t="shared" si="786"/>
        <v>17450000</v>
      </c>
      <c r="BX553" s="121">
        <f t="shared" si="676"/>
        <v>3.5000000000000003E-2</v>
      </c>
      <c r="BY553" s="121">
        <f t="shared" si="680"/>
        <v>3.6932664756446992E-2</v>
      </c>
      <c r="BZ553" s="120">
        <f t="shared" si="787"/>
        <v>1790.2083333333335</v>
      </c>
      <c r="CA553" s="120">
        <f t="shared" si="788"/>
        <v>263.33333333333337</v>
      </c>
    </row>
    <row r="554" spans="2:79" x14ac:dyDescent="0.25">
      <c r="B554" s="123" t="str">
        <f t="shared" si="772"/>
        <v>7 2026</v>
      </c>
      <c r="C554" s="122">
        <f t="shared" si="773"/>
        <v>46203</v>
      </c>
      <c r="D554" s="122">
        <f t="shared" si="681"/>
        <v>46204</v>
      </c>
      <c r="E554" s="123">
        <f t="shared" si="774"/>
        <v>1</v>
      </c>
      <c r="F554" s="123" t="s">
        <v>7</v>
      </c>
      <c r="G554" s="124">
        <f t="shared" ref="G554:H554" si="849">G553</f>
        <v>1450000</v>
      </c>
      <c r="H554" s="125">
        <f t="shared" si="849"/>
        <v>3.15E-2</v>
      </c>
      <c r="I554" s="124">
        <f t="shared" si="776"/>
        <v>126.875</v>
      </c>
      <c r="J554" s="124">
        <f t="shared" si="777"/>
        <v>21682.5</v>
      </c>
      <c r="K554" s="9"/>
      <c r="L554" s="11"/>
      <c r="M554" s="306"/>
      <c r="N554" s="97"/>
      <c r="O554" s="421"/>
      <c r="P554" s="304"/>
      <c r="Q554" s="307"/>
      <c r="S554" s="11"/>
      <c r="T554" s="306"/>
      <c r="U554" s="97"/>
      <c r="V554" s="421"/>
      <c r="W554" s="304"/>
      <c r="X554" s="307"/>
      <c r="Z554" s="11" t="s">
        <v>192</v>
      </c>
      <c r="AA554" s="306">
        <f t="shared" ref="AA554:AB554" si="850">AA553</f>
        <v>10000000</v>
      </c>
      <c r="AB554" s="97">
        <f t="shared" si="850"/>
        <v>3.7499999999999999E-2</v>
      </c>
      <c r="AC554" s="421">
        <f t="shared" si="779"/>
        <v>1041.6666666666667</v>
      </c>
      <c r="AD554" s="304">
        <f t="shared" si="780"/>
        <v>189583.33333333302</v>
      </c>
      <c r="AE554" s="307">
        <f t="shared" si="781"/>
        <v>166.66666666666674</v>
      </c>
      <c r="AG554" s="11" t="s">
        <v>192</v>
      </c>
      <c r="AH554" s="306">
        <f t="shared" ref="AH554:AI554" si="851">AH553</f>
        <v>6000000</v>
      </c>
      <c r="AI554" s="97">
        <f t="shared" si="851"/>
        <v>3.73E-2</v>
      </c>
      <c r="AJ554" s="421">
        <f t="shared" si="783"/>
        <v>621.66666666666663</v>
      </c>
      <c r="AK554" s="304">
        <f t="shared" si="784"/>
        <v>1243.3333333333333</v>
      </c>
      <c r="AL554" s="307">
        <f t="shared" si="785"/>
        <v>96.666666666666629</v>
      </c>
      <c r="AN554" s="304">
        <f>'codeis $'!AB554</f>
        <v>0</v>
      </c>
      <c r="AO554" s="340">
        <f>'codeis $'!AH554</f>
        <v>0</v>
      </c>
      <c r="AP554" s="304">
        <f>'codeis $'!AE554</f>
        <v>0</v>
      </c>
      <c r="AQ554" s="304">
        <f>'codeis $'!AK554</f>
        <v>0</v>
      </c>
      <c r="AR554" s="9"/>
      <c r="AS554" s="9"/>
      <c r="AT554" s="123"/>
      <c r="AU554" s="123"/>
      <c r="AV554" s="123"/>
      <c r="AW554" s="123"/>
      <c r="AX554" s="123"/>
      <c r="AY554" s="123"/>
      <c r="AZ554" s="123"/>
      <c r="BA554" s="123"/>
      <c r="BC554" s="122"/>
      <c r="BD554" s="122"/>
      <c r="BE554" s="122"/>
      <c r="BF554" s="122"/>
      <c r="BH554" s="122"/>
      <c r="BI554" s="122"/>
      <c r="BJ554" s="122"/>
      <c r="BK554" s="122"/>
      <c r="BM554" s="122"/>
      <c r="BN554" s="122"/>
      <c r="BO554" s="122"/>
      <c r="BP554" s="122"/>
      <c r="BR554" s="122"/>
      <c r="BS554" s="122"/>
      <c r="BT554" s="122"/>
      <c r="BU554" s="122"/>
      <c r="BV554" s="439"/>
      <c r="BW554" s="120">
        <f t="shared" si="786"/>
        <v>17450000</v>
      </c>
      <c r="BX554" s="121">
        <f t="shared" si="676"/>
        <v>3.5000000000000003E-2</v>
      </c>
      <c r="BY554" s="121">
        <f t="shared" si="680"/>
        <v>3.6932664756446992E-2</v>
      </c>
      <c r="BZ554" s="120">
        <f t="shared" si="787"/>
        <v>1790.2083333333335</v>
      </c>
      <c r="CA554" s="120">
        <f t="shared" si="788"/>
        <v>263.33333333333337</v>
      </c>
    </row>
    <row r="555" spans="2:79" x14ac:dyDescent="0.25">
      <c r="B555" s="123" t="str">
        <f t="shared" si="772"/>
        <v>7 2026</v>
      </c>
      <c r="C555" s="122">
        <f t="shared" si="773"/>
        <v>46204</v>
      </c>
      <c r="D555" s="122">
        <f t="shared" si="681"/>
        <v>46205</v>
      </c>
      <c r="E555" s="123">
        <f t="shared" si="774"/>
        <v>1</v>
      </c>
      <c r="F555" s="123" t="s">
        <v>7</v>
      </c>
      <c r="G555" s="124">
        <f t="shared" ref="G555:H555" si="852">G554</f>
        <v>1450000</v>
      </c>
      <c r="H555" s="125">
        <f t="shared" si="852"/>
        <v>3.15E-2</v>
      </c>
      <c r="I555" s="124">
        <f t="shared" si="776"/>
        <v>126.875</v>
      </c>
      <c r="J555" s="124">
        <f t="shared" si="777"/>
        <v>21809.375</v>
      </c>
      <c r="K555" s="9"/>
      <c r="L555" s="11"/>
      <c r="M555" s="306"/>
      <c r="N555" s="97"/>
      <c r="O555" s="421"/>
      <c r="P555" s="304"/>
      <c r="Q555" s="307"/>
      <c r="S555" s="11"/>
      <c r="T555" s="306"/>
      <c r="U555" s="97"/>
      <c r="V555" s="421"/>
      <c r="W555" s="304"/>
      <c r="X555" s="307"/>
      <c r="Z555" s="11" t="s">
        <v>192</v>
      </c>
      <c r="AA555" s="306">
        <f t="shared" ref="AA555:AB555" si="853">AA554</f>
        <v>10000000</v>
      </c>
      <c r="AB555" s="97">
        <f t="shared" si="853"/>
        <v>3.7499999999999999E-2</v>
      </c>
      <c r="AC555" s="421">
        <f t="shared" si="779"/>
        <v>1041.6666666666667</v>
      </c>
      <c r="AD555" s="304">
        <f t="shared" si="780"/>
        <v>190624.99999999968</v>
      </c>
      <c r="AE555" s="307">
        <f t="shared" si="781"/>
        <v>166.66666666666674</v>
      </c>
      <c r="AG555" s="11" t="s">
        <v>192</v>
      </c>
      <c r="AH555" s="306">
        <f t="shared" ref="AH555:AI555" si="854">AH554</f>
        <v>6000000</v>
      </c>
      <c r="AI555" s="97">
        <f t="shared" si="854"/>
        <v>3.73E-2</v>
      </c>
      <c r="AJ555" s="421">
        <f t="shared" si="783"/>
        <v>621.66666666666663</v>
      </c>
      <c r="AK555" s="304">
        <f t="shared" si="784"/>
        <v>1243.3333333333333</v>
      </c>
      <c r="AL555" s="307">
        <f t="shared" si="785"/>
        <v>96.666666666666629</v>
      </c>
      <c r="AN555" s="304">
        <f>'codeis $'!AB555</f>
        <v>0</v>
      </c>
      <c r="AO555" s="340">
        <f>'codeis $'!AH555</f>
        <v>0</v>
      </c>
      <c r="AP555" s="304">
        <f>'codeis $'!AE555</f>
        <v>0</v>
      </c>
      <c r="AQ555" s="304">
        <f>'codeis $'!AK555</f>
        <v>0</v>
      </c>
      <c r="AR555" s="9"/>
      <c r="AS555" s="9"/>
      <c r="AT555" s="123"/>
      <c r="AU555" s="123"/>
      <c r="AV555" s="123"/>
      <c r="AW555" s="123"/>
      <c r="AX555" s="123"/>
      <c r="AY555" s="123"/>
      <c r="AZ555" s="123"/>
      <c r="BA555" s="123"/>
      <c r="BC555" s="122"/>
      <c r="BD555" s="122"/>
      <c r="BE555" s="122"/>
      <c r="BF555" s="122"/>
      <c r="BH555" s="122"/>
      <c r="BI555" s="122"/>
      <c r="BJ555" s="122"/>
      <c r="BK555" s="122"/>
      <c r="BM555" s="122"/>
      <c r="BN555" s="122"/>
      <c r="BO555" s="122"/>
      <c r="BP555" s="122"/>
      <c r="BR555" s="122"/>
      <c r="BS555" s="122"/>
      <c r="BT555" s="122"/>
      <c r="BU555" s="122"/>
      <c r="BV555" s="439"/>
      <c r="BW555" s="120">
        <f t="shared" si="786"/>
        <v>17450000</v>
      </c>
      <c r="BX555" s="121">
        <f t="shared" si="676"/>
        <v>3.5000000000000003E-2</v>
      </c>
      <c r="BY555" s="121">
        <f t="shared" si="680"/>
        <v>3.6932664756446992E-2</v>
      </c>
      <c r="BZ555" s="120">
        <f t="shared" si="787"/>
        <v>1790.2083333333335</v>
      </c>
      <c r="CA555" s="120">
        <f t="shared" si="788"/>
        <v>263.33333333333337</v>
      </c>
    </row>
    <row r="556" spans="2:79" x14ac:dyDescent="0.25">
      <c r="B556" s="123" t="str">
        <f t="shared" si="772"/>
        <v>7 2026</v>
      </c>
      <c r="C556" s="122">
        <f t="shared" si="773"/>
        <v>46205</v>
      </c>
      <c r="D556" s="122">
        <f t="shared" si="681"/>
        <v>46206</v>
      </c>
      <c r="E556" s="123">
        <f t="shared" si="774"/>
        <v>1</v>
      </c>
      <c r="F556" s="123" t="s">
        <v>7</v>
      </c>
      <c r="G556" s="124">
        <f t="shared" ref="G556:H556" si="855">G555</f>
        <v>1450000</v>
      </c>
      <c r="H556" s="125">
        <f t="shared" si="855"/>
        <v>3.15E-2</v>
      </c>
      <c r="I556" s="124">
        <f t="shared" si="776"/>
        <v>126.875</v>
      </c>
      <c r="J556" s="124">
        <f t="shared" si="777"/>
        <v>21936.25</v>
      </c>
      <c r="K556" s="9"/>
      <c r="L556" s="11"/>
      <c r="M556" s="306"/>
      <c r="N556" s="97"/>
      <c r="O556" s="421"/>
      <c r="P556" s="304"/>
      <c r="Q556" s="307"/>
      <c r="S556" s="11"/>
      <c r="T556" s="306"/>
      <c r="U556" s="97"/>
      <c r="V556" s="421"/>
      <c r="W556" s="304"/>
      <c r="X556" s="307"/>
      <c r="Z556" s="11" t="s">
        <v>192</v>
      </c>
      <c r="AA556" s="306">
        <f t="shared" ref="AA556:AB556" si="856">AA555</f>
        <v>10000000</v>
      </c>
      <c r="AB556" s="97">
        <f t="shared" si="856"/>
        <v>3.7499999999999999E-2</v>
      </c>
      <c r="AC556" s="421">
        <f t="shared" si="779"/>
        <v>1041.6666666666667</v>
      </c>
      <c r="AD556" s="304">
        <f t="shared" si="780"/>
        <v>191666.66666666634</v>
      </c>
      <c r="AE556" s="307">
        <f t="shared" si="781"/>
        <v>166.66666666666674</v>
      </c>
      <c r="AG556" s="11" t="s">
        <v>192</v>
      </c>
      <c r="AH556" s="306">
        <f t="shared" ref="AH556:AI556" si="857">AH555</f>
        <v>6000000</v>
      </c>
      <c r="AI556" s="97">
        <f t="shared" si="857"/>
        <v>3.73E-2</v>
      </c>
      <c r="AJ556" s="421">
        <f t="shared" si="783"/>
        <v>621.66666666666663</v>
      </c>
      <c r="AK556" s="304">
        <f t="shared" si="784"/>
        <v>1243.3333333333333</v>
      </c>
      <c r="AL556" s="307">
        <f t="shared" si="785"/>
        <v>96.666666666666629</v>
      </c>
      <c r="AN556" s="304">
        <f>'codeis $'!AB556</f>
        <v>0</v>
      </c>
      <c r="AO556" s="340">
        <f>'codeis $'!AH556</f>
        <v>0</v>
      </c>
      <c r="AP556" s="304">
        <f>'codeis $'!AE556</f>
        <v>0</v>
      </c>
      <c r="AQ556" s="304">
        <f>'codeis $'!AK556</f>
        <v>0</v>
      </c>
      <c r="AR556" s="9"/>
      <c r="AS556" s="9"/>
      <c r="AT556" s="123"/>
      <c r="AU556" s="123"/>
      <c r="AV556" s="123"/>
      <c r="AW556" s="123"/>
      <c r="AX556" s="123"/>
      <c r="AY556" s="123"/>
      <c r="AZ556" s="123"/>
      <c r="BA556" s="123"/>
      <c r="BC556" s="122"/>
      <c r="BD556" s="122"/>
      <c r="BE556" s="122"/>
      <c r="BF556" s="122"/>
      <c r="BH556" s="122"/>
      <c r="BI556" s="122"/>
      <c r="BJ556" s="122"/>
      <c r="BK556" s="122"/>
      <c r="BM556" s="122"/>
      <c r="BN556" s="122"/>
      <c r="BO556" s="122"/>
      <c r="BP556" s="122"/>
      <c r="BR556" s="122"/>
      <c r="BS556" s="122"/>
      <c r="BT556" s="122"/>
      <c r="BU556" s="122"/>
      <c r="BV556" s="439"/>
      <c r="BW556" s="120">
        <f t="shared" si="786"/>
        <v>17450000</v>
      </c>
      <c r="BX556" s="121">
        <f t="shared" si="676"/>
        <v>3.5000000000000003E-2</v>
      </c>
      <c r="BY556" s="121">
        <f t="shared" si="680"/>
        <v>3.6932664756446992E-2</v>
      </c>
      <c r="BZ556" s="120">
        <f t="shared" si="787"/>
        <v>1790.2083333333335</v>
      </c>
      <c r="CA556" s="120">
        <f t="shared" si="788"/>
        <v>263.33333333333337</v>
      </c>
    </row>
    <row r="557" spans="2:79" x14ac:dyDescent="0.25">
      <c r="B557" s="123" t="str">
        <f t="shared" si="772"/>
        <v>7 2026</v>
      </c>
      <c r="C557" s="122">
        <f t="shared" si="773"/>
        <v>46206</v>
      </c>
      <c r="D557" s="122">
        <f t="shared" si="681"/>
        <v>46207</v>
      </c>
      <c r="E557" s="123">
        <f t="shared" si="774"/>
        <v>1</v>
      </c>
      <c r="F557" s="123" t="s">
        <v>7</v>
      </c>
      <c r="G557" s="124">
        <f t="shared" ref="G557:H557" si="858">G556</f>
        <v>1450000</v>
      </c>
      <c r="H557" s="125">
        <f t="shared" si="858"/>
        <v>3.15E-2</v>
      </c>
      <c r="I557" s="124">
        <f t="shared" si="776"/>
        <v>126.875</v>
      </c>
      <c r="J557" s="124">
        <f t="shared" si="777"/>
        <v>22063.125</v>
      </c>
      <c r="K557" s="9"/>
      <c r="L557" s="11"/>
      <c r="M557" s="306"/>
      <c r="N557" s="97"/>
      <c r="O557" s="421"/>
      <c r="P557" s="304"/>
      <c r="Q557" s="307"/>
      <c r="S557" s="11"/>
      <c r="T557" s="306"/>
      <c r="U557" s="97"/>
      <c r="V557" s="421"/>
      <c r="W557" s="304"/>
      <c r="X557" s="307"/>
      <c r="Z557" s="11" t="s">
        <v>192</v>
      </c>
      <c r="AA557" s="306">
        <f t="shared" ref="AA557:AB557" si="859">AA556</f>
        <v>10000000</v>
      </c>
      <c r="AB557" s="97">
        <f t="shared" si="859"/>
        <v>3.7499999999999999E-2</v>
      </c>
      <c r="AC557" s="421">
        <f t="shared" si="779"/>
        <v>1041.6666666666667</v>
      </c>
      <c r="AD557" s="304">
        <f t="shared" si="780"/>
        <v>192708.33333333299</v>
      </c>
      <c r="AE557" s="307">
        <f t="shared" si="781"/>
        <v>166.66666666666674</v>
      </c>
      <c r="AG557" s="11" t="s">
        <v>192</v>
      </c>
      <c r="AH557" s="306">
        <f t="shared" ref="AH557:AI557" si="860">AH556</f>
        <v>6000000</v>
      </c>
      <c r="AI557" s="97">
        <f t="shared" si="860"/>
        <v>3.73E-2</v>
      </c>
      <c r="AJ557" s="421">
        <f t="shared" si="783"/>
        <v>621.66666666666663</v>
      </c>
      <c r="AK557" s="304">
        <f t="shared" si="784"/>
        <v>1243.3333333333333</v>
      </c>
      <c r="AL557" s="307">
        <f t="shared" si="785"/>
        <v>96.666666666666629</v>
      </c>
      <c r="AN557" s="304">
        <f>'codeis $'!AB557</f>
        <v>0</v>
      </c>
      <c r="AO557" s="340">
        <f>'codeis $'!AH557</f>
        <v>0</v>
      </c>
      <c r="AP557" s="304">
        <f>'codeis $'!AE557</f>
        <v>0</v>
      </c>
      <c r="AQ557" s="304">
        <f>'codeis $'!AK557</f>
        <v>0</v>
      </c>
      <c r="AR557" s="9"/>
      <c r="AS557" s="9"/>
      <c r="AT557" s="123"/>
      <c r="AU557" s="123"/>
      <c r="AV557" s="123"/>
      <c r="AW557" s="123"/>
      <c r="AX557" s="123"/>
      <c r="AY557" s="123"/>
      <c r="AZ557" s="123"/>
      <c r="BA557" s="123"/>
      <c r="BC557" s="122"/>
      <c r="BD557" s="122"/>
      <c r="BE557" s="122"/>
      <c r="BF557" s="122"/>
      <c r="BH557" s="122"/>
      <c r="BI557" s="122"/>
      <c r="BJ557" s="122"/>
      <c r="BK557" s="122"/>
      <c r="BM557" s="122"/>
      <c r="BN557" s="122"/>
      <c r="BO557" s="122"/>
      <c r="BP557" s="122"/>
      <c r="BR557" s="122"/>
      <c r="BS557" s="122"/>
      <c r="BT557" s="122"/>
      <c r="BU557" s="122"/>
      <c r="BV557" s="439"/>
      <c r="BW557" s="120">
        <f t="shared" si="786"/>
        <v>17450000</v>
      </c>
      <c r="BX557" s="121">
        <f t="shared" si="676"/>
        <v>3.5000000000000003E-2</v>
      </c>
      <c r="BY557" s="121">
        <f t="shared" si="680"/>
        <v>3.6932664756446992E-2</v>
      </c>
      <c r="BZ557" s="120">
        <f t="shared" si="787"/>
        <v>1790.2083333333335</v>
      </c>
      <c r="CA557" s="120">
        <f t="shared" si="788"/>
        <v>263.33333333333337</v>
      </c>
    </row>
    <row r="558" spans="2:79" x14ac:dyDescent="0.25">
      <c r="B558" s="123" t="str">
        <f t="shared" si="772"/>
        <v>7 2026</v>
      </c>
      <c r="C558" s="122">
        <f t="shared" si="773"/>
        <v>46207</v>
      </c>
      <c r="D558" s="122">
        <f t="shared" si="681"/>
        <v>46208</v>
      </c>
      <c r="E558" s="123">
        <f t="shared" si="774"/>
        <v>1</v>
      </c>
      <c r="F558" s="123" t="s">
        <v>7</v>
      </c>
      <c r="G558" s="124">
        <f t="shared" ref="G558:H558" si="861">G557</f>
        <v>1450000</v>
      </c>
      <c r="H558" s="125">
        <f t="shared" si="861"/>
        <v>3.15E-2</v>
      </c>
      <c r="I558" s="124">
        <f t="shared" si="776"/>
        <v>126.875</v>
      </c>
      <c r="J558" s="124">
        <f t="shared" si="777"/>
        <v>22190</v>
      </c>
      <c r="K558" s="9"/>
      <c r="L558" s="11"/>
      <c r="M558" s="306"/>
      <c r="N558" s="97"/>
      <c r="O558" s="421"/>
      <c r="P558" s="304"/>
      <c r="Q558" s="307"/>
      <c r="S558" s="11"/>
      <c r="T558" s="306"/>
      <c r="U558" s="97"/>
      <c r="V558" s="421"/>
      <c r="W558" s="304"/>
      <c r="X558" s="307"/>
      <c r="Z558" s="11" t="s">
        <v>192</v>
      </c>
      <c r="AA558" s="306">
        <f t="shared" ref="AA558:AB558" si="862">AA557</f>
        <v>10000000</v>
      </c>
      <c r="AB558" s="97">
        <f t="shared" si="862"/>
        <v>3.7499999999999999E-2</v>
      </c>
      <c r="AC558" s="421">
        <f t="shared" si="779"/>
        <v>1041.6666666666667</v>
      </c>
      <c r="AD558" s="304">
        <f t="shared" si="780"/>
        <v>193749.99999999965</v>
      </c>
      <c r="AE558" s="307">
        <f t="shared" si="781"/>
        <v>166.66666666666674</v>
      </c>
      <c r="AG558" s="11" t="s">
        <v>192</v>
      </c>
      <c r="AH558" s="306">
        <f t="shared" ref="AH558:AI558" si="863">AH557</f>
        <v>6000000</v>
      </c>
      <c r="AI558" s="97">
        <f t="shared" si="863"/>
        <v>3.73E-2</v>
      </c>
      <c r="AJ558" s="421">
        <f t="shared" si="783"/>
        <v>621.66666666666663</v>
      </c>
      <c r="AK558" s="304">
        <f t="shared" si="784"/>
        <v>1243.3333333333333</v>
      </c>
      <c r="AL558" s="307">
        <f t="shared" si="785"/>
        <v>96.666666666666629</v>
      </c>
      <c r="AN558" s="304">
        <f>'codeis $'!AB558</f>
        <v>0</v>
      </c>
      <c r="AO558" s="340">
        <f>'codeis $'!AH558</f>
        <v>0</v>
      </c>
      <c r="AP558" s="304">
        <f>'codeis $'!AE558</f>
        <v>0</v>
      </c>
      <c r="AQ558" s="304">
        <f>'codeis $'!AK558</f>
        <v>0</v>
      </c>
      <c r="AR558" s="9"/>
      <c r="AS558" s="9"/>
      <c r="AT558" s="123"/>
      <c r="AU558" s="123"/>
      <c r="AV558" s="123"/>
      <c r="AW558" s="123"/>
      <c r="AX558" s="123"/>
      <c r="AY558" s="123"/>
      <c r="AZ558" s="123"/>
      <c r="BA558" s="123"/>
      <c r="BC558" s="122"/>
      <c r="BD558" s="122"/>
      <c r="BE558" s="122"/>
      <c r="BF558" s="122"/>
      <c r="BH558" s="122"/>
      <c r="BI558" s="122"/>
      <c r="BJ558" s="122"/>
      <c r="BK558" s="122"/>
      <c r="BM558" s="122"/>
      <c r="BN558" s="122"/>
      <c r="BO558" s="122"/>
      <c r="BP558" s="122"/>
      <c r="BR558" s="122"/>
      <c r="BS558" s="122"/>
      <c r="BT558" s="122"/>
      <c r="BU558" s="122"/>
      <c r="BV558" s="439"/>
      <c r="BW558" s="120">
        <f t="shared" si="786"/>
        <v>17450000</v>
      </c>
      <c r="BX558" s="121">
        <f t="shared" si="676"/>
        <v>3.5000000000000003E-2</v>
      </c>
      <c r="BY558" s="121">
        <f t="shared" si="680"/>
        <v>3.6932664756446992E-2</v>
      </c>
      <c r="BZ558" s="120">
        <f t="shared" si="787"/>
        <v>1790.2083333333335</v>
      </c>
      <c r="CA558" s="120">
        <f t="shared" si="788"/>
        <v>263.33333333333337</v>
      </c>
    </row>
    <row r="559" spans="2:79" x14ac:dyDescent="0.25">
      <c r="B559" s="123" t="str">
        <f t="shared" si="772"/>
        <v>7 2026</v>
      </c>
      <c r="C559" s="122">
        <f t="shared" si="773"/>
        <v>46208</v>
      </c>
      <c r="D559" s="122">
        <f t="shared" si="681"/>
        <v>46209</v>
      </c>
      <c r="E559" s="123">
        <f t="shared" si="774"/>
        <v>1</v>
      </c>
      <c r="F559" s="123" t="s">
        <v>7</v>
      </c>
      <c r="G559" s="124">
        <f t="shared" ref="G559:H559" si="864">G558</f>
        <v>1450000</v>
      </c>
      <c r="H559" s="125">
        <f t="shared" si="864"/>
        <v>3.15E-2</v>
      </c>
      <c r="I559" s="124">
        <f t="shared" si="776"/>
        <v>126.875</v>
      </c>
      <c r="J559" s="124">
        <f t="shared" si="777"/>
        <v>22316.875</v>
      </c>
      <c r="K559" s="9"/>
      <c r="L559" s="11"/>
      <c r="M559" s="306"/>
      <c r="N559" s="97"/>
      <c r="O559" s="421"/>
      <c r="P559" s="304"/>
      <c r="Q559" s="307"/>
      <c r="S559" s="11"/>
      <c r="T559" s="306"/>
      <c r="U559" s="97"/>
      <c r="V559" s="421"/>
      <c r="W559" s="304"/>
      <c r="X559" s="307"/>
      <c r="Z559" s="11" t="s">
        <v>192</v>
      </c>
      <c r="AA559" s="306">
        <f t="shared" ref="AA559:AB559" si="865">AA558</f>
        <v>10000000</v>
      </c>
      <c r="AB559" s="97">
        <f t="shared" si="865"/>
        <v>3.7499999999999999E-2</v>
      </c>
      <c r="AC559" s="421">
        <f t="shared" si="779"/>
        <v>1041.6666666666667</v>
      </c>
      <c r="AD559" s="304">
        <f t="shared" si="780"/>
        <v>194791.66666666631</v>
      </c>
      <c r="AE559" s="307">
        <f t="shared" si="781"/>
        <v>166.66666666666674</v>
      </c>
      <c r="AG559" s="11" t="s">
        <v>192</v>
      </c>
      <c r="AH559" s="306">
        <f t="shared" ref="AH559:AI559" si="866">AH558</f>
        <v>6000000</v>
      </c>
      <c r="AI559" s="97">
        <f t="shared" si="866"/>
        <v>3.73E-2</v>
      </c>
      <c r="AJ559" s="421">
        <f t="shared" si="783"/>
        <v>621.66666666666663</v>
      </c>
      <c r="AK559" s="304">
        <f t="shared" si="784"/>
        <v>1243.3333333333333</v>
      </c>
      <c r="AL559" s="307">
        <f t="shared" si="785"/>
        <v>96.666666666666629</v>
      </c>
      <c r="AN559" s="304">
        <f>'codeis $'!AB559</f>
        <v>0</v>
      </c>
      <c r="AO559" s="340">
        <f>'codeis $'!AH559</f>
        <v>0</v>
      </c>
      <c r="AP559" s="304">
        <f>'codeis $'!AE559</f>
        <v>0</v>
      </c>
      <c r="AQ559" s="304">
        <f>'codeis $'!AK559</f>
        <v>0</v>
      </c>
      <c r="AR559" s="9"/>
      <c r="AS559" s="9"/>
      <c r="AT559" s="123"/>
      <c r="AU559" s="123"/>
      <c r="AV559" s="123"/>
      <c r="AW559" s="123"/>
      <c r="AX559" s="123"/>
      <c r="AY559" s="123"/>
      <c r="AZ559" s="123"/>
      <c r="BA559" s="123"/>
      <c r="BC559" s="122"/>
      <c r="BD559" s="122"/>
      <c r="BE559" s="122"/>
      <c r="BF559" s="122"/>
      <c r="BH559" s="122"/>
      <c r="BI559" s="122"/>
      <c r="BJ559" s="122"/>
      <c r="BK559" s="122"/>
      <c r="BM559" s="122"/>
      <c r="BN559" s="122"/>
      <c r="BO559" s="122"/>
      <c r="BP559" s="122"/>
      <c r="BR559" s="122"/>
      <c r="BS559" s="122"/>
      <c r="BT559" s="122"/>
      <c r="BU559" s="122"/>
      <c r="BV559" s="439"/>
      <c r="BW559" s="120">
        <f t="shared" si="786"/>
        <v>17450000</v>
      </c>
      <c r="BX559" s="121">
        <f t="shared" si="676"/>
        <v>3.5000000000000003E-2</v>
      </c>
      <c r="BY559" s="121">
        <f t="shared" si="680"/>
        <v>3.6932664756446992E-2</v>
      </c>
      <c r="BZ559" s="120">
        <f t="shared" si="787"/>
        <v>1790.2083333333335</v>
      </c>
      <c r="CA559" s="120">
        <f t="shared" si="788"/>
        <v>263.33333333333337</v>
      </c>
    </row>
    <row r="560" spans="2:79" x14ac:dyDescent="0.25">
      <c r="B560" s="123" t="str">
        <f t="shared" si="772"/>
        <v>7 2026</v>
      </c>
      <c r="C560" s="122">
        <f t="shared" si="773"/>
        <v>46209</v>
      </c>
      <c r="D560" s="122">
        <f t="shared" si="681"/>
        <v>46210</v>
      </c>
      <c r="E560" s="123">
        <f t="shared" si="774"/>
        <v>1</v>
      </c>
      <c r="F560" s="123" t="s">
        <v>7</v>
      </c>
      <c r="G560" s="124">
        <f t="shared" ref="G560:H560" si="867">G559</f>
        <v>1450000</v>
      </c>
      <c r="H560" s="125">
        <f t="shared" si="867"/>
        <v>3.15E-2</v>
      </c>
      <c r="I560" s="124">
        <f t="shared" si="776"/>
        <v>126.875</v>
      </c>
      <c r="J560" s="124">
        <f t="shared" si="777"/>
        <v>22443.75</v>
      </c>
      <c r="K560" s="9"/>
      <c r="L560" s="11"/>
      <c r="M560" s="306"/>
      <c r="N560" s="97"/>
      <c r="O560" s="421"/>
      <c r="P560" s="304"/>
      <c r="Q560" s="307"/>
      <c r="S560" s="11"/>
      <c r="T560" s="306"/>
      <c r="U560" s="97"/>
      <c r="V560" s="421"/>
      <c r="W560" s="304"/>
      <c r="X560" s="307"/>
      <c r="Z560" s="11" t="s">
        <v>192</v>
      </c>
      <c r="AA560" s="306">
        <f t="shared" ref="AA560:AB560" si="868">AA559</f>
        <v>10000000</v>
      </c>
      <c r="AB560" s="97">
        <f t="shared" si="868"/>
        <v>3.7499999999999999E-2</v>
      </c>
      <c r="AC560" s="421">
        <f t="shared" si="779"/>
        <v>1041.6666666666667</v>
      </c>
      <c r="AD560" s="304">
        <f t="shared" si="780"/>
        <v>195833.33333333296</v>
      </c>
      <c r="AE560" s="307">
        <f t="shared" si="781"/>
        <v>166.66666666666674</v>
      </c>
      <c r="AG560" s="11" t="s">
        <v>192</v>
      </c>
      <c r="AH560" s="306">
        <f t="shared" ref="AH560:AI560" si="869">AH559</f>
        <v>6000000</v>
      </c>
      <c r="AI560" s="97">
        <f t="shared" si="869"/>
        <v>3.73E-2</v>
      </c>
      <c r="AJ560" s="421">
        <f t="shared" si="783"/>
        <v>621.66666666666663</v>
      </c>
      <c r="AK560" s="304">
        <f t="shared" si="784"/>
        <v>1243.3333333333333</v>
      </c>
      <c r="AL560" s="307">
        <f t="shared" si="785"/>
        <v>96.666666666666629</v>
      </c>
      <c r="AN560" s="304">
        <f>'codeis $'!AB560</f>
        <v>0</v>
      </c>
      <c r="AO560" s="340">
        <f>'codeis $'!AH560</f>
        <v>0</v>
      </c>
      <c r="AP560" s="304">
        <f>'codeis $'!AE560</f>
        <v>0</v>
      </c>
      <c r="AQ560" s="304">
        <f>'codeis $'!AK560</f>
        <v>0</v>
      </c>
      <c r="AR560" s="9"/>
      <c r="AS560" s="9"/>
      <c r="AT560" s="123"/>
      <c r="AU560" s="123"/>
      <c r="AV560" s="123"/>
      <c r="AW560" s="123"/>
      <c r="AX560" s="123"/>
      <c r="AY560" s="123"/>
      <c r="AZ560" s="123"/>
      <c r="BA560" s="123"/>
      <c r="BC560" s="122"/>
      <c r="BD560" s="122"/>
      <c r="BE560" s="122"/>
      <c r="BF560" s="122"/>
      <c r="BH560" s="122"/>
      <c r="BI560" s="122"/>
      <c r="BJ560" s="122"/>
      <c r="BK560" s="122"/>
      <c r="BM560" s="122"/>
      <c r="BN560" s="122"/>
      <c r="BO560" s="122"/>
      <c r="BP560" s="122"/>
      <c r="BR560" s="122"/>
      <c r="BS560" s="122"/>
      <c r="BT560" s="122"/>
      <c r="BU560" s="122"/>
      <c r="BV560" s="439"/>
      <c r="BW560" s="120">
        <f t="shared" si="786"/>
        <v>17450000</v>
      </c>
      <c r="BX560" s="121">
        <f t="shared" si="676"/>
        <v>3.5000000000000003E-2</v>
      </c>
      <c r="BY560" s="121">
        <f t="shared" si="680"/>
        <v>3.6932664756446992E-2</v>
      </c>
      <c r="BZ560" s="120">
        <f t="shared" si="787"/>
        <v>1790.2083333333335</v>
      </c>
      <c r="CA560" s="120">
        <f t="shared" si="788"/>
        <v>263.33333333333337</v>
      </c>
    </row>
    <row r="561" spans="2:79" x14ac:dyDescent="0.25">
      <c r="B561" s="123" t="str">
        <f t="shared" si="772"/>
        <v>7 2026</v>
      </c>
      <c r="C561" s="122">
        <f t="shared" si="773"/>
        <v>46210</v>
      </c>
      <c r="D561" s="122">
        <f t="shared" si="681"/>
        <v>46211</v>
      </c>
      <c r="E561" s="123">
        <f t="shared" si="774"/>
        <v>1</v>
      </c>
      <c r="F561" s="123" t="s">
        <v>7</v>
      </c>
      <c r="G561" s="124">
        <f t="shared" ref="G561:H561" si="870">G560</f>
        <v>1450000</v>
      </c>
      <c r="H561" s="125">
        <f t="shared" si="870"/>
        <v>3.15E-2</v>
      </c>
      <c r="I561" s="124">
        <f t="shared" si="776"/>
        <v>126.875</v>
      </c>
      <c r="J561" s="124">
        <f t="shared" si="777"/>
        <v>22570.625</v>
      </c>
      <c r="K561" s="9"/>
      <c r="L561" s="11"/>
      <c r="M561" s="306"/>
      <c r="N561" s="97"/>
      <c r="O561" s="421"/>
      <c r="P561" s="304"/>
      <c r="Q561" s="307"/>
      <c r="S561" s="11"/>
      <c r="T561" s="306"/>
      <c r="U561" s="97"/>
      <c r="V561" s="421"/>
      <c r="W561" s="304"/>
      <c r="X561" s="307"/>
      <c r="Z561" s="11" t="s">
        <v>192</v>
      </c>
      <c r="AA561" s="306">
        <f t="shared" ref="AA561:AB561" si="871">AA560</f>
        <v>10000000</v>
      </c>
      <c r="AB561" s="97">
        <f t="shared" si="871"/>
        <v>3.7499999999999999E-2</v>
      </c>
      <c r="AC561" s="421">
        <f t="shared" si="779"/>
        <v>1041.6666666666667</v>
      </c>
      <c r="AD561" s="304">
        <f t="shared" si="780"/>
        <v>196874.99999999962</v>
      </c>
      <c r="AE561" s="307">
        <f t="shared" si="781"/>
        <v>166.66666666666674</v>
      </c>
      <c r="AG561" s="11" t="s">
        <v>192</v>
      </c>
      <c r="AH561" s="306">
        <f t="shared" ref="AH561:AI561" si="872">AH560</f>
        <v>6000000</v>
      </c>
      <c r="AI561" s="97">
        <f t="shared" si="872"/>
        <v>3.73E-2</v>
      </c>
      <c r="AJ561" s="421">
        <f t="shared" si="783"/>
        <v>621.66666666666663</v>
      </c>
      <c r="AK561" s="304">
        <f t="shared" si="784"/>
        <v>1243.3333333333333</v>
      </c>
      <c r="AL561" s="307">
        <f t="shared" si="785"/>
        <v>96.666666666666629</v>
      </c>
      <c r="AN561" s="304">
        <f>'codeis $'!AB561</f>
        <v>0</v>
      </c>
      <c r="AO561" s="340">
        <f>'codeis $'!AH561</f>
        <v>0</v>
      </c>
      <c r="AP561" s="304">
        <f>'codeis $'!AE561</f>
        <v>0</v>
      </c>
      <c r="AQ561" s="304">
        <f>'codeis $'!AK561</f>
        <v>0</v>
      </c>
      <c r="AR561" s="9"/>
      <c r="AS561" s="9"/>
      <c r="AT561" s="123"/>
      <c r="AU561" s="123"/>
      <c r="AV561" s="123"/>
      <c r="AW561" s="123"/>
      <c r="AX561" s="123"/>
      <c r="AY561" s="123"/>
      <c r="AZ561" s="123"/>
      <c r="BA561" s="123"/>
      <c r="BC561" s="122"/>
      <c r="BD561" s="122"/>
      <c r="BE561" s="122"/>
      <c r="BF561" s="122"/>
      <c r="BH561" s="122"/>
      <c r="BI561" s="122"/>
      <c r="BJ561" s="122"/>
      <c r="BK561" s="122"/>
      <c r="BM561" s="122"/>
      <c r="BN561" s="122"/>
      <c r="BO561" s="122"/>
      <c r="BP561" s="122"/>
      <c r="BR561" s="122"/>
      <c r="BS561" s="122"/>
      <c r="BT561" s="122"/>
      <c r="BU561" s="122"/>
      <c r="BV561" s="439"/>
      <c r="BW561" s="120">
        <f t="shared" si="786"/>
        <v>17450000</v>
      </c>
      <c r="BX561" s="121">
        <f t="shared" si="676"/>
        <v>3.5000000000000003E-2</v>
      </c>
      <c r="BY561" s="121">
        <f t="shared" si="680"/>
        <v>3.6932664756446992E-2</v>
      </c>
      <c r="BZ561" s="120">
        <f t="shared" si="787"/>
        <v>1790.2083333333335</v>
      </c>
      <c r="CA561" s="120">
        <f t="shared" si="788"/>
        <v>263.33333333333337</v>
      </c>
    </row>
    <row r="562" spans="2:79" x14ac:dyDescent="0.25">
      <c r="B562" s="123" t="str">
        <f t="shared" si="772"/>
        <v>7 2026</v>
      </c>
      <c r="C562" s="122">
        <f t="shared" si="773"/>
        <v>46211</v>
      </c>
      <c r="D562" s="122">
        <f t="shared" si="681"/>
        <v>46212</v>
      </c>
      <c r="E562" s="123">
        <f t="shared" si="774"/>
        <v>1</v>
      </c>
      <c r="F562" s="123" t="s">
        <v>7</v>
      </c>
      <c r="G562" s="124">
        <f t="shared" ref="G562:H562" si="873">G561</f>
        <v>1450000</v>
      </c>
      <c r="H562" s="125">
        <f t="shared" si="873"/>
        <v>3.15E-2</v>
      </c>
      <c r="I562" s="124">
        <f t="shared" si="776"/>
        <v>126.875</v>
      </c>
      <c r="J562" s="124">
        <f t="shared" si="777"/>
        <v>22697.5</v>
      </c>
      <c r="K562" s="9"/>
      <c r="L562" s="11"/>
      <c r="M562" s="306"/>
      <c r="N562" s="97"/>
      <c r="O562" s="421"/>
      <c r="P562" s="304"/>
      <c r="Q562" s="307"/>
      <c r="S562" s="11"/>
      <c r="T562" s="306"/>
      <c r="U562" s="97"/>
      <c r="V562" s="421"/>
      <c r="W562" s="304"/>
      <c r="X562" s="307"/>
      <c r="Z562" s="11" t="s">
        <v>192</v>
      </c>
      <c r="AA562" s="306">
        <f t="shared" ref="AA562:AB562" si="874">AA561</f>
        <v>10000000</v>
      </c>
      <c r="AB562" s="97">
        <f t="shared" si="874"/>
        <v>3.7499999999999999E-2</v>
      </c>
      <c r="AC562" s="421">
        <f t="shared" si="779"/>
        <v>1041.6666666666667</v>
      </c>
      <c r="AD562" s="304">
        <f t="shared" si="780"/>
        <v>197916.66666666628</v>
      </c>
      <c r="AE562" s="307">
        <f t="shared" si="781"/>
        <v>166.66666666666674</v>
      </c>
      <c r="AG562" s="11" t="s">
        <v>192</v>
      </c>
      <c r="AH562" s="306">
        <f t="shared" ref="AH562:AI562" si="875">AH561</f>
        <v>6000000</v>
      </c>
      <c r="AI562" s="97">
        <f t="shared" si="875"/>
        <v>3.73E-2</v>
      </c>
      <c r="AJ562" s="421">
        <f t="shared" si="783"/>
        <v>621.66666666666663</v>
      </c>
      <c r="AK562" s="304">
        <f t="shared" si="784"/>
        <v>1243.3333333333333</v>
      </c>
      <c r="AL562" s="307">
        <f t="shared" si="785"/>
        <v>96.666666666666629</v>
      </c>
      <c r="AN562" s="304">
        <f>'codeis $'!AB562</f>
        <v>0</v>
      </c>
      <c r="AO562" s="340">
        <f>'codeis $'!AH562</f>
        <v>0</v>
      </c>
      <c r="AP562" s="304">
        <f>'codeis $'!AE562</f>
        <v>0</v>
      </c>
      <c r="AQ562" s="304">
        <f>'codeis $'!AK562</f>
        <v>0</v>
      </c>
      <c r="AR562" s="9"/>
      <c r="AS562" s="9"/>
      <c r="AT562" s="123"/>
      <c r="AU562" s="123"/>
      <c r="AV562" s="123"/>
      <c r="AW562" s="123"/>
      <c r="AX562" s="123"/>
      <c r="AY562" s="123"/>
      <c r="AZ562" s="123"/>
      <c r="BA562" s="123"/>
      <c r="BC562" s="122"/>
      <c r="BD562" s="122"/>
      <c r="BE562" s="122"/>
      <c r="BF562" s="122"/>
      <c r="BH562" s="122"/>
      <c r="BI562" s="122"/>
      <c r="BJ562" s="122"/>
      <c r="BK562" s="122"/>
      <c r="BM562" s="122"/>
      <c r="BN562" s="122"/>
      <c r="BO562" s="122"/>
      <c r="BP562" s="122"/>
      <c r="BR562" s="122"/>
      <c r="BS562" s="122"/>
      <c r="BT562" s="122"/>
      <c r="BU562" s="122"/>
      <c r="BV562" s="439"/>
      <c r="BW562" s="120">
        <f t="shared" si="786"/>
        <v>17450000</v>
      </c>
      <c r="BX562" s="121">
        <f t="shared" si="676"/>
        <v>3.5000000000000003E-2</v>
      </c>
      <c r="BY562" s="121">
        <f t="shared" si="680"/>
        <v>3.6932664756446992E-2</v>
      </c>
      <c r="BZ562" s="120">
        <f t="shared" si="787"/>
        <v>1790.2083333333335</v>
      </c>
      <c r="CA562" s="120">
        <f t="shared" si="788"/>
        <v>263.33333333333337</v>
      </c>
    </row>
    <row r="563" spans="2:79" x14ac:dyDescent="0.25">
      <c r="B563" s="123" t="str">
        <f t="shared" si="772"/>
        <v>7 2026</v>
      </c>
      <c r="C563" s="122">
        <f t="shared" si="773"/>
        <v>46212</v>
      </c>
      <c r="D563" s="122">
        <f t="shared" si="681"/>
        <v>46213</v>
      </c>
      <c r="E563" s="123">
        <f t="shared" si="774"/>
        <v>1</v>
      </c>
      <c r="F563" s="123" t="s">
        <v>7</v>
      </c>
      <c r="G563" s="124">
        <f t="shared" ref="G563:H563" si="876">G562</f>
        <v>1450000</v>
      </c>
      <c r="H563" s="125">
        <f t="shared" si="876"/>
        <v>3.15E-2</v>
      </c>
      <c r="I563" s="124">
        <f t="shared" si="776"/>
        <v>126.875</v>
      </c>
      <c r="J563" s="124">
        <f t="shared" si="777"/>
        <v>22824.375</v>
      </c>
      <c r="K563" s="9"/>
      <c r="L563" s="11"/>
      <c r="M563" s="306"/>
      <c r="N563" s="97"/>
      <c r="O563" s="421"/>
      <c r="P563" s="304"/>
      <c r="Q563" s="307"/>
      <c r="S563" s="11"/>
      <c r="T563" s="306"/>
      <c r="U563" s="97"/>
      <c r="V563" s="421"/>
      <c r="W563" s="304"/>
      <c r="X563" s="307"/>
      <c r="Z563" s="11" t="s">
        <v>192</v>
      </c>
      <c r="AA563" s="306">
        <f t="shared" ref="AA563:AB563" si="877">AA562</f>
        <v>10000000</v>
      </c>
      <c r="AB563" s="97">
        <f t="shared" si="877"/>
        <v>3.7499999999999999E-2</v>
      </c>
      <c r="AC563" s="421">
        <f t="shared" si="779"/>
        <v>1041.6666666666667</v>
      </c>
      <c r="AD563" s="304">
        <f t="shared" si="780"/>
        <v>198958.33333333294</v>
      </c>
      <c r="AE563" s="307">
        <f t="shared" si="781"/>
        <v>166.66666666666674</v>
      </c>
      <c r="AG563" s="11" t="s">
        <v>192</v>
      </c>
      <c r="AH563" s="306">
        <f t="shared" ref="AH563:AI563" si="878">AH562</f>
        <v>6000000</v>
      </c>
      <c r="AI563" s="97">
        <f t="shared" si="878"/>
        <v>3.73E-2</v>
      </c>
      <c r="AJ563" s="421">
        <f t="shared" si="783"/>
        <v>621.66666666666663</v>
      </c>
      <c r="AK563" s="304">
        <f t="shared" si="784"/>
        <v>1243.3333333333333</v>
      </c>
      <c r="AL563" s="307">
        <f t="shared" si="785"/>
        <v>96.666666666666629</v>
      </c>
      <c r="AN563" s="304">
        <f>'codeis $'!AB563</f>
        <v>0</v>
      </c>
      <c r="AO563" s="340">
        <f>'codeis $'!AH563</f>
        <v>0</v>
      </c>
      <c r="AP563" s="304">
        <f>'codeis $'!AE563</f>
        <v>0</v>
      </c>
      <c r="AQ563" s="304">
        <f>'codeis $'!AK563</f>
        <v>0</v>
      </c>
      <c r="AR563" s="9"/>
      <c r="AS563" s="9"/>
      <c r="AT563" s="123"/>
      <c r="AU563" s="123"/>
      <c r="AV563" s="123"/>
      <c r="AW563" s="123"/>
      <c r="AX563" s="123"/>
      <c r="AY563" s="123"/>
      <c r="AZ563" s="123"/>
      <c r="BA563" s="123"/>
      <c r="BC563" s="122"/>
      <c r="BD563" s="122"/>
      <c r="BE563" s="122"/>
      <c r="BF563" s="122"/>
      <c r="BH563" s="122"/>
      <c r="BI563" s="122"/>
      <c r="BJ563" s="122"/>
      <c r="BK563" s="122"/>
      <c r="BM563" s="122"/>
      <c r="BN563" s="122"/>
      <c r="BO563" s="122"/>
      <c r="BP563" s="122"/>
      <c r="BR563" s="122"/>
      <c r="BS563" s="122"/>
      <c r="BT563" s="122"/>
      <c r="BU563" s="122"/>
      <c r="BV563" s="439"/>
      <c r="BW563" s="120">
        <f t="shared" si="786"/>
        <v>17450000</v>
      </c>
      <c r="BX563" s="121">
        <f t="shared" si="676"/>
        <v>3.5000000000000003E-2</v>
      </c>
      <c r="BY563" s="121">
        <f t="shared" si="680"/>
        <v>3.6932664756446992E-2</v>
      </c>
      <c r="BZ563" s="120">
        <f t="shared" si="787"/>
        <v>1790.2083333333335</v>
      </c>
      <c r="CA563" s="120">
        <f t="shared" si="788"/>
        <v>263.33333333333337</v>
      </c>
    </row>
    <row r="564" spans="2:79" x14ac:dyDescent="0.25">
      <c r="B564" s="123" t="str">
        <f t="shared" si="772"/>
        <v>7 2026</v>
      </c>
      <c r="C564" s="122">
        <f t="shared" si="773"/>
        <v>46213</v>
      </c>
      <c r="D564" s="122">
        <f t="shared" si="681"/>
        <v>46214</v>
      </c>
      <c r="E564" s="123">
        <f t="shared" si="774"/>
        <v>1</v>
      </c>
      <c r="F564" s="123" t="s">
        <v>7</v>
      </c>
      <c r="G564" s="124">
        <f t="shared" ref="G564:H564" si="879">G563</f>
        <v>1450000</v>
      </c>
      <c r="H564" s="125">
        <f t="shared" si="879"/>
        <v>3.15E-2</v>
      </c>
      <c r="I564" s="124">
        <f t="shared" si="776"/>
        <v>126.875</v>
      </c>
      <c r="J564" s="124">
        <f t="shared" si="777"/>
        <v>22951.25</v>
      </c>
      <c r="K564" s="9"/>
      <c r="L564" s="11"/>
      <c r="M564" s="306"/>
      <c r="N564" s="97"/>
      <c r="O564" s="421"/>
      <c r="P564" s="304"/>
      <c r="Q564" s="307"/>
      <c r="S564" s="11"/>
      <c r="T564" s="306"/>
      <c r="U564" s="97"/>
      <c r="V564" s="421"/>
      <c r="W564" s="304"/>
      <c r="X564" s="307"/>
      <c r="Z564" s="11" t="s">
        <v>192</v>
      </c>
      <c r="AA564" s="306">
        <f t="shared" ref="AA564:AB564" si="880">AA563</f>
        <v>10000000</v>
      </c>
      <c r="AB564" s="97">
        <f t="shared" si="880"/>
        <v>3.7499999999999999E-2</v>
      </c>
      <c r="AC564" s="421">
        <f t="shared" si="779"/>
        <v>1041.6666666666667</v>
      </c>
      <c r="AD564" s="304">
        <f t="shared" si="780"/>
        <v>199999.99999999959</v>
      </c>
      <c r="AE564" s="307">
        <f t="shared" si="781"/>
        <v>166.66666666666674</v>
      </c>
      <c r="AG564" s="11" t="s">
        <v>192</v>
      </c>
      <c r="AH564" s="306">
        <f t="shared" ref="AH564:AI564" si="881">AH563</f>
        <v>6000000</v>
      </c>
      <c r="AI564" s="97">
        <f t="shared" si="881"/>
        <v>3.73E-2</v>
      </c>
      <c r="AJ564" s="421">
        <f t="shared" si="783"/>
        <v>621.66666666666663</v>
      </c>
      <c r="AK564" s="304">
        <f t="shared" si="784"/>
        <v>1243.3333333333333</v>
      </c>
      <c r="AL564" s="307">
        <f t="shared" si="785"/>
        <v>96.666666666666629</v>
      </c>
      <c r="AN564" s="304">
        <f>'codeis $'!AB564</f>
        <v>0</v>
      </c>
      <c r="AO564" s="340">
        <f>'codeis $'!AH564</f>
        <v>0</v>
      </c>
      <c r="AP564" s="304">
        <f>'codeis $'!AE564</f>
        <v>0</v>
      </c>
      <c r="AQ564" s="304">
        <f>'codeis $'!AK564</f>
        <v>0</v>
      </c>
      <c r="AR564" s="9"/>
      <c r="AS564" s="9"/>
      <c r="AT564" s="123"/>
      <c r="AU564" s="123"/>
      <c r="AV564" s="123"/>
      <c r="AW564" s="123"/>
      <c r="AX564" s="123"/>
      <c r="AY564" s="123"/>
      <c r="AZ564" s="123"/>
      <c r="BA564" s="123"/>
      <c r="BC564" s="122"/>
      <c r="BD564" s="122"/>
      <c r="BE564" s="122"/>
      <c r="BF564" s="122"/>
      <c r="BH564" s="122"/>
      <c r="BI564" s="122"/>
      <c r="BJ564" s="122"/>
      <c r="BK564" s="122"/>
      <c r="BM564" s="122"/>
      <c r="BN564" s="122"/>
      <c r="BO564" s="122"/>
      <c r="BP564" s="122"/>
      <c r="BR564" s="122"/>
      <c r="BS564" s="122"/>
      <c r="BT564" s="122"/>
      <c r="BU564" s="122"/>
      <c r="BV564" s="439"/>
      <c r="BW564" s="120">
        <f t="shared" si="786"/>
        <v>17450000</v>
      </c>
      <c r="BX564" s="121">
        <f t="shared" si="676"/>
        <v>3.5000000000000003E-2</v>
      </c>
      <c r="BY564" s="121">
        <f t="shared" si="680"/>
        <v>3.6932664756446992E-2</v>
      </c>
      <c r="BZ564" s="120">
        <f t="shared" si="787"/>
        <v>1790.2083333333335</v>
      </c>
      <c r="CA564" s="120">
        <f t="shared" si="788"/>
        <v>263.33333333333337</v>
      </c>
    </row>
    <row r="565" spans="2:79" x14ac:dyDescent="0.25">
      <c r="B565" s="123" t="str">
        <f t="shared" si="772"/>
        <v>7 2026</v>
      </c>
      <c r="C565" s="122">
        <f t="shared" si="773"/>
        <v>46214</v>
      </c>
      <c r="D565" s="122">
        <f t="shared" si="681"/>
        <v>46215</v>
      </c>
      <c r="E565" s="123">
        <f t="shared" si="774"/>
        <v>1</v>
      </c>
      <c r="F565" s="123" t="s">
        <v>7</v>
      </c>
      <c r="G565" s="124">
        <f t="shared" ref="G565:H565" si="882">G564</f>
        <v>1450000</v>
      </c>
      <c r="H565" s="125">
        <f t="shared" si="882"/>
        <v>3.15E-2</v>
      </c>
      <c r="I565" s="124">
        <f t="shared" si="776"/>
        <v>126.875</v>
      </c>
      <c r="J565" s="124">
        <f t="shared" si="777"/>
        <v>23078.125</v>
      </c>
      <c r="K565" s="9"/>
      <c r="L565" s="11"/>
      <c r="M565" s="306"/>
      <c r="N565" s="97"/>
      <c r="O565" s="421"/>
      <c r="P565" s="304"/>
      <c r="Q565" s="307"/>
      <c r="S565" s="11"/>
      <c r="T565" s="306"/>
      <c r="U565" s="97"/>
      <c r="V565" s="421"/>
      <c r="W565" s="304"/>
      <c r="X565" s="307"/>
      <c r="Z565" s="11" t="s">
        <v>192</v>
      </c>
      <c r="AA565" s="306">
        <f t="shared" ref="AA565:AB565" si="883">AA564</f>
        <v>10000000</v>
      </c>
      <c r="AB565" s="97">
        <f t="shared" si="883"/>
        <v>3.7499999999999999E-2</v>
      </c>
      <c r="AC565" s="421">
        <f t="shared" si="779"/>
        <v>1041.6666666666667</v>
      </c>
      <c r="AD565" s="304">
        <f t="shared" si="780"/>
        <v>201041.66666666625</v>
      </c>
      <c r="AE565" s="307">
        <f t="shared" si="781"/>
        <v>166.66666666666674</v>
      </c>
      <c r="AG565" s="11" t="s">
        <v>192</v>
      </c>
      <c r="AH565" s="306">
        <f t="shared" ref="AH565:AI565" si="884">AH564</f>
        <v>6000000</v>
      </c>
      <c r="AI565" s="97">
        <f t="shared" si="884"/>
        <v>3.73E-2</v>
      </c>
      <c r="AJ565" s="421">
        <f t="shared" si="783"/>
        <v>621.66666666666663</v>
      </c>
      <c r="AK565" s="304">
        <f t="shared" si="784"/>
        <v>1243.3333333333333</v>
      </c>
      <c r="AL565" s="307">
        <f t="shared" si="785"/>
        <v>96.666666666666629</v>
      </c>
      <c r="AN565" s="304">
        <f>'codeis $'!AB565</f>
        <v>0</v>
      </c>
      <c r="AO565" s="340">
        <f>'codeis $'!AH565</f>
        <v>0</v>
      </c>
      <c r="AP565" s="304">
        <f>'codeis $'!AE565</f>
        <v>0</v>
      </c>
      <c r="AQ565" s="304">
        <f>'codeis $'!AK565</f>
        <v>0</v>
      </c>
      <c r="AR565" s="9"/>
      <c r="AS565" s="9"/>
      <c r="AT565" s="123"/>
      <c r="AU565" s="123"/>
      <c r="AV565" s="123"/>
      <c r="AW565" s="123"/>
      <c r="AX565" s="123"/>
      <c r="AY565" s="123"/>
      <c r="AZ565" s="123"/>
      <c r="BA565" s="123"/>
      <c r="BC565" s="122"/>
      <c r="BD565" s="122"/>
      <c r="BE565" s="122"/>
      <c r="BF565" s="122"/>
      <c r="BH565" s="122"/>
      <c r="BI565" s="122"/>
      <c r="BJ565" s="122"/>
      <c r="BK565" s="122"/>
      <c r="BM565" s="122"/>
      <c r="BN565" s="122"/>
      <c r="BO565" s="122"/>
      <c r="BP565" s="122"/>
      <c r="BR565" s="122"/>
      <c r="BS565" s="122"/>
      <c r="BT565" s="122"/>
      <c r="BU565" s="122"/>
      <c r="BV565" s="439"/>
      <c r="BW565" s="120">
        <f t="shared" si="786"/>
        <v>17450000</v>
      </c>
      <c r="BX565" s="121">
        <f t="shared" ref="BX565:BX628" si="885">BX564</f>
        <v>3.5000000000000003E-2</v>
      </c>
      <c r="BY565" s="121">
        <f t="shared" si="680"/>
        <v>3.6932664756446992E-2</v>
      </c>
      <c r="BZ565" s="120">
        <f t="shared" si="787"/>
        <v>1790.2083333333335</v>
      </c>
      <c r="CA565" s="120">
        <f t="shared" si="788"/>
        <v>263.33333333333337</v>
      </c>
    </row>
    <row r="566" spans="2:79" x14ac:dyDescent="0.25">
      <c r="B566" s="123" t="str">
        <f t="shared" si="772"/>
        <v>7 2026</v>
      </c>
      <c r="C566" s="122">
        <f t="shared" si="773"/>
        <v>46215</v>
      </c>
      <c r="D566" s="122">
        <f t="shared" si="681"/>
        <v>46216</v>
      </c>
      <c r="E566" s="123">
        <f t="shared" si="774"/>
        <v>1</v>
      </c>
      <c r="F566" s="123" t="s">
        <v>7</v>
      </c>
      <c r="G566" s="124">
        <f t="shared" ref="G566:H566" si="886">G565</f>
        <v>1450000</v>
      </c>
      <c r="H566" s="125">
        <f t="shared" si="886"/>
        <v>3.15E-2</v>
      </c>
      <c r="I566" s="124">
        <f t="shared" si="776"/>
        <v>126.875</v>
      </c>
      <c r="J566" s="124">
        <f t="shared" si="777"/>
        <v>23205</v>
      </c>
      <c r="K566" s="9"/>
      <c r="L566" s="11"/>
      <c r="M566" s="306"/>
      <c r="N566" s="97"/>
      <c r="O566" s="421"/>
      <c r="P566" s="304"/>
      <c r="Q566" s="307"/>
      <c r="S566" s="11"/>
      <c r="T566" s="306"/>
      <c r="U566" s="97"/>
      <c r="V566" s="421"/>
      <c r="W566" s="304"/>
      <c r="X566" s="307"/>
      <c r="Z566" s="11" t="s">
        <v>192</v>
      </c>
      <c r="AA566" s="306">
        <f t="shared" ref="AA566:AB566" si="887">AA565</f>
        <v>10000000</v>
      </c>
      <c r="AB566" s="97">
        <f t="shared" si="887"/>
        <v>3.7499999999999999E-2</v>
      </c>
      <c r="AC566" s="421">
        <f t="shared" si="779"/>
        <v>1041.6666666666667</v>
      </c>
      <c r="AD566" s="304">
        <f t="shared" si="780"/>
        <v>202083.33333333291</v>
      </c>
      <c r="AE566" s="307">
        <f t="shared" si="781"/>
        <v>166.66666666666674</v>
      </c>
      <c r="AG566" s="11" t="s">
        <v>192</v>
      </c>
      <c r="AH566" s="306">
        <f t="shared" ref="AH566:AI566" si="888">AH565</f>
        <v>6000000</v>
      </c>
      <c r="AI566" s="97">
        <f t="shared" si="888"/>
        <v>3.73E-2</v>
      </c>
      <c r="AJ566" s="421">
        <f t="shared" si="783"/>
        <v>621.66666666666663</v>
      </c>
      <c r="AK566" s="304">
        <f t="shared" si="784"/>
        <v>1243.3333333333333</v>
      </c>
      <c r="AL566" s="307">
        <f t="shared" si="785"/>
        <v>96.666666666666629</v>
      </c>
      <c r="AN566" s="304">
        <f>'codeis $'!AB566</f>
        <v>0</v>
      </c>
      <c r="AO566" s="340">
        <f>'codeis $'!AH566</f>
        <v>0</v>
      </c>
      <c r="AP566" s="304">
        <f>'codeis $'!AE566</f>
        <v>0</v>
      </c>
      <c r="AQ566" s="304">
        <f>'codeis $'!AK566</f>
        <v>0</v>
      </c>
      <c r="AR566" s="9"/>
      <c r="AS566" s="9"/>
      <c r="AT566" s="123"/>
      <c r="AU566" s="123"/>
      <c r="AV566" s="123"/>
      <c r="AW566" s="123"/>
      <c r="AX566" s="123"/>
      <c r="AY566" s="123"/>
      <c r="AZ566" s="123"/>
      <c r="BA566" s="123"/>
      <c r="BC566" s="122"/>
      <c r="BD566" s="122"/>
      <c r="BE566" s="122"/>
      <c r="BF566" s="122"/>
      <c r="BH566" s="122"/>
      <c r="BI566" s="122"/>
      <c r="BJ566" s="122"/>
      <c r="BK566" s="122"/>
      <c r="BM566" s="122"/>
      <c r="BN566" s="122"/>
      <c r="BO566" s="122"/>
      <c r="BP566" s="122"/>
      <c r="BR566" s="122"/>
      <c r="BS566" s="122"/>
      <c r="BT566" s="122"/>
      <c r="BU566" s="122"/>
      <c r="BV566" s="439"/>
      <c r="BW566" s="120">
        <f t="shared" si="786"/>
        <v>17450000</v>
      </c>
      <c r="BX566" s="121">
        <f t="shared" si="885"/>
        <v>3.5000000000000003E-2</v>
      </c>
      <c r="BY566" s="121">
        <f t="shared" ref="BY566:BY629" si="889">(SUM((AW566*AV566),(H566*G566),(M566*N566),(T566*U566),(AA566*AB566),(AH566*AI566),(AN566*AO566),(BC566*BD566),(BH566*BI566),(BM566*BN566),(BR566*BS566))/BW566)</f>
        <v>3.6932664756446992E-2</v>
      </c>
      <c r="BZ566" s="120">
        <f t="shared" si="787"/>
        <v>1790.2083333333335</v>
      </c>
      <c r="CA566" s="120">
        <f t="shared" si="788"/>
        <v>263.33333333333337</v>
      </c>
    </row>
    <row r="567" spans="2:79" x14ac:dyDescent="0.25">
      <c r="B567" s="123" t="str">
        <f t="shared" si="772"/>
        <v>7 2026</v>
      </c>
      <c r="C567" s="122">
        <f t="shared" si="773"/>
        <v>46216</v>
      </c>
      <c r="D567" s="122">
        <f t="shared" ref="D567:D630" si="890">D566+1</f>
        <v>46217</v>
      </c>
      <c r="E567" s="123">
        <f t="shared" si="774"/>
        <v>1</v>
      </c>
      <c r="F567" s="123" t="s">
        <v>7</v>
      </c>
      <c r="G567" s="124">
        <f t="shared" ref="G567:H567" si="891">G566</f>
        <v>1450000</v>
      </c>
      <c r="H567" s="125">
        <f t="shared" si="891"/>
        <v>3.15E-2</v>
      </c>
      <c r="I567" s="124">
        <f t="shared" si="776"/>
        <v>126.875</v>
      </c>
      <c r="J567" s="124">
        <f t="shared" si="777"/>
        <v>23331.875</v>
      </c>
      <c r="K567" s="9"/>
      <c r="L567" s="11"/>
      <c r="M567" s="306"/>
      <c r="N567" s="97"/>
      <c r="O567" s="421"/>
      <c r="P567" s="304"/>
      <c r="Q567" s="307"/>
      <c r="S567" s="11"/>
      <c r="T567" s="306"/>
      <c r="U567" s="97"/>
      <c r="V567" s="421"/>
      <c r="W567" s="304"/>
      <c r="X567" s="307"/>
      <c r="Z567" s="11" t="s">
        <v>192</v>
      </c>
      <c r="AA567" s="306">
        <f t="shared" ref="AA567:AB567" si="892">AA566</f>
        <v>10000000</v>
      </c>
      <c r="AB567" s="97">
        <f t="shared" si="892"/>
        <v>3.7499999999999999E-2</v>
      </c>
      <c r="AC567" s="421">
        <f t="shared" si="779"/>
        <v>1041.6666666666667</v>
      </c>
      <c r="AD567" s="304">
        <f t="shared" si="780"/>
        <v>203124.99999999956</v>
      </c>
      <c r="AE567" s="307">
        <f t="shared" si="781"/>
        <v>166.66666666666674</v>
      </c>
      <c r="AG567" s="11" t="s">
        <v>192</v>
      </c>
      <c r="AH567" s="306">
        <f t="shared" ref="AH567:AI567" si="893">AH566</f>
        <v>6000000</v>
      </c>
      <c r="AI567" s="97">
        <f t="shared" si="893"/>
        <v>3.73E-2</v>
      </c>
      <c r="AJ567" s="421">
        <f t="shared" si="783"/>
        <v>621.66666666666663</v>
      </c>
      <c r="AK567" s="304">
        <f t="shared" si="784"/>
        <v>1243.3333333333333</v>
      </c>
      <c r="AL567" s="307">
        <f t="shared" si="785"/>
        <v>96.666666666666629</v>
      </c>
      <c r="AN567" s="304">
        <f>'codeis $'!AB567</f>
        <v>0</v>
      </c>
      <c r="AO567" s="340">
        <f>'codeis $'!AH567</f>
        <v>0</v>
      </c>
      <c r="AP567" s="304">
        <f>'codeis $'!AE567</f>
        <v>0</v>
      </c>
      <c r="AQ567" s="304">
        <f>'codeis $'!AK567</f>
        <v>0</v>
      </c>
      <c r="AR567" s="9"/>
      <c r="AS567" s="9"/>
      <c r="AT567" s="123"/>
      <c r="AU567" s="123"/>
      <c r="AV567" s="123"/>
      <c r="AW567" s="123"/>
      <c r="AX567" s="123"/>
      <c r="AY567" s="123"/>
      <c r="AZ567" s="123"/>
      <c r="BA567" s="123"/>
      <c r="BC567" s="122"/>
      <c r="BD567" s="122"/>
      <c r="BE567" s="122"/>
      <c r="BF567" s="122"/>
      <c r="BH567" s="122"/>
      <c r="BI567" s="122"/>
      <c r="BJ567" s="122"/>
      <c r="BK567" s="122"/>
      <c r="BM567" s="122"/>
      <c r="BN567" s="122"/>
      <c r="BO567" s="122"/>
      <c r="BP567" s="122"/>
      <c r="BR567" s="122"/>
      <c r="BS567" s="122"/>
      <c r="BT567" s="122"/>
      <c r="BU567" s="122"/>
      <c r="BV567" s="439"/>
      <c r="BW567" s="120">
        <f t="shared" si="786"/>
        <v>17450000</v>
      </c>
      <c r="BX567" s="121">
        <f t="shared" si="885"/>
        <v>3.5000000000000003E-2</v>
      </c>
      <c r="BY567" s="121">
        <f t="shared" si="889"/>
        <v>3.6932664756446992E-2</v>
      </c>
      <c r="BZ567" s="120">
        <f t="shared" si="787"/>
        <v>1790.2083333333335</v>
      </c>
      <c r="CA567" s="120">
        <f t="shared" si="788"/>
        <v>263.33333333333337</v>
      </c>
    </row>
    <row r="568" spans="2:79" x14ac:dyDescent="0.25">
      <c r="B568" s="123" t="str">
        <f t="shared" si="772"/>
        <v>7 2026</v>
      </c>
      <c r="C568" s="122">
        <f t="shared" si="773"/>
        <v>46217</v>
      </c>
      <c r="D568" s="122">
        <f t="shared" si="890"/>
        <v>46218</v>
      </c>
      <c r="E568" s="123">
        <f t="shared" si="774"/>
        <v>1</v>
      </c>
      <c r="F568" s="123" t="s">
        <v>7</v>
      </c>
      <c r="G568" s="124">
        <f t="shared" ref="G568:H568" si="894">G567</f>
        <v>1450000</v>
      </c>
      <c r="H568" s="125">
        <f t="shared" si="894"/>
        <v>3.15E-2</v>
      </c>
      <c r="I568" s="124">
        <f t="shared" si="776"/>
        <v>126.875</v>
      </c>
      <c r="J568" s="124">
        <f t="shared" si="777"/>
        <v>23458.75</v>
      </c>
      <c r="K568" s="9"/>
      <c r="L568" s="11"/>
      <c r="M568" s="306"/>
      <c r="N568" s="97"/>
      <c r="O568" s="421"/>
      <c r="P568" s="304"/>
      <c r="Q568" s="307"/>
      <c r="S568" s="11"/>
      <c r="T568" s="306"/>
      <c r="U568" s="97"/>
      <c r="V568" s="421"/>
      <c r="W568" s="304"/>
      <c r="X568" s="307"/>
      <c r="Z568" s="11" t="s">
        <v>192</v>
      </c>
      <c r="AA568" s="306">
        <f t="shared" ref="AA568:AB568" si="895">AA567</f>
        <v>10000000</v>
      </c>
      <c r="AB568" s="97">
        <f t="shared" si="895"/>
        <v>3.7499999999999999E-2</v>
      </c>
      <c r="AC568" s="421">
        <f t="shared" si="779"/>
        <v>1041.6666666666667</v>
      </c>
      <c r="AD568" s="304">
        <f t="shared" si="780"/>
        <v>204166.66666666622</v>
      </c>
      <c r="AE568" s="307">
        <f t="shared" si="781"/>
        <v>166.66666666666674</v>
      </c>
      <c r="AG568" s="11" t="s">
        <v>192</v>
      </c>
      <c r="AH568" s="306">
        <f t="shared" ref="AH568:AI568" si="896">AH567</f>
        <v>6000000</v>
      </c>
      <c r="AI568" s="97">
        <f t="shared" si="896"/>
        <v>3.73E-2</v>
      </c>
      <c r="AJ568" s="421">
        <f t="shared" si="783"/>
        <v>621.66666666666663</v>
      </c>
      <c r="AK568" s="304">
        <f t="shared" si="784"/>
        <v>1243.3333333333333</v>
      </c>
      <c r="AL568" s="307">
        <f t="shared" si="785"/>
        <v>96.666666666666629</v>
      </c>
      <c r="AN568" s="304">
        <f>'codeis $'!AB568</f>
        <v>0</v>
      </c>
      <c r="AO568" s="340">
        <f>'codeis $'!AH568</f>
        <v>0</v>
      </c>
      <c r="AP568" s="304">
        <f>'codeis $'!AE568</f>
        <v>0</v>
      </c>
      <c r="AQ568" s="304">
        <f>'codeis $'!AK568</f>
        <v>0</v>
      </c>
      <c r="AR568" s="9"/>
      <c r="AS568" s="9"/>
      <c r="AT568" s="123"/>
      <c r="AU568" s="123"/>
      <c r="AV568" s="123"/>
      <c r="AW568" s="123"/>
      <c r="AX568" s="123"/>
      <c r="AY568" s="123"/>
      <c r="AZ568" s="123"/>
      <c r="BA568" s="123"/>
      <c r="BC568" s="122"/>
      <c r="BD568" s="122"/>
      <c r="BE568" s="122"/>
      <c r="BF568" s="122"/>
      <c r="BH568" s="122"/>
      <c r="BI568" s="122"/>
      <c r="BJ568" s="122"/>
      <c r="BK568" s="122"/>
      <c r="BM568" s="122"/>
      <c r="BN568" s="122"/>
      <c r="BO568" s="122"/>
      <c r="BP568" s="122"/>
      <c r="BR568" s="122"/>
      <c r="BS568" s="122"/>
      <c r="BT568" s="122"/>
      <c r="BU568" s="122"/>
      <c r="BV568" s="439"/>
      <c r="BW568" s="120">
        <f t="shared" si="786"/>
        <v>17450000</v>
      </c>
      <c r="BX568" s="121">
        <f t="shared" si="885"/>
        <v>3.5000000000000003E-2</v>
      </c>
      <c r="BY568" s="121">
        <f t="shared" si="889"/>
        <v>3.6932664756446992E-2</v>
      </c>
      <c r="BZ568" s="120">
        <f t="shared" si="787"/>
        <v>1790.2083333333335</v>
      </c>
      <c r="CA568" s="120">
        <f t="shared" si="788"/>
        <v>263.33333333333337</v>
      </c>
    </row>
    <row r="569" spans="2:79" x14ac:dyDescent="0.25">
      <c r="B569" s="123" t="str">
        <f t="shared" si="772"/>
        <v>7 2026</v>
      </c>
      <c r="C569" s="122">
        <f t="shared" si="773"/>
        <v>46218</v>
      </c>
      <c r="D569" s="122">
        <f t="shared" si="890"/>
        <v>46219</v>
      </c>
      <c r="E569" s="123">
        <f t="shared" si="774"/>
        <v>1</v>
      </c>
      <c r="F569" s="123" t="s">
        <v>7</v>
      </c>
      <c r="G569" s="124">
        <f t="shared" ref="G569:H569" si="897">G568</f>
        <v>1450000</v>
      </c>
      <c r="H569" s="125">
        <f t="shared" si="897"/>
        <v>3.15E-2</v>
      </c>
      <c r="I569" s="124">
        <f t="shared" si="776"/>
        <v>126.875</v>
      </c>
      <c r="J569" s="124">
        <f t="shared" si="777"/>
        <v>23585.625</v>
      </c>
      <c r="K569" s="9"/>
      <c r="L569" s="11"/>
      <c r="M569" s="306"/>
      <c r="N569" s="97"/>
      <c r="O569" s="421"/>
      <c r="P569" s="304"/>
      <c r="Q569" s="307"/>
      <c r="S569" s="11"/>
      <c r="T569" s="306"/>
      <c r="U569" s="97"/>
      <c r="V569" s="421"/>
      <c r="W569" s="304"/>
      <c r="X569" s="307"/>
      <c r="Z569" s="11" t="s">
        <v>192</v>
      </c>
      <c r="AA569" s="306">
        <f t="shared" ref="AA569:AB569" si="898">AA568</f>
        <v>10000000</v>
      </c>
      <c r="AB569" s="97">
        <f t="shared" si="898"/>
        <v>3.7499999999999999E-2</v>
      </c>
      <c r="AC569" s="421">
        <f t="shared" si="779"/>
        <v>1041.6666666666667</v>
      </c>
      <c r="AD569" s="304">
        <f t="shared" si="780"/>
        <v>205208.33333333288</v>
      </c>
      <c r="AE569" s="307">
        <f t="shared" si="781"/>
        <v>166.66666666666674</v>
      </c>
      <c r="AG569" s="11" t="s">
        <v>192</v>
      </c>
      <c r="AH569" s="306">
        <f t="shared" ref="AH569:AI569" si="899">AH568</f>
        <v>6000000</v>
      </c>
      <c r="AI569" s="97">
        <f t="shared" si="899"/>
        <v>3.73E-2</v>
      </c>
      <c r="AJ569" s="421">
        <f t="shared" si="783"/>
        <v>621.66666666666663</v>
      </c>
      <c r="AK569" s="304">
        <f t="shared" si="784"/>
        <v>1243.3333333333333</v>
      </c>
      <c r="AL569" s="307">
        <f t="shared" si="785"/>
        <v>96.666666666666629</v>
      </c>
      <c r="AN569" s="304">
        <f>'codeis $'!AB569</f>
        <v>0</v>
      </c>
      <c r="AO569" s="340">
        <f>'codeis $'!AH569</f>
        <v>0</v>
      </c>
      <c r="AP569" s="304">
        <f>'codeis $'!AE569</f>
        <v>0</v>
      </c>
      <c r="AQ569" s="304">
        <f>'codeis $'!AK569</f>
        <v>0</v>
      </c>
      <c r="AR569" s="9"/>
      <c r="AS569" s="9"/>
      <c r="AT569" s="123"/>
      <c r="AU569" s="123"/>
      <c r="AV569" s="123"/>
      <c r="AW569" s="123"/>
      <c r="AX569" s="123"/>
      <c r="AY569" s="123"/>
      <c r="AZ569" s="123"/>
      <c r="BA569" s="123"/>
      <c r="BC569" s="122"/>
      <c r="BD569" s="122"/>
      <c r="BE569" s="122"/>
      <c r="BF569" s="122"/>
      <c r="BH569" s="122"/>
      <c r="BI569" s="122"/>
      <c r="BJ569" s="122"/>
      <c r="BK569" s="122"/>
      <c r="BM569" s="122"/>
      <c r="BN569" s="122"/>
      <c r="BO569" s="122"/>
      <c r="BP569" s="122"/>
      <c r="BR569" s="122"/>
      <c r="BS569" s="122"/>
      <c r="BT569" s="122"/>
      <c r="BU569" s="122"/>
      <c r="BV569" s="439"/>
      <c r="BW569" s="120">
        <f t="shared" si="786"/>
        <v>17450000</v>
      </c>
      <c r="BX569" s="121">
        <f t="shared" si="885"/>
        <v>3.5000000000000003E-2</v>
      </c>
      <c r="BY569" s="121">
        <f t="shared" si="889"/>
        <v>3.6932664756446992E-2</v>
      </c>
      <c r="BZ569" s="120">
        <f t="shared" si="787"/>
        <v>1790.2083333333335</v>
      </c>
      <c r="CA569" s="120">
        <f t="shared" si="788"/>
        <v>263.33333333333337</v>
      </c>
    </row>
    <row r="570" spans="2:79" x14ac:dyDescent="0.25">
      <c r="B570" s="123" t="str">
        <f t="shared" si="772"/>
        <v>7 2026</v>
      </c>
      <c r="C570" s="122">
        <f t="shared" si="773"/>
        <v>46219</v>
      </c>
      <c r="D570" s="122">
        <f t="shared" si="890"/>
        <v>46220</v>
      </c>
      <c r="E570" s="123">
        <f t="shared" si="774"/>
        <v>1</v>
      </c>
      <c r="F570" s="123" t="s">
        <v>7</v>
      </c>
      <c r="G570" s="124">
        <f t="shared" ref="G570:H570" si="900">G569</f>
        <v>1450000</v>
      </c>
      <c r="H570" s="125">
        <f t="shared" si="900"/>
        <v>3.15E-2</v>
      </c>
      <c r="I570" s="124">
        <f t="shared" si="776"/>
        <v>126.875</v>
      </c>
      <c r="J570" s="124">
        <f t="shared" si="777"/>
        <v>23712.5</v>
      </c>
      <c r="K570" s="9"/>
      <c r="L570" s="11"/>
      <c r="M570" s="306"/>
      <c r="N570" s="97"/>
      <c r="O570" s="421"/>
      <c r="P570" s="304"/>
      <c r="Q570" s="307"/>
      <c r="S570" s="11"/>
      <c r="T570" s="306"/>
      <c r="U570" s="97"/>
      <c r="V570" s="421"/>
      <c r="W570" s="304"/>
      <c r="X570" s="307"/>
      <c r="Z570" s="11" t="s">
        <v>192</v>
      </c>
      <c r="AA570" s="306">
        <f t="shared" ref="AA570:AB570" si="901">AA569</f>
        <v>10000000</v>
      </c>
      <c r="AB570" s="97">
        <f t="shared" si="901"/>
        <v>3.7499999999999999E-2</v>
      </c>
      <c r="AC570" s="421">
        <f t="shared" si="779"/>
        <v>1041.6666666666667</v>
      </c>
      <c r="AD570" s="304">
        <f t="shared" si="780"/>
        <v>206249.99999999953</v>
      </c>
      <c r="AE570" s="307">
        <f t="shared" si="781"/>
        <v>166.66666666666674</v>
      </c>
      <c r="AG570" s="11" t="s">
        <v>192</v>
      </c>
      <c r="AH570" s="306">
        <f t="shared" ref="AH570:AI570" si="902">AH569</f>
        <v>6000000</v>
      </c>
      <c r="AI570" s="97">
        <f t="shared" si="902"/>
        <v>3.73E-2</v>
      </c>
      <c r="AJ570" s="421">
        <f t="shared" si="783"/>
        <v>621.66666666666663</v>
      </c>
      <c r="AK570" s="304">
        <f t="shared" si="784"/>
        <v>1243.3333333333333</v>
      </c>
      <c r="AL570" s="307">
        <f t="shared" si="785"/>
        <v>96.666666666666629</v>
      </c>
      <c r="AN570" s="304">
        <f>'codeis $'!AB570</f>
        <v>0</v>
      </c>
      <c r="AO570" s="340">
        <f>'codeis $'!AH570</f>
        <v>0</v>
      </c>
      <c r="AP570" s="304">
        <f>'codeis $'!AE570</f>
        <v>0</v>
      </c>
      <c r="AQ570" s="304">
        <f>'codeis $'!AK570</f>
        <v>0</v>
      </c>
      <c r="AR570" s="9"/>
      <c r="AS570" s="9"/>
      <c r="AT570" s="123"/>
      <c r="AU570" s="123"/>
      <c r="AV570" s="123"/>
      <c r="AW570" s="123"/>
      <c r="AX570" s="123"/>
      <c r="AY570" s="123"/>
      <c r="AZ570" s="123"/>
      <c r="BA570" s="123"/>
      <c r="BC570" s="122"/>
      <c r="BD570" s="122"/>
      <c r="BE570" s="122"/>
      <c r="BF570" s="122"/>
      <c r="BH570" s="122"/>
      <c r="BI570" s="122"/>
      <c r="BJ570" s="122"/>
      <c r="BK570" s="122"/>
      <c r="BM570" s="122"/>
      <c r="BN570" s="122"/>
      <c r="BO570" s="122"/>
      <c r="BP570" s="122"/>
      <c r="BR570" s="122"/>
      <c r="BS570" s="122"/>
      <c r="BT570" s="122"/>
      <c r="BU570" s="122"/>
      <c r="BV570" s="439"/>
      <c r="BW570" s="120">
        <f t="shared" si="786"/>
        <v>17450000</v>
      </c>
      <c r="BX570" s="121">
        <f t="shared" si="885"/>
        <v>3.5000000000000003E-2</v>
      </c>
      <c r="BY570" s="121">
        <f t="shared" si="889"/>
        <v>3.6932664756446992E-2</v>
      </c>
      <c r="BZ570" s="120">
        <f t="shared" si="787"/>
        <v>1790.2083333333335</v>
      </c>
      <c r="CA570" s="120">
        <f t="shared" si="788"/>
        <v>263.33333333333337</v>
      </c>
    </row>
    <row r="571" spans="2:79" x14ac:dyDescent="0.25">
      <c r="B571" s="123" t="str">
        <f t="shared" si="772"/>
        <v>7 2026</v>
      </c>
      <c r="C571" s="122">
        <f t="shared" si="773"/>
        <v>46220</v>
      </c>
      <c r="D571" s="122">
        <f t="shared" si="890"/>
        <v>46221</v>
      </c>
      <c r="E571" s="123">
        <f t="shared" si="774"/>
        <v>1</v>
      </c>
      <c r="F571" s="123" t="s">
        <v>7</v>
      </c>
      <c r="G571" s="124">
        <f t="shared" ref="G571:H571" si="903">G570</f>
        <v>1450000</v>
      </c>
      <c r="H571" s="125">
        <f t="shared" si="903"/>
        <v>3.15E-2</v>
      </c>
      <c r="I571" s="124">
        <f t="shared" si="776"/>
        <v>126.875</v>
      </c>
      <c r="J571" s="124">
        <f t="shared" si="777"/>
        <v>23839.375</v>
      </c>
      <c r="K571" s="9"/>
      <c r="L571" s="11"/>
      <c r="M571" s="306"/>
      <c r="N571" s="97"/>
      <c r="O571" s="421"/>
      <c r="P571" s="304"/>
      <c r="Q571" s="307"/>
      <c r="S571" s="11"/>
      <c r="T571" s="306"/>
      <c r="U571" s="97"/>
      <c r="V571" s="421"/>
      <c r="W571" s="304"/>
      <c r="X571" s="307"/>
      <c r="Z571" s="11" t="s">
        <v>192</v>
      </c>
      <c r="AA571" s="306">
        <f t="shared" ref="AA571:AB571" si="904">AA570</f>
        <v>10000000</v>
      </c>
      <c r="AB571" s="97">
        <f t="shared" si="904"/>
        <v>3.7499999999999999E-2</v>
      </c>
      <c r="AC571" s="421">
        <f t="shared" si="779"/>
        <v>1041.6666666666667</v>
      </c>
      <c r="AD571" s="304">
        <f t="shared" si="780"/>
        <v>207291.66666666619</v>
      </c>
      <c r="AE571" s="307">
        <f t="shared" si="781"/>
        <v>166.66666666666674</v>
      </c>
      <c r="AG571" s="11" t="s">
        <v>192</v>
      </c>
      <c r="AH571" s="306">
        <f t="shared" ref="AH571:AI571" si="905">AH570</f>
        <v>6000000</v>
      </c>
      <c r="AI571" s="97">
        <f t="shared" si="905"/>
        <v>3.73E-2</v>
      </c>
      <c r="AJ571" s="421">
        <f t="shared" si="783"/>
        <v>621.66666666666663</v>
      </c>
      <c r="AK571" s="304">
        <f t="shared" si="784"/>
        <v>1243.3333333333333</v>
      </c>
      <c r="AL571" s="307">
        <f t="shared" si="785"/>
        <v>96.666666666666629</v>
      </c>
      <c r="AN571" s="304">
        <f>'codeis $'!AB571</f>
        <v>0</v>
      </c>
      <c r="AO571" s="340">
        <f>'codeis $'!AH571</f>
        <v>0</v>
      </c>
      <c r="AP571" s="304">
        <f>'codeis $'!AE571</f>
        <v>0</v>
      </c>
      <c r="AQ571" s="304">
        <f>'codeis $'!AK571</f>
        <v>0</v>
      </c>
      <c r="AR571" s="9"/>
      <c r="AS571" s="9"/>
      <c r="AT571" s="123"/>
      <c r="AU571" s="123"/>
      <c r="AV571" s="123"/>
      <c r="AW571" s="123"/>
      <c r="AX571" s="123"/>
      <c r="AY571" s="123"/>
      <c r="AZ571" s="123"/>
      <c r="BA571" s="123"/>
      <c r="BC571" s="122"/>
      <c r="BD571" s="122"/>
      <c r="BE571" s="122"/>
      <c r="BF571" s="122"/>
      <c r="BH571" s="122"/>
      <c r="BI571" s="122"/>
      <c r="BJ571" s="122"/>
      <c r="BK571" s="122"/>
      <c r="BM571" s="122"/>
      <c r="BN571" s="122"/>
      <c r="BO571" s="122"/>
      <c r="BP571" s="122"/>
      <c r="BR571" s="122"/>
      <c r="BS571" s="122"/>
      <c r="BT571" s="122"/>
      <c r="BU571" s="122"/>
      <c r="BV571" s="439"/>
      <c r="BW571" s="120">
        <f t="shared" si="786"/>
        <v>17450000</v>
      </c>
      <c r="BX571" s="121">
        <f t="shared" si="885"/>
        <v>3.5000000000000003E-2</v>
      </c>
      <c r="BY571" s="121">
        <f t="shared" si="889"/>
        <v>3.6932664756446992E-2</v>
      </c>
      <c r="BZ571" s="120">
        <f t="shared" si="787"/>
        <v>1790.2083333333335</v>
      </c>
      <c r="CA571" s="120">
        <f t="shared" si="788"/>
        <v>263.33333333333337</v>
      </c>
    </row>
    <row r="572" spans="2:79" x14ac:dyDescent="0.25">
      <c r="B572" s="123" t="str">
        <f t="shared" si="772"/>
        <v>7 2026</v>
      </c>
      <c r="C572" s="122">
        <f t="shared" si="773"/>
        <v>46221</v>
      </c>
      <c r="D572" s="122">
        <f t="shared" si="890"/>
        <v>46222</v>
      </c>
      <c r="E572" s="123">
        <f t="shared" si="774"/>
        <v>1</v>
      </c>
      <c r="F572" s="123" t="s">
        <v>7</v>
      </c>
      <c r="G572" s="124">
        <f t="shared" ref="G572:H572" si="906">G571</f>
        <v>1450000</v>
      </c>
      <c r="H572" s="125">
        <f t="shared" si="906"/>
        <v>3.15E-2</v>
      </c>
      <c r="I572" s="124">
        <f t="shared" si="776"/>
        <v>126.875</v>
      </c>
      <c r="J572" s="124">
        <f t="shared" si="777"/>
        <v>23966.25</v>
      </c>
      <c r="K572" s="9"/>
      <c r="L572" s="11"/>
      <c r="M572" s="306"/>
      <c r="N572" s="97"/>
      <c r="O572" s="421"/>
      <c r="P572" s="304"/>
      <c r="Q572" s="307"/>
      <c r="S572" s="11"/>
      <c r="T572" s="306"/>
      <c r="U572" s="97"/>
      <c r="V572" s="421"/>
      <c r="W572" s="304"/>
      <c r="X572" s="307"/>
      <c r="Z572" s="11" t="s">
        <v>192</v>
      </c>
      <c r="AA572" s="306">
        <f t="shared" ref="AA572:AB572" si="907">AA571</f>
        <v>10000000</v>
      </c>
      <c r="AB572" s="97">
        <f t="shared" si="907"/>
        <v>3.7499999999999999E-2</v>
      </c>
      <c r="AC572" s="421">
        <f t="shared" si="779"/>
        <v>1041.6666666666667</v>
      </c>
      <c r="AD572" s="304">
        <f t="shared" si="780"/>
        <v>208333.33333333285</v>
      </c>
      <c r="AE572" s="307">
        <f t="shared" si="781"/>
        <v>166.66666666666674</v>
      </c>
      <c r="AG572" s="11" t="s">
        <v>192</v>
      </c>
      <c r="AH572" s="306">
        <f t="shared" ref="AH572:AI572" si="908">AH571</f>
        <v>6000000</v>
      </c>
      <c r="AI572" s="97">
        <f t="shared" si="908"/>
        <v>3.73E-2</v>
      </c>
      <c r="AJ572" s="421">
        <f t="shared" si="783"/>
        <v>621.66666666666663</v>
      </c>
      <c r="AK572" s="304">
        <f t="shared" si="784"/>
        <v>1243.3333333333333</v>
      </c>
      <c r="AL572" s="307">
        <f t="shared" si="785"/>
        <v>96.666666666666629</v>
      </c>
      <c r="AN572" s="304">
        <f>'codeis $'!AB572</f>
        <v>0</v>
      </c>
      <c r="AO572" s="340">
        <f>'codeis $'!AH572</f>
        <v>0</v>
      </c>
      <c r="AP572" s="304">
        <f>'codeis $'!AE572</f>
        <v>0</v>
      </c>
      <c r="AQ572" s="304">
        <f>'codeis $'!AK572</f>
        <v>0</v>
      </c>
      <c r="AR572" s="9"/>
      <c r="AS572" s="9"/>
      <c r="AT572" s="123"/>
      <c r="AU572" s="123"/>
      <c r="AV572" s="123"/>
      <c r="AW572" s="123"/>
      <c r="AX572" s="123"/>
      <c r="AY572" s="123"/>
      <c r="AZ572" s="123"/>
      <c r="BA572" s="123"/>
      <c r="BC572" s="122"/>
      <c r="BD572" s="122"/>
      <c r="BE572" s="122"/>
      <c r="BF572" s="122"/>
      <c r="BH572" s="122"/>
      <c r="BI572" s="122"/>
      <c r="BJ572" s="122"/>
      <c r="BK572" s="122"/>
      <c r="BM572" s="122"/>
      <c r="BN572" s="122"/>
      <c r="BO572" s="122"/>
      <c r="BP572" s="122"/>
      <c r="BR572" s="122"/>
      <c r="BS572" s="122"/>
      <c r="BT572" s="122"/>
      <c r="BU572" s="122"/>
      <c r="BV572" s="439"/>
      <c r="BW572" s="120">
        <f t="shared" si="786"/>
        <v>17450000</v>
      </c>
      <c r="BX572" s="121">
        <f t="shared" si="885"/>
        <v>3.5000000000000003E-2</v>
      </c>
      <c r="BY572" s="121">
        <f t="shared" si="889"/>
        <v>3.6932664756446992E-2</v>
      </c>
      <c r="BZ572" s="120">
        <f t="shared" si="787"/>
        <v>1790.2083333333335</v>
      </c>
      <c r="CA572" s="120">
        <f t="shared" si="788"/>
        <v>263.33333333333337</v>
      </c>
    </row>
    <row r="573" spans="2:79" x14ac:dyDescent="0.25">
      <c r="B573" s="123" t="str">
        <f t="shared" si="772"/>
        <v>7 2026</v>
      </c>
      <c r="C573" s="122">
        <f t="shared" si="773"/>
        <v>46222</v>
      </c>
      <c r="D573" s="122">
        <f t="shared" si="890"/>
        <v>46223</v>
      </c>
      <c r="E573" s="123">
        <f t="shared" si="774"/>
        <v>1</v>
      </c>
      <c r="F573" s="123" t="s">
        <v>7</v>
      </c>
      <c r="G573" s="124">
        <f t="shared" ref="G573:H573" si="909">G572</f>
        <v>1450000</v>
      </c>
      <c r="H573" s="125">
        <f t="shared" si="909"/>
        <v>3.15E-2</v>
      </c>
      <c r="I573" s="124">
        <f t="shared" si="776"/>
        <v>126.875</v>
      </c>
      <c r="J573" s="124">
        <f t="shared" si="777"/>
        <v>24093.125</v>
      </c>
      <c r="K573" s="9"/>
      <c r="L573" s="11"/>
      <c r="M573" s="306"/>
      <c r="N573" s="97"/>
      <c r="O573" s="421"/>
      <c r="P573" s="304"/>
      <c r="Q573" s="307"/>
      <c r="S573" s="11"/>
      <c r="T573" s="306"/>
      <c r="U573" s="97"/>
      <c r="V573" s="421"/>
      <c r="W573" s="304"/>
      <c r="X573" s="307"/>
      <c r="Z573" s="11" t="s">
        <v>192</v>
      </c>
      <c r="AA573" s="306">
        <f t="shared" ref="AA573:AB573" si="910">AA572</f>
        <v>10000000</v>
      </c>
      <c r="AB573" s="97">
        <f t="shared" si="910"/>
        <v>3.7499999999999999E-2</v>
      </c>
      <c r="AC573" s="421">
        <f t="shared" si="779"/>
        <v>1041.6666666666667</v>
      </c>
      <c r="AD573" s="304">
        <f t="shared" si="780"/>
        <v>209374.99999999951</v>
      </c>
      <c r="AE573" s="307">
        <f t="shared" si="781"/>
        <v>166.66666666666674</v>
      </c>
      <c r="AG573" s="11" t="s">
        <v>192</v>
      </c>
      <c r="AH573" s="306">
        <f t="shared" ref="AH573:AI573" si="911">AH572</f>
        <v>6000000</v>
      </c>
      <c r="AI573" s="97">
        <f t="shared" si="911"/>
        <v>3.73E-2</v>
      </c>
      <c r="AJ573" s="421">
        <f t="shared" si="783"/>
        <v>621.66666666666663</v>
      </c>
      <c r="AK573" s="304">
        <f t="shared" si="784"/>
        <v>1243.3333333333333</v>
      </c>
      <c r="AL573" s="307">
        <f t="shared" si="785"/>
        <v>96.666666666666629</v>
      </c>
      <c r="AN573" s="304">
        <f>'codeis $'!AB573</f>
        <v>0</v>
      </c>
      <c r="AO573" s="340">
        <f>'codeis $'!AH573</f>
        <v>0</v>
      </c>
      <c r="AP573" s="304">
        <f>'codeis $'!AE573</f>
        <v>0</v>
      </c>
      <c r="AQ573" s="304">
        <f>'codeis $'!AK573</f>
        <v>0</v>
      </c>
      <c r="AR573" s="9"/>
      <c r="AS573" s="9"/>
      <c r="AT573" s="123"/>
      <c r="AU573" s="123"/>
      <c r="AV573" s="123"/>
      <c r="AW573" s="123"/>
      <c r="AX573" s="123"/>
      <c r="AY573" s="123"/>
      <c r="AZ573" s="123"/>
      <c r="BA573" s="123"/>
      <c r="BC573" s="122"/>
      <c r="BD573" s="122"/>
      <c r="BE573" s="122"/>
      <c r="BF573" s="122"/>
      <c r="BH573" s="122"/>
      <c r="BI573" s="122"/>
      <c r="BJ573" s="122"/>
      <c r="BK573" s="122"/>
      <c r="BM573" s="122"/>
      <c r="BN573" s="122"/>
      <c r="BO573" s="122"/>
      <c r="BP573" s="122"/>
      <c r="BR573" s="122"/>
      <c r="BS573" s="122"/>
      <c r="BT573" s="122"/>
      <c r="BU573" s="122"/>
      <c r="BV573" s="439"/>
      <c r="BW573" s="120">
        <f t="shared" si="786"/>
        <v>17450000</v>
      </c>
      <c r="BX573" s="121">
        <f t="shared" si="885"/>
        <v>3.5000000000000003E-2</v>
      </c>
      <c r="BY573" s="121">
        <f t="shared" si="889"/>
        <v>3.6932664756446992E-2</v>
      </c>
      <c r="BZ573" s="120">
        <f t="shared" si="787"/>
        <v>1790.2083333333335</v>
      </c>
      <c r="CA573" s="120">
        <f t="shared" si="788"/>
        <v>263.33333333333337</v>
      </c>
    </row>
    <row r="574" spans="2:79" x14ac:dyDescent="0.25">
      <c r="B574" s="123" t="str">
        <f t="shared" si="772"/>
        <v>7 2026</v>
      </c>
      <c r="C574" s="122">
        <f t="shared" si="773"/>
        <v>46223</v>
      </c>
      <c r="D574" s="122">
        <f t="shared" si="890"/>
        <v>46224</v>
      </c>
      <c r="E574" s="123">
        <f t="shared" si="774"/>
        <v>1</v>
      </c>
      <c r="F574" s="123" t="s">
        <v>7</v>
      </c>
      <c r="G574" s="124">
        <f t="shared" ref="G574:H574" si="912">G573</f>
        <v>1450000</v>
      </c>
      <c r="H574" s="125">
        <f t="shared" si="912"/>
        <v>3.15E-2</v>
      </c>
      <c r="I574" s="124">
        <f t="shared" si="776"/>
        <v>126.875</v>
      </c>
      <c r="J574" s="124">
        <f t="shared" si="777"/>
        <v>24220</v>
      </c>
      <c r="K574" s="9"/>
      <c r="L574" s="11"/>
      <c r="M574" s="306"/>
      <c r="N574" s="97"/>
      <c r="O574" s="421"/>
      <c r="P574" s="304"/>
      <c r="Q574" s="307"/>
      <c r="S574" s="11"/>
      <c r="T574" s="306"/>
      <c r="U574" s="97"/>
      <c r="V574" s="421"/>
      <c r="W574" s="304"/>
      <c r="X574" s="307"/>
      <c r="Z574" s="11" t="s">
        <v>192</v>
      </c>
      <c r="AA574" s="306">
        <f t="shared" ref="AA574:AB574" si="913">AA573</f>
        <v>10000000</v>
      </c>
      <c r="AB574" s="97">
        <f t="shared" si="913"/>
        <v>3.7499999999999999E-2</v>
      </c>
      <c r="AC574" s="421">
        <f t="shared" si="779"/>
        <v>1041.6666666666667</v>
      </c>
      <c r="AD574" s="304">
        <f t="shared" si="780"/>
        <v>210416.66666666616</v>
      </c>
      <c r="AE574" s="307">
        <f t="shared" si="781"/>
        <v>166.66666666666674</v>
      </c>
      <c r="AG574" s="11" t="s">
        <v>192</v>
      </c>
      <c r="AH574" s="306">
        <f t="shared" ref="AH574:AI574" si="914">AH573</f>
        <v>6000000</v>
      </c>
      <c r="AI574" s="97">
        <f t="shared" si="914"/>
        <v>3.73E-2</v>
      </c>
      <c r="AJ574" s="421">
        <f t="shared" si="783"/>
        <v>621.66666666666663</v>
      </c>
      <c r="AK574" s="304">
        <f t="shared" si="784"/>
        <v>1243.3333333333333</v>
      </c>
      <c r="AL574" s="307">
        <f t="shared" si="785"/>
        <v>96.666666666666629</v>
      </c>
      <c r="AN574" s="304">
        <f>'codeis $'!AB574</f>
        <v>0</v>
      </c>
      <c r="AO574" s="340">
        <f>'codeis $'!AH574</f>
        <v>0</v>
      </c>
      <c r="AP574" s="304">
        <f>'codeis $'!AE574</f>
        <v>0</v>
      </c>
      <c r="AQ574" s="304">
        <f>'codeis $'!AK574</f>
        <v>0</v>
      </c>
      <c r="AR574" s="9"/>
      <c r="AS574" s="9"/>
      <c r="AT574" s="123"/>
      <c r="AU574" s="123"/>
      <c r="AV574" s="123"/>
      <c r="AW574" s="123"/>
      <c r="AX574" s="123"/>
      <c r="AY574" s="123"/>
      <c r="AZ574" s="123"/>
      <c r="BA574" s="123"/>
      <c r="BC574" s="122"/>
      <c r="BD574" s="122"/>
      <c r="BE574" s="122"/>
      <c r="BF574" s="122"/>
      <c r="BH574" s="122"/>
      <c r="BI574" s="122"/>
      <c r="BJ574" s="122"/>
      <c r="BK574" s="122"/>
      <c r="BM574" s="122"/>
      <c r="BN574" s="122"/>
      <c r="BO574" s="122"/>
      <c r="BP574" s="122"/>
      <c r="BR574" s="122"/>
      <c r="BS574" s="122"/>
      <c r="BT574" s="122"/>
      <c r="BU574" s="122"/>
      <c r="BV574" s="439"/>
      <c r="BW574" s="120">
        <f t="shared" si="786"/>
        <v>17450000</v>
      </c>
      <c r="BX574" s="121">
        <f t="shared" si="885"/>
        <v>3.5000000000000003E-2</v>
      </c>
      <c r="BY574" s="121">
        <f t="shared" si="889"/>
        <v>3.6932664756446992E-2</v>
      </c>
      <c r="BZ574" s="120">
        <f t="shared" si="787"/>
        <v>1790.2083333333335</v>
      </c>
      <c r="CA574" s="120">
        <f t="shared" si="788"/>
        <v>263.33333333333337</v>
      </c>
    </row>
    <row r="575" spans="2:79" x14ac:dyDescent="0.25">
      <c r="B575" s="123" t="str">
        <f t="shared" si="772"/>
        <v>7 2026</v>
      </c>
      <c r="C575" s="122">
        <f t="shared" si="773"/>
        <v>46224</v>
      </c>
      <c r="D575" s="122">
        <f t="shared" si="890"/>
        <v>46225</v>
      </c>
      <c r="E575" s="123">
        <f t="shared" si="774"/>
        <v>1</v>
      </c>
      <c r="F575" s="123" t="s">
        <v>7</v>
      </c>
      <c r="G575" s="124">
        <f t="shared" ref="G575:H575" si="915">G574</f>
        <v>1450000</v>
      </c>
      <c r="H575" s="125">
        <f t="shared" si="915"/>
        <v>3.15E-2</v>
      </c>
      <c r="I575" s="124">
        <f t="shared" si="776"/>
        <v>126.875</v>
      </c>
      <c r="J575" s="124">
        <f t="shared" si="777"/>
        <v>24346.875</v>
      </c>
      <c r="K575" s="9"/>
      <c r="L575" s="11"/>
      <c r="M575" s="306"/>
      <c r="N575" s="97"/>
      <c r="O575" s="421"/>
      <c r="P575" s="304"/>
      <c r="Q575" s="307"/>
      <c r="S575" s="11"/>
      <c r="T575" s="306"/>
      <c r="U575" s="97"/>
      <c r="V575" s="421"/>
      <c r="W575" s="304"/>
      <c r="X575" s="307"/>
      <c r="Z575" s="11" t="s">
        <v>192</v>
      </c>
      <c r="AA575" s="306">
        <f t="shared" ref="AA575:AB575" si="916">AA574</f>
        <v>10000000</v>
      </c>
      <c r="AB575" s="97">
        <f t="shared" si="916"/>
        <v>3.7499999999999999E-2</v>
      </c>
      <c r="AC575" s="421">
        <f t="shared" si="779"/>
        <v>1041.6666666666667</v>
      </c>
      <c r="AD575" s="304">
        <f t="shared" si="780"/>
        <v>211458.33333333282</v>
      </c>
      <c r="AE575" s="307">
        <f t="shared" si="781"/>
        <v>166.66666666666674</v>
      </c>
      <c r="AG575" s="11" t="s">
        <v>192</v>
      </c>
      <c r="AH575" s="306">
        <f t="shared" ref="AH575:AI575" si="917">AH574</f>
        <v>6000000</v>
      </c>
      <c r="AI575" s="97">
        <f t="shared" si="917"/>
        <v>3.73E-2</v>
      </c>
      <c r="AJ575" s="421">
        <f t="shared" si="783"/>
        <v>621.66666666666663</v>
      </c>
      <c r="AK575" s="304">
        <f t="shared" si="784"/>
        <v>1243.3333333333333</v>
      </c>
      <c r="AL575" s="307">
        <f t="shared" si="785"/>
        <v>96.666666666666629</v>
      </c>
      <c r="AN575" s="304">
        <f>'codeis $'!AB575</f>
        <v>0</v>
      </c>
      <c r="AO575" s="340">
        <f>'codeis $'!AH575</f>
        <v>0</v>
      </c>
      <c r="AP575" s="304">
        <f>'codeis $'!AE575</f>
        <v>0</v>
      </c>
      <c r="AQ575" s="304">
        <f>'codeis $'!AK575</f>
        <v>0</v>
      </c>
      <c r="AR575" s="9"/>
      <c r="AS575" s="9"/>
      <c r="AT575" s="123"/>
      <c r="AU575" s="123"/>
      <c r="AV575" s="123"/>
      <c r="AW575" s="123"/>
      <c r="AX575" s="123"/>
      <c r="AY575" s="123"/>
      <c r="AZ575" s="123"/>
      <c r="BA575" s="123"/>
      <c r="BC575" s="122"/>
      <c r="BD575" s="122"/>
      <c r="BE575" s="122"/>
      <c r="BF575" s="122"/>
      <c r="BH575" s="122"/>
      <c r="BI575" s="122"/>
      <c r="BJ575" s="122"/>
      <c r="BK575" s="122"/>
      <c r="BM575" s="122"/>
      <c r="BN575" s="122"/>
      <c r="BO575" s="122"/>
      <c r="BP575" s="122"/>
      <c r="BR575" s="122"/>
      <c r="BS575" s="122"/>
      <c r="BT575" s="122"/>
      <c r="BU575" s="122"/>
      <c r="BV575" s="439"/>
      <c r="BW575" s="120">
        <f t="shared" si="786"/>
        <v>17450000</v>
      </c>
      <c r="BX575" s="121">
        <f t="shared" si="885"/>
        <v>3.5000000000000003E-2</v>
      </c>
      <c r="BY575" s="121">
        <f t="shared" si="889"/>
        <v>3.6932664756446992E-2</v>
      </c>
      <c r="BZ575" s="120">
        <f t="shared" si="787"/>
        <v>1790.2083333333335</v>
      </c>
      <c r="CA575" s="120">
        <f t="shared" si="788"/>
        <v>263.33333333333337</v>
      </c>
    </row>
    <row r="576" spans="2:79" x14ac:dyDescent="0.25">
      <c r="B576" s="123" t="str">
        <f t="shared" si="772"/>
        <v>7 2026</v>
      </c>
      <c r="C576" s="122">
        <f t="shared" si="773"/>
        <v>46225</v>
      </c>
      <c r="D576" s="122">
        <f t="shared" si="890"/>
        <v>46226</v>
      </c>
      <c r="E576" s="123">
        <f t="shared" si="774"/>
        <v>1</v>
      </c>
      <c r="F576" s="123" t="s">
        <v>7</v>
      </c>
      <c r="G576" s="124">
        <f t="shared" ref="G576:H576" si="918">G575</f>
        <v>1450000</v>
      </c>
      <c r="H576" s="125">
        <f t="shared" si="918"/>
        <v>3.15E-2</v>
      </c>
      <c r="I576" s="124">
        <f t="shared" si="776"/>
        <v>126.875</v>
      </c>
      <c r="J576" s="124">
        <f t="shared" si="777"/>
        <v>24473.75</v>
      </c>
      <c r="K576" s="9"/>
      <c r="L576" s="11"/>
      <c r="M576" s="306"/>
      <c r="N576" s="97"/>
      <c r="O576" s="421"/>
      <c r="P576" s="304"/>
      <c r="Q576" s="307"/>
      <c r="S576" s="11"/>
      <c r="T576" s="306"/>
      <c r="U576" s="97"/>
      <c r="V576" s="421"/>
      <c r="W576" s="304"/>
      <c r="X576" s="307"/>
      <c r="Z576" s="11" t="s">
        <v>192</v>
      </c>
      <c r="AA576" s="306">
        <f t="shared" ref="AA576:AB576" si="919">AA575</f>
        <v>10000000</v>
      </c>
      <c r="AB576" s="97">
        <f t="shared" si="919"/>
        <v>3.7499999999999999E-2</v>
      </c>
      <c r="AC576" s="421">
        <f t="shared" si="779"/>
        <v>1041.6666666666667</v>
      </c>
      <c r="AD576" s="304">
        <f t="shared" si="780"/>
        <v>212499.99999999948</v>
      </c>
      <c r="AE576" s="307">
        <f t="shared" si="781"/>
        <v>166.66666666666674</v>
      </c>
      <c r="AG576" s="11" t="s">
        <v>192</v>
      </c>
      <c r="AH576" s="306">
        <f t="shared" ref="AH576:AI576" si="920">AH575</f>
        <v>6000000</v>
      </c>
      <c r="AI576" s="97">
        <f t="shared" si="920"/>
        <v>3.73E-2</v>
      </c>
      <c r="AJ576" s="421">
        <f t="shared" si="783"/>
        <v>621.66666666666663</v>
      </c>
      <c r="AK576" s="304">
        <f t="shared" si="784"/>
        <v>1243.3333333333333</v>
      </c>
      <c r="AL576" s="307">
        <f t="shared" si="785"/>
        <v>96.666666666666629</v>
      </c>
      <c r="AN576" s="304">
        <f>'codeis $'!AB576</f>
        <v>0</v>
      </c>
      <c r="AO576" s="340">
        <f>'codeis $'!AH576</f>
        <v>0</v>
      </c>
      <c r="AP576" s="304">
        <f>'codeis $'!AE576</f>
        <v>0</v>
      </c>
      <c r="AQ576" s="304">
        <f>'codeis $'!AK576</f>
        <v>0</v>
      </c>
      <c r="AR576" s="9"/>
      <c r="AS576" s="9"/>
      <c r="AT576" s="123"/>
      <c r="AU576" s="123"/>
      <c r="AV576" s="123"/>
      <c r="AW576" s="123"/>
      <c r="AX576" s="123"/>
      <c r="AY576" s="123"/>
      <c r="AZ576" s="123"/>
      <c r="BA576" s="123"/>
      <c r="BC576" s="122"/>
      <c r="BD576" s="122"/>
      <c r="BE576" s="122"/>
      <c r="BF576" s="122"/>
      <c r="BH576" s="122"/>
      <c r="BI576" s="122"/>
      <c r="BJ576" s="122"/>
      <c r="BK576" s="122"/>
      <c r="BM576" s="122"/>
      <c r="BN576" s="122"/>
      <c r="BO576" s="122"/>
      <c r="BP576" s="122"/>
      <c r="BR576" s="122"/>
      <c r="BS576" s="122"/>
      <c r="BT576" s="122"/>
      <c r="BU576" s="122"/>
      <c r="BV576" s="439"/>
      <c r="BW576" s="120">
        <f t="shared" si="786"/>
        <v>17450000</v>
      </c>
      <c r="BX576" s="121">
        <f t="shared" si="885"/>
        <v>3.5000000000000003E-2</v>
      </c>
      <c r="BY576" s="121">
        <f t="shared" si="889"/>
        <v>3.6932664756446992E-2</v>
      </c>
      <c r="BZ576" s="120">
        <f t="shared" si="787"/>
        <v>1790.2083333333335</v>
      </c>
      <c r="CA576" s="120">
        <f t="shared" si="788"/>
        <v>263.33333333333337</v>
      </c>
    </row>
    <row r="577" spans="2:79" x14ac:dyDescent="0.25">
      <c r="B577" s="123" t="str">
        <f t="shared" si="772"/>
        <v>7 2026</v>
      </c>
      <c r="C577" s="122">
        <f t="shared" si="773"/>
        <v>46226</v>
      </c>
      <c r="D577" s="122">
        <f t="shared" si="890"/>
        <v>46227</v>
      </c>
      <c r="E577" s="123">
        <f t="shared" si="774"/>
        <v>1</v>
      </c>
      <c r="F577" s="123" t="s">
        <v>7</v>
      </c>
      <c r="G577" s="124">
        <f t="shared" ref="G577:H577" si="921">G576</f>
        <v>1450000</v>
      </c>
      <c r="H577" s="125">
        <f t="shared" si="921"/>
        <v>3.15E-2</v>
      </c>
      <c r="I577" s="124">
        <f t="shared" si="776"/>
        <v>126.875</v>
      </c>
      <c r="J577" s="124">
        <f t="shared" si="777"/>
        <v>24600.625</v>
      </c>
      <c r="K577" s="9"/>
      <c r="L577" s="11"/>
      <c r="M577" s="306"/>
      <c r="N577" s="97"/>
      <c r="O577" s="421"/>
      <c r="P577" s="304"/>
      <c r="Q577" s="307"/>
      <c r="S577" s="11"/>
      <c r="T577" s="306"/>
      <c r="U577" s="97"/>
      <c r="V577" s="421"/>
      <c r="W577" s="304"/>
      <c r="X577" s="307"/>
      <c r="Z577" s="11" t="s">
        <v>192</v>
      </c>
      <c r="AA577" s="306">
        <f t="shared" ref="AA577:AB577" si="922">AA576</f>
        <v>10000000</v>
      </c>
      <c r="AB577" s="97">
        <f t="shared" si="922"/>
        <v>3.7499999999999999E-2</v>
      </c>
      <c r="AC577" s="421">
        <f t="shared" si="779"/>
        <v>1041.6666666666667</v>
      </c>
      <c r="AD577" s="304">
        <f t="shared" si="780"/>
        <v>213541.66666666613</v>
      </c>
      <c r="AE577" s="307">
        <f t="shared" si="781"/>
        <v>166.66666666666674</v>
      </c>
      <c r="AG577" s="11" t="s">
        <v>192</v>
      </c>
      <c r="AH577" s="306">
        <f t="shared" ref="AH577:AI577" si="923">AH576</f>
        <v>6000000</v>
      </c>
      <c r="AI577" s="97">
        <f t="shared" si="923"/>
        <v>3.73E-2</v>
      </c>
      <c r="AJ577" s="421">
        <f t="shared" si="783"/>
        <v>621.66666666666663</v>
      </c>
      <c r="AK577" s="304">
        <f t="shared" si="784"/>
        <v>1243.3333333333333</v>
      </c>
      <c r="AL577" s="307">
        <f t="shared" si="785"/>
        <v>96.666666666666629</v>
      </c>
      <c r="AN577" s="304">
        <f>'codeis $'!AB577</f>
        <v>0</v>
      </c>
      <c r="AO577" s="340">
        <f>'codeis $'!AH577</f>
        <v>0</v>
      </c>
      <c r="AP577" s="304">
        <f>'codeis $'!AE577</f>
        <v>0</v>
      </c>
      <c r="AQ577" s="304">
        <f>'codeis $'!AK577</f>
        <v>0</v>
      </c>
      <c r="AR577" s="9"/>
      <c r="AS577" s="9"/>
      <c r="AT577" s="123"/>
      <c r="AU577" s="123"/>
      <c r="AV577" s="123"/>
      <c r="AW577" s="123"/>
      <c r="AX577" s="123"/>
      <c r="AY577" s="123"/>
      <c r="AZ577" s="123"/>
      <c r="BA577" s="123"/>
      <c r="BC577" s="122"/>
      <c r="BD577" s="122"/>
      <c r="BE577" s="122"/>
      <c r="BF577" s="122"/>
      <c r="BH577" s="122"/>
      <c r="BI577" s="122"/>
      <c r="BJ577" s="122"/>
      <c r="BK577" s="122"/>
      <c r="BM577" s="122"/>
      <c r="BN577" s="122"/>
      <c r="BO577" s="122"/>
      <c r="BP577" s="122"/>
      <c r="BR577" s="122"/>
      <c r="BS577" s="122"/>
      <c r="BT577" s="122"/>
      <c r="BU577" s="122"/>
      <c r="BV577" s="439"/>
      <c r="BW577" s="120">
        <f t="shared" si="786"/>
        <v>17450000</v>
      </c>
      <c r="BX577" s="121">
        <f t="shared" si="885"/>
        <v>3.5000000000000003E-2</v>
      </c>
      <c r="BY577" s="121">
        <f t="shared" si="889"/>
        <v>3.6932664756446992E-2</v>
      </c>
      <c r="BZ577" s="120">
        <f t="shared" si="787"/>
        <v>1790.2083333333335</v>
      </c>
      <c r="CA577" s="120">
        <f t="shared" si="788"/>
        <v>263.33333333333337</v>
      </c>
    </row>
    <row r="578" spans="2:79" x14ac:dyDescent="0.25">
      <c r="B578" s="123" t="str">
        <f t="shared" si="772"/>
        <v>7 2026</v>
      </c>
      <c r="C578" s="122">
        <f t="shared" si="773"/>
        <v>46227</v>
      </c>
      <c r="D578" s="122">
        <f t="shared" si="890"/>
        <v>46228</v>
      </c>
      <c r="E578" s="123">
        <f t="shared" si="774"/>
        <v>1</v>
      </c>
      <c r="F578" s="123" t="s">
        <v>7</v>
      </c>
      <c r="G578" s="124">
        <f t="shared" ref="G578:H578" si="924">G577</f>
        <v>1450000</v>
      </c>
      <c r="H578" s="125">
        <f t="shared" si="924"/>
        <v>3.15E-2</v>
      </c>
      <c r="I578" s="124">
        <f t="shared" si="776"/>
        <v>126.875</v>
      </c>
      <c r="J578" s="124">
        <f t="shared" si="777"/>
        <v>24727.5</v>
      </c>
      <c r="K578" s="9"/>
      <c r="L578" s="11"/>
      <c r="M578" s="306"/>
      <c r="N578" s="97"/>
      <c r="O578" s="421"/>
      <c r="P578" s="304"/>
      <c r="Q578" s="307"/>
      <c r="S578" s="11"/>
      <c r="T578" s="306"/>
      <c r="U578" s="97"/>
      <c r="V578" s="421"/>
      <c r="W578" s="304"/>
      <c r="X578" s="307"/>
      <c r="Z578" s="11" t="s">
        <v>192</v>
      </c>
      <c r="AA578" s="306">
        <f t="shared" ref="AA578:AB578" si="925">AA577</f>
        <v>10000000</v>
      </c>
      <c r="AB578" s="97">
        <f t="shared" si="925"/>
        <v>3.7499999999999999E-2</v>
      </c>
      <c r="AC578" s="421">
        <f t="shared" si="779"/>
        <v>1041.6666666666667</v>
      </c>
      <c r="AD578" s="304">
        <f t="shared" si="780"/>
        <v>214583.33333333279</v>
      </c>
      <c r="AE578" s="307">
        <f t="shared" si="781"/>
        <v>166.66666666666674</v>
      </c>
      <c r="AG578" s="11" t="s">
        <v>192</v>
      </c>
      <c r="AH578" s="306">
        <f t="shared" ref="AH578:AI578" si="926">AH577</f>
        <v>6000000</v>
      </c>
      <c r="AI578" s="97">
        <f t="shared" si="926"/>
        <v>3.73E-2</v>
      </c>
      <c r="AJ578" s="421">
        <f t="shared" si="783"/>
        <v>621.66666666666663</v>
      </c>
      <c r="AK578" s="304">
        <f t="shared" si="784"/>
        <v>1243.3333333333333</v>
      </c>
      <c r="AL578" s="307">
        <f t="shared" si="785"/>
        <v>96.666666666666629</v>
      </c>
      <c r="AN578" s="304">
        <f>'codeis $'!AB578</f>
        <v>0</v>
      </c>
      <c r="AO578" s="340">
        <f>'codeis $'!AH578</f>
        <v>0</v>
      </c>
      <c r="AP578" s="304">
        <f>'codeis $'!AE578</f>
        <v>0</v>
      </c>
      <c r="AQ578" s="304">
        <f>'codeis $'!AK578</f>
        <v>0</v>
      </c>
      <c r="AR578" s="9"/>
      <c r="AS578" s="9"/>
      <c r="AT578" s="123"/>
      <c r="AU578" s="123"/>
      <c r="AV578" s="123"/>
      <c r="AW578" s="123"/>
      <c r="AX578" s="123"/>
      <c r="AY578" s="123"/>
      <c r="AZ578" s="123"/>
      <c r="BA578" s="123"/>
      <c r="BC578" s="122"/>
      <c r="BD578" s="122"/>
      <c r="BE578" s="122"/>
      <c r="BF578" s="122"/>
      <c r="BH578" s="122"/>
      <c r="BI578" s="122"/>
      <c r="BJ578" s="122"/>
      <c r="BK578" s="122"/>
      <c r="BM578" s="122"/>
      <c r="BN578" s="122"/>
      <c r="BO578" s="122"/>
      <c r="BP578" s="122"/>
      <c r="BR578" s="122"/>
      <c r="BS578" s="122"/>
      <c r="BT578" s="122"/>
      <c r="BU578" s="122"/>
      <c r="BV578" s="439"/>
      <c r="BW578" s="120">
        <f t="shared" si="786"/>
        <v>17450000</v>
      </c>
      <c r="BX578" s="121">
        <f t="shared" si="885"/>
        <v>3.5000000000000003E-2</v>
      </c>
      <c r="BY578" s="121">
        <f t="shared" si="889"/>
        <v>3.6932664756446992E-2</v>
      </c>
      <c r="BZ578" s="120">
        <f t="shared" si="787"/>
        <v>1790.2083333333335</v>
      </c>
      <c r="CA578" s="120">
        <f t="shared" si="788"/>
        <v>263.33333333333337</v>
      </c>
    </row>
    <row r="579" spans="2:79" x14ac:dyDescent="0.25">
      <c r="B579" s="123" t="str">
        <f t="shared" si="772"/>
        <v>7 2026</v>
      </c>
      <c r="C579" s="122">
        <f t="shared" si="773"/>
        <v>46228</v>
      </c>
      <c r="D579" s="122">
        <f t="shared" si="890"/>
        <v>46229</v>
      </c>
      <c r="E579" s="123">
        <f t="shared" si="774"/>
        <v>1</v>
      </c>
      <c r="F579" s="123" t="s">
        <v>7</v>
      </c>
      <c r="G579" s="124">
        <f t="shared" ref="G579:H579" si="927">G578</f>
        <v>1450000</v>
      </c>
      <c r="H579" s="125">
        <f t="shared" si="927"/>
        <v>3.15E-2</v>
      </c>
      <c r="I579" s="124">
        <f t="shared" si="776"/>
        <v>126.875</v>
      </c>
      <c r="J579" s="124">
        <f t="shared" si="777"/>
        <v>24854.375</v>
      </c>
      <c r="K579" s="9"/>
      <c r="L579" s="11"/>
      <c r="M579" s="306"/>
      <c r="N579" s="97"/>
      <c r="O579" s="421"/>
      <c r="P579" s="304"/>
      <c r="Q579" s="307"/>
      <c r="S579" s="11"/>
      <c r="T579" s="306"/>
      <c r="U579" s="97"/>
      <c r="V579" s="421"/>
      <c r="W579" s="304"/>
      <c r="X579" s="307"/>
      <c r="Z579" s="11" t="s">
        <v>192</v>
      </c>
      <c r="AA579" s="306">
        <f t="shared" ref="AA579:AB579" si="928">AA578</f>
        <v>10000000</v>
      </c>
      <c r="AB579" s="97">
        <f t="shared" si="928"/>
        <v>3.7499999999999999E-2</v>
      </c>
      <c r="AC579" s="421">
        <f t="shared" si="779"/>
        <v>1041.6666666666667</v>
      </c>
      <c r="AD579" s="304">
        <f t="shared" si="780"/>
        <v>215624.99999999945</v>
      </c>
      <c r="AE579" s="307">
        <f t="shared" si="781"/>
        <v>166.66666666666674</v>
      </c>
      <c r="AG579" s="11" t="s">
        <v>192</v>
      </c>
      <c r="AH579" s="306">
        <f t="shared" ref="AH579:AI579" si="929">AH578</f>
        <v>6000000</v>
      </c>
      <c r="AI579" s="97">
        <f t="shared" si="929"/>
        <v>3.73E-2</v>
      </c>
      <c r="AJ579" s="421">
        <f t="shared" si="783"/>
        <v>621.66666666666663</v>
      </c>
      <c r="AK579" s="304">
        <f t="shared" si="784"/>
        <v>1243.3333333333333</v>
      </c>
      <c r="AL579" s="307">
        <f t="shared" si="785"/>
        <v>96.666666666666629</v>
      </c>
      <c r="AN579" s="304">
        <f>'codeis $'!AB579</f>
        <v>0</v>
      </c>
      <c r="AO579" s="340">
        <f>'codeis $'!AH579</f>
        <v>0</v>
      </c>
      <c r="AP579" s="304">
        <f>'codeis $'!AE579</f>
        <v>0</v>
      </c>
      <c r="AQ579" s="304">
        <f>'codeis $'!AK579</f>
        <v>0</v>
      </c>
      <c r="AR579" s="9"/>
      <c r="AS579" s="9"/>
      <c r="AT579" s="123"/>
      <c r="AU579" s="123"/>
      <c r="AV579" s="123"/>
      <c r="AW579" s="123"/>
      <c r="AX579" s="123"/>
      <c r="AY579" s="123"/>
      <c r="AZ579" s="123"/>
      <c r="BA579" s="123"/>
      <c r="BC579" s="122"/>
      <c r="BD579" s="122"/>
      <c r="BE579" s="122"/>
      <c r="BF579" s="122"/>
      <c r="BH579" s="122"/>
      <c r="BI579" s="122"/>
      <c r="BJ579" s="122"/>
      <c r="BK579" s="122"/>
      <c r="BM579" s="122"/>
      <c r="BN579" s="122"/>
      <c r="BO579" s="122"/>
      <c r="BP579" s="122"/>
      <c r="BR579" s="122"/>
      <c r="BS579" s="122"/>
      <c r="BT579" s="122"/>
      <c r="BU579" s="122"/>
      <c r="BV579" s="439"/>
      <c r="BW579" s="120">
        <f t="shared" si="786"/>
        <v>17450000</v>
      </c>
      <c r="BX579" s="121">
        <f t="shared" si="885"/>
        <v>3.5000000000000003E-2</v>
      </c>
      <c r="BY579" s="121">
        <f t="shared" si="889"/>
        <v>3.6932664756446992E-2</v>
      </c>
      <c r="BZ579" s="120">
        <f t="shared" si="787"/>
        <v>1790.2083333333335</v>
      </c>
      <c r="CA579" s="120">
        <f t="shared" si="788"/>
        <v>263.33333333333337</v>
      </c>
    </row>
    <row r="580" spans="2:79" x14ac:dyDescent="0.25">
      <c r="B580" s="123" t="str">
        <f t="shared" si="772"/>
        <v>7 2026</v>
      </c>
      <c r="C580" s="122">
        <f t="shared" si="773"/>
        <v>46229</v>
      </c>
      <c r="D580" s="122">
        <f t="shared" si="890"/>
        <v>46230</v>
      </c>
      <c r="E580" s="123">
        <f t="shared" si="774"/>
        <v>1</v>
      </c>
      <c r="F580" s="123" t="s">
        <v>7</v>
      </c>
      <c r="G580" s="124">
        <f t="shared" ref="G580:H580" si="930">G579</f>
        <v>1450000</v>
      </c>
      <c r="H580" s="125">
        <f t="shared" si="930"/>
        <v>3.15E-2</v>
      </c>
      <c r="I580" s="124">
        <f t="shared" si="776"/>
        <v>126.875</v>
      </c>
      <c r="J580" s="124">
        <f t="shared" si="777"/>
        <v>24981.25</v>
      </c>
      <c r="K580" s="9"/>
      <c r="L580" s="11"/>
      <c r="M580" s="306"/>
      <c r="N580" s="97"/>
      <c r="O580" s="421"/>
      <c r="P580" s="304"/>
      <c r="Q580" s="307"/>
      <c r="S580" s="11"/>
      <c r="T580" s="306"/>
      <c r="U580" s="97"/>
      <c r="V580" s="421"/>
      <c r="W580" s="304"/>
      <c r="X580" s="307"/>
      <c r="Z580" s="11" t="s">
        <v>192</v>
      </c>
      <c r="AA580" s="306">
        <f t="shared" ref="AA580:AB580" si="931">AA579</f>
        <v>10000000</v>
      </c>
      <c r="AB580" s="97">
        <f t="shared" si="931"/>
        <v>3.7499999999999999E-2</v>
      </c>
      <c r="AC580" s="421">
        <f t="shared" si="779"/>
        <v>1041.6666666666667</v>
      </c>
      <c r="AD580" s="304">
        <f t="shared" si="780"/>
        <v>216666.6666666661</v>
      </c>
      <c r="AE580" s="307">
        <f t="shared" si="781"/>
        <v>166.66666666666674</v>
      </c>
      <c r="AG580" s="11" t="s">
        <v>192</v>
      </c>
      <c r="AH580" s="306">
        <f t="shared" ref="AH580:AI580" si="932">AH579</f>
        <v>6000000</v>
      </c>
      <c r="AI580" s="97">
        <f t="shared" si="932"/>
        <v>3.73E-2</v>
      </c>
      <c r="AJ580" s="421">
        <f t="shared" si="783"/>
        <v>621.66666666666663</v>
      </c>
      <c r="AK580" s="304">
        <f t="shared" si="784"/>
        <v>1243.3333333333333</v>
      </c>
      <c r="AL580" s="307">
        <f t="shared" si="785"/>
        <v>96.666666666666629</v>
      </c>
      <c r="AN580" s="304">
        <f>'codeis $'!AB580</f>
        <v>0</v>
      </c>
      <c r="AO580" s="340">
        <f>'codeis $'!AH580</f>
        <v>0</v>
      </c>
      <c r="AP580" s="304">
        <f>'codeis $'!AE580</f>
        <v>0</v>
      </c>
      <c r="AQ580" s="304">
        <f>'codeis $'!AK580</f>
        <v>0</v>
      </c>
      <c r="AR580" s="9"/>
      <c r="AS580" s="9"/>
      <c r="AT580" s="123"/>
      <c r="AU580" s="123"/>
      <c r="AV580" s="123"/>
      <c r="AW580" s="123"/>
      <c r="AX580" s="123"/>
      <c r="AY580" s="123"/>
      <c r="AZ580" s="123"/>
      <c r="BA580" s="123"/>
      <c r="BC580" s="122"/>
      <c r="BD580" s="122"/>
      <c r="BE580" s="122"/>
      <c r="BF580" s="122"/>
      <c r="BH580" s="122"/>
      <c r="BI580" s="122"/>
      <c r="BJ580" s="122"/>
      <c r="BK580" s="122"/>
      <c r="BM580" s="122"/>
      <c r="BN580" s="122"/>
      <c r="BO580" s="122"/>
      <c r="BP580" s="122"/>
      <c r="BR580" s="122"/>
      <c r="BS580" s="122"/>
      <c r="BT580" s="122"/>
      <c r="BU580" s="122"/>
      <c r="BV580" s="439"/>
      <c r="BW580" s="120">
        <f t="shared" si="786"/>
        <v>17450000</v>
      </c>
      <c r="BX580" s="121">
        <f t="shared" si="885"/>
        <v>3.5000000000000003E-2</v>
      </c>
      <c r="BY580" s="121">
        <f t="shared" si="889"/>
        <v>3.6932664756446992E-2</v>
      </c>
      <c r="BZ580" s="120">
        <f t="shared" si="787"/>
        <v>1790.2083333333335</v>
      </c>
      <c r="CA580" s="120">
        <f t="shared" si="788"/>
        <v>263.33333333333337</v>
      </c>
    </row>
    <row r="581" spans="2:79" x14ac:dyDescent="0.25">
      <c r="B581" s="123" t="str">
        <f t="shared" si="772"/>
        <v>7 2026</v>
      </c>
      <c r="C581" s="122">
        <f t="shared" si="773"/>
        <v>46230</v>
      </c>
      <c r="D581" s="122">
        <f t="shared" si="890"/>
        <v>46231</v>
      </c>
      <c r="E581" s="123">
        <f t="shared" si="774"/>
        <v>1</v>
      </c>
      <c r="F581" s="123" t="s">
        <v>7</v>
      </c>
      <c r="G581" s="124">
        <f t="shared" ref="G581:H581" si="933">G580</f>
        <v>1450000</v>
      </c>
      <c r="H581" s="125">
        <f t="shared" si="933"/>
        <v>3.15E-2</v>
      </c>
      <c r="I581" s="124">
        <f t="shared" si="776"/>
        <v>126.875</v>
      </c>
      <c r="J581" s="124">
        <f t="shared" si="777"/>
        <v>25108.125</v>
      </c>
      <c r="K581" s="9"/>
      <c r="L581" s="11"/>
      <c r="M581" s="306"/>
      <c r="N581" s="97"/>
      <c r="O581" s="421"/>
      <c r="P581" s="304"/>
      <c r="Q581" s="307"/>
      <c r="S581" s="11"/>
      <c r="T581" s="306"/>
      <c r="U581" s="97"/>
      <c r="V581" s="421"/>
      <c r="W581" s="304"/>
      <c r="X581" s="307"/>
      <c r="Z581" s="11" t="s">
        <v>192</v>
      </c>
      <c r="AA581" s="306">
        <f t="shared" ref="AA581:AB581" si="934">AA580</f>
        <v>10000000</v>
      </c>
      <c r="AB581" s="97">
        <f t="shared" si="934"/>
        <v>3.7499999999999999E-2</v>
      </c>
      <c r="AC581" s="421">
        <f t="shared" si="779"/>
        <v>1041.6666666666667</v>
      </c>
      <c r="AD581" s="304">
        <f t="shared" si="780"/>
        <v>217708.33333333276</v>
      </c>
      <c r="AE581" s="307">
        <f t="shared" si="781"/>
        <v>166.66666666666674</v>
      </c>
      <c r="AG581" s="11" t="s">
        <v>192</v>
      </c>
      <c r="AH581" s="306">
        <f t="shared" ref="AH581:AI581" si="935">AH580</f>
        <v>6000000</v>
      </c>
      <c r="AI581" s="97">
        <f t="shared" si="935"/>
        <v>3.73E-2</v>
      </c>
      <c r="AJ581" s="421">
        <f t="shared" si="783"/>
        <v>621.66666666666663</v>
      </c>
      <c r="AK581" s="304">
        <f t="shared" si="784"/>
        <v>1243.3333333333333</v>
      </c>
      <c r="AL581" s="307">
        <f t="shared" si="785"/>
        <v>96.666666666666629</v>
      </c>
      <c r="AN581" s="304">
        <f>'codeis $'!AB581</f>
        <v>0</v>
      </c>
      <c r="AO581" s="340">
        <f>'codeis $'!AH581</f>
        <v>0</v>
      </c>
      <c r="AP581" s="304">
        <f>'codeis $'!AE581</f>
        <v>0</v>
      </c>
      <c r="AQ581" s="304">
        <f>'codeis $'!AK581</f>
        <v>0</v>
      </c>
      <c r="AR581" s="9"/>
      <c r="AS581" s="9"/>
      <c r="AT581" s="123"/>
      <c r="AU581" s="123"/>
      <c r="AV581" s="123"/>
      <c r="AW581" s="123"/>
      <c r="AX581" s="123"/>
      <c r="AY581" s="123"/>
      <c r="AZ581" s="123"/>
      <c r="BA581" s="123"/>
      <c r="BC581" s="122"/>
      <c r="BD581" s="122"/>
      <c r="BE581" s="122"/>
      <c r="BF581" s="122"/>
      <c r="BH581" s="122"/>
      <c r="BI581" s="122"/>
      <c r="BJ581" s="122"/>
      <c r="BK581" s="122"/>
      <c r="BM581" s="122"/>
      <c r="BN581" s="122"/>
      <c r="BO581" s="122"/>
      <c r="BP581" s="122"/>
      <c r="BR581" s="122"/>
      <c r="BS581" s="122"/>
      <c r="BT581" s="122"/>
      <c r="BU581" s="122"/>
      <c r="BV581" s="439"/>
      <c r="BW581" s="120">
        <f t="shared" si="786"/>
        <v>17450000</v>
      </c>
      <c r="BX581" s="121">
        <f t="shared" si="885"/>
        <v>3.5000000000000003E-2</v>
      </c>
      <c r="BY581" s="121">
        <f t="shared" si="889"/>
        <v>3.6932664756446992E-2</v>
      </c>
      <c r="BZ581" s="120">
        <f t="shared" si="787"/>
        <v>1790.2083333333335</v>
      </c>
      <c r="CA581" s="120">
        <f t="shared" si="788"/>
        <v>263.33333333333337</v>
      </c>
    </row>
    <row r="582" spans="2:79" x14ac:dyDescent="0.25">
      <c r="B582" s="123" t="str">
        <f t="shared" si="772"/>
        <v>7 2026</v>
      </c>
      <c r="C582" s="122">
        <f t="shared" si="773"/>
        <v>46231</v>
      </c>
      <c r="D582" s="122">
        <f t="shared" si="890"/>
        <v>46232</v>
      </c>
      <c r="E582" s="123">
        <f t="shared" si="774"/>
        <v>1</v>
      </c>
      <c r="F582" s="123" t="s">
        <v>7</v>
      </c>
      <c r="G582" s="124">
        <f t="shared" ref="G582:H582" si="936">G581</f>
        <v>1450000</v>
      </c>
      <c r="H582" s="125">
        <f t="shared" si="936"/>
        <v>3.15E-2</v>
      </c>
      <c r="I582" s="124">
        <f t="shared" si="776"/>
        <v>126.875</v>
      </c>
      <c r="J582" s="124">
        <f t="shared" si="777"/>
        <v>25235</v>
      </c>
      <c r="K582" s="9"/>
      <c r="L582" s="11"/>
      <c r="M582" s="306"/>
      <c r="N582" s="97"/>
      <c r="O582" s="421"/>
      <c r="P582" s="304"/>
      <c r="Q582" s="307"/>
      <c r="S582" s="11"/>
      <c r="T582" s="306"/>
      <c r="U582" s="97"/>
      <c r="V582" s="421"/>
      <c r="W582" s="304"/>
      <c r="X582" s="307"/>
      <c r="Z582" s="11" t="s">
        <v>192</v>
      </c>
      <c r="AA582" s="306">
        <f t="shared" ref="AA582:AB582" si="937">AA581</f>
        <v>10000000</v>
      </c>
      <c r="AB582" s="97">
        <f t="shared" si="937"/>
        <v>3.7499999999999999E-2</v>
      </c>
      <c r="AC582" s="421">
        <f t="shared" si="779"/>
        <v>1041.6666666666667</v>
      </c>
      <c r="AD582" s="304">
        <f t="shared" si="780"/>
        <v>218749.99999999942</v>
      </c>
      <c r="AE582" s="307">
        <f t="shared" si="781"/>
        <v>166.66666666666674</v>
      </c>
      <c r="AG582" s="11" t="s">
        <v>192</v>
      </c>
      <c r="AH582" s="306">
        <f t="shared" ref="AH582:AI582" si="938">AH581</f>
        <v>6000000</v>
      </c>
      <c r="AI582" s="97">
        <f t="shared" si="938"/>
        <v>3.73E-2</v>
      </c>
      <c r="AJ582" s="421">
        <f t="shared" si="783"/>
        <v>621.66666666666663</v>
      </c>
      <c r="AK582" s="304">
        <f t="shared" si="784"/>
        <v>1243.3333333333333</v>
      </c>
      <c r="AL582" s="307">
        <f t="shared" si="785"/>
        <v>96.666666666666629</v>
      </c>
      <c r="AN582" s="304">
        <f>'codeis $'!AB582</f>
        <v>0</v>
      </c>
      <c r="AO582" s="340">
        <f>'codeis $'!AH582</f>
        <v>0</v>
      </c>
      <c r="AP582" s="304">
        <f>'codeis $'!AE582</f>
        <v>0</v>
      </c>
      <c r="AQ582" s="304">
        <f>'codeis $'!AK582</f>
        <v>0</v>
      </c>
      <c r="AR582" s="9"/>
      <c r="AS582" s="9"/>
      <c r="AT582" s="123"/>
      <c r="AU582" s="123"/>
      <c r="AV582" s="123"/>
      <c r="AW582" s="123"/>
      <c r="AX582" s="123"/>
      <c r="AY582" s="123"/>
      <c r="AZ582" s="123"/>
      <c r="BA582" s="123"/>
      <c r="BC582" s="122"/>
      <c r="BD582" s="122"/>
      <c r="BE582" s="122"/>
      <c r="BF582" s="122"/>
      <c r="BH582" s="122"/>
      <c r="BI582" s="122"/>
      <c r="BJ582" s="122"/>
      <c r="BK582" s="122"/>
      <c r="BM582" s="122"/>
      <c r="BN582" s="122"/>
      <c r="BO582" s="122"/>
      <c r="BP582" s="122"/>
      <c r="BR582" s="122"/>
      <c r="BS582" s="122"/>
      <c r="BT582" s="122"/>
      <c r="BU582" s="122"/>
      <c r="BV582" s="439"/>
      <c r="BW582" s="120">
        <f t="shared" si="786"/>
        <v>17450000</v>
      </c>
      <c r="BX582" s="121">
        <f t="shared" si="885"/>
        <v>3.5000000000000003E-2</v>
      </c>
      <c r="BY582" s="121">
        <f t="shared" si="889"/>
        <v>3.6932664756446992E-2</v>
      </c>
      <c r="BZ582" s="120">
        <f t="shared" si="787"/>
        <v>1790.2083333333335</v>
      </c>
      <c r="CA582" s="120">
        <f t="shared" si="788"/>
        <v>263.33333333333337</v>
      </c>
    </row>
    <row r="583" spans="2:79" x14ac:dyDescent="0.25">
      <c r="B583" s="123" t="str">
        <f t="shared" si="772"/>
        <v>7 2026</v>
      </c>
      <c r="C583" s="122">
        <f t="shared" si="773"/>
        <v>46232</v>
      </c>
      <c r="D583" s="122">
        <f t="shared" si="890"/>
        <v>46233</v>
      </c>
      <c r="E583" s="123">
        <f t="shared" si="774"/>
        <v>1</v>
      </c>
      <c r="F583" s="123" t="s">
        <v>7</v>
      </c>
      <c r="G583" s="124">
        <f t="shared" ref="G583:H583" si="939">G582</f>
        <v>1450000</v>
      </c>
      <c r="H583" s="125">
        <f t="shared" si="939"/>
        <v>3.15E-2</v>
      </c>
      <c r="I583" s="124">
        <f t="shared" si="776"/>
        <v>126.875</v>
      </c>
      <c r="J583" s="124">
        <f t="shared" si="777"/>
        <v>25361.875</v>
      </c>
      <c r="K583" s="9"/>
      <c r="L583" s="11"/>
      <c r="M583" s="306"/>
      <c r="N583" s="97"/>
      <c r="O583" s="421"/>
      <c r="P583" s="304"/>
      <c r="Q583" s="307"/>
      <c r="S583" s="11"/>
      <c r="T583" s="306"/>
      <c r="U583" s="97"/>
      <c r="V583" s="421"/>
      <c r="W583" s="304"/>
      <c r="X583" s="307"/>
      <c r="Z583" s="11" t="s">
        <v>192</v>
      </c>
      <c r="AA583" s="306">
        <f t="shared" ref="AA583:AB583" si="940">AA582</f>
        <v>10000000</v>
      </c>
      <c r="AB583" s="97">
        <f t="shared" si="940"/>
        <v>3.7499999999999999E-2</v>
      </c>
      <c r="AC583" s="421">
        <f t="shared" si="779"/>
        <v>1041.6666666666667</v>
      </c>
      <c r="AD583" s="304">
        <f t="shared" si="780"/>
        <v>219791.66666666607</v>
      </c>
      <c r="AE583" s="307">
        <f t="shared" si="781"/>
        <v>166.66666666666674</v>
      </c>
      <c r="AG583" s="11" t="s">
        <v>192</v>
      </c>
      <c r="AH583" s="306">
        <f t="shared" ref="AH583:AI583" si="941">AH582</f>
        <v>6000000</v>
      </c>
      <c r="AI583" s="97">
        <f t="shared" si="941"/>
        <v>3.73E-2</v>
      </c>
      <c r="AJ583" s="421">
        <f t="shared" si="783"/>
        <v>621.66666666666663</v>
      </c>
      <c r="AK583" s="304">
        <f t="shared" si="784"/>
        <v>1243.3333333333333</v>
      </c>
      <c r="AL583" s="307">
        <f t="shared" si="785"/>
        <v>96.666666666666629</v>
      </c>
      <c r="AN583" s="304">
        <f>'codeis $'!AB583</f>
        <v>0</v>
      </c>
      <c r="AO583" s="340">
        <f>'codeis $'!AH583</f>
        <v>0</v>
      </c>
      <c r="AP583" s="304">
        <f>'codeis $'!AE583</f>
        <v>0</v>
      </c>
      <c r="AQ583" s="304">
        <f>'codeis $'!AK583</f>
        <v>0</v>
      </c>
      <c r="AR583" s="9"/>
      <c r="AS583" s="9"/>
      <c r="AT583" s="123"/>
      <c r="AU583" s="123"/>
      <c r="AV583" s="123"/>
      <c r="AW583" s="123"/>
      <c r="AX583" s="123"/>
      <c r="AY583" s="123"/>
      <c r="AZ583" s="123"/>
      <c r="BA583" s="123"/>
      <c r="BC583" s="122"/>
      <c r="BD583" s="122"/>
      <c r="BE583" s="122"/>
      <c r="BF583" s="122"/>
      <c r="BH583" s="122"/>
      <c r="BI583" s="122"/>
      <c r="BJ583" s="122"/>
      <c r="BK583" s="122"/>
      <c r="BM583" s="122"/>
      <c r="BN583" s="122"/>
      <c r="BO583" s="122"/>
      <c r="BP583" s="122"/>
      <c r="BR583" s="122"/>
      <c r="BS583" s="122"/>
      <c r="BT583" s="122"/>
      <c r="BU583" s="122"/>
      <c r="BV583" s="439"/>
      <c r="BW583" s="120">
        <f t="shared" si="786"/>
        <v>17450000</v>
      </c>
      <c r="BX583" s="121">
        <f t="shared" si="885"/>
        <v>3.5000000000000003E-2</v>
      </c>
      <c r="BY583" s="121">
        <f t="shared" si="889"/>
        <v>3.6932664756446992E-2</v>
      </c>
      <c r="BZ583" s="120">
        <f t="shared" si="787"/>
        <v>1790.2083333333335</v>
      </c>
      <c r="CA583" s="120">
        <f t="shared" si="788"/>
        <v>263.33333333333337</v>
      </c>
    </row>
    <row r="584" spans="2:79" x14ac:dyDescent="0.25">
      <c r="B584" s="123" t="str">
        <f t="shared" si="772"/>
        <v>7 2026</v>
      </c>
      <c r="C584" s="122">
        <f t="shared" si="773"/>
        <v>46233</v>
      </c>
      <c r="D584" s="122">
        <f t="shared" si="890"/>
        <v>46234</v>
      </c>
      <c r="E584" s="123">
        <f t="shared" si="774"/>
        <v>1</v>
      </c>
      <c r="F584" s="123" t="s">
        <v>7</v>
      </c>
      <c r="G584" s="124">
        <f t="shared" ref="G584:H584" si="942">G583</f>
        <v>1450000</v>
      </c>
      <c r="H584" s="125">
        <f t="shared" si="942"/>
        <v>3.15E-2</v>
      </c>
      <c r="I584" s="124">
        <f t="shared" si="776"/>
        <v>126.875</v>
      </c>
      <c r="J584" s="124">
        <f t="shared" si="777"/>
        <v>25488.75</v>
      </c>
      <c r="K584" s="9"/>
      <c r="L584" s="11"/>
      <c r="M584" s="306"/>
      <c r="N584" s="97"/>
      <c r="O584" s="421"/>
      <c r="P584" s="304"/>
      <c r="Q584" s="307"/>
      <c r="S584" s="11"/>
      <c r="T584" s="306"/>
      <c r="U584" s="97"/>
      <c r="V584" s="421"/>
      <c r="W584" s="304"/>
      <c r="X584" s="307"/>
      <c r="Z584" s="11" t="s">
        <v>192</v>
      </c>
      <c r="AA584" s="306">
        <f t="shared" ref="AA584:AB584" si="943">AA583</f>
        <v>10000000</v>
      </c>
      <c r="AB584" s="97">
        <f t="shared" si="943"/>
        <v>3.7499999999999999E-2</v>
      </c>
      <c r="AC584" s="421">
        <f t="shared" si="779"/>
        <v>1041.6666666666667</v>
      </c>
      <c r="AD584" s="304">
        <f t="shared" si="780"/>
        <v>220833.33333333273</v>
      </c>
      <c r="AE584" s="307">
        <f t="shared" si="781"/>
        <v>166.66666666666674</v>
      </c>
      <c r="AG584" s="11" t="s">
        <v>192</v>
      </c>
      <c r="AH584" s="306">
        <f t="shared" ref="AH584:AI584" si="944">AH583</f>
        <v>6000000</v>
      </c>
      <c r="AI584" s="97">
        <f t="shared" si="944"/>
        <v>3.73E-2</v>
      </c>
      <c r="AJ584" s="421">
        <f t="shared" si="783"/>
        <v>621.66666666666663</v>
      </c>
      <c r="AK584" s="304">
        <f t="shared" si="784"/>
        <v>1243.3333333333333</v>
      </c>
      <c r="AL584" s="307">
        <f t="shared" si="785"/>
        <v>96.666666666666629</v>
      </c>
      <c r="AN584" s="304">
        <f>'codeis $'!AB584</f>
        <v>0</v>
      </c>
      <c r="AO584" s="340">
        <f>'codeis $'!AH584</f>
        <v>0</v>
      </c>
      <c r="AP584" s="304">
        <f>'codeis $'!AE584</f>
        <v>0</v>
      </c>
      <c r="AQ584" s="304">
        <f>'codeis $'!AK584</f>
        <v>0</v>
      </c>
      <c r="AR584" s="9"/>
      <c r="AS584" s="9"/>
      <c r="AT584" s="123"/>
      <c r="AU584" s="123"/>
      <c r="AV584" s="123"/>
      <c r="AW584" s="123"/>
      <c r="AX584" s="123"/>
      <c r="AY584" s="123"/>
      <c r="AZ584" s="123"/>
      <c r="BA584" s="123"/>
      <c r="BC584" s="122"/>
      <c r="BD584" s="122"/>
      <c r="BE584" s="122"/>
      <c r="BF584" s="122"/>
      <c r="BH584" s="122"/>
      <c r="BI584" s="122"/>
      <c r="BJ584" s="122"/>
      <c r="BK584" s="122"/>
      <c r="BM584" s="122"/>
      <c r="BN584" s="122"/>
      <c r="BO584" s="122"/>
      <c r="BP584" s="122"/>
      <c r="BR584" s="122"/>
      <c r="BS584" s="122"/>
      <c r="BT584" s="122"/>
      <c r="BU584" s="122"/>
      <c r="BV584" s="439"/>
      <c r="BW584" s="120">
        <f t="shared" si="786"/>
        <v>17450000</v>
      </c>
      <c r="BX584" s="121">
        <f t="shared" si="885"/>
        <v>3.5000000000000003E-2</v>
      </c>
      <c r="BY584" s="121">
        <f t="shared" si="889"/>
        <v>3.6932664756446992E-2</v>
      </c>
      <c r="BZ584" s="120">
        <f t="shared" si="787"/>
        <v>1790.2083333333335</v>
      </c>
      <c r="CA584" s="120">
        <f t="shared" si="788"/>
        <v>263.33333333333337</v>
      </c>
    </row>
    <row r="585" spans="2:79" x14ac:dyDescent="0.25">
      <c r="B585" s="123" t="str">
        <f t="shared" si="772"/>
        <v>8 2026</v>
      </c>
      <c r="C585" s="122">
        <f t="shared" si="773"/>
        <v>46234</v>
      </c>
      <c r="D585" s="122">
        <f t="shared" si="890"/>
        <v>46235</v>
      </c>
      <c r="E585" s="123">
        <f t="shared" si="774"/>
        <v>1</v>
      </c>
      <c r="F585" s="123" t="s">
        <v>7</v>
      </c>
      <c r="G585" s="124">
        <f t="shared" ref="G585:H585" si="945">G584</f>
        <v>1450000</v>
      </c>
      <c r="H585" s="125">
        <f t="shared" si="945"/>
        <v>3.15E-2</v>
      </c>
      <c r="I585" s="124">
        <f t="shared" si="776"/>
        <v>126.875</v>
      </c>
      <c r="J585" s="124">
        <f t="shared" si="777"/>
        <v>25615.625</v>
      </c>
      <c r="K585" s="9"/>
      <c r="L585" s="11"/>
      <c r="M585" s="306"/>
      <c r="N585" s="97"/>
      <c r="O585" s="421"/>
      <c r="P585" s="304"/>
      <c r="Q585" s="307"/>
      <c r="S585" s="11"/>
      <c r="T585" s="306"/>
      <c r="U585" s="97"/>
      <c r="V585" s="421"/>
      <c r="W585" s="304"/>
      <c r="X585" s="307"/>
      <c r="Z585" s="11" t="s">
        <v>192</v>
      </c>
      <c r="AA585" s="306">
        <f t="shared" ref="AA585:AB585" si="946">AA584</f>
        <v>10000000</v>
      </c>
      <c r="AB585" s="97">
        <f t="shared" si="946"/>
        <v>3.7499999999999999E-2</v>
      </c>
      <c r="AC585" s="421">
        <f t="shared" si="779"/>
        <v>1041.6666666666667</v>
      </c>
      <c r="AD585" s="304">
        <f t="shared" si="780"/>
        <v>221874.99999999939</v>
      </c>
      <c r="AE585" s="307">
        <f t="shared" si="781"/>
        <v>166.66666666666674</v>
      </c>
      <c r="AG585" s="11" t="s">
        <v>192</v>
      </c>
      <c r="AH585" s="306">
        <f t="shared" ref="AH585:AI585" si="947">AH584</f>
        <v>6000000</v>
      </c>
      <c r="AI585" s="97">
        <f t="shared" si="947"/>
        <v>3.73E-2</v>
      </c>
      <c r="AJ585" s="421">
        <f t="shared" si="783"/>
        <v>621.66666666666663</v>
      </c>
      <c r="AK585" s="304">
        <f t="shared" si="784"/>
        <v>1243.3333333333333</v>
      </c>
      <c r="AL585" s="307">
        <f t="shared" si="785"/>
        <v>96.666666666666629</v>
      </c>
      <c r="AN585" s="304">
        <f>'codeis $'!AB585</f>
        <v>0</v>
      </c>
      <c r="AO585" s="340">
        <f>'codeis $'!AH585</f>
        <v>0</v>
      </c>
      <c r="AP585" s="304">
        <f>'codeis $'!AE585</f>
        <v>0</v>
      </c>
      <c r="AQ585" s="304">
        <f>'codeis $'!AK585</f>
        <v>0</v>
      </c>
      <c r="AR585" s="9"/>
      <c r="AS585" s="9"/>
      <c r="AT585" s="123"/>
      <c r="AU585" s="123"/>
      <c r="AV585" s="123"/>
      <c r="AW585" s="123"/>
      <c r="AX585" s="123"/>
      <c r="AY585" s="123"/>
      <c r="AZ585" s="123"/>
      <c r="BA585" s="123"/>
      <c r="BC585" s="122"/>
      <c r="BD585" s="122"/>
      <c r="BE585" s="122"/>
      <c r="BF585" s="122"/>
      <c r="BH585" s="122"/>
      <c r="BI585" s="122"/>
      <c r="BJ585" s="122"/>
      <c r="BK585" s="122"/>
      <c r="BM585" s="122"/>
      <c r="BN585" s="122"/>
      <c r="BO585" s="122"/>
      <c r="BP585" s="122"/>
      <c r="BR585" s="122"/>
      <c r="BS585" s="122"/>
      <c r="BT585" s="122"/>
      <c r="BU585" s="122"/>
      <c r="BV585" s="439"/>
      <c r="BW585" s="120">
        <f t="shared" si="786"/>
        <v>17450000</v>
      </c>
      <c r="BX585" s="121">
        <f t="shared" si="885"/>
        <v>3.5000000000000003E-2</v>
      </c>
      <c r="BY585" s="121">
        <f t="shared" si="889"/>
        <v>3.6932664756446992E-2</v>
      </c>
      <c r="BZ585" s="120">
        <f t="shared" si="787"/>
        <v>1790.2083333333335</v>
      </c>
      <c r="CA585" s="120">
        <f t="shared" si="788"/>
        <v>263.33333333333337</v>
      </c>
    </row>
    <row r="586" spans="2:79" x14ac:dyDescent="0.25">
      <c r="B586" s="123" t="str">
        <f t="shared" si="772"/>
        <v>8 2026</v>
      </c>
      <c r="C586" s="122">
        <f t="shared" si="773"/>
        <v>46235</v>
      </c>
      <c r="D586" s="122">
        <f t="shared" si="890"/>
        <v>46236</v>
      </c>
      <c r="E586" s="123">
        <f t="shared" si="774"/>
        <v>1</v>
      </c>
      <c r="F586" s="123" t="s">
        <v>7</v>
      </c>
      <c r="G586" s="124">
        <f t="shared" ref="G586:H586" si="948">G585</f>
        <v>1450000</v>
      </c>
      <c r="H586" s="125">
        <f t="shared" si="948"/>
        <v>3.15E-2</v>
      </c>
      <c r="I586" s="124">
        <f t="shared" si="776"/>
        <v>126.875</v>
      </c>
      <c r="J586" s="124">
        <f t="shared" si="777"/>
        <v>25742.5</v>
      </c>
      <c r="K586" s="9"/>
      <c r="L586" s="11"/>
      <c r="M586" s="306"/>
      <c r="N586" s="97"/>
      <c r="O586" s="421"/>
      <c r="P586" s="304"/>
      <c r="Q586" s="307"/>
      <c r="S586" s="11"/>
      <c r="T586" s="306"/>
      <c r="U586" s="97"/>
      <c r="V586" s="421"/>
      <c r="W586" s="304"/>
      <c r="X586" s="307"/>
      <c r="Z586" s="11" t="s">
        <v>192</v>
      </c>
      <c r="AA586" s="306">
        <f t="shared" ref="AA586:AB586" si="949">AA585</f>
        <v>10000000</v>
      </c>
      <c r="AB586" s="97">
        <f t="shared" si="949"/>
        <v>3.7499999999999999E-2</v>
      </c>
      <c r="AC586" s="421">
        <f t="shared" si="779"/>
        <v>1041.6666666666667</v>
      </c>
      <c r="AD586" s="304">
        <f t="shared" si="780"/>
        <v>222916.66666666605</v>
      </c>
      <c r="AE586" s="307">
        <f t="shared" si="781"/>
        <v>166.66666666666674</v>
      </c>
      <c r="AG586" s="11" t="s">
        <v>192</v>
      </c>
      <c r="AH586" s="306">
        <f t="shared" ref="AH586:AI586" si="950">AH585</f>
        <v>6000000</v>
      </c>
      <c r="AI586" s="97">
        <f t="shared" si="950"/>
        <v>3.73E-2</v>
      </c>
      <c r="AJ586" s="421">
        <f t="shared" si="783"/>
        <v>621.66666666666663</v>
      </c>
      <c r="AK586" s="304">
        <f t="shared" si="784"/>
        <v>1243.3333333333333</v>
      </c>
      <c r="AL586" s="307">
        <f t="shared" si="785"/>
        <v>96.666666666666629</v>
      </c>
      <c r="AN586" s="304">
        <f>'codeis $'!AB586</f>
        <v>0</v>
      </c>
      <c r="AO586" s="340">
        <f>'codeis $'!AH586</f>
        <v>0</v>
      </c>
      <c r="AP586" s="304">
        <f>'codeis $'!AE586</f>
        <v>0</v>
      </c>
      <c r="AQ586" s="304">
        <f>'codeis $'!AK586</f>
        <v>0</v>
      </c>
      <c r="AR586" s="9"/>
      <c r="AS586" s="9"/>
      <c r="AT586" s="123"/>
      <c r="AU586" s="123"/>
      <c r="AV586" s="123"/>
      <c r="AW586" s="123"/>
      <c r="AX586" s="123"/>
      <c r="AY586" s="123"/>
      <c r="AZ586" s="123"/>
      <c r="BA586" s="123"/>
      <c r="BC586" s="122"/>
      <c r="BD586" s="122"/>
      <c r="BE586" s="122"/>
      <c r="BF586" s="122"/>
      <c r="BH586" s="122"/>
      <c r="BI586" s="122"/>
      <c r="BJ586" s="122"/>
      <c r="BK586" s="122"/>
      <c r="BM586" s="122"/>
      <c r="BN586" s="122"/>
      <c r="BO586" s="122"/>
      <c r="BP586" s="122"/>
      <c r="BR586" s="122"/>
      <c r="BS586" s="122"/>
      <c r="BT586" s="122"/>
      <c r="BU586" s="122"/>
      <c r="BV586" s="439"/>
      <c r="BW586" s="120">
        <f t="shared" si="786"/>
        <v>17450000</v>
      </c>
      <c r="BX586" s="121">
        <f t="shared" si="885"/>
        <v>3.5000000000000003E-2</v>
      </c>
      <c r="BY586" s="121">
        <f t="shared" si="889"/>
        <v>3.6932664756446992E-2</v>
      </c>
      <c r="BZ586" s="120">
        <f t="shared" si="787"/>
        <v>1790.2083333333335</v>
      </c>
      <c r="CA586" s="120">
        <f t="shared" si="788"/>
        <v>263.33333333333337</v>
      </c>
    </row>
    <row r="587" spans="2:79" x14ac:dyDescent="0.25">
      <c r="B587" s="123" t="str">
        <f t="shared" si="772"/>
        <v>8 2026</v>
      </c>
      <c r="C587" s="122">
        <f t="shared" si="773"/>
        <v>46236</v>
      </c>
      <c r="D587" s="122">
        <f t="shared" si="890"/>
        <v>46237</v>
      </c>
      <c r="E587" s="123">
        <f t="shared" si="774"/>
        <v>1</v>
      </c>
      <c r="F587" s="123" t="s">
        <v>7</v>
      </c>
      <c r="G587" s="124">
        <f t="shared" ref="G587:H587" si="951">G586</f>
        <v>1450000</v>
      </c>
      <c r="H587" s="125">
        <f t="shared" si="951"/>
        <v>3.15E-2</v>
      </c>
      <c r="I587" s="124">
        <f t="shared" si="776"/>
        <v>126.875</v>
      </c>
      <c r="J587" s="124">
        <f t="shared" si="777"/>
        <v>25869.375</v>
      </c>
      <c r="K587" s="9"/>
      <c r="L587" s="11"/>
      <c r="M587" s="306"/>
      <c r="N587" s="97"/>
      <c r="O587" s="421"/>
      <c r="P587" s="304"/>
      <c r="Q587" s="307"/>
      <c r="S587" s="11"/>
      <c r="T587" s="306"/>
      <c r="U587" s="97"/>
      <c r="V587" s="421"/>
      <c r="W587" s="304"/>
      <c r="X587" s="307"/>
      <c r="Z587" s="11" t="s">
        <v>192</v>
      </c>
      <c r="AA587" s="306">
        <f t="shared" ref="AA587:AB587" si="952">AA586</f>
        <v>10000000</v>
      </c>
      <c r="AB587" s="97">
        <f t="shared" si="952"/>
        <v>3.7499999999999999E-2</v>
      </c>
      <c r="AC587" s="421">
        <f t="shared" si="779"/>
        <v>1041.6666666666667</v>
      </c>
      <c r="AD587" s="304">
        <f t="shared" si="780"/>
        <v>223958.3333333327</v>
      </c>
      <c r="AE587" s="307">
        <f t="shared" si="781"/>
        <v>166.66666666666674</v>
      </c>
      <c r="AG587" s="11" t="s">
        <v>192</v>
      </c>
      <c r="AH587" s="306">
        <f t="shared" ref="AH587:AI587" si="953">AH586</f>
        <v>6000000</v>
      </c>
      <c r="AI587" s="97">
        <f t="shared" si="953"/>
        <v>3.73E-2</v>
      </c>
      <c r="AJ587" s="421">
        <f t="shared" si="783"/>
        <v>621.66666666666663</v>
      </c>
      <c r="AK587" s="304">
        <f t="shared" si="784"/>
        <v>1243.3333333333333</v>
      </c>
      <c r="AL587" s="307">
        <f t="shared" si="785"/>
        <v>96.666666666666629</v>
      </c>
      <c r="AN587" s="304">
        <f>'codeis $'!AB587</f>
        <v>0</v>
      </c>
      <c r="AO587" s="340">
        <f>'codeis $'!AH587</f>
        <v>0</v>
      </c>
      <c r="AP587" s="304">
        <f>'codeis $'!AE587</f>
        <v>0</v>
      </c>
      <c r="AQ587" s="304">
        <f>'codeis $'!AK587</f>
        <v>0</v>
      </c>
      <c r="AR587" s="9"/>
      <c r="AS587" s="9"/>
      <c r="AT587" s="123"/>
      <c r="AU587" s="123"/>
      <c r="AV587" s="123"/>
      <c r="AW587" s="123"/>
      <c r="AX587" s="123"/>
      <c r="AY587" s="123"/>
      <c r="AZ587" s="123"/>
      <c r="BA587" s="123"/>
      <c r="BC587" s="122"/>
      <c r="BD587" s="122"/>
      <c r="BE587" s="122"/>
      <c r="BF587" s="122"/>
      <c r="BH587" s="122"/>
      <c r="BI587" s="122"/>
      <c r="BJ587" s="122"/>
      <c r="BK587" s="122"/>
      <c r="BM587" s="122"/>
      <c r="BN587" s="122"/>
      <c r="BO587" s="122"/>
      <c r="BP587" s="122"/>
      <c r="BR587" s="122"/>
      <c r="BS587" s="122"/>
      <c r="BT587" s="122"/>
      <c r="BU587" s="122"/>
      <c r="BV587" s="439"/>
      <c r="BW587" s="120">
        <f t="shared" si="786"/>
        <v>17450000</v>
      </c>
      <c r="BX587" s="121">
        <f t="shared" si="885"/>
        <v>3.5000000000000003E-2</v>
      </c>
      <c r="BY587" s="121">
        <f t="shared" si="889"/>
        <v>3.6932664756446992E-2</v>
      </c>
      <c r="BZ587" s="120">
        <f t="shared" si="787"/>
        <v>1790.2083333333335</v>
      </c>
      <c r="CA587" s="120">
        <f t="shared" si="788"/>
        <v>263.33333333333337</v>
      </c>
    </row>
    <row r="588" spans="2:79" x14ac:dyDescent="0.25">
      <c r="B588" s="123" t="str">
        <f t="shared" si="772"/>
        <v>8 2026</v>
      </c>
      <c r="C588" s="122">
        <f t="shared" si="773"/>
        <v>46237</v>
      </c>
      <c r="D588" s="122">
        <f t="shared" si="890"/>
        <v>46238</v>
      </c>
      <c r="E588" s="123">
        <f t="shared" si="774"/>
        <v>1</v>
      </c>
      <c r="F588" s="123" t="s">
        <v>7</v>
      </c>
      <c r="G588" s="124">
        <f t="shared" ref="G588:H588" si="954">G587</f>
        <v>1450000</v>
      </c>
      <c r="H588" s="125">
        <f t="shared" si="954"/>
        <v>3.15E-2</v>
      </c>
      <c r="I588" s="124">
        <f t="shared" si="776"/>
        <v>126.875</v>
      </c>
      <c r="J588" s="124">
        <f t="shared" si="777"/>
        <v>25996.25</v>
      </c>
      <c r="K588" s="9"/>
      <c r="L588" s="11"/>
      <c r="M588" s="306"/>
      <c r="N588" s="97"/>
      <c r="O588" s="421"/>
      <c r="P588" s="304"/>
      <c r="Q588" s="307"/>
      <c r="S588" s="11"/>
      <c r="T588" s="306"/>
      <c r="U588" s="97"/>
      <c r="V588" s="421"/>
      <c r="W588" s="304"/>
      <c r="X588" s="307"/>
      <c r="Z588" s="11" t="s">
        <v>192</v>
      </c>
      <c r="AA588" s="306">
        <f t="shared" ref="AA588:AB588" si="955">AA587</f>
        <v>10000000</v>
      </c>
      <c r="AB588" s="97">
        <f t="shared" si="955"/>
        <v>3.7499999999999999E-2</v>
      </c>
      <c r="AC588" s="421">
        <f t="shared" si="779"/>
        <v>1041.6666666666667</v>
      </c>
      <c r="AD588" s="304">
        <f t="shared" si="780"/>
        <v>224999.99999999936</v>
      </c>
      <c r="AE588" s="307">
        <f t="shared" si="781"/>
        <v>166.66666666666674</v>
      </c>
      <c r="AG588" s="11" t="s">
        <v>192</v>
      </c>
      <c r="AH588" s="306">
        <f t="shared" ref="AH588:AI588" si="956">AH587</f>
        <v>6000000</v>
      </c>
      <c r="AI588" s="97">
        <f t="shared" si="956"/>
        <v>3.73E-2</v>
      </c>
      <c r="AJ588" s="421">
        <f t="shared" si="783"/>
        <v>621.66666666666663</v>
      </c>
      <c r="AK588" s="304">
        <f t="shared" si="784"/>
        <v>1243.3333333333333</v>
      </c>
      <c r="AL588" s="307">
        <f t="shared" si="785"/>
        <v>96.666666666666629</v>
      </c>
      <c r="AN588" s="304">
        <f>'codeis $'!AB588</f>
        <v>0</v>
      </c>
      <c r="AO588" s="340">
        <f>'codeis $'!AH588</f>
        <v>0</v>
      </c>
      <c r="AP588" s="304">
        <f>'codeis $'!AE588</f>
        <v>0</v>
      </c>
      <c r="AQ588" s="304">
        <f>'codeis $'!AK588</f>
        <v>0</v>
      </c>
      <c r="AR588" s="9"/>
      <c r="AS588" s="9"/>
      <c r="AT588" s="123"/>
      <c r="AU588" s="123"/>
      <c r="AV588" s="123"/>
      <c r="AW588" s="123"/>
      <c r="AX588" s="123"/>
      <c r="AY588" s="123"/>
      <c r="AZ588" s="123"/>
      <c r="BA588" s="123"/>
      <c r="BC588" s="122"/>
      <c r="BD588" s="122"/>
      <c r="BE588" s="122"/>
      <c r="BF588" s="122"/>
      <c r="BH588" s="122"/>
      <c r="BI588" s="122"/>
      <c r="BJ588" s="122"/>
      <c r="BK588" s="122"/>
      <c r="BM588" s="122"/>
      <c r="BN588" s="122"/>
      <c r="BO588" s="122"/>
      <c r="BP588" s="122"/>
      <c r="BR588" s="122"/>
      <c r="BS588" s="122"/>
      <c r="BT588" s="122"/>
      <c r="BU588" s="122"/>
      <c r="BV588" s="439"/>
      <c r="BW588" s="120">
        <f t="shared" si="786"/>
        <v>17450000</v>
      </c>
      <c r="BX588" s="121">
        <f t="shared" si="885"/>
        <v>3.5000000000000003E-2</v>
      </c>
      <c r="BY588" s="121">
        <f t="shared" si="889"/>
        <v>3.6932664756446992E-2</v>
      </c>
      <c r="BZ588" s="120">
        <f t="shared" si="787"/>
        <v>1790.2083333333335</v>
      </c>
      <c r="CA588" s="120">
        <f t="shared" si="788"/>
        <v>263.33333333333337</v>
      </c>
    </row>
    <row r="589" spans="2:79" x14ac:dyDescent="0.25">
      <c r="B589" s="123" t="str">
        <f t="shared" si="772"/>
        <v>8 2026</v>
      </c>
      <c r="C589" s="122">
        <f t="shared" si="773"/>
        <v>46238</v>
      </c>
      <c r="D589" s="122">
        <f t="shared" si="890"/>
        <v>46239</v>
      </c>
      <c r="E589" s="123">
        <f t="shared" si="774"/>
        <v>1</v>
      </c>
      <c r="F589" s="123" t="s">
        <v>7</v>
      </c>
      <c r="G589" s="124">
        <f t="shared" ref="G589:H589" si="957">G588</f>
        <v>1450000</v>
      </c>
      <c r="H589" s="125">
        <f t="shared" si="957"/>
        <v>3.15E-2</v>
      </c>
      <c r="I589" s="124">
        <f t="shared" si="776"/>
        <v>126.875</v>
      </c>
      <c r="J589" s="124">
        <f t="shared" si="777"/>
        <v>26123.125</v>
      </c>
      <c r="K589" s="9"/>
      <c r="L589" s="11"/>
      <c r="M589" s="306"/>
      <c r="N589" s="97"/>
      <c r="O589" s="421"/>
      <c r="P589" s="304"/>
      <c r="Q589" s="307"/>
      <c r="S589" s="11"/>
      <c r="T589" s="306"/>
      <c r="U589" s="97"/>
      <c r="V589" s="421"/>
      <c r="W589" s="304"/>
      <c r="X589" s="307"/>
      <c r="Z589" s="11" t="s">
        <v>192</v>
      </c>
      <c r="AA589" s="635">
        <f t="shared" ref="AA589" si="958">AA588</f>
        <v>10000000</v>
      </c>
      <c r="AB589" s="97"/>
      <c r="AC589" s="421"/>
      <c r="AD589" s="304"/>
      <c r="AE589" s="307"/>
      <c r="AG589" s="11" t="s">
        <v>192</v>
      </c>
      <c r="AH589" s="306">
        <f t="shared" ref="AH589:AI589" si="959">AH588</f>
        <v>6000000</v>
      </c>
      <c r="AI589" s="97">
        <f t="shared" si="959"/>
        <v>3.73E-2</v>
      </c>
      <c r="AJ589" s="421">
        <f t="shared" si="783"/>
        <v>621.66666666666663</v>
      </c>
      <c r="AK589" s="304">
        <f t="shared" si="784"/>
        <v>1243.3333333333333</v>
      </c>
      <c r="AL589" s="307">
        <f t="shared" si="785"/>
        <v>96.666666666666629</v>
      </c>
      <c r="AN589" s="304">
        <f>'codeis $'!AB589</f>
        <v>0</v>
      </c>
      <c r="AO589" s="340">
        <f>'codeis $'!AH589</f>
        <v>0</v>
      </c>
      <c r="AP589" s="304">
        <f>'codeis $'!AE589</f>
        <v>0</v>
      </c>
      <c r="AQ589" s="304">
        <f>'codeis $'!AK589</f>
        <v>0</v>
      </c>
      <c r="AR589" s="9"/>
      <c r="AS589" s="9"/>
      <c r="AT589" s="123"/>
      <c r="AU589" s="123"/>
      <c r="AV589" s="123"/>
      <c r="AW589" s="123"/>
      <c r="AX589" s="123"/>
      <c r="AY589" s="123"/>
      <c r="AZ589" s="123"/>
      <c r="BA589" s="123"/>
      <c r="BC589" s="122"/>
      <c r="BD589" s="122"/>
      <c r="BE589" s="122"/>
      <c r="BF589" s="122"/>
      <c r="BH589" s="122"/>
      <c r="BI589" s="122"/>
      <c r="BJ589" s="122"/>
      <c r="BK589" s="122"/>
      <c r="BM589" s="122"/>
      <c r="BN589" s="122"/>
      <c r="BO589" s="122"/>
      <c r="BP589" s="122"/>
      <c r="BR589" s="122"/>
      <c r="BS589" s="122"/>
      <c r="BT589" s="122"/>
      <c r="BU589" s="122"/>
      <c r="BV589" s="439"/>
      <c r="BW589" s="120">
        <f t="shared" si="786"/>
        <v>17450000</v>
      </c>
      <c r="BX589" s="121">
        <f t="shared" si="885"/>
        <v>3.5000000000000003E-2</v>
      </c>
      <c r="BY589" s="121">
        <f t="shared" si="889"/>
        <v>1.5442693409742121E-2</v>
      </c>
      <c r="BZ589" s="120">
        <f t="shared" si="787"/>
        <v>748.54166666666663</v>
      </c>
      <c r="CA589" s="120">
        <f t="shared" si="788"/>
        <v>96.666666666666629</v>
      </c>
    </row>
    <row r="590" spans="2:79" x14ac:dyDescent="0.25">
      <c r="B590" s="123" t="str">
        <f t="shared" si="772"/>
        <v>8 2026</v>
      </c>
      <c r="C590" s="122">
        <f t="shared" si="773"/>
        <v>46239</v>
      </c>
      <c r="D590" s="122">
        <f t="shared" si="890"/>
        <v>46240</v>
      </c>
      <c r="E590" s="123">
        <f t="shared" si="774"/>
        <v>1</v>
      </c>
      <c r="F590" s="123" t="s">
        <v>7</v>
      </c>
      <c r="G590" s="124">
        <f t="shared" ref="G590:H590" si="960">G589</f>
        <v>1450000</v>
      </c>
      <c r="H590" s="125">
        <f t="shared" si="960"/>
        <v>3.15E-2</v>
      </c>
      <c r="I590" s="124">
        <f t="shared" si="776"/>
        <v>126.875</v>
      </c>
      <c r="J590" s="124">
        <f t="shared" si="777"/>
        <v>26250</v>
      </c>
      <c r="K590" s="9"/>
      <c r="L590" s="11"/>
      <c r="M590" s="306"/>
      <c r="N590" s="97"/>
      <c r="O590" s="421"/>
      <c r="P590" s="304"/>
      <c r="Q590" s="307"/>
      <c r="S590" s="11"/>
      <c r="T590" s="306"/>
      <c r="U590" s="97"/>
      <c r="V590" s="421"/>
      <c r="W590" s="304"/>
      <c r="X590" s="307"/>
      <c r="Z590" s="11"/>
      <c r="AA590" s="306"/>
      <c r="AB590" s="97"/>
      <c r="AC590" s="421"/>
      <c r="AD590" s="304"/>
      <c r="AE590" s="307"/>
      <c r="AG590" s="11" t="s">
        <v>192</v>
      </c>
      <c r="AH590" s="306">
        <f t="shared" ref="AH590:AI590" si="961">AH589</f>
        <v>6000000</v>
      </c>
      <c r="AI590" s="97">
        <f t="shared" si="961"/>
        <v>3.73E-2</v>
      </c>
      <c r="AJ590" s="421">
        <f t="shared" si="783"/>
        <v>621.66666666666663</v>
      </c>
      <c r="AK590" s="304">
        <f t="shared" si="784"/>
        <v>1243.3333333333333</v>
      </c>
      <c r="AL590" s="307">
        <f t="shared" si="785"/>
        <v>96.666666666666629</v>
      </c>
      <c r="AN590" s="304">
        <f>'codeis $'!AB590</f>
        <v>0</v>
      </c>
      <c r="AO590" s="340">
        <f>'codeis $'!AH590</f>
        <v>0</v>
      </c>
      <c r="AP590" s="304">
        <f>'codeis $'!AE590</f>
        <v>0</v>
      </c>
      <c r="AQ590" s="304">
        <f>'codeis $'!AK590</f>
        <v>0</v>
      </c>
      <c r="AR590" s="9"/>
      <c r="AS590" s="9"/>
      <c r="AT590" s="123"/>
      <c r="AU590" s="123"/>
      <c r="AV590" s="123"/>
      <c r="AW590" s="123"/>
      <c r="AX590" s="123"/>
      <c r="AY590" s="123"/>
      <c r="AZ590" s="123"/>
      <c r="BA590" s="123"/>
      <c r="BC590" s="122"/>
      <c r="BD590" s="122"/>
      <c r="BE590" s="122"/>
      <c r="BF590" s="122"/>
      <c r="BH590" s="122"/>
      <c r="BI590" s="122"/>
      <c r="BJ590" s="122"/>
      <c r="BK590" s="122"/>
      <c r="BM590" s="122"/>
      <c r="BN590" s="122"/>
      <c r="BO590" s="122"/>
      <c r="BP590" s="122"/>
      <c r="BR590" s="122"/>
      <c r="BS590" s="122"/>
      <c r="BT590" s="122"/>
      <c r="BU590" s="122"/>
      <c r="BV590" s="439"/>
      <c r="BW590" s="120">
        <f t="shared" si="786"/>
        <v>7450000</v>
      </c>
      <c r="BX590" s="121">
        <f t="shared" si="885"/>
        <v>3.5000000000000003E-2</v>
      </c>
      <c r="BY590" s="121">
        <f t="shared" si="889"/>
        <v>3.6171140939597314E-2</v>
      </c>
      <c r="BZ590" s="120">
        <f t="shared" si="787"/>
        <v>748.54166666666663</v>
      </c>
      <c r="CA590" s="120">
        <f t="shared" si="788"/>
        <v>96.666666666666629</v>
      </c>
    </row>
    <row r="591" spans="2:79" x14ac:dyDescent="0.25">
      <c r="B591" s="123" t="str">
        <f t="shared" si="772"/>
        <v>8 2026</v>
      </c>
      <c r="C591" s="122">
        <f t="shared" si="773"/>
        <v>46240</v>
      </c>
      <c r="D591" s="122">
        <f t="shared" si="890"/>
        <v>46241</v>
      </c>
      <c r="E591" s="123">
        <f t="shared" si="774"/>
        <v>1</v>
      </c>
      <c r="F591" s="123" t="s">
        <v>7</v>
      </c>
      <c r="G591" s="124">
        <f t="shared" ref="G591:H591" si="962">G590</f>
        <v>1450000</v>
      </c>
      <c r="H591" s="125">
        <f t="shared" si="962"/>
        <v>3.15E-2</v>
      </c>
      <c r="I591" s="124">
        <f t="shared" si="776"/>
        <v>126.875</v>
      </c>
      <c r="J591" s="124">
        <f t="shared" si="777"/>
        <v>26376.875</v>
      </c>
      <c r="K591" s="9"/>
      <c r="L591" s="11"/>
      <c r="M591" s="306"/>
      <c r="N591" s="97"/>
      <c r="O591" s="421"/>
      <c r="P591" s="304"/>
      <c r="Q591" s="307"/>
      <c r="S591" s="11"/>
      <c r="T591" s="306"/>
      <c r="U591" s="97"/>
      <c r="V591" s="421"/>
      <c r="W591" s="304"/>
      <c r="X591" s="307"/>
      <c r="Z591" s="11"/>
      <c r="AA591" s="306"/>
      <c r="AB591" s="97"/>
      <c r="AC591" s="421"/>
      <c r="AD591" s="304"/>
      <c r="AE591" s="307"/>
      <c r="AG591" s="11" t="s">
        <v>192</v>
      </c>
      <c r="AH591" s="306">
        <f t="shared" ref="AH591:AI591" si="963">AH590</f>
        <v>6000000</v>
      </c>
      <c r="AI591" s="97">
        <f t="shared" si="963"/>
        <v>3.73E-2</v>
      </c>
      <c r="AJ591" s="421">
        <f t="shared" si="783"/>
        <v>621.66666666666663</v>
      </c>
      <c r="AK591" s="304">
        <f t="shared" si="784"/>
        <v>1243.3333333333333</v>
      </c>
      <c r="AL591" s="307">
        <f t="shared" si="785"/>
        <v>96.666666666666629</v>
      </c>
      <c r="AN591" s="304">
        <f>'codeis $'!AB591</f>
        <v>0</v>
      </c>
      <c r="AO591" s="340">
        <f>'codeis $'!AH591</f>
        <v>0</v>
      </c>
      <c r="AP591" s="304">
        <f>'codeis $'!AE591</f>
        <v>0</v>
      </c>
      <c r="AQ591" s="304">
        <f>'codeis $'!AK591</f>
        <v>0</v>
      </c>
      <c r="AR591" s="9"/>
      <c r="AS591" s="9"/>
      <c r="AT591" s="123"/>
      <c r="AU591" s="123"/>
      <c r="AV591" s="123"/>
      <c r="AW591" s="123"/>
      <c r="AX591" s="123"/>
      <c r="AY591" s="123"/>
      <c r="AZ591" s="123"/>
      <c r="BA591" s="123"/>
      <c r="BC591" s="122"/>
      <c r="BD591" s="122"/>
      <c r="BE591" s="122"/>
      <c r="BF591" s="122"/>
      <c r="BH591" s="122"/>
      <c r="BI591" s="122"/>
      <c r="BJ591" s="122"/>
      <c r="BK591" s="122"/>
      <c r="BM591" s="122"/>
      <c r="BN591" s="122"/>
      <c r="BO591" s="122"/>
      <c r="BP591" s="122"/>
      <c r="BR591" s="122"/>
      <c r="BS591" s="122"/>
      <c r="BT591" s="122"/>
      <c r="BU591" s="122"/>
      <c r="BV591" s="439"/>
      <c r="BW591" s="120">
        <f t="shared" si="786"/>
        <v>7450000</v>
      </c>
      <c r="BX591" s="121">
        <f t="shared" si="885"/>
        <v>3.5000000000000003E-2</v>
      </c>
      <c r="BY591" s="121">
        <f t="shared" si="889"/>
        <v>3.6171140939597314E-2</v>
      </c>
      <c r="BZ591" s="120">
        <f t="shared" si="787"/>
        <v>748.54166666666663</v>
      </c>
      <c r="CA591" s="120">
        <f t="shared" si="788"/>
        <v>96.666666666666629</v>
      </c>
    </row>
    <row r="592" spans="2:79" x14ac:dyDescent="0.25">
      <c r="B592" s="123" t="str">
        <f t="shared" si="772"/>
        <v>8 2026</v>
      </c>
      <c r="C592" s="122">
        <f t="shared" si="773"/>
        <v>46241</v>
      </c>
      <c r="D592" s="122">
        <f t="shared" si="890"/>
        <v>46242</v>
      </c>
      <c r="E592" s="123">
        <f t="shared" si="774"/>
        <v>1</v>
      </c>
      <c r="F592" s="123" t="s">
        <v>7</v>
      </c>
      <c r="G592" s="124">
        <f t="shared" ref="G592:H592" si="964">G591</f>
        <v>1450000</v>
      </c>
      <c r="H592" s="125">
        <f t="shared" si="964"/>
        <v>3.15E-2</v>
      </c>
      <c r="I592" s="124">
        <f t="shared" si="776"/>
        <v>126.875</v>
      </c>
      <c r="J592" s="124">
        <f t="shared" si="777"/>
        <v>26503.75</v>
      </c>
      <c r="K592" s="9"/>
      <c r="L592" s="11"/>
      <c r="M592" s="306"/>
      <c r="N592" s="97"/>
      <c r="O592" s="421"/>
      <c r="P592" s="304"/>
      <c r="Q592" s="307"/>
      <c r="S592" s="11"/>
      <c r="T592" s="306"/>
      <c r="U592" s="97"/>
      <c r="V592" s="421"/>
      <c r="W592" s="304"/>
      <c r="X592" s="307"/>
      <c r="Z592" s="11"/>
      <c r="AA592" s="306"/>
      <c r="AB592" s="97"/>
      <c r="AC592" s="421"/>
      <c r="AD592" s="304"/>
      <c r="AE592" s="307"/>
      <c r="AG592" s="11" t="s">
        <v>192</v>
      </c>
      <c r="AH592" s="306">
        <f t="shared" ref="AH592:AI592" si="965">AH591</f>
        <v>6000000</v>
      </c>
      <c r="AI592" s="97">
        <f t="shared" si="965"/>
        <v>3.73E-2</v>
      </c>
      <c r="AJ592" s="421">
        <f t="shared" si="783"/>
        <v>621.66666666666663</v>
      </c>
      <c r="AK592" s="304">
        <f t="shared" si="784"/>
        <v>1243.3333333333333</v>
      </c>
      <c r="AL592" s="307">
        <f t="shared" si="785"/>
        <v>96.666666666666629</v>
      </c>
      <c r="AN592" s="304">
        <f>'codeis $'!AB592</f>
        <v>0</v>
      </c>
      <c r="AO592" s="340">
        <f>'codeis $'!AH592</f>
        <v>0</v>
      </c>
      <c r="AP592" s="304">
        <f>'codeis $'!AE592</f>
        <v>0</v>
      </c>
      <c r="AQ592" s="304">
        <f>'codeis $'!AK592</f>
        <v>0</v>
      </c>
      <c r="AR592" s="9"/>
      <c r="AS592" s="9"/>
      <c r="AT592" s="123"/>
      <c r="AU592" s="123"/>
      <c r="AV592" s="123"/>
      <c r="AW592" s="123"/>
      <c r="AX592" s="123"/>
      <c r="AY592" s="123"/>
      <c r="AZ592" s="123"/>
      <c r="BA592" s="123"/>
      <c r="BC592" s="122"/>
      <c r="BD592" s="122"/>
      <c r="BE592" s="122"/>
      <c r="BF592" s="122"/>
      <c r="BH592" s="122"/>
      <c r="BI592" s="122"/>
      <c r="BJ592" s="122"/>
      <c r="BK592" s="122"/>
      <c r="BM592" s="122"/>
      <c r="BN592" s="122"/>
      <c r="BO592" s="122"/>
      <c r="BP592" s="122"/>
      <c r="BR592" s="122"/>
      <c r="BS592" s="122"/>
      <c r="BT592" s="122"/>
      <c r="BU592" s="122"/>
      <c r="BV592" s="439"/>
      <c r="BW592" s="120">
        <f t="shared" si="786"/>
        <v>7450000</v>
      </c>
      <c r="BX592" s="121">
        <f t="shared" si="885"/>
        <v>3.5000000000000003E-2</v>
      </c>
      <c r="BY592" s="121">
        <f t="shared" si="889"/>
        <v>3.6171140939597314E-2</v>
      </c>
      <c r="BZ592" s="120">
        <f t="shared" si="787"/>
        <v>748.54166666666663</v>
      </c>
      <c r="CA592" s="120">
        <f t="shared" si="788"/>
        <v>96.666666666666629</v>
      </c>
    </row>
    <row r="593" spans="2:79" x14ac:dyDescent="0.25">
      <c r="B593" s="123" t="str">
        <f t="shared" si="772"/>
        <v>8 2026</v>
      </c>
      <c r="C593" s="122">
        <f t="shared" si="773"/>
        <v>46242</v>
      </c>
      <c r="D593" s="122">
        <f t="shared" si="890"/>
        <v>46243</v>
      </c>
      <c r="E593" s="123">
        <f t="shared" si="774"/>
        <v>1</v>
      </c>
      <c r="F593" s="123" t="s">
        <v>7</v>
      </c>
      <c r="G593" s="124">
        <f t="shared" ref="G593:H593" si="966">G592</f>
        <v>1450000</v>
      </c>
      <c r="H593" s="125">
        <f t="shared" si="966"/>
        <v>3.15E-2</v>
      </c>
      <c r="I593" s="124">
        <f t="shared" si="776"/>
        <v>126.875</v>
      </c>
      <c r="J593" s="124">
        <f t="shared" si="777"/>
        <v>26630.625</v>
      </c>
      <c r="K593" s="9"/>
      <c r="L593" s="11"/>
      <c r="M593" s="306"/>
      <c r="N593" s="97"/>
      <c r="O593" s="421"/>
      <c r="P593" s="304"/>
      <c r="Q593" s="307"/>
      <c r="S593" s="11"/>
      <c r="T593" s="306"/>
      <c r="U593" s="97"/>
      <c r="V593" s="421"/>
      <c r="W593" s="304"/>
      <c r="X593" s="307"/>
      <c r="Z593" s="11"/>
      <c r="AA593" s="306"/>
      <c r="AB593" s="97"/>
      <c r="AC593" s="421"/>
      <c r="AD593" s="304"/>
      <c r="AE593" s="307"/>
      <c r="AG593" s="11" t="s">
        <v>192</v>
      </c>
      <c r="AH593" s="306">
        <f t="shared" ref="AH593:AI593" si="967">AH592</f>
        <v>6000000</v>
      </c>
      <c r="AI593" s="97">
        <f t="shared" si="967"/>
        <v>3.73E-2</v>
      </c>
      <c r="AJ593" s="421">
        <f t="shared" si="783"/>
        <v>621.66666666666663</v>
      </c>
      <c r="AK593" s="304">
        <f t="shared" si="784"/>
        <v>1243.3333333333333</v>
      </c>
      <c r="AL593" s="307">
        <f t="shared" si="785"/>
        <v>96.666666666666629</v>
      </c>
      <c r="AN593" s="304">
        <f>'codeis $'!AB593</f>
        <v>0</v>
      </c>
      <c r="AO593" s="340">
        <f>'codeis $'!AH593</f>
        <v>0</v>
      </c>
      <c r="AP593" s="304">
        <f>'codeis $'!AE593</f>
        <v>0</v>
      </c>
      <c r="AQ593" s="304">
        <f>'codeis $'!AK593</f>
        <v>0</v>
      </c>
      <c r="AR593" s="9"/>
      <c r="AS593" s="9"/>
      <c r="AT593" s="123"/>
      <c r="AU593" s="123"/>
      <c r="AV593" s="123"/>
      <c r="AW593" s="123"/>
      <c r="AX593" s="123"/>
      <c r="AY593" s="123"/>
      <c r="AZ593" s="123"/>
      <c r="BA593" s="123"/>
      <c r="BC593" s="122"/>
      <c r="BD593" s="122"/>
      <c r="BE593" s="122"/>
      <c r="BF593" s="122"/>
      <c r="BH593" s="122"/>
      <c r="BI593" s="122"/>
      <c r="BJ593" s="122"/>
      <c r="BK593" s="122"/>
      <c r="BM593" s="122"/>
      <c r="BN593" s="122"/>
      <c r="BO593" s="122"/>
      <c r="BP593" s="122"/>
      <c r="BR593" s="122"/>
      <c r="BS593" s="122"/>
      <c r="BT593" s="122"/>
      <c r="BU593" s="122"/>
      <c r="BV593" s="439"/>
      <c r="BW593" s="120">
        <f t="shared" si="786"/>
        <v>7450000</v>
      </c>
      <c r="BX593" s="121">
        <f t="shared" si="885"/>
        <v>3.5000000000000003E-2</v>
      </c>
      <c r="BY593" s="121">
        <f t="shared" si="889"/>
        <v>3.6171140939597314E-2</v>
      </c>
      <c r="BZ593" s="120">
        <f t="shared" si="787"/>
        <v>748.54166666666663</v>
      </c>
      <c r="CA593" s="120">
        <f t="shared" si="788"/>
        <v>96.666666666666629</v>
      </c>
    </row>
    <row r="594" spans="2:79" x14ac:dyDescent="0.25">
      <c r="B594" s="123" t="str">
        <f t="shared" si="772"/>
        <v>8 2026</v>
      </c>
      <c r="C594" s="122">
        <f t="shared" si="773"/>
        <v>46243</v>
      </c>
      <c r="D594" s="122">
        <f t="shared" si="890"/>
        <v>46244</v>
      </c>
      <c r="E594" s="123">
        <f t="shared" si="774"/>
        <v>1</v>
      </c>
      <c r="F594" s="123" t="s">
        <v>7</v>
      </c>
      <c r="G594" s="124">
        <f t="shared" ref="G594:H594" si="968">G593</f>
        <v>1450000</v>
      </c>
      <c r="H594" s="125">
        <f t="shared" si="968"/>
        <v>3.15E-2</v>
      </c>
      <c r="I594" s="124">
        <f t="shared" si="776"/>
        <v>126.875</v>
      </c>
      <c r="J594" s="124">
        <f t="shared" si="777"/>
        <v>26757.5</v>
      </c>
      <c r="K594" s="9"/>
      <c r="L594" s="11"/>
      <c r="M594" s="306"/>
      <c r="N594" s="97"/>
      <c r="O594" s="421"/>
      <c r="P594" s="304"/>
      <c r="Q594" s="307"/>
      <c r="S594" s="11"/>
      <c r="T594" s="306"/>
      <c r="U594" s="97"/>
      <c r="V594" s="421"/>
      <c r="W594" s="304"/>
      <c r="X594" s="307"/>
      <c r="Z594" s="11"/>
      <c r="AA594" s="306"/>
      <c r="AB594" s="97"/>
      <c r="AC594" s="421"/>
      <c r="AD594" s="304"/>
      <c r="AE594" s="307"/>
      <c r="AG594" s="11" t="s">
        <v>192</v>
      </c>
      <c r="AH594" s="306">
        <f t="shared" ref="AH594:AI594" si="969">AH593</f>
        <v>6000000</v>
      </c>
      <c r="AI594" s="97">
        <f t="shared" si="969"/>
        <v>3.73E-2</v>
      </c>
      <c r="AJ594" s="421">
        <f t="shared" si="783"/>
        <v>621.66666666666663</v>
      </c>
      <c r="AK594" s="304">
        <f t="shared" si="784"/>
        <v>1243.3333333333333</v>
      </c>
      <c r="AL594" s="307">
        <f t="shared" si="785"/>
        <v>96.666666666666629</v>
      </c>
      <c r="AN594" s="304">
        <f>'codeis $'!AB594</f>
        <v>0</v>
      </c>
      <c r="AO594" s="340">
        <f>'codeis $'!AH594</f>
        <v>0</v>
      </c>
      <c r="AP594" s="304">
        <f>'codeis $'!AE594</f>
        <v>0</v>
      </c>
      <c r="AQ594" s="304">
        <f>'codeis $'!AK594</f>
        <v>0</v>
      </c>
      <c r="AR594" s="9"/>
      <c r="AS594" s="9"/>
      <c r="AT594" s="123"/>
      <c r="AU594" s="123"/>
      <c r="AV594" s="123"/>
      <c r="AW594" s="123"/>
      <c r="AX594" s="123"/>
      <c r="AY594" s="123"/>
      <c r="AZ594" s="123"/>
      <c r="BA594" s="123"/>
      <c r="BC594" s="122"/>
      <c r="BD594" s="122"/>
      <c r="BE594" s="122"/>
      <c r="BF594" s="122"/>
      <c r="BH594" s="122"/>
      <c r="BI594" s="122"/>
      <c r="BJ594" s="122"/>
      <c r="BK594" s="122"/>
      <c r="BM594" s="122"/>
      <c r="BN594" s="122"/>
      <c r="BO594" s="122"/>
      <c r="BP594" s="122"/>
      <c r="BR594" s="122"/>
      <c r="BS594" s="122"/>
      <c r="BT594" s="122"/>
      <c r="BU594" s="122"/>
      <c r="BV594" s="439"/>
      <c r="BW594" s="120">
        <f t="shared" si="786"/>
        <v>7450000</v>
      </c>
      <c r="BX594" s="121">
        <f t="shared" si="885"/>
        <v>3.5000000000000003E-2</v>
      </c>
      <c r="BY594" s="121">
        <f t="shared" si="889"/>
        <v>3.6171140939597314E-2</v>
      </c>
      <c r="BZ594" s="120">
        <f t="shared" si="787"/>
        <v>748.54166666666663</v>
      </c>
      <c r="CA594" s="120">
        <f t="shared" si="788"/>
        <v>96.666666666666629</v>
      </c>
    </row>
    <row r="595" spans="2:79" x14ac:dyDescent="0.25">
      <c r="B595" s="123" t="str">
        <f t="shared" si="772"/>
        <v>8 2026</v>
      </c>
      <c r="C595" s="122">
        <f t="shared" si="773"/>
        <v>46244</v>
      </c>
      <c r="D595" s="122">
        <f t="shared" si="890"/>
        <v>46245</v>
      </c>
      <c r="E595" s="123">
        <f t="shared" si="774"/>
        <v>1</v>
      </c>
      <c r="F595" s="123" t="s">
        <v>7</v>
      </c>
      <c r="G595" s="124">
        <f t="shared" ref="G595:H595" si="970">G594</f>
        <v>1450000</v>
      </c>
      <c r="H595" s="125">
        <f t="shared" si="970"/>
        <v>3.15E-2</v>
      </c>
      <c r="I595" s="124">
        <f t="shared" si="776"/>
        <v>126.875</v>
      </c>
      <c r="J595" s="124">
        <f t="shared" si="777"/>
        <v>26884.375</v>
      </c>
      <c r="K595" s="9"/>
      <c r="L595" s="11"/>
      <c r="M595" s="306"/>
      <c r="N595" s="97"/>
      <c r="O595" s="421"/>
      <c r="P595" s="304"/>
      <c r="Q595" s="307"/>
      <c r="S595" s="11"/>
      <c r="T595" s="306"/>
      <c r="U595" s="97"/>
      <c r="V595" s="421"/>
      <c r="W595" s="304"/>
      <c r="X595" s="307"/>
      <c r="Z595" s="11"/>
      <c r="AA595" s="306"/>
      <c r="AB595" s="97"/>
      <c r="AC595" s="421"/>
      <c r="AD595" s="304"/>
      <c r="AE595" s="307"/>
      <c r="AG595" s="11" t="s">
        <v>192</v>
      </c>
      <c r="AH595" s="306">
        <f t="shared" ref="AH595:AI595" si="971">AH594</f>
        <v>6000000</v>
      </c>
      <c r="AI595" s="97">
        <f t="shared" si="971"/>
        <v>3.73E-2</v>
      </c>
      <c r="AJ595" s="421">
        <f t="shared" si="783"/>
        <v>621.66666666666663</v>
      </c>
      <c r="AK595" s="304">
        <f t="shared" si="784"/>
        <v>1243.3333333333333</v>
      </c>
      <c r="AL595" s="307">
        <f t="shared" si="785"/>
        <v>96.666666666666629</v>
      </c>
      <c r="AN595" s="304">
        <f>'codeis $'!AB595</f>
        <v>0</v>
      </c>
      <c r="AO595" s="340">
        <f>'codeis $'!AH595</f>
        <v>0</v>
      </c>
      <c r="AP595" s="304">
        <f>'codeis $'!AE595</f>
        <v>0</v>
      </c>
      <c r="AQ595" s="304">
        <f>'codeis $'!AK595</f>
        <v>0</v>
      </c>
      <c r="AR595" s="9"/>
      <c r="AS595" s="9"/>
      <c r="AT595" s="123"/>
      <c r="AU595" s="123"/>
      <c r="AV595" s="123"/>
      <c r="AW595" s="123"/>
      <c r="AX595" s="123"/>
      <c r="AY595" s="123"/>
      <c r="AZ595" s="123"/>
      <c r="BA595" s="123"/>
      <c r="BC595" s="122"/>
      <c r="BD595" s="122"/>
      <c r="BE595" s="122"/>
      <c r="BF595" s="122"/>
      <c r="BH595" s="122"/>
      <c r="BI595" s="122"/>
      <c r="BJ595" s="122"/>
      <c r="BK595" s="122"/>
      <c r="BM595" s="122"/>
      <c r="BN595" s="122"/>
      <c r="BO595" s="122"/>
      <c r="BP595" s="122"/>
      <c r="BR595" s="122"/>
      <c r="BS595" s="122"/>
      <c r="BT595" s="122"/>
      <c r="BU595" s="122"/>
      <c r="BV595" s="439"/>
      <c r="BW595" s="120">
        <f t="shared" si="786"/>
        <v>7450000</v>
      </c>
      <c r="BX595" s="121">
        <f t="shared" si="885"/>
        <v>3.5000000000000003E-2</v>
      </c>
      <c r="BY595" s="121">
        <f t="shared" si="889"/>
        <v>3.6171140939597314E-2</v>
      </c>
      <c r="BZ595" s="120">
        <f t="shared" si="787"/>
        <v>748.54166666666663</v>
      </c>
      <c r="CA595" s="120">
        <f t="shared" si="788"/>
        <v>96.666666666666629</v>
      </c>
    </row>
    <row r="596" spans="2:79" x14ac:dyDescent="0.25">
      <c r="B596" s="123" t="str">
        <f t="shared" si="772"/>
        <v>8 2026</v>
      </c>
      <c r="C596" s="122">
        <f t="shared" si="773"/>
        <v>46245</v>
      </c>
      <c r="D596" s="122">
        <f t="shared" si="890"/>
        <v>46246</v>
      </c>
      <c r="E596" s="123">
        <f t="shared" si="774"/>
        <v>1</v>
      </c>
      <c r="F596" s="123" t="s">
        <v>7</v>
      </c>
      <c r="G596" s="124">
        <f t="shared" ref="G596:H596" si="972">G595</f>
        <v>1450000</v>
      </c>
      <c r="H596" s="125">
        <f t="shared" si="972"/>
        <v>3.15E-2</v>
      </c>
      <c r="I596" s="124">
        <f t="shared" si="776"/>
        <v>126.875</v>
      </c>
      <c r="J596" s="124">
        <f t="shared" si="777"/>
        <v>27011.25</v>
      </c>
      <c r="K596" s="9"/>
      <c r="L596" s="11"/>
      <c r="M596" s="306"/>
      <c r="N596" s="97"/>
      <c r="O596" s="421"/>
      <c r="P596" s="304"/>
      <c r="Q596" s="307"/>
      <c r="S596" s="11"/>
      <c r="T596" s="306"/>
      <c r="U596" s="97"/>
      <c r="V596" s="421"/>
      <c r="W596" s="304"/>
      <c r="X596" s="307"/>
      <c r="Z596" s="11"/>
      <c r="AA596" s="306"/>
      <c r="AB596" s="97"/>
      <c r="AC596" s="421"/>
      <c r="AD596" s="304"/>
      <c r="AE596" s="307"/>
      <c r="AG596" s="11" t="s">
        <v>192</v>
      </c>
      <c r="AH596" s="306">
        <f t="shared" ref="AH596:AI596" si="973">AH595</f>
        <v>6000000</v>
      </c>
      <c r="AI596" s="97">
        <f t="shared" si="973"/>
        <v>3.73E-2</v>
      </c>
      <c r="AJ596" s="421">
        <f t="shared" si="783"/>
        <v>621.66666666666663</v>
      </c>
      <c r="AK596" s="304">
        <f t="shared" si="784"/>
        <v>1243.3333333333333</v>
      </c>
      <c r="AL596" s="307">
        <f t="shared" si="785"/>
        <v>96.666666666666629</v>
      </c>
      <c r="AN596" s="304">
        <f>'codeis $'!AB596</f>
        <v>0</v>
      </c>
      <c r="AO596" s="340">
        <f>'codeis $'!AH596</f>
        <v>0</v>
      </c>
      <c r="AP596" s="304">
        <f>'codeis $'!AE596</f>
        <v>0</v>
      </c>
      <c r="AQ596" s="304">
        <f>'codeis $'!AK596</f>
        <v>0</v>
      </c>
      <c r="AR596" s="9"/>
      <c r="AS596" s="9"/>
      <c r="AT596" s="123"/>
      <c r="AU596" s="123"/>
      <c r="AV596" s="123"/>
      <c r="AW596" s="123"/>
      <c r="AX596" s="123"/>
      <c r="AY596" s="123"/>
      <c r="AZ596" s="123"/>
      <c r="BA596" s="123"/>
      <c r="BC596" s="122"/>
      <c r="BD596" s="122"/>
      <c r="BE596" s="122"/>
      <c r="BF596" s="122"/>
      <c r="BH596" s="122"/>
      <c r="BI596" s="122"/>
      <c r="BJ596" s="122"/>
      <c r="BK596" s="122"/>
      <c r="BM596" s="122"/>
      <c r="BN596" s="122"/>
      <c r="BO596" s="122"/>
      <c r="BP596" s="122"/>
      <c r="BR596" s="122"/>
      <c r="BS596" s="122"/>
      <c r="BT596" s="122"/>
      <c r="BU596" s="122"/>
      <c r="BV596" s="439"/>
      <c r="BW596" s="120">
        <f t="shared" si="786"/>
        <v>7450000</v>
      </c>
      <c r="BX596" s="121">
        <f t="shared" si="885"/>
        <v>3.5000000000000003E-2</v>
      </c>
      <c r="BY596" s="121">
        <f t="shared" si="889"/>
        <v>3.6171140939597314E-2</v>
      </c>
      <c r="BZ596" s="120">
        <f t="shared" si="787"/>
        <v>748.54166666666663</v>
      </c>
      <c r="CA596" s="120">
        <f t="shared" si="788"/>
        <v>96.666666666666629</v>
      </c>
    </row>
    <row r="597" spans="2:79" x14ac:dyDescent="0.25">
      <c r="B597" s="123" t="str">
        <f t="shared" ref="B597:B660" si="974">CONCATENATE(MONTH(D597)," ",YEAR(D597))</f>
        <v>8 2026</v>
      </c>
      <c r="C597" s="122">
        <f t="shared" ref="C597:C660" si="975">D596</f>
        <v>46246</v>
      </c>
      <c r="D597" s="122">
        <f t="shared" si="890"/>
        <v>46247</v>
      </c>
      <c r="E597" s="123">
        <f t="shared" ref="E597:E660" si="976">D597-C597</f>
        <v>1</v>
      </c>
      <c r="F597" s="123" t="s">
        <v>7</v>
      </c>
      <c r="G597" s="124">
        <f t="shared" ref="G597:H597" si="977">G596</f>
        <v>1450000</v>
      </c>
      <c r="H597" s="125">
        <f t="shared" si="977"/>
        <v>3.15E-2</v>
      </c>
      <c r="I597" s="124">
        <f t="shared" ref="I597:I660" si="978">G597*H597*E597/360</f>
        <v>126.875</v>
      </c>
      <c r="J597" s="124">
        <f t="shared" ref="J597:J660" si="979">J596+I597</f>
        <v>27138.125</v>
      </c>
      <c r="K597" s="9"/>
      <c r="L597" s="11"/>
      <c r="M597" s="306"/>
      <c r="N597" s="97"/>
      <c r="O597" s="421"/>
      <c r="P597" s="304"/>
      <c r="Q597" s="307"/>
      <c r="S597" s="11"/>
      <c r="T597" s="306"/>
      <c r="U597" s="97"/>
      <c r="V597" s="421"/>
      <c r="W597" s="304"/>
      <c r="X597" s="307"/>
      <c r="Z597" s="11"/>
      <c r="AA597" s="306"/>
      <c r="AB597" s="97"/>
      <c r="AC597" s="421"/>
      <c r="AD597" s="304"/>
      <c r="AE597" s="307"/>
      <c r="AG597" s="11" t="s">
        <v>192</v>
      </c>
      <c r="AH597" s="306">
        <f t="shared" ref="AH597:AI597" si="980">AH596</f>
        <v>6000000</v>
      </c>
      <c r="AI597" s="97">
        <f t="shared" si="980"/>
        <v>3.73E-2</v>
      </c>
      <c r="AJ597" s="421">
        <f t="shared" ref="AJ597:AJ660" si="981">AH597*AI597*$E597/360</f>
        <v>621.66666666666663</v>
      </c>
      <c r="AK597" s="304">
        <f t="shared" ref="AK597:AK660" si="982">AJ597+AJ596</f>
        <v>1243.3333333333333</v>
      </c>
      <c r="AL597" s="307">
        <f t="shared" ref="AL597:AL660" si="983">AJ597-AH597*$H597*$E597/360</f>
        <v>96.666666666666629</v>
      </c>
      <c r="AN597" s="304">
        <f>'codeis $'!AB597</f>
        <v>0</v>
      </c>
      <c r="AO597" s="340">
        <f>'codeis $'!AH597</f>
        <v>0</v>
      </c>
      <c r="AP597" s="304">
        <f>'codeis $'!AE597</f>
        <v>0</v>
      </c>
      <c r="AQ597" s="304">
        <f>'codeis $'!AK597</f>
        <v>0</v>
      </c>
      <c r="AR597" s="9"/>
      <c r="AS597" s="9"/>
      <c r="AT597" s="123"/>
      <c r="AU597" s="123"/>
      <c r="AV597" s="123"/>
      <c r="AW597" s="123"/>
      <c r="AX597" s="123"/>
      <c r="AY597" s="123"/>
      <c r="AZ597" s="123"/>
      <c r="BA597" s="123"/>
      <c r="BC597" s="122"/>
      <c r="BD597" s="122"/>
      <c r="BE597" s="122"/>
      <c r="BF597" s="122"/>
      <c r="BH597" s="122"/>
      <c r="BI597" s="122"/>
      <c r="BJ597" s="122"/>
      <c r="BK597" s="122"/>
      <c r="BM597" s="122"/>
      <c r="BN597" s="122"/>
      <c r="BO597" s="122"/>
      <c r="BP597" s="122"/>
      <c r="BR597" s="122"/>
      <c r="BS597" s="122"/>
      <c r="BT597" s="122"/>
      <c r="BU597" s="122"/>
      <c r="BV597" s="439"/>
      <c r="BW597" s="120">
        <f t="shared" ref="BW597:BW660" si="984">AV597+G597+M597+T597+AA597+AH597+AN597+BC597+BH597+BM597+BR597</f>
        <v>7450000</v>
      </c>
      <c r="BX597" s="121">
        <f t="shared" si="885"/>
        <v>3.5000000000000003E-2</v>
      </c>
      <c r="BY597" s="121">
        <f t="shared" si="889"/>
        <v>3.6171140939597314E-2</v>
      </c>
      <c r="BZ597" s="120">
        <f t="shared" ref="BZ597:BZ660" si="985">AY597+I597+O597+V597+AC597+AJ597+AP597+BE597+BJ597+BO597+BT597</f>
        <v>748.54166666666663</v>
      </c>
      <c r="CA597" s="120">
        <f t="shared" ref="CA597:CA660" si="986">BA597+Q597+X597+AE597+AL597+AQ597+BF597+BK597+BP597+BU597</f>
        <v>96.666666666666629</v>
      </c>
    </row>
    <row r="598" spans="2:79" x14ac:dyDescent="0.25">
      <c r="B598" s="123" t="str">
        <f t="shared" si="974"/>
        <v>8 2026</v>
      </c>
      <c r="C598" s="122">
        <f t="shared" si="975"/>
        <v>46247</v>
      </c>
      <c r="D598" s="122">
        <f t="shared" si="890"/>
        <v>46248</v>
      </c>
      <c r="E598" s="123">
        <f t="shared" si="976"/>
        <v>1</v>
      </c>
      <c r="F598" s="123" t="s">
        <v>7</v>
      </c>
      <c r="G598" s="124">
        <f t="shared" ref="G598:H598" si="987">G597</f>
        <v>1450000</v>
      </c>
      <c r="H598" s="125">
        <f t="shared" si="987"/>
        <v>3.15E-2</v>
      </c>
      <c r="I598" s="124">
        <f t="shared" si="978"/>
        <v>126.875</v>
      </c>
      <c r="J598" s="124">
        <f t="shared" si="979"/>
        <v>27265</v>
      </c>
      <c r="K598" s="9"/>
      <c r="L598" s="11"/>
      <c r="M598" s="306"/>
      <c r="N598" s="97"/>
      <c r="O598" s="421"/>
      <c r="P598" s="304"/>
      <c r="Q598" s="307"/>
      <c r="S598" s="11"/>
      <c r="T598" s="306"/>
      <c r="U598" s="97"/>
      <c r="V598" s="421"/>
      <c r="W598" s="304"/>
      <c r="X598" s="307"/>
      <c r="Z598" s="11"/>
      <c r="AA598" s="306"/>
      <c r="AB598" s="97"/>
      <c r="AC598" s="421"/>
      <c r="AD598" s="304"/>
      <c r="AE598" s="307"/>
      <c r="AG598" s="11" t="s">
        <v>192</v>
      </c>
      <c r="AH598" s="306">
        <f t="shared" ref="AH598:AI598" si="988">AH597</f>
        <v>6000000</v>
      </c>
      <c r="AI598" s="97">
        <f t="shared" si="988"/>
        <v>3.73E-2</v>
      </c>
      <c r="AJ598" s="421">
        <f t="shared" si="981"/>
        <v>621.66666666666663</v>
      </c>
      <c r="AK598" s="304">
        <f t="shared" si="982"/>
        <v>1243.3333333333333</v>
      </c>
      <c r="AL598" s="307">
        <f t="shared" si="983"/>
        <v>96.666666666666629</v>
      </c>
      <c r="AN598" s="304">
        <f>'codeis $'!AB598</f>
        <v>0</v>
      </c>
      <c r="AO598" s="340">
        <f>'codeis $'!AH598</f>
        <v>0</v>
      </c>
      <c r="AP598" s="304">
        <f>'codeis $'!AE598</f>
        <v>0</v>
      </c>
      <c r="AQ598" s="304">
        <f>'codeis $'!AK598</f>
        <v>0</v>
      </c>
      <c r="AR598" s="9"/>
      <c r="AS598" s="9"/>
      <c r="AT598" s="123"/>
      <c r="AU598" s="123"/>
      <c r="AV598" s="123"/>
      <c r="AW598" s="123"/>
      <c r="AX598" s="123"/>
      <c r="AY598" s="123"/>
      <c r="AZ598" s="123"/>
      <c r="BA598" s="123"/>
      <c r="BC598" s="122"/>
      <c r="BD598" s="122"/>
      <c r="BE598" s="122"/>
      <c r="BF598" s="122"/>
      <c r="BH598" s="122"/>
      <c r="BI598" s="122"/>
      <c r="BJ598" s="122"/>
      <c r="BK598" s="122"/>
      <c r="BM598" s="122"/>
      <c r="BN598" s="122"/>
      <c r="BO598" s="122"/>
      <c r="BP598" s="122"/>
      <c r="BR598" s="122"/>
      <c r="BS598" s="122"/>
      <c r="BT598" s="122"/>
      <c r="BU598" s="122"/>
      <c r="BV598" s="439"/>
      <c r="BW598" s="120">
        <f t="shared" si="984"/>
        <v>7450000</v>
      </c>
      <c r="BX598" s="121">
        <f t="shared" si="885"/>
        <v>3.5000000000000003E-2</v>
      </c>
      <c r="BY598" s="121">
        <f t="shared" si="889"/>
        <v>3.6171140939597314E-2</v>
      </c>
      <c r="BZ598" s="120">
        <f t="shared" si="985"/>
        <v>748.54166666666663</v>
      </c>
      <c r="CA598" s="120">
        <f t="shared" si="986"/>
        <v>96.666666666666629</v>
      </c>
    </row>
    <row r="599" spans="2:79" x14ac:dyDescent="0.25">
      <c r="B599" s="123" t="str">
        <f t="shared" si="974"/>
        <v>8 2026</v>
      </c>
      <c r="C599" s="122">
        <f t="shared" si="975"/>
        <v>46248</v>
      </c>
      <c r="D599" s="122">
        <f t="shared" si="890"/>
        <v>46249</v>
      </c>
      <c r="E599" s="123">
        <f t="shared" si="976"/>
        <v>1</v>
      </c>
      <c r="F599" s="123" t="s">
        <v>7</v>
      </c>
      <c r="G599" s="124">
        <f t="shared" ref="G599:H599" si="989">G598</f>
        <v>1450000</v>
      </c>
      <c r="H599" s="125">
        <f t="shared" si="989"/>
        <v>3.15E-2</v>
      </c>
      <c r="I599" s="124">
        <f t="shared" si="978"/>
        <v>126.875</v>
      </c>
      <c r="J599" s="124">
        <f t="shared" si="979"/>
        <v>27391.875</v>
      </c>
      <c r="K599" s="9"/>
      <c r="L599" s="11"/>
      <c r="M599" s="306"/>
      <c r="N599" s="97"/>
      <c r="O599" s="421"/>
      <c r="P599" s="304"/>
      <c r="Q599" s="307"/>
      <c r="S599" s="11"/>
      <c r="T599" s="306"/>
      <c r="U599" s="97"/>
      <c r="V599" s="421"/>
      <c r="W599" s="304"/>
      <c r="X599" s="307"/>
      <c r="Z599" s="11"/>
      <c r="AA599" s="306"/>
      <c r="AB599" s="97"/>
      <c r="AC599" s="421"/>
      <c r="AD599" s="304"/>
      <c r="AE599" s="307"/>
      <c r="AG599" s="11" t="s">
        <v>192</v>
      </c>
      <c r="AH599" s="306">
        <f t="shared" ref="AH599:AI599" si="990">AH598</f>
        <v>6000000</v>
      </c>
      <c r="AI599" s="97">
        <f t="shared" si="990"/>
        <v>3.73E-2</v>
      </c>
      <c r="AJ599" s="421">
        <f t="shared" si="981"/>
        <v>621.66666666666663</v>
      </c>
      <c r="AK599" s="304">
        <f t="shared" si="982"/>
        <v>1243.3333333333333</v>
      </c>
      <c r="AL599" s="307">
        <f t="shared" si="983"/>
        <v>96.666666666666629</v>
      </c>
      <c r="AN599" s="304">
        <f>'codeis $'!AB599</f>
        <v>0</v>
      </c>
      <c r="AO599" s="340">
        <f>'codeis $'!AH599</f>
        <v>0</v>
      </c>
      <c r="AP599" s="304">
        <f>'codeis $'!AE599</f>
        <v>0</v>
      </c>
      <c r="AQ599" s="304">
        <f>'codeis $'!AK599</f>
        <v>0</v>
      </c>
      <c r="AR599" s="9"/>
      <c r="AS599" s="9"/>
      <c r="AT599" s="123"/>
      <c r="AU599" s="123"/>
      <c r="AV599" s="123"/>
      <c r="AW599" s="123"/>
      <c r="AX599" s="123"/>
      <c r="AY599" s="123"/>
      <c r="AZ599" s="123"/>
      <c r="BA599" s="123"/>
      <c r="BC599" s="122"/>
      <c r="BD599" s="122"/>
      <c r="BE599" s="122"/>
      <c r="BF599" s="122"/>
      <c r="BH599" s="122"/>
      <c r="BI599" s="122"/>
      <c r="BJ599" s="122"/>
      <c r="BK599" s="122"/>
      <c r="BM599" s="122"/>
      <c r="BN599" s="122"/>
      <c r="BO599" s="122"/>
      <c r="BP599" s="122"/>
      <c r="BR599" s="122"/>
      <c r="BS599" s="122"/>
      <c r="BT599" s="122"/>
      <c r="BU599" s="122"/>
      <c r="BV599" s="439"/>
      <c r="BW599" s="120">
        <f t="shared" si="984"/>
        <v>7450000</v>
      </c>
      <c r="BX599" s="121">
        <f t="shared" si="885"/>
        <v>3.5000000000000003E-2</v>
      </c>
      <c r="BY599" s="121">
        <f t="shared" si="889"/>
        <v>3.6171140939597314E-2</v>
      </c>
      <c r="BZ599" s="120">
        <f t="shared" si="985"/>
        <v>748.54166666666663</v>
      </c>
      <c r="CA599" s="120">
        <f t="shared" si="986"/>
        <v>96.666666666666629</v>
      </c>
    </row>
    <row r="600" spans="2:79" x14ac:dyDescent="0.25">
      <c r="B600" s="123" t="str">
        <f t="shared" si="974"/>
        <v>8 2026</v>
      </c>
      <c r="C600" s="122">
        <f t="shared" si="975"/>
        <v>46249</v>
      </c>
      <c r="D600" s="122">
        <f t="shared" si="890"/>
        <v>46250</v>
      </c>
      <c r="E600" s="123">
        <f t="shared" si="976"/>
        <v>1</v>
      </c>
      <c r="F600" s="123" t="s">
        <v>7</v>
      </c>
      <c r="G600" s="124">
        <f t="shared" ref="G600:H600" si="991">G599</f>
        <v>1450000</v>
      </c>
      <c r="H600" s="125">
        <f t="shared" si="991"/>
        <v>3.15E-2</v>
      </c>
      <c r="I600" s="124">
        <f t="shared" si="978"/>
        <v>126.875</v>
      </c>
      <c r="J600" s="124">
        <f t="shared" si="979"/>
        <v>27518.75</v>
      </c>
      <c r="K600" s="9"/>
      <c r="L600" s="11"/>
      <c r="M600" s="306"/>
      <c r="N600" s="97"/>
      <c r="O600" s="421"/>
      <c r="P600" s="304"/>
      <c r="Q600" s="307"/>
      <c r="S600" s="11"/>
      <c r="T600" s="306"/>
      <c r="U600" s="97"/>
      <c r="V600" s="421"/>
      <c r="W600" s="304"/>
      <c r="X600" s="307"/>
      <c r="Z600" s="11"/>
      <c r="AA600" s="306"/>
      <c r="AB600" s="97"/>
      <c r="AC600" s="421"/>
      <c r="AD600" s="304"/>
      <c r="AE600" s="307"/>
      <c r="AG600" s="11" t="s">
        <v>192</v>
      </c>
      <c r="AH600" s="306">
        <f t="shared" ref="AH600:AI600" si="992">AH599</f>
        <v>6000000</v>
      </c>
      <c r="AI600" s="97">
        <f t="shared" si="992"/>
        <v>3.73E-2</v>
      </c>
      <c r="AJ600" s="421">
        <f t="shared" si="981"/>
        <v>621.66666666666663</v>
      </c>
      <c r="AK600" s="304">
        <f t="shared" si="982"/>
        <v>1243.3333333333333</v>
      </c>
      <c r="AL600" s="307">
        <f t="shared" si="983"/>
        <v>96.666666666666629</v>
      </c>
      <c r="AN600" s="304">
        <f>'codeis $'!AB600</f>
        <v>0</v>
      </c>
      <c r="AO600" s="340">
        <f>'codeis $'!AH600</f>
        <v>0</v>
      </c>
      <c r="AP600" s="304">
        <f>'codeis $'!AE600</f>
        <v>0</v>
      </c>
      <c r="AQ600" s="304">
        <f>'codeis $'!AK600</f>
        <v>0</v>
      </c>
      <c r="AR600" s="9"/>
      <c r="AS600" s="9"/>
      <c r="AT600" s="123"/>
      <c r="AU600" s="123"/>
      <c r="AV600" s="123"/>
      <c r="AW600" s="123"/>
      <c r="AX600" s="123"/>
      <c r="AY600" s="123"/>
      <c r="AZ600" s="123"/>
      <c r="BA600" s="123"/>
      <c r="BC600" s="122"/>
      <c r="BD600" s="122"/>
      <c r="BE600" s="122"/>
      <c r="BF600" s="122"/>
      <c r="BH600" s="122"/>
      <c r="BI600" s="122"/>
      <c r="BJ600" s="122"/>
      <c r="BK600" s="122"/>
      <c r="BM600" s="122"/>
      <c r="BN600" s="122"/>
      <c r="BO600" s="122"/>
      <c r="BP600" s="122"/>
      <c r="BR600" s="122"/>
      <c r="BS600" s="122"/>
      <c r="BT600" s="122"/>
      <c r="BU600" s="122"/>
      <c r="BV600" s="439"/>
      <c r="BW600" s="120">
        <f t="shared" si="984"/>
        <v>7450000</v>
      </c>
      <c r="BX600" s="121">
        <f t="shared" si="885"/>
        <v>3.5000000000000003E-2</v>
      </c>
      <c r="BY600" s="121">
        <f t="shared" si="889"/>
        <v>3.6171140939597314E-2</v>
      </c>
      <c r="BZ600" s="120">
        <f t="shared" si="985"/>
        <v>748.54166666666663</v>
      </c>
      <c r="CA600" s="120">
        <f t="shared" si="986"/>
        <v>96.666666666666629</v>
      </c>
    </row>
    <row r="601" spans="2:79" x14ac:dyDescent="0.25">
      <c r="B601" s="123" t="str">
        <f t="shared" si="974"/>
        <v>8 2026</v>
      </c>
      <c r="C601" s="122">
        <f t="shared" si="975"/>
        <v>46250</v>
      </c>
      <c r="D601" s="122">
        <f t="shared" si="890"/>
        <v>46251</v>
      </c>
      <c r="E601" s="123">
        <f t="shared" si="976"/>
        <v>1</v>
      </c>
      <c r="F601" s="123" t="s">
        <v>7</v>
      </c>
      <c r="G601" s="124">
        <f t="shared" ref="G601:H601" si="993">G600</f>
        <v>1450000</v>
      </c>
      <c r="H601" s="125">
        <f t="shared" si="993"/>
        <v>3.15E-2</v>
      </c>
      <c r="I601" s="124">
        <f t="shared" si="978"/>
        <v>126.875</v>
      </c>
      <c r="J601" s="124">
        <f t="shared" si="979"/>
        <v>27645.625</v>
      </c>
      <c r="K601" s="9"/>
      <c r="L601" s="11"/>
      <c r="M601" s="306"/>
      <c r="N601" s="97"/>
      <c r="O601" s="421"/>
      <c r="P601" s="304"/>
      <c r="Q601" s="307"/>
      <c r="S601" s="11"/>
      <c r="T601" s="306"/>
      <c r="U601" s="97"/>
      <c r="V601" s="421"/>
      <c r="W601" s="304"/>
      <c r="X601" s="307"/>
      <c r="Z601" s="11"/>
      <c r="AA601" s="306"/>
      <c r="AB601" s="97"/>
      <c r="AC601" s="421"/>
      <c r="AD601" s="304"/>
      <c r="AE601" s="307"/>
      <c r="AG601" s="11" t="s">
        <v>192</v>
      </c>
      <c r="AH601" s="306">
        <f t="shared" ref="AH601:AI601" si="994">AH600</f>
        <v>6000000</v>
      </c>
      <c r="AI601" s="97">
        <f t="shared" si="994"/>
        <v>3.73E-2</v>
      </c>
      <c r="AJ601" s="421">
        <f t="shared" si="981"/>
        <v>621.66666666666663</v>
      </c>
      <c r="AK601" s="304">
        <f t="shared" si="982"/>
        <v>1243.3333333333333</v>
      </c>
      <c r="AL601" s="307">
        <f t="shared" si="983"/>
        <v>96.666666666666629</v>
      </c>
      <c r="AN601" s="304">
        <f>'codeis $'!AB601</f>
        <v>0</v>
      </c>
      <c r="AO601" s="340">
        <f>'codeis $'!AH601</f>
        <v>0</v>
      </c>
      <c r="AP601" s="304">
        <f>'codeis $'!AE601</f>
        <v>0</v>
      </c>
      <c r="AQ601" s="304">
        <f>'codeis $'!AK601</f>
        <v>0</v>
      </c>
      <c r="AR601" s="9"/>
      <c r="AS601" s="9"/>
      <c r="AT601" s="123"/>
      <c r="AU601" s="123"/>
      <c r="AV601" s="123"/>
      <c r="AW601" s="123"/>
      <c r="AX601" s="123"/>
      <c r="AY601" s="123"/>
      <c r="AZ601" s="123"/>
      <c r="BA601" s="123"/>
      <c r="BC601" s="122"/>
      <c r="BD601" s="122"/>
      <c r="BE601" s="122"/>
      <c r="BF601" s="122"/>
      <c r="BH601" s="122"/>
      <c r="BI601" s="122"/>
      <c r="BJ601" s="122"/>
      <c r="BK601" s="122"/>
      <c r="BM601" s="122"/>
      <c r="BN601" s="122"/>
      <c r="BO601" s="122"/>
      <c r="BP601" s="122"/>
      <c r="BR601" s="122"/>
      <c r="BS601" s="122"/>
      <c r="BT601" s="122"/>
      <c r="BU601" s="122"/>
      <c r="BV601" s="439"/>
      <c r="BW601" s="120">
        <f t="shared" si="984"/>
        <v>7450000</v>
      </c>
      <c r="BX601" s="121">
        <f t="shared" si="885"/>
        <v>3.5000000000000003E-2</v>
      </c>
      <c r="BY601" s="121">
        <f t="shared" si="889"/>
        <v>3.6171140939597314E-2</v>
      </c>
      <c r="BZ601" s="120">
        <f t="shared" si="985"/>
        <v>748.54166666666663</v>
      </c>
      <c r="CA601" s="120">
        <f t="shared" si="986"/>
        <v>96.666666666666629</v>
      </c>
    </row>
    <row r="602" spans="2:79" x14ac:dyDescent="0.25">
      <c r="B602" s="123" t="str">
        <f t="shared" si="974"/>
        <v>8 2026</v>
      </c>
      <c r="C602" s="122">
        <f t="shared" si="975"/>
        <v>46251</v>
      </c>
      <c r="D602" s="122">
        <f t="shared" si="890"/>
        <v>46252</v>
      </c>
      <c r="E602" s="123">
        <f t="shared" si="976"/>
        <v>1</v>
      </c>
      <c r="F602" s="123" t="s">
        <v>7</v>
      </c>
      <c r="G602" s="124">
        <f t="shared" ref="G602:H602" si="995">G601</f>
        <v>1450000</v>
      </c>
      <c r="H602" s="125">
        <f t="shared" si="995"/>
        <v>3.15E-2</v>
      </c>
      <c r="I602" s="124">
        <f t="shared" si="978"/>
        <v>126.875</v>
      </c>
      <c r="J602" s="124">
        <f t="shared" si="979"/>
        <v>27772.5</v>
      </c>
      <c r="K602" s="9"/>
      <c r="L602" s="11"/>
      <c r="M602" s="306"/>
      <c r="N602" s="97"/>
      <c r="O602" s="421"/>
      <c r="P602" s="304"/>
      <c r="Q602" s="307"/>
      <c r="S602" s="11"/>
      <c r="T602" s="306"/>
      <c r="U602" s="97"/>
      <c r="V602" s="421"/>
      <c r="W602" s="304"/>
      <c r="X602" s="307"/>
      <c r="Z602" s="11"/>
      <c r="AA602" s="306"/>
      <c r="AB602" s="97"/>
      <c r="AC602" s="421"/>
      <c r="AD602" s="304"/>
      <c r="AE602" s="307"/>
      <c r="AG602" s="11" t="s">
        <v>192</v>
      </c>
      <c r="AH602" s="306">
        <f t="shared" ref="AH602:AI602" si="996">AH601</f>
        <v>6000000</v>
      </c>
      <c r="AI602" s="97">
        <f t="shared" si="996"/>
        <v>3.73E-2</v>
      </c>
      <c r="AJ602" s="421">
        <f t="shared" si="981"/>
        <v>621.66666666666663</v>
      </c>
      <c r="AK602" s="304">
        <f t="shared" si="982"/>
        <v>1243.3333333333333</v>
      </c>
      <c r="AL602" s="307">
        <f t="shared" si="983"/>
        <v>96.666666666666629</v>
      </c>
      <c r="AN602" s="304">
        <f>'codeis $'!AB602</f>
        <v>0</v>
      </c>
      <c r="AO602" s="340">
        <f>'codeis $'!AH602</f>
        <v>0</v>
      </c>
      <c r="AP602" s="304">
        <f>'codeis $'!AE602</f>
        <v>0</v>
      </c>
      <c r="AQ602" s="304">
        <f>'codeis $'!AK602</f>
        <v>0</v>
      </c>
      <c r="AR602" s="9"/>
      <c r="AS602" s="9"/>
      <c r="AT602" s="123"/>
      <c r="AU602" s="123"/>
      <c r="AV602" s="123"/>
      <c r="AW602" s="123"/>
      <c r="AX602" s="123"/>
      <c r="AY602" s="123"/>
      <c r="AZ602" s="123"/>
      <c r="BA602" s="123"/>
      <c r="BC602" s="122"/>
      <c r="BD602" s="122"/>
      <c r="BE602" s="122"/>
      <c r="BF602" s="122"/>
      <c r="BH602" s="122"/>
      <c r="BI602" s="122"/>
      <c r="BJ602" s="122"/>
      <c r="BK602" s="122"/>
      <c r="BM602" s="122"/>
      <c r="BN602" s="122"/>
      <c r="BO602" s="122"/>
      <c r="BP602" s="122"/>
      <c r="BR602" s="122"/>
      <c r="BS602" s="122"/>
      <c r="BT602" s="122"/>
      <c r="BU602" s="122"/>
      <c r="BV602" s="439"/>
      <c r="BW602" s="120">
        <f t="shared" si="984"/>
        <v>7450000</v>
      </c>
      <c r="BX602" s="121">
        <f t="shared" si="885"/>
        <v>3.5000000000000003E-2</v>
      </c>
      <c r="BY602" s="121">
        <f t="shared" si="889"/>
        <v>3.6171140939597314E-2</v>
      </c>
      <c r="BZ602" s="120">
        <f t="shared" si="985"/>
        <v>748.54166666666663</v>
      </c>
      <c r="CA602" s="120">
        <f t="shared" si="986"/>
        <v>96.666666666666629</v>
      </c>
    </row>
    <row r="603" spans="2:79" x14ac:dyDescent="0.25">
      <c r="B603" s="123" t="str">
        <f t="shared" si="974"/>
        <v>8 2026</v>
      </c>
      <c r="C603" s="122">
        <f t="shared" si="975"/>
        <v>46252</v>
      </c>
      <c r="D603" s="122">
        <f t="shared" si="890"/>
        <v>46253</v>
      </c>
      <c r="E603" s="123">
        <f t="shared" si="976"/>
        <v>1</v>
      </c>
      <c r="F603" s="123" t="s">
        <v>7</v>
      </c>
      <c r="G603" s="124">
        <f t="shared" ref="G603:H603" si="997">G602</f>
        <v>1450000</v>
      </c>
      <c r="H603" s="125">
        <f t="shared" si="997"/>
        <v>3.15E-2</v>
      </c>
      <c r="I603" s="124">
        <f t="shared" si="978"/>
        <v>126.875</v>
      </c>
      <c r="J603" s="124">
        <f t="shared" si="979"/>
        <v>27899.375</v>
      </c>
      <c r="K603" s="9"/>
      <c r="L603" s="11"/>
      <c r="M603" s="306"/>
      <c r="N603" s="97"/>
      <c r="O603" s="421"/>
      <c r="P603" s="304"/>
      <c r="Q603" s="307"/>
      <c r="S603" s="11"/>
      <c r="T603" s="306"/>
      <c r="U603" s="97"/>
      <c r="V603" s="421"/>
      <c r="W603" s="304"/>
      <c r="X603" s="307"/>
      <c r="Z603" s="11"/>
      <c r="AA603" s="306"/>
      <c r="AB603" s="97"/>
      <c r="AC603" s="421"/>
      <c r="AD603" s="304"/>
      <c r="AE603" s="307"/>
      <c r="AG603" s="11" t="s">
        <v>192</v>
      </c>
      <c r="AH603" s="306">
        <f t="shared" ref="AH603:AI603" si="998">AH602</f>
        <v>6000000</v>
      </c>
      <c r="AI603" s="97">
        <f t="shared" si="998"/>
        <v>3.73E-2</v>
      </c>
      <c r="AJ603" s="421">
        <f t="shared" si="981"/>
        <v>621.66666666666663</v>
      </c>
      <c r="AK603" s="304">
        <f t="shared" si="982"/>
        <v>1243.3333333333333</v>
      </c>
      <c r="AL603" s="307">
        <f t="shared" si="983"/>
        <v>96.666666666666629</v>
      </c>
      <c r="AN603" s="304">
        <f>'codeis $'!AB603</f>
        <v>0</v>
      </c>
      <c r="AO603" s="340">
        <f>'codeis $'!AH603</f>
        <v>0</v>
      </c>
      <c r="AP603" s="304">
        <f>'codeis $'!AE603</f>
        <v>0</v>
      </c>
      <c r="AQ603" s="304">
        <f>'codeis $'!AK603</f>
        <v>0</v>
      </c>
      <c r="AR603" s="9"/>
      <c r="AS603" s="9"/>
      <c r="AT603" s="123"/>
      <c r="AU603" s="123"/>
      <c r="AV603" s="123"/>
      <c r="AW603" s="123"/>
      <c r="AX603" s="123"/>
      <c r="AY603" s="123"/>
      <c r="AZ603" s="123"/>
      <c r="BA603" s="123"/>
      <c r="BC603" s="122"/>
      <c r="BD603" s="122"/>
      <c r="BE603" s="122"/>
      <c r="BF603" s="122"/>
      <c r="BH603" s="122"/>
      <c r="BI603" s="122"/>
      <c r="BJ603" s="122"/>
      <c r="BK603" s="122"/>
      <c r="BM603" s="122"/>
      <c r="BN603" s="122"/>
      <c r="BO603" s="122"/>
      <c r="BP603" s="122"/>
      <c r="BR603" s="122"/>
      <c r="BS603" s="122"/>
      <c r="BT603" s="122"/>
      <c r="BU603" s="122"/>
      <c r="BV603" s="439"/>
      <c r="BW603" s="120">
        <f t="shared" si="984"/>
        <v>7450000</v>
      </c>
      <c r="BX603" s="121">
        <f t="shared" si="885"/>
        <v>3.5000000000000003E-2</v>
      </c>
      <c r="BY603" s="121">
        <f t="shared" si="889"/>
        <v>3.6171140939597314E-2</v>
      </c>
      <c r="BZ603" s="120">
        <f t="shared" si="985"/>
        <v>748.54166666666663</v>
      </c>
      <c r="CA603" s="120">
        <f t="shared" si="986"/>
        <v>96.666666666666629</v>
      </c>
    </row>
    <row r="604" spans="2:79" x14ac:dyDescent="0.25">
      <c r="B604" s="123" t="str">
        <f t="shared" si="974"/>
        <v>8 2026</v>
      </c>
      <c r="C604" s="122">
        <f t="shared" si="975"/>
        <v>46253</v>
      </c>
      <c r="D604" s="122">
        <f t="shared" si="890"/>
        <v>46254</v>
      </c>
      <c r="E604" s="123">
        <f t="shared" si="976"/>
        <v>1</v>
      </c>
      <c r="F604" s="123" t="s">
        <v>7</v>
      </c>
      <c r="G604" s="124">
        <f t="shared" ref="G604:H604" si="999">G603</f>
        <v>1450000</v>
      </c>
      <c r="H604" s="125">
        <f t="shared" si="999"/>
        <v>3.15E-2</v>
      </c>
      <c r="I604" s="124">
        <f t="shared" si="978"/>
        <v>126.875</v>
      </c>
      <c r="J604" s="124">
        <f t="shared" si="979"/>
        <v>28026.25</v>
      </c>
      <c r="K604" s="9"/>
      <c r="L604" s="11"/>
      <c r="M604" s="306"/>
      <c r="N604" s="97"/>
      <c r="O604" s="421"/>
      <c r="P604" s="304"/>
      <c r="Q604" s="307"/>
      <c r="S604" s="11"/>
      <c r="T604" s="306"/>
      <c r="U604" s="97"/>
      <c r="V604" s="421"/>
      <c r="W604" s="304"/>
      <c r="X604" s="307"/>
      <c r="Z604" s="11"/>
      <c r="AA604" s="306"/>
      <c r="AB604" s="97"/>
      <c r="AC604" s="421"/>
      <c r="AD604" s="304"/>
      <c r="AE604" s="307"/>
      <c r="AG604" s="11" t="s">
        <v>192</v>
      </c>
      <c r="AH604" s="306">
        <f t="shared" ref="AH604:AI604" si="1000">AH603</f>
        <v>6000000</v>
      </c>
      <c r="AI604" s="97">
        <f t="shared" si="1000"/>
        <v>3.73E-2</v>
      </c>
      <c r="AJ604" s="421">
        <f t="shared" si="981"/>
        <v>621.66666666666663</v>
      </c>
      <c r="AK604" s="304">
        <f t="shared" si="982"/>
        <v>1243.3333333333333</v>
      </c>
      <c r="AL604" s="307">
        <f t="shared" si="983"/>
        <v>96.666666666666629</v>
      </c>
      <c r="AN604" s="304">
        <f>'codeis $'!AB604</f>
        <v>0</v>
      </c>
      <c r="AO604" s="340">
        <f>'codeis $'!AH604</f>
        <v>0</v>
      </c>
      <c r="AP604" s="304">
        <f>'codeis $'!AE604</f>
        <v>0</v>
      </c>
      <c r="AQ604" s="304">
        <f>'codeis $'!AK604</f>
        <v>0</v>
      </c>
      <c r="AR604" s="9"/>
      <c r="AS604" s="9"/>
      <c r="AT604" s="123"/>
      <c r="AU604" s="123"/>
      <c r="AV604" s="123"/>
      <c r="AW604" s="123"/>
      <c r="AX604" s="123"/>
      <c r="AY604" s="123"/>
      <c r="AZ604" s="123"/>
      <c r="BA604" s="123"/>
      <c r="BC604" s="122"/>
      <c r="BD604" s="122"/>
      <c r="BE604" s="122"/>
      <c r="BF604" s="122"/>
      <c r="BH604" s="122"/>
      <c r="BI604" s="122"/>
      <c r="BJ604" s="122"/>
      <c r="BK604" s="122"/>
      <c r="BM604" s="122"/>
      <c r="BN604" s="122"/>
      <c r="BO604" s="122"/>
      <c r="BP604" s="122"/>
      <c r="BR604" s="122"/>
      <c r="BS604" s="122"/>
      <c r="BT604" s="122"/>
      <c r="BU604" s="122"/>
      <c r="BV604" s="439"/>
      <c r="BW604" s="120">
        <f t="shared" si="984"/>
        <v>7450000</v>
      </c>
      <c r="BX604" s="121">
        <f t="shared" si="885"/>
        <v>3.5000000000000003E-2</v>
      </c>
      <c r="BY604" s="121">
        <f t="shared" si="889"/>
        <v>3.6171140939597314E-2</v>
      </c>
      <c r="BZ604" s="120">
        <f t="shared" si="985"/>
        <v>748.54166666666663</v>
      </c>
      <c r="CA604" s="120">
        <f t="shared" si="986"/>
        <v>96.666666666666629</v>
      </c>
    </row>
    <row r="605" spans="2:79" x14ac:dyDescent="0.25">
      <c r="B605" s="123" t="str">
        <f t="shared" si="974"/>
        <v>8 2026</v>
      </c>
      <c r="C605" s="122">
        <f t="shared" si="975"/>
        <v>46254</v>
      </c>
      <c r="D605" s="122">
        <f t="shared" si="890"/>
        <v>46255</v>
      </c>
      <c r="E605" s="123">
        <f t="shared" si="976"/>
        <v>1</v>
      </c>
      <c r="F605" s="123" t="s">
        <v>7</v>
      </c>
      <c r="G605" s="124">
        <f t="shared" ref="G605:H605" si="1001">G604</f>
        <v>1450000</v>
      </c>
      <c r="H605" s="125">
        <f t="shared" si="1001"/>
        <v>3.15E-2</v>
      </c>
      <c r="I605" s="124">
        <f t="shared" si="978"/>
        <v>126.875</v>
      </c>
      <c r="J605" s="124">
        <f t="shared" si="979"/>
        <v>28153.125</v>
      </c>
      <c r="K605" s="9"/>
      <c r="L605" s="11"/>
      <c r="M605" s="306"/>
      <c r="N605" s="97"/>
      <c r="O605" s="421"/>
      <c r="P605" s="304"/>
      <c r="Q605" s="307"/>
      <c r="S605" s="11"/>
      <c r="T605" s="306"/>
      <c r="U605" s="97"/>
      <c r="V605" s="421"/>
      <c r="W605" s="304"/>
      <c r="X605" s="307"/>
      <c r="Z605" s="11"/>
      <c r="AA605" s="306"/>
      <c r="AB605" s="97"/>
      <c r="AC605" s="421"/>
      <c r="AD605" s="304"/>
      <c r="AE605" s="307"/>
      <c r="AG605" s="11" t="s">
        <v>192</v>
      </c>
      <c r="AH605" s="306">
        <f t="shared" ref="AH605:AI605" si="1002">AH604</f>
        <v>6000000</v>
      </c>
      <c r="AI605" s="97">
        <f t="shared" si="1002"/>
        <v>3.73E-2</v>
      </c>
      <c r="AJ605" s="421">
        <f t="shared" si="981"/>
        <v>621.66666666666663</v>
      </c>
      <c r="AK605" s="304">
        <f t="shared" si="982"/>
        <v>1243.3333333333333</v>
      </c>
      <c r="AL605" s="307">
        <f t="shared" si="983"/>
        <v>96.666666666666629</v>
      </c>
      <c r="AN605" s="304">
        <f>'codeis $'!AB605</f>
        <v>0</v>
      </c>
      <c r="AO605" s="340">
        <f>'codeis $'!AH605</f>
        <v>0</v>
      </c>
      <c r="AP605" s="304">
        <f>'codeis $'!AE605</f>
        <v>0</v>
      </c>
      <c r="AQ605" s="304">
        <f>'codeis $'!AK605</f>
        <v>0</v>
      </c>
      <c r="AR605" s="9"/>
      <c r="AS605" s="9"/>
      <c r="AT605" s="123"/>
      <c r="AU605" s="123"/>
      <c r="AV605" s="123"/>
      <c r="AW605" s="123"/>
      <c r="AX605" s="123"/>
      <c r="AY605" s="123"/>
      <c r="AZ605" s="123"/>
      <c r="BA605" s="123"/>
      <c r="BC605" s="122"/>
      <c r="BD605" s="122"/>
      <c r="BE605" s="122"/>
      <c r="BF605" s="122"/>
      <c r="BH605" s="122"/>
      <c r="BI605" s="122"/>
      <c r="BJ605" s="122"/>
      <c r="BK605" s="122"/>
      <c r="BM605" s="122"/>
      <c r="BN605" s="122"/>
      <c r="BO605" s="122"/>
      <c r="BP605" s="122"/>
      <c r="BR605" s="122"/>
      <c r="BS605" s="122"/>
      <c r="BT605" s="122"/>
      <c r="BU605" s="122"/>
      <c r="BV605" s="439"/>
      <c r="BW605" s="120">
        <f t="shared" si="984"/>
        <v>7450000</v>
      </c>
      <c r="BX605" s="121">
        <f t="shared" si="885"/>
        <v>3.5000000000000003E-2</v>
      </c>
      <c r="BY605" s="121">
        <f t="shared" si="889"/>
        <v>3.6171140939597314E-2</v>
      </c>
      <c r="BZ605" s="120">
        <f t="shared" si="985"/>
        <v>748.54166666666663</v>
      </c>
      <c r="CA605" s="120">
        <f t="shared" si="986"/>
        <v>96.666666666666629</v>
      </c>
    </row>
    <row r="606" spans="2:79" x14ac:dyDescent="0.25">
      <c r="B606" s="123" t="str">
        <f t="shared" si="974"/>
        <v>8 2026</v>
      </c>
      <c r="C606" s="122">
        <f t="shared" si="975"/>
        <v>46255</v>
      </c>
      <c r="D606" s="122">
        <f t="shared" si="890"/>
        <v>46256</v>
      </c>
      <c r="E606" s="123">
        <f t="shared" si="976"/>
        <v>1</v>
      </c>
      <c r="F606" s="123" t="s">
        <v>7</v>
      </c>
      <c r="G606" s="124">
        <f t="shared" ref="G606:H606" si="1003">G605</f>
        <v>1450000</v>
      </c>
      <c r="H606" s="125">
        <f t="shared" si="1003"/>
        <v>3.15E-2</v>
      </c>
      <c r="I606" s="124">
        <f t="shared" si="978"/>
        <v>126.875</v>
      </c>
      <c r="J606" s="124">
        <f t="shared" si="979"/>
        <v>28280</v>
      </c>
      <c r="K606" s="9"/>
      <c r="L606" s="11"/>
      <c r="M606" s="306"/>
      <c r="N606" s="97"/>
      <c r="O606" s="421"/>
      <c r="P606" s="304"/>
      <c r="Q606" s="307"/>
      <c r="S606" s="11"/>
      <c r="T606" s="306"/>
      <c r="U606" s="97"/>
      <c r="V606" s="421"/>
      <c r="W606" s="304"/>
      <c r="X606" s="307"/>
      <c r="Z606" s="11"/>
      <c r="AA606" s="306"/>
      <c r="AB606" s="97"/>
      <c r="AC606" s="421"/>
      <c r="AD606" s="304"/>
      <c r="AE606" s="307"/>
      <c r="AG606" s="11" t="s">
        <v>192</v>
      </c>
      <c r="AH606" s="306">
        <f t="shared" ref="AH606:AI606" si="1004">AH605</f>
        <v>6000000</v>
      </c>
      <c r="AI606" s="97">
        <f t="shared" si="1004"/>
        <v>3.73E-2</v>
      </c>
      <c r="AJ606" s="421">
        <f t="shared" si="981"/>
        <v>621.66666666666663</v>
      </c>
      <c r="AK606" s="304">
        <f t="shared" si="982"/>
        <v>1243.3333333333333</v>
      </c>
      <c r="AL606" s="307">
        <f t="shared" si="983"/>
        <v>96.666666666666629</v>
      </c>
      <c r="AN606" s="304">
        <f>'codeis $'!AB606</f>
        <v>0</v>
      </c>
      <c r="AO606" s="340">
        <f>'codeis $'!AH606</f>
        <v>0</v>
      </c>
      <c r="AP606" s="304">
        <f>'codeis $'!AE606</f>
        <v>0</v>
      </c>
      <c r="AQ606" s="304">
        <f>'codeis $'!AK606</f>
        <v>0</v>
      </c>
      <c r="AR606" s="9"/>
      <c r="AS606" s="9"/>
      <c r="AT606" s="123"/>
      <c r="AU606" s="123"/>
      <c r="AV606" s="123"/>
      <c r="AW606" s="123"/>
      <c r="AX606" s="123"/>
      <c r="AY606" s="123"/>
      <c r="AZ606" s="123"/>
      <c r="BA606" s="123"/>
      <c r="BC606" s="122"/>
      <c r="BD606" s="122"/>
      <c r="BE606" s="122"/>
      <c r="BF606" s="122"/>
      <c r="BH606" s="122"/>
      <c r="BI606" s="122"/>
      <c r="BJ606" s="122"/>
      <c r="BK606" s="122"/>
      <c r="BM606" s="122"/>
      <c r="BN606" s="122"/>
      <c r="BO606" s="122"/>
      <c r="BP606" s="122"/>
      <c r="BR606" s="122"/>
      <c r="BS606" s="122"/>
      <c r="BT606" s="122"/>
      <c r="BU606" s="122"/>
      <c r="BV606" s="439"/>
      <c r="BW606" s="120">
        <f t="shared" si="984"/>
        <v>7450000</v>
      </c>
      <c r="BX606" s="121">
        <f t="shared" si="885"/>
        <v>3.5000000000000003E-2</v>
      </c>
      <c r="BY606" s="121">
        <f t="shared" si="889"/>
        <v>3.6171140939597314E-2</v>
      </c>
      <c r="BZ606" s="120">
        <f t="shared" si="985"/>
        <v>748.54166666666663</v>
      </c>
      <c r="CA606" s="120">
        <f t="shared" si="986"/>
        <v>96.666666666666629</v>
      </c>
    </row>
    <row r="607" spans="2:79" x14ac:dyDescent="0.25">
      <c r="B607" s="123" t="str">
        <f t="shared" si="974"/>
        <v>8 2026</v>
      </c>
      <c r="C607" s="122">
        <f t="shared" si="975"/>
        <v>46256</v>
      </c>
      <c r="D607" s="122">
        <f t="shared" si="890"/>
        <v>46257</v>
      </c>
      <c r="E607" s="123">
        <f t="shared" si="976"/>
        <v>1</v>
      </c>
      <c r="F607" s="123" t="s">
        <v>7</v>
      </c>
      <c r="G607" s="124">
        <f t="shared" ref="G607:H607" si="1005">G606</f>
        <v>1450000</v>
      </c>
      <c r="H607" s="125">
        <f t="shared" si="1005"/>
        <v>3.15E-2</v>
      </c>
      <c r="I607" s="124">
        <f t="shared" si="978"/>
        <v>126.875</v>
      </c>
      <c r="J607" s="124">
        <f t="shared" si="979"/>
        <v>28406.875</v>
      </c>
      <c r="K607" s="9"/>
      <c r="L607" s="11"/>
      <c r="M607" s="306"/>
      <c r="N607" s="97"/>
      <c r="O607" s="421"/>
      <c r="P607" s="304"/>
      <c r="Q607" s="307"/>
      <c r="S607" s="11"/>
      <c r="T607" s="306"/>
      <c r="U607" s="97"/>
      <c r="V607" s="421"/>
      <c r="W607" s="304"/>
      <c r="X607" s="307"/>
      <c r="Z607" s="11"/>
      <c r="AA607" s="306"/>
      <c r="AB607" s="97"/>
      <c r="AC607" s="421"/>
      <c r="AD607" s="304"/>
      <c r="AE607" s="307"/>
      <c r="AG607" s="11" t="s">
        <v>192</v>
      </c>
      <c r="AH607" s="306">
        <f t="shared" ref="AH607:AI607" si="1006">AH606</f>
        <v>6000000</v>
      </c>
      <c r="AI607" s="97">
        <f t="shared" si="1006"/>
        <v>3.73E-2</v>
      </c>
      <c r="AJ607" s="421">
        <f t="shared" si="981"/>
        <v>621.66666666666663</v>
      </c>
      <c r="AK607" s="304">
        <f t="shared" si="982"/>
        <v>1243.3333333333333</v>
      </c>
      <c r="AL607" s="307">
        <f t="shared" si="983"/>
        <v>96.666666666666629</v>
      </c>
      <c r="AN607" s="304">
        <f>'codeis $'!AB607</f>
        <v>0</v>
      </c>
      <c r="AO607" s="340">
        <f>'codeis $'!AH607</f>
        <v>0</v>
      </c>
      <c r="AP607" s="304">
        <f>'codeis $'!AE607</f>
        <v>0</v>
      </c>
      <c r="AQ607" s="304">
        <f>'codeis $'!AK607</f>
        <v>0</v>
      </c>
      <c r="AR607" s="9"/>
      <c r="AS607" s="9"/>
      <c r="AT607" s="123"/>
      <c r="AU607" s="123"/>
      <c r="AV607" s="123"/>
      <c r="AW607" s="123"/>
      <c r="AX607" s="123"/>
      <c r="AY607" s="123"/>
      <c r="AZ607" s="123"/>
      <c r="BA607" s="123"/>
      <c r="BC607" s="122"/>
      <c r="BD607" s="122"/>
      <c r="BE607" s="122"/>
      <c r="BF607" s="122"/>
      <c r="BH607" s="122"/>
      <c r="BI607" s="122"/>
      <c r="BJ607" s="122"/>
      <c r="BK607" s="122"/>
      <c r="BM607" s="122"/>
      <c r="BN607" s="122"/>
      <c r="BO607" s="122"/>
      <c r="BP607" s="122"/>
      <c r="BR607" s="122"/>
      <c r="BS607" s="122"/>
      <c r="BT607" s="122"/>
      <c r="BU607" s="122"/>
      <c r="BV607" s="439"/>
      <c r="BW607" s="120">
        <f t="shared" si="984"/>
        <v>7450000</v>
      </c>
      <c r="BX607" s="121">
        <f t="shared" si="885"/>
        <v>3.5000000000000003E-2</v>
      </c>
      <c r="BY607" s="121">
        <f t="shared" si="889"/>
        <v>3.6171140939597314E-2</v>
      </c>
      <c r="BZ607" s="120">
        <f t="shared" si="985"/>
        <v>748.54166666666663</v>
      </c>
      <c r="CA607" s="120">
        <f t="shared" si="986"/>
        <v>96.666666666666629</v>
      </c>
    </row>
    <row r="608" spans="2:79" x14ac:dyDescent="0.25">
      <c r="B608" s="123" t="str">
        <f t="shared" si="974"/>
        <v>8 2026</v>
      </c>
      <c r="C608" s="122">
        <f t="shared" si="975"/>
        <v>46257</v>
      </c>
      <c r="D608" s="122">
        <f t="shared" si="890"/>
        <v>46258</v>
      </c>
      <c r="E608" s="123">
        <f t="shared" si="976"/>
        <v>1</v>
      </c>
      <c r="F608" s="123" t="s">
        <v>7</v>
      </c>
      <c r="G608" s="124">
        <f t="shared" ref="G608:H608" si="1007">G607</f>
        <v>1450000</v>
      </c>
      <c r="H608" s="125">
        <f t="shared" si="1007"/>
        <v>3.15E-2</v>
      </c>
      <c r="I608" s="124">
        <f t="shared" si="978"/>
        <v>126.875</v>
      </c>
      <c r="J608" s="124">
        <f t="shared" si="979"/>
        <v>28533.75</v>
      </c>
      <c r="K608" s="9"/>
      <c r="L608" s="11"/>
      <c r="M608" s="306"/>
      <c r="N608" s="97"/>
      <c r="O608" s="421"/>
      <c r="P608" s="304"/>
      <c r="Q608" s="307"/>
      <c r="S608" s="11"/>
      <c r="T608" s="306"/>
      <c r="U608" s="97"/>
      <c r="V608" s="421"/>
      <c r="W608" s="304"/>
      <c r="X608" s="307"/>
      <c r="Z608" s="11"/>
      <c r="AA608" s="306"/>
      <c r="AB608" s="97"/>
      <c r="AC608" s="421"/>
      <c r="AD608" s="304"/>
      <c r="AE608" s="307"/>
      <c r="AG608" s="11" t="s">
        <v>192</v>
      </c>
      <c r="AH608" s="306">
        <f t="shared" ref="AH608:AI608" si="1008">AH607</f>
        <v>6000000</v>
      </c>
      <c r="AI608" s="97">
        <f t="shared" si="1008"/>
        <v>3.73E-2</v>
      </c>
      <c r="AJ608" s="421">
        <f t="shared" si="981"/>
        <v>621.66666666666663</v>
      </c>
      <c r="AK608" s="304">
        <f t="shared" si="982"/>
        <v>1243.3333333333333</v>
      </c>
      <c r="AL608" s="307">
        <f t="shared" si="983"/>
        <v>96.666666666666629</v>
      </c>
      <c r="AN608" s="304">
        <f>'codeis $'!AB608</f>
        <v>0</v>
      </c>
      <c r="AO608" s="340">
        <f>'codeis $'!AH608</f>
        <v>0</v>
      </c>
      <c r="AP608" s="304">
        <f>'codeis $'!AE608</f>
        <v>0</v>
      </c>
      <c r="AQ608" s="304">
        <f>'codeis $'!AK608</f>
        <v>0</v>
      </c>
      <c r="AR608" s="9"/>
      <c r="AS608" s="9"/>
      <c r="AT608" s="123"/>
      <c r="AU608" s="123"/>
      <c r="AV608" s="123"/>
      <c r="AW608" s="123"/>
      <c r="AX608" s="123"/>
      <c r="AY608" s="123"/>
      <c r="AZ608" s="123"/>
      <c r="BA608" s="123"/>
      <c r="BC608" s="122"/>
      <c r="BD608" s="122"/>
      <c r="BE608" s="122"/>
      <c r="BF608" s="122"/>
      <c r="BH608" s="122"/>
      <c r="BI608" s="122"/>
      <c r="BJ608" s="122"/>
      <c r="BK608" s="122"/>
      <c r="BM608" s="122"/>
      <c r="BN608" s="122"/>
      <c r="BO608" s="122"/>
      <c r="BP608" s="122"/>
      <c r="BR608" s="122"/>
      <c r="BS608" s="122"/>
      <c r="BT608" s="122"/>
      <c r="BU608" s="122"/>
      <c r="BV608" s="439"/>
      <c r="BW608" s="120">
        <f t="shared" si="984"/>
        <v>7450000</v>
      </c>
      <c r="BX608" s="121">
        <f t="shared" si="885"/>
        <v>3.5000000000000003E-2</v>
      </c>
      <c r="BY608" s="121">
        <f t="shared" si="889"/>
        <v>3.6171140939597314E-2</v>
      </c>
      <c r="BZ608" s="120">
        <f t="shared" si="985"/>
        <v>748.54166666666663</v>
      </c>
      <c r="CA608" s="120">
        <f t="shared" si="986"/>
        <v>96.666666666666629</v>
      </c>
    </row>
    <row r="609" spans="2:79" x14ac:dyDescent="0.25">
      <c r="B609" s="123" t="str">
        <f t="shared" si="974"/>
        <v>8 2026</v>
      </c>
      <c r="C609" s="122">
        <f t="shared" si="975"/>
        <v>46258</v>
      </c>
      <c r="D609" s="122">
        <f t="shared" si="890"/>
        <v>46259</v>
      </c>
      <c r="E609" s="123">
        <f t="shared" si="976"/>
        <v>1</v>
      </c>
      <c r="F609" s="123" t="s">
        <v>7</v>
      </c>
      <c r="G609" s="124">
        <f t="shared" ref="G609:H609" si="1009">G608</f>
        <v>1450000</v>
      </c>
      <c r="H609" s="125">
        <f t="shared" si="1009"/>
        <v>3.15E-2</v>
      </c>
      <c r="I609" s="124">
        <f t="shared" si="978"/>
        <v>126.875</v>
      </c>
      <c r="J609" s="124">
        <f t="shared" si="979"/>
        <v>28660.625</v>
      </c>
      <c r="K609" s="9"/>
      <c r="L609" s="11"/>
      <c r="M609" s="306"/>
      <c r="N609" s="97"/>
      <c r="O609" s="421"/>
      <c r="P609" s="304"/>
      <c r="Q609" s="307"/>
      <c r="S609" s="11"/>
      <c r="T609" s="306"/>
      <c r="U609" s="97"/>
      <c r="V609" s="421"/>
      <c r="W609" s="304"/>
      <c r="X609" s="307"/>
      <c r="Z609" s="11"/>
      <c r="AA609" s="306"/>
      <c r="AB609" s="97"/>
      <c r="AC609" s="421"/>
      <c r="AD609" s="304"/>
      <c r="AE609" s="307"/>
      <c r="AG609" s="11" t="s">
        <v>192</v>
      </c>
      <c r="AH609" s="306">
        <f t="shared" ref="AH609:AI609" si="1010">AH608</f>
        <v>6000000</v>
      </c>
      <c r="AI609" s="97">
        <f t="shared" si="1010"/>
        <v>3.73E-2</v>
      </c>
      <c r="AJ609" s="421">
        <f t="shared" si="981"/>
        <v>621.66666666666663</v>
      </c>
      <c r="AK609" s="304">
        <f t="shared" si="982"/>
        <v>1243.3333333333333</v>
      </c>
      <c r="AL609" s="307">
        <f t="shared" si="983"/>
        <v>96.666666666666629</v>
      </c>
      <c r="AN609" s="304">
        <f>'codeis $'!AB609</f>
        <v>0</v>
      </c>
      <c r="AO609" s="340">
        <f>'codeis $'!AH609</f>
        <v>0</v>
      </c>
      <c r="AP609" s="304">
        <f>'codeis $'!AE609</f>
        <v>0</v>
      </c>
      <c r="AQ609" s="304">
        <f>'codeis $'!AK609</f>
        <v>0</v>
      </c>
      <c r="AR609" s="9"/>
      <c r="AS609" s="9"/>
      <c r="AT609" s="123"/>
      <c r="AU609" s="123"/>
      <c r="AV609" s="123"/>
      <c r="AW609" s="123"/>
      <c r="AX609" s="123"/>
      <c r="AY609" s="123"/>
      <c r="AZ609" s="123"/>
      <c r="BA609" s="123"/>
      <c r="BC609" s="122"/>
      <c r="BD609" s="122"/>
      <c r="BE609" s="122"/>
      <c r="BF609" s="122"/>
      <c r="BH609" s="122"/>
      <c r="BI609" s="122"/>
      <c r="BJ609" s="122"/>
      <c r="BK609" s="122"/>
      <c r="BM609" s="122"/>
      <c r="BN609" s="122"/>
      <c r="BO609" s="122"/>
      <c r="BP609" s="122"/>
      <c r="BR609" s="122"/>
      <c r="BS609" s="122"/>
      <c r="BT609" s="122"/>
      <c r="BU609" s="122"/>
      <c r="BV609" s="439"/>
      <c r="BW609" s="120">
        <f t="shared" si="984"/>
        <v>7450000</v>
      </c>
      <c r="BX609" s="121">
        <f t="shared" si="885"/>
        <v>3.5000000000000003E-2</v>
      </c>
      <c r="BY609" s="121">
        <f t="shared" si="889"/>
        <v>3.6171140939597314E-2</v>
      </c>
      <c r="BZ609" s="120">
        <f t="shared" si="985"/>
        <v>748.54166666666663</v>
      </c>
      <c r="CA609" s="120">
        <f t="shared" si="986"/>
        <v>96.666666666666629</v>
      </c>
    </row>
    <row r="610" spans="2:79" x14ac:dyDescent="0.25">
      <c r="B610" s="123" t="str">
        <f t="shared" si="974"/>
        <v>8 2026</v>
      </c>
      <c r="C610" s="122">
        <f t="shared" si="975"/>
        <v>46259</v>
      </c>
      <c r="D610" s="122">
        <f t="shared" si="890"/>
        <v>46260</v>
      </c>
      <c r="E610" s="123">
        <f t="shared" si="976"/>
        <v>1</v>
      </c>
      <c r="F610" s="123" t="s">
        <v>7</v>
      </c>
      <c r="G610" s="124">
        <f t="shared" ref="G610:H610" si="1011">G609</f>
        <v>1450000</v>
      </c>
      <c r="H610" s="125">
        <f t="shared" si="1011"/>
        <v>3.15E-2</v>
      </c>
      <c r="I610" s="124">
        <f t="shared" si="978"/>
        <v>126.875</v>
      </c>
      <c r="J610" s="124">
        <f t="shared" si="979"/>
        <v>28787.5</v>
      </c>
      <c r="K610" s="9"/>
      <c r="L610" s="11"/>
      <c r="M610" s="306"/>
      <c r="N610" s="97"/>
      <c r="O610" s="421"/>
      <c r="P610" s="304"/>
      <c r="Q610" s="307"/>
      <c r="S610" s="11"/>
      <c r="T610" s="306"/>
      <c r="U610" s="97"/>
      <c r="V610" s="421"/>
      <c r="W610" s="304"/>
      <c r="X610" s="307"/>
      <c r="Z610" s="11"/>
      <c r="AA610" s="306"/>
      <c r="AB610" s="97"/>
      <c r="AC610" s="421"/>
      <c r="AD610" s="304"/>
      <c r="AE610" s="307"/>
      <c r="AG610" s="11" t="s">
        <v>192</v>
      </c>
      <c r="AH610" s="306">
        <f t="shared" ref="AH610:AI610" si="1012">AH609</f>
        <v>6000000</v>
      </c>
      <c r="AI610" s="97">
        <f t="shared" si="1012"/>
        <v>3.73E-2</v>
      </c>
      <c r="AJ610" s="421">
        <f t="shared" si="981"/>
        <v>621.66666666666663</v>
      </c>
      <c r="AK610" s="304">
        <f t="shared" si="982"/>
        <v>1243.3333333333333</v>
      </c>
      <c r="AL610" s="307">
        <f t="shared" si="983"/>
        <v>96.666666666666629</v>
      </c>
      <c r="AN610" s="304">
        <f>'codeis $'!AB610</f>
        <v>0</v>
      </c>
      <c r="AO610" s="340">
        <f>'codeis $'!AH610</f>
        <v>0</v>
      </c>
      <c r="AP610" s="304">
        <f>'codeis $'!AE610</f>
        <v>0</v>
      </c>
      <c r="AQ610" s="304">
        <f>'codeis $'!AK610</f>
        <v>0</v>
      </c>
      <c r="AR610" s="9"/>
      <c r="AS610" s="9"/>
      <c r="AT610" s="123"/>
      <c r="AU610" s="123"/>
      <c r="AV610" s="123"/>
      <c r="AW610" s="123"/>
      <c r="AX610" s="123"/>
      <c r="AY610" s="123"/>
      <c r="AZ610" s="123"/>
      <c r="BA610" s="123"/>
      <c r="BC610" s="122"/>
      <c r="BD610" s="122"/>
      <c r="BE610" s="122"/>
      <c r="BF610" s="122"/>
      <c r="BH610" s="122"/>
      <c r="BI610" s="122"/>
      <c r="BJ610" s="122"/>
      <c r="BK610" s="122"/>
      <c r="BM610" s="122"/>
      <c r="BN610" s="122"/>
      <c r="BO610" s="122"/>
      <c r="BP610" s="122"/>
      <c r="BR610" s="122"/>
      <c r="BS610" s="122"/>
      <c r="BT610" s="122"/>
      <c r="BU610" s="122"/>
      <c r="BV610" s="439"/>
      <c r="BW610" s="120">
        <f t="shared" si="984"/>
        <v>7450000</v>
      </c>
      <c r="BX610" s="121">
        <f t="shared" si="885"/>
        <v>3.5000000000000003E-2</v>
      </c>
      <c r="BY610" s="121">
        <f t="shared" si="889"/>
        <v>3.6171140939597314E-2</v>
      </c>
      <c r="BZ610" s="120">
        <f t="shared" si="985"/>
        <v>748.54166666666663</v>
      </c>
      <c r="CA610" s="120">
        <f t="shared" si="986"/>
        <v>96.666666666666629</v>
      </c>
    </row>
    <row r="611" spans="2:79" x14ac:dyDescent="0.25">
      <c r="B611" s="123" t="str">
        <f t="shared" si="974"/>
        <v>8 2026</v>
      </c>
      <c r="C611" s="122">
        <f t="shared" si="975"/>
        <v>46260</v>
      </c>
      <c r="D611" s="122">
        <f t="shared" si="890"/>
        <v>46261</v>
      </c>
      <c r="E611" s="123">
        <f t="shared" si="976"/>
        <v>1</v>
      </c>
      <c r="F611" s="123" t="s">
        <v>7</v>
      </c>
      <c r="G611" s="124">
        <f t="shared" ref="G611:H611" si="1013">G610</f>
        <v>1450000</v>
      </c>
      <c r="H611" s="125">
        <f t="shared" si="1013"/>
        <v>3.15E-2</v>
      </c>
      <c r="I611" s="124">
        <f t="shared" si="978"/>
        <v>126.875</v>
      </c>
      <c r="J611" s="124">
        <f t="shared" si="979"/>
        <v>28914.375</v>
      </c>
      <c r="K611" s="9"/>
      <c r="L611" s="11"/>
      <c r="M611" s="306"/>
      <c r="N611" s="97"/>
      <c r="O611" s="421"/>
      <c r="P611" s="304"/>
      <c r="Q611" s="307"/>
      <c r="S611" s="11"/>
      <c r="T611" s="306"/>
      <c r="U611" s="97"/>
      <c r="V611" s="421"/>
      <c r="W611" s="304"/>
      <c r="X611" s="307"/>
      <c r="Z611" s="11"/>
      <c r="AA611" s="306"/>
      <c r="AB611" s="97"/>
      <c r="AC611" s="421"/>
      <c r="AD611" s="304"/>
      <c r="AE611" s="307"/>
      <c r="AG611" s="11" t="s">
        <v>192</v>
      </c>
      <c r="AH611" s="306">
        <f t="shared" ref="AH611:AI611" si="1014">AH610</f>
        <v>6000000</v>
      </c>
      <c r="AI611" s="97">
        <f t="shared" si="1014"/>
        <v>3.73E-2</v>
      </c>
      <c r="AJ611" s="421">
        <f t="shared" si="981"/>
        <v>621.66666666666663</v>
      </c>
      <c r="AK611" s="304">
        <f t="shared" si="982"/>
        <v>1243.3333333333333</v>
      </c>
      <c r="AL611" s="307">
        <f t="shared" si="983"/>
        <v>96.666666666666629</v>
      </c>
      <c r="AN611" s="304">
        <f>'codeis $'!AB611</f>
        <v>0</v>
      </c>
      <c r="AO611" s="340">
        <f>'codeis $'!AH611</f>
        <v>0</v>
      </c>
      <c r="AP611" s="304">
        <f>'codeis $'!AE611</f>
        <v>0</v>
      </c>
      <c r="AQ611" s="304">
        <f>'codeis $'!AK611</f>
        <v>0</v>
      </c>
      <c r="AR611" s="9"/>
      <c r="AS611" s="9"/>
      <c r="AT611" s="123"/>
      <c r="AU611" s="123"/>
      <c r="AV611" s="123"/>
      <c r="AW611" s="123"/>
      <c r="AX611" s="123"/>
      <c r="AY611" s="123"/>
      <c r="AZ611" s="123"/>
      <c r="BA611" s="123"/>
      <c r="BC611" s="122"/>
      <c r="BD611" s="122"/>
      <c r="BE611" s="122"/>
      <c r="BF611" s="122"/>
      <c r="BH611" s="122"/>
      <c r="BI611" s="122"/>
      <c r="BJ611" s="122"/>
      <c r="BK611" s="122"/>
      <c r="BM611" s="122"/>
      <c r="BN611" s="122"/>
      <c r="BO611" s="122"/>
      <c r="BP611" s="122"/>
      <c r="BR611" s="122"/>
      <c r="BS611" s="122"/>
      <c r="BT611" s="122"/>
      <c r="BU611" s="122"/>
      <c r="BV611" s="439"/>
      <c r="BW611" s="120">
        <f t="shared" si="984"/>
        <v>7450000</v>
      </c>
      <c r="BX611" s="121">
        <f t="shared" si="885"/>
        <v>3.5000000000000003E-2</v>
      </c>
      <c r="BY611" s="121">
        <f t="shared" si="889"/>
        <v>3.6171140939597314E-2</v>
      </c>
      <c r="BZ611" s="120">
        <f t="shared" si="985"/>
        <v>748.54166666666663</v>
      </c>
      <c r="CA611" s="120">
        <f t="shared" si="986"/>
        <v>96.666666666666629</v>
      </c>
    </row>
    <row r="612" spans="2:79" x14ac:dyDescent="0.25">
      <c r="B612" s="123" t="str">
        <f t="shared" si="974"/>
        <v>8 2026</v>
      </c>
      <c r="C612" s="122">
        <f t="shared" si="975"/>
        <v>46261</v>
      </c>
      <c r="D612" s="122">
        <f t="shared" si="890"/>
        <v>46262</v>
      </c>
      <c r="E612" s="123">
        <f t="shared" si="976"/>
        <v>1</v>
      </c>
      <c r="F612" s="123" t="s">
        <v>7</v>
      </c>
      <c r="G612" s="124">
        <f t="shared" ref="G612:H612" si="1015">G611</f>
        <v>1450000</v>
      </c>
      <c r="H612" s="125">
        <f t="shared" si="1015"/>
        <v>3.15E-2</v>
      </c>
      <c r="I612" s="124">
        <f t="shared" si="978"/>
        <v>126.875</v>
      </c>
      <c r="J612" s="124">
        <f t="shared" si="979"/>
        <v>29041.25</v>
      </c>
      <c r="K612" s="9"/>
      <c r="L612" s="11"/>
      <c r="M612" s="306"/>
      <c r="N612" s="97"/>
      <c r="O612" s="421"/>
      <c r="P612" s="304"/>
      <c r="Q612" s="307"/>
      <c r="S612" s="11"/>
      <c r="T612" s="306"/>
      <c r="U612" s="97"/>
      <c r="V612" s="421"/>
      <c r="W612" s="304"/>
      <c r="X612" s="307"/>
      <c r="Z612" s="11"/>
      <c r="AA612" s="306"/>
      <c r="AB612" s="97"/>
      <c r="AC612" s="421"/>
      <c r="AD612" s="304"/>
      <c r="AE612" s="307"/>
      <c r="AG612" s="11" t="s">
        <v>192</v>
      </c>
      <c r="AH612" s="306">
        <f t="shared" ref="AH612:AI612" si="1016">AH611</f>
        <v>6000000</v>
      </c>
      <c r="AI612" s="97">
        <f t="shared" si="1016"/>
        <v>3.73E-2</v>
      </c>
      <c r="AJ612" s="421">
        <f t="shared" si="981"/>
        <v>621.66666666666663</v>
      </c>
      <c r="AK612" s="304">
        <f t="shared" si="982"/>
        <v>1243.3333333333333</v>
      </c>
      <c r="AL612" s="307">
        <f t="shared" si="983"/>
        <v>96.666666666666629</v>
      </c>
      <c r="AN612" s="304">
        <f>'codeis $'!AB612</f>
        <v>0</v>
      </c>
      <c r="AO612" s="340">
        <f>'codeis $'!AH612</f>
        <v>0</v>
      </c>
      <c r="AP612" s="304">
        <f>'codeis $'!AE612</f>
        <v>0</v>
      </c>
      <c r="AQ612" s="304">
        <f>'codeis $'!AK612</f>
        <v>0</v>
      </c>
      <c r="AR612" s="9"/>
      <c r="AS612" s="9"/>
      <c r="AT612" s="123"/>
      <c r="AU612" s="123"/>
      <c r="AV612" s="123"/>
      <c r="AW612" s="123"/>
      <c r="AX612" s="123"/>
      <c r="AY612" s="123"/>
      <c r="AZ612" s="123"/>
      <c r="BA612" s="123"/>
      <c r="BC612" s="122"/>
      <c r="BD612" s="122"/>
      <c r="BE612" s="122"/>
      <c r="BF612" s="122"/>
      <c r="BH612" s="122"/>
      <c r="BI612" s="122"/>
      <c r="BJ612" s="122"/>
      <c r="BK612" s="122"/>
      <c r="BM612" s="122"/>
      <c r="BN612" s="122"/>
      <c r="BO612" s="122"/>
      <c r="BP612" s="122"/>
      <c r="BR612" s="122"/>
      <c r="BS612" s="122"/>
      <c r="BT612" s="122"/>
      <c r="BU612" s="122"/>
      <c r="BV612" s="439"/>
      <c r="BW612" s="120">
        <f t="shared" si="984"/>
        <v>7450000</v>
      </c>
      <c r="BX612" s="121">
        <f t="shared" si="885"/>
        <v>3.5000000000000003E-2</v>
      </c>
      <c r="BY612" s="121">
        <f t="shared" si="889"/>
        <v>3.6171140939597314E-2</v>
      </c>
      <c r="BZ612" s="120">
        <f t="shared" si="985"/>
        <v>748.54166666666663</v>
      </c>
      <c r="CA612" s="120">
        <f t="shared" si="986"/>
        <v>96.666666666666629</v>
      </c>
    </row>
    <row r="613" spans="2:79" x14ac:dyDescent="0.25">
      <c r="B613" s="123" t="str">
        <f t="shared" si="974"/>
        <v>8 2026</v>
      </c>
      <c r="C613" s="122">
        <f t="shared" si="975"/>
        <v>46262</v>
      </c>
      <c r="D613" s="122">
        <f t="shared" si="890"/>
        <v>46263</v>
      </c>
      <c r="E613" s="123">
        <f t="shared" si="976"/>
        <v>1</v>
      </c>
      <c r="F613" s="123" t="s">
        <v>7</v>
      </c>
      <c r="G613" s="124">
        <f t="shared" ref="G613:H613" si="1017">G612</f>
        <v>1450000</v>
      </c>
      <c r="H613" s="125">
        <f t="shared" si="1017"/>
        <v>3.15E-2</v>
      </c>
      <c r="I613" s="124">
        <f t="shared" si="978"/>
        <v>126.875</v>
      </c>
      <c r="J613" s="124">
        <f t="shared" si="979"/>
        <v>29168.125</v>
      </c>
      <c r="K613" s="9"/>
      <c r="L613" s="11"/>
      <c r="M613" s="306"/>
      <c r="N613" s="97"/>
      <c r="O613" s="421"/>
      <c r="P613" s="304"/>
      <c r="Q613" s="307"/>
      <c r="S613" s="11"/>
      <c r="T613" s="306"/>
      <c r="U613" s="97"/>
      <c r="V613" s="421"/>
      <c r="W613" s="304"/>
      <c r="X613" s="307"/>
      <c r="Z613" s="11"/>
      <c r="AA613" s="306"/>
      <c r="AB613" s="97"/>
      <c r="AC613" s="421"/>
      <c r="AD613" s="304"/>
      <c r="AE613" s="307"/>
      <c r="AG613" s="11" t="s">
        <v>192</v>
      </c>
      <c r="AH613" s="306">
        <f t="shared" ref="AH613:AI613" si="1018">AH612</f>
        <v>6000000</v>
      </c>
      <c r="AI613" s="97">
        <f t="shared" si="1018"/>
        <v>3.73E-2</v>
      </c>
      <c r="AJ613" s="421">
        <f t="shared" si="981"/>
        <v>621.66666666666663</v>
      </c>
      <c r="AK613" s="304">
        <f t="shared" si="982"/>
        <v>1243.3333333333333</v>
      </c>
      <c r="AL613" s="307">
        <f t="shared" si="983"/>
        <v>96.666666666666629</v>
      </c>
      <c r="AN613" s="304">
        <f>'codeis $'!AB613</f>
        <v>0</v>
      </c>
      <c r="AO613" s="340">
        <f>'codeis $'!AH613</f>
        <v>0</v>
      </c>
      <c r="AP613" s="304">
        <f>'codeis $'!AE613</f>
        <v>0</v>
      </c>
      <c r="AQ613" s="304">
        <f>'codeis $'!AK613</f>
        <v>0</v>
      </c>
      <c r="AR613" s="9"/>
      <c r="AS613" s="9"/>
      <c r="AT613" s="123"/>
      <c r="AU613" s="123"/>
      <c r="AV613" s="123"/>
      <c r="AW613" s="123"/>
      <c r="AX613" s="123"/>
      <c r="AY613" s="123"/>
      <c r="AZ613" s="123"/>
      <c r="BA613" s="123"/>
      <c r="BC613" s="122"/>
      <c r="BD613" s="122"/>
      <c r="BE613" s="122"/>
      <c r="BF613" s="122"/>
      <c r="BH613" s="122"/>
      <c r="BI613" s="122"/>
      <c r="BJ613" s="122"/>
      <c r="BK613" s="122"/>
      <c r="BM613" s="122"/>
      <c r="BN613" s="122"/>
      <c r="BO613" s="122"/>
      <c r="BP613" s="122"/>
      <c r="BR613" s="122"/>
      <c r="BS613" s="122"/>
      <c r="BT613" s="122"/>
      <c r="BU613" s="122"/>
      <c r="BV613" s="439"/>
      <c r="BW613" s="120">
        <f t="shared" si="984"/>
        <v>7450000</v>
      </c>
      <c r="BX613" s="121">
        <f t="shared" si="885"/>
        <v>3.5000000000000003E-2</v>
      </c>
      <c r="BY613" s="121">
        <f t="shared" si="889"/>
        <v>3.6171140939597314E-2</v>
      </c>
      <c r="BZ613" s="120">
        <f t="shared" si="985"/>
        <v>748.54166666666663</v>
      </c>
      <c r="CA613" s="120">
        <f t="shared" si="986"/>
        <v>96.666666666666629</v>
      </c>
    </row>
    <row r="614" spans="2:79" x14ac:dyDescent="0.25">
      <c r="B614" s="123" t="str">
        <f t="shared" si="974"/>
        <v>8 2026</v>
      </c>
      <c r="C614" s="122">
        <f t="shared" si="975"/>
        <v>46263</v>
      </c>
      <c r="D614" s="122">
        <f t="shared" si="890"/>
        <v>46264</v>
      </c>
      <c r="E614" s="123">
        <f t="shared" si="976"/>
        <v>1</v>
      </c>
      <c r="F614" s="123" t="s">
        <v>7</v>
      </c>
      <c r="G614" s="124">
        <f t="shared" ref="G614:H614" si="1019">G613</f>
        <v>1450000</v>
      </c>
      <c r="H614" s="125">
        <f t="shared" si="1019"/>
        <v>3.15E-2</v>
      </c>
      <c r="I614" s="124">
        <f t="shared" si="978"/>
        <v>126.875</v>
      </c>
      <c r="J614" s="124">
        <f t="shared" si="979"/>
        <v>29295</v>
      </c>
      <c r="K614" s="9"/>
      <c r="L614" s="11"/>
      <c r="M614" s="306"/>
      <c r="N614" s="97"/>
      <c r="O614" s="421"/>
      <c r="P614" s="304"/>
      <c r="Q614" s="307"/>
      <c r="S614" s="11"/>
      <c r="T614" s="306"/>
      <c r="U614" s="97"/>
      <c r="V614" s="421"/>
      <c r="W614" s="304"/>
      <c r="X614" s="307"/>
      <c r="Z614" s="11"/>
      <c r="AA614" s="306"/>
      <c r="AB614" s="97"/>
      <c r="AC614" s="421"/>
      <c r="AD614" s="304"/>
      <c r="AE614" s="307"/>
      <c r="AG614" s="11" t="s">
        <v>192</v>
      </c>
      <c r="AH614" s="306">
        <f t="shared" ref="AH614:AI614" si="1020">AH613</f>
        <v>6000000</v>
      </c>
      <c r="AI614" s="97">
        <f t="shared" si="1020"/>
        <v>3.73E-2</v>
      </c>
      <c r="AJ614" s="421">
        <f t="shared" si="981"/>
        <v>621.66666666666663</v>
      </c>
      <c r="AK614" s="304">
        <f t="shared" si="982"/>
        <v>1243.3333333333333</v>
      </c>
      <c r="AL614" s="307">
        <f t="shared" si="983"/>
        <v>96.666666666666629</v>
      </c>
      <c r="AN614" s="304">
        <f>'codeis $'!AB614</f>
        <v>0</v>
      </c>
      <c r="AO614" s="340">
        <f>'codeis $'!AH614</f>
        <v>0</v>
      </c>
      <c r="AP614" s="304">
        <f>'codeis $'!AE614</f>
        <v>0</v>
      </c>
      <c r="AQ614" s="304">
        <f>'codeis $'!AK614</f>
        <v>0</v>
      </c>
      <c r="AR614" s="9"/>
      <c r="AS614" s="9"/>
      <c r="AT614" s="123"/>
      <c r="AU614" s="123"/>
      <c r="AV614" s="123"/>
      <c r="AW614" s="123"/>
      <c r="AX614" s="123"/>
      <c r="AY614" s="123"/>
      <c r="AZ614" s="123"/>
      <c r="BA614" s="123"/>
      <c r="BC614" s="122"/>
      <c r="BD614" s="122"/>
      <c r="BE614" s="122"/>
      <c r="BF614" s="122"/>
      <c r="BH614" s="122"/>
      <c r="BI614" s="122"/>
      <c r="BJ614" s="122"/>
      <c r="BK614" s="122"/>
      <c r="BM614" s="122"/>
      <c r="BN614" s="122"/>
      <c r="BO614" s="122"/>
      <c r="BP614" s="122"/>
      <c r="BR614" s="122"/>
      <c r="BS614" s="122"/>
      <c r="BT614" s="122"/>
      <c r="BU614" s="122"/>
      <c r="BV614" s="439"/>
      <c r="BW614" s="120">
        <f t="shared" si="984"/>
        <v>7450000</v>
      </c>
      <c r="BX614" s="121">
        <f t="shared" si="885"/>
        <v>3.5000000000000003E-2</v>
      </c>
      <c r="BY614" s="121">
        <f t="shared" si="889"/>
        <v>3.6171140939597314E-2</v>
      </c>
      <c r="BZ614" s="120">
        <f t="shared" si="985"/>
        <v>748.54166666666663</v>
      </c>
      <c r="CA614" s="120">
        <f t="shared" si="986"/>
        <v>96.666666666666629</v>
      </c>
    </row>
    <row r="615" spans="2:79" x14ac:dyDescent="0.25">
      <c r="B615" s="123" t="str">
        <f t="shared" si="974"/>
        <v>8 2026</v>
      </c>
      <c r="C615" s="122">
        <f t="shared" si="975"/>
        <v>46264</v>
      </c>
      <c r="D615" s="122">
        <f t="shared" si="890"/>
        <v>46265</v>
      </c>
      <c r="E615" s="123">
        <f t="shared" si="976"/>
        <v>1</v>
      </c>
      <c r="F615" s="123" t="s">
        <v>7</v>
      </c>
      <c r="G615" s="124">
        <f t="shared" ref="G615:H615" si="1021">G614</f>
        <v>1450000</v>
      </c>
      <c r="H615" s="125">
        <f t="shared" si="1021"/>
        <v>3.15E-2</v>
      </c>
      <c r="I615" s="124">
        <f t="shared" si="978"/>
        <v>126.875</v>
      </c>
      <c r="J615" s="124">
        <f t="shared" si="979"/>
        <v>29421.875</v>
      </c>
      <c r="K615" s="9"/>
      <c r="L615" s="11"/>
      <c r="M615" s="306"/>
      <c r="N615" s="97"/>
      <c r="O615" s="421"/>
      <c r="P615" s="304"/>
      <c r="Q615" s="307"/>
      <c r="S615" s="11"/>
      <c r="T615" s="306"/>
      <c r="U615" s="97"/>
      <c r="V615" s="421"/>
      <c r="W615" s="304"/>
      <c r="X615" s="307"/>
      <c r="Z615" s="11"/>
      <c r="AA615" s="306"/>
      <c r="AB615" s="97"/>
      <c r="AC615" s="421"/>
      <c r="AD615" s="304"/>
      <c r="AE615" s="307"/>
      <c r="AG615" s="11" t="s">
        <v>192</v>
      </c>
      <c r="AH615" s="306">
        <f t="shared" ref="AH615:AI615" si="1022">AH614</f>
        <v>6000000</v>
      </c>
      <c r="AI615" s="97">
        <f t="shared" si="1022"/>
        <v>3.73E-2</v>
      </c>
      <c r="AJ615" s="421">
        <f t="shared" si="981"/>
        <v>621.66666666666663</v>
      </c>
      <c r="AK615" s="304">
        <f t="shared" si="982"/>
        <v>1243.3333333333333</v>
      </c>
      <c r="AL615" s="307">
        <f t="shared" si="983"/>
        <v>96.666666666666629</v>
      </c>
      <c r="AN615" s="304">
        <f>'codeis $'!AB615</f>
        <v>0</v>
      </c>
      <c r="AO615" s="340">
        <f>'codeis $'!AH615</f>
        <v>0</v>
      </c>
      <c r="AP615" s="304">
        <f>'codeis $'!AE615</f>
        <v>0</v>
      </c>
      <c r="AQ615" s="304">
        <f>'codeis $'!AK615</f>
        <v>0</v>
      </c>
      <c r="AR615" s="9"/>
      <c r="AS615" s="9"/>
      <c r="AT615" s="123"/>
      <c r="AU615" s="123"/>
      <c r="AV615" s="123"/>
      <c r="AW615" s="123"/>
      <c r="AX615" s="123"/>
      <c r="AY615" s="123"/>
      <c r="AZ615" s="123"/>
      <c r="BA615" s="123"/>
      <c r="BC615" s="122"/>
      <c r="BD615" s="122"/>
      <c r="BE615" s="122"/>
      <c r="BF615" s="122"/>
      <c r="BH615" s="122"/>
      <c r="BI615" s="122"/>
      <c r="BJ615" s="122"/>
      <c r="BK615" s="122"/>
      <c r="BM615" s="122"/>
      <c r="BN615" s="122"/>
      <c r="BO615" s="122"/>
      <c r="BP615" s="122"/>
      <c r="BR615" s="122"/>
      <c r="BS615" s="122"/>
      <c r="BT615" s="122"/>
      <c r="BU615" s="122"/>
      <c r="BV615" s="439"/>
      <c r="BW615" s="120">
        <f t="shared" si="984"/>
        <v>7450000</v>
      </c>
      <c r="BX615" s="121">
        <f t="shared" si="885"/>
        <v>3.5000000000000003E-2</v>
      </c>
      <c r="BY615" s="121">
        <f t="shared" si="889"/>
        <v>3.6171140939597314E-2</v>
      </c>
      <c r="BZ615" s="120">
        <f t="shared" si="985"/>
        <v>748.54166666666663</v>
      </c>
      <c r="CA615" s="120">
        <f t="shared" si="986"/>
        <v>96.666666666666629</v>
      </c>
    </row>
    <row r="616" spans="2:79" x14ac:dyDescent="0.25">
      <c r="B616" s="123" t="str">
        <f t="shared" si="974"/>
        <v>9 2026</v>
      </c>
      <c r="C616" s="122">
        <f t="shared" si="975"/>
        <v>46265</v>
      </c>
      <c r="D616" s="122">
        <f t="shared" si="890"/>
        <v>46266</v>
      </c>
      <c r="E616" s="123">
        <f t="shared" si="976"/>
        <v>1</v>
      </c>
      <c r="F616" s="123" t="s">
        <v>7</v>
      </c>
      <c r="G616" s="124">
        <f t="shared" ref="G616:H616" si="1023">G615</f>
        <v>1450000</v>
      </c>
      <c r="H616" s="125">
        <f t="shared" si="1023"/>
        <v>3.15E-2</v>
      </c>
      <c r="I616" s="124">
        <f t="shared" si="978"/>
        <v>126.875</v>
      </c>
      <c r="J616" s="124">
        <f t="shared" si="979"/>
        <v>29548.75</v>
      </c>
      <c r="K616" s="9"/>
      <c r="L616" s="11"/>
      <c r="M616" s="306"/>
      <c r="N616" s="97"/>
      <c r="O616" s="421"/>
      <c r="P616" s="304"/>
      <c r="Q616" s="307"/>
      <c r="S616" s="11"/>
      <c r="T616" s="306"/>
      <c r="U616" s="97"/>
      <c r="V616" s="421"/>
      <c r="W616" s="304"/>
      <c r="X616" s="307"/>
      <c r="Z616" s="11"/>
      <c r="AA616" s="306"/>
      <c r="AB616" s="97"/>
      <c r="AC616" s="421"/>
      <c r="AD616" s="304"/>
      <c r="AE616" s="307"/>
      <c r="AG616" s="11" t="s">
        <v>192</v>
      </c>
      <c r="AH616" s="306">
        <f t="shared" ref="AH616:AI616" si="1024">AH615</f>
        <v>6000000</v>
      </c>
      <c r="AI616" s="97">
        <f t="shared" si="1024"/>
        <v>3.73E-2</v>
      </c>
      <c r="AJ616" s="421">
        <f t="shared" si="981"/>
        <v>621.66666666666663</v>
      </c>
      <c r="AK616" s="304">
        <f t="shared" si="982"/>
        <v>1243.3333333333333</v>
      </c>
      <c r="AL616" s="307">
        <f t="shared" si="983"/>
        <v>96.666666666666629</v>
      </c>
      <c r="AN616" s="304">
        <f>'codeis $'!AB616</f>
        <v>0</v>
      </c>
      <c r="AO616" s="340">
        <f>'codeis $'!AH616</f>
        <v>0</v>
      </c>
      <c r="AP616" s="304">
        <f>'codeis $'!AE616</f>
        <v>0</v>
      </c>
      <c r="AQ616" s="304">
        <f>'codeis $'!AK616</f>
        <v>0</v>
      </c>
      <c r="AR616" s="9"/>
      <c r="AS616" s="9"/>
      <c r="AT616" s="123"/>
      <c r="AU616" s="123"/>
      <c r="AV616" s="123"/>
      <c r="AW616" s="123"/>
      <c r="AX616" s="123"/>
      <c r="AY616" s="123"/>
      <c r="AZ616" s="123"/>
      <c r="BA616" s="123"/>
      <c r="BC616" s="122"/>
      <c r="BD616" s="122"/>
      <c r="BE616" s="122"/>
      <c r="BF616" s="122"/>
      <c r="BH616" s="122"/>
      <c r="BI616" s="122"/>
      <c r="BJ616" s="122"/>
      <c r="BK616" s="122"/>
      <c r="BM616" s="122"/>
      <c r="BN616" s="122"/>
      <c r="BO616" s="122"/>
      <c r="BP616" s="122"/>
      <c r="BR616" s="122"/>
      <c r="BS616" s="122"/>
      <c r="BT616" s="122"/>
      <c r="BU616" s="122"/>
      <c r="BV616" s="439"/>
      <c r="BW616" s="120">
        <f t="shared" si="984"/>
        <v>7450000</v>
      </c>
      <c r="BX616" s="121">
        <f t="shared" si="885"/>
        <v>3.5000000000000003E-2</v>
      </c>
      <c r="BY616" s="121">
        <f t="shared" si="889"/>
        <v>3.6171140939597314E-2</v>
      </c>
      <c r="BZ616" s="120">
        <f t="shared" si="985"/>
        <v>748.54166666666663</v>
      </c>
      <c r="CA616" s="120">
        <f t="shared" si="986"/>
        <v>96.666666666666629</v>
      </c>
    </row>
    <row r="617" spans="2:79" x14ac:dyDescent="0.25">
      <c r="B617" s="123" t="str">
        <f t="shared" si="974"/>
        <v>9 2026</v>
      </c>
      <c r="C617" s="122">
        <f t="shared" si="975"/>
        <v>46266</v>
      </c>
      <c r="D617" s="122">
        <f t="shared" si="890"/>
        <v>46267</v>
      </c>
      <c r="E617" s="123">
        <f t="shared" si="976"/>
        <v>1</v>
      </c>
      <c r="F617" s="123" t="s">
        <v>7</v>
      </c>
      <c r="G617" s="124">
        <f t="shared" ref="G617:H617" si="1025">G616</f>
        <v>1450000</v>
      </c>
      <c r="H617" s="125">
        <f t="shared" si="1025"/>
        <v>3.15E-2</v>
      </c>
      <c r="I617" s="124">
        <f t="shared" si="978"/>
        <v>126.875</v>
      </c>
      <c r="J617" s="124">
        <f t="shared" si="979"/>
        <v>29675.625</v>
      </c>
      <c r="K617" s="9"/>
      <c r="L617" s="11"/>
      <c r="M617" s="306"/>
      <c r="N617" s="97"/>
      <c r="O617" s="421"/>
      <c r="P617" s="304"/>
      <c r="Q617" s="307"/>
      <c r="S617" s="11"/>
      <c r="T617" s="306"/>
      <c r="U617" s="97"/>
      <c r="V617" s="421"/>
      <c r="W617" s="304"/>
      <c r="X617" s="307"/>
      <c r="Z617" s="11"/>
      <c r="AA617" s="306"/>
      <c r="AB617" s="97"/>
      <c r="AC617" s="421"/>
      <c r="AD617" s="304"/>
      <c r="AE617" s="307"/>
      <c r="AG617" s="11" t="s">
        <v>192</v>
      </c>
      <c r="AH617" s="306">
        <f t="shared" ref="AH617:AI617" si="1026">AH616</f>
        <v>6000000</v>
      </c>
      <c r="AI617" s="97">
        <f t="shared" si="1026"/>
        <v>3.73E-2</v>
      </c>
      <c r="AJ617" s="421">
        <f t="shared" si="981"/>
        <v>621.66666666666663</v>
      </c>
      <c r="AK617" s="304">
        <f t="shared" si="982"/>
        <v>1243.3333333333333</v>
      </c>
      <c r="AL617" s="307">
        <f t="shared" si="983"/>
        <v>96.666666666666629</v>
      </c>
      <c r="AN617" s="304">
        <f>'codeis $'!AB617</f>
        <v>0</v>
      </c>
      <c r="AO617" s="340">
        <f>'codeis $'!AH617</f>
        <v>0</v>
      </c>
      <c r="AP617" s="304">
        <f>'codeis $'!AE617</f>
        <v>0</v>
      </c>
      <c r="AQ617" s="304">
        <f>'codeis $'!AK617</f>
        <v>0</v>
      </c>
      <c r="AR617" s="9"/>
      <c r="AS617" s="9"/>
      <c r="AT617" s="123"/>
      <c r="AU617" s="123"/>
      <c r="AV617" s="123"/>
      <c r="AW617" s="123"/>
      <c r="AX617" s="123"/>
      <c r="AY617" s="123"/>
      <c r="AZ617" s="123"/>
      <c r="BA617" s="123"/>
      <c r="BC617" s="122"/>
      <c r="BD617" s="122"/>
      <c r="BE617" s="122"/>
      <c r="BF617" s="122"/>
      <c r="BH617" s="122"/>
      <c r="BI617" s="122"/>
      <c r="BJ617" s="122"/>
      <c r="BK617" s="122"/>
      <c r="BM617" s="122"/>
      <c r="BN617" s="122"/>
      <c r="BO617" s="122"/>
      <c r="BP617" s="122"/>
      <c r="BR617" s="122"/>
      <c r="BS617" s="122"/>
      <c r="BT617" s="122"/>
      <c r="BU617" s="122"/>
      <c r="BV617" s="439"/>
      <c r="BW617" s="120">
        <f t="shared" si="984"/>
        <v>7450000</v>
      </c>
      <c r="BX617" s="121">
        <f t="shared" si="885"/>
        <v>3.5000000000000003E-2</v>
      </c>
      <c r="BY617" s="121">
        <f t="shared" si="889"/>
        <v>3.6171140939597314E-2</v>
      </c>
      <c r="BZ617" s="120">
        <f t="shared" si="985"/>
        <v>748.54166666666663</v>
      </c>
      <c r="CA617" s="120">
        <f t="shared" si="986"/>
        <v>96.666666666666629</v>
      </c>
    </row>
    <row r="618" spans="2:79" x14ac:dyDescent="0.25">
      <c r="B618" s="123" t="str">
        <f t="shared" si="974"/>
        <v>9 2026</v>
      </c>
      <c r="C618" s="122">
        <f t="shared" si="975"/>
        <v>46267</v>
      </c>
      <c r="D618" s="122">
        <f t="shared" si="890"/>
        <v>46268</v>
      </c>
      <c r="E618" s="123">
        <f t="shared" si="976"/>
        <v>1</v>
      </c>
      <c r="F618" s="123" t="s">
        <v>7</v>
      </c>
      <c r="G618" s="124">
        <f t="shared" ref="G618:H618" si="1027">G617</f>
        <v>1450000</v>
      </c>
      <c r="H618" s="125">
        <f t="shared" si="1027"/>
        <v>3.15E-2</v>
      </c>
      <c r="I618" s="124">
        <f t="shared" si="978"/>
        <v>126.875</v>
      </c>
      <c r="J618" s="124">
        <f t="shared" si="979"/>
        <v>29802.5</v>
      </c>
      <c r="K618" s="9"/>
      <c r="L618" s="11"/>
      <c r="M618" s="306"/>
      <c r="N618" s="97"/>
      <c r="O618" s="421"/>
      <c r="P618" s="304"/>
      <c r="Q618" s="307"/>
      <c r="S618" s="11"/>
      <c r="T618" s="306"/>
      <c r="U618" s="97"/>
      <c r="V618" s="421"/>
      <c r="W618" s="304"/>
      <c r="X618" s="307"/>
      <c r="Z618" s="11"/>
      <c r="AA618" s="306"/>
      <c r="AB618" s="97"/>
      <c r="AC618" s="421"/>
      <c r="AD618" s="304"/>
      <c r="AE618" s="307"/>
      <c r="AG618" s="11" t="s">
        <v>192</v>
      </c>
      <c r="AH618" s="306">
        <f t="shared" ref="AH618:AI618" si="1028">AH617</f>
        <v>6000000</v>
      </c>
      <c r="AI618" s="97">
        <f t="shared" si="1028"/>
        <v>3.73E-2</v>
      </c>
      <c r="AJ618" s="421">
        <f t="shared" si="981"/>
        <v>621.66666666666663</v>
      </c>
      <c r="AK618" s="304">
        <f t="shared" si="982"/>
        <v>1243.3333333333333</v>
      </c>
      <c r="AL618" s="307">
        <f t="shared" si="983"/>
        <v>96.666666666666629</v>
      </c>
      <c r="AN618" s="304">
        <f>'codeis $'!AB618</f>
        <v>0</v>
      </c>
      <c r="AO618" s="340">
        <f>'codeis $'!AH618</f>
        <v>0</v>
      </c>
      <c r="AP618" s="304">
        <f>'codeis $'!AE618</f>
        <v>0</v>
      </c>
      <c r="AQ618" s="304">
        <f>'codeis $'!AK618</f>
        <v>0</v>
      </c>
      <c r="AR618" s="9"/>
      <c r="AS618" s="9"/>
      <c r="AT618" s="123"/>
      <c r="AU618" s="123"/>
      <c r="AV618" s="123"/>
      <c r="AW618" s="123"/>
      <c r="AX618" s="123"/>
      <c r="AY618" s="123"/>
      <c r="AZ618" s="123"/>
      <c r="BA618" s="123"/>
      <c r="BC618" s="122"/>
      <c r="BD618" s="122"/>
      <c r="BE618" s="122"/>
      <c r="BF618" s="122"/>
      <c r="BH618" s="122"/>
      <c r="BI618" s="122"/>
      <c r="BJ618" s="122"/>
      <c r="BK618" s="122"/>
      <c r="BM618" s="122"/>
      <c r="BN618" s="122"/>
      <c r="BO618" s="122"/>
      <c r="BP618" s="122"/>
      <c r="BR618" s="122"/>
      <c r="BS618" s="122"/>
      <c r="BT618" s="122"/>
      <c r="BU618" s="122"/>
      <c r="BV618" s="439"/>
      <c r="BW618" s="120">
        <f t="shared" si="984"/>
        <v>7450000</v>
      </c>
      <c r="BX618" s="121">
        <f t="shared" si="885"/>
        <v>3.5000000000000003E-2</v>
      </c>
      <c r="BY618" s="121">
        <f t="shared" si="889"/>
        <v>3.6171140939597314E-2</v>
      </c>
      <c r="BZ618" s="120">
        <f t="shared" si="985"/>
        <v>748.54166666666663</v>
      </c>
      <c r="CA618" s="120">
        <f t="shared" si="986"/>
        <v>96.666666666666629</v>
      </c>
    </row>
    <row r="619" spans="2:79" x14ac:dyDescent="0.25">
      <c r="B619" s="123" t="str">
        <f t="shared" si="974"/>
        <v>9 2026</v>
      </c>
      <c r="C619" s="122">
        <f t="shared" si="975"/>
        <v>46268</v>
      </c>
      <c r="D619" s="122">
        <f t="shared" si="890"/>
        <v>46269</v>
      </c>
      <c r="E619" s="123">
        <f t="shared" si="976"/>
        <v>1</v>
      </c>
      <c r="F619" s="123" t="s">
        <v>7</v>
      </c>
      <c r="G619" s="124">
        <f t="shared" ref="G619:H619" si="1029">G618</f>
        <v>1450000</v>
      </c>
      <c r="H619" s="125">
        <f t="shared" si="1029"/>
        <v>3.15E-2</v>
      </c>
      <c r="I619" s="124">
        <f t="shared" si="978"/>
        <v>126.875</v>
      </c>
      <c r="J619" s="124">
        <f t="shared" si="979"/>
        <v>29929.375</v>
      </c>
      <c r="K619" s="9"/>
      <c r="L619" s="11"/>
      <c r="M619" s="306"/>
      <c r="N619" s="97"/>
      <c r="O619" s="421"/>
      <c r="P619" s="304"/>
      <c r="Q619" s="307"/>
      <c r="S619" s="11"/>
      <c r="T619" s="306"/>
      <c r="U619" s="97"/>
      <c r="V619" s="421"/>
      <c r="W619" s="304"/>
      <c r="X619" s="307"/>
      <c r="Z619" s="11"/>
      <c r="AA619" s="306"/>
      <c r="AB619" s="97"/>
      <c r="AC619" s="421"/>
      <c r="AD619" s="304"/>
      <c r="AE619" s="307"/>
      <c r="AG619" s="11" t="s">
        <v>192</v>
      </c>
      <c r="AH619" s="306">
        <f t="shared" ref="AH619:AI619" si="1030">AH618</f>
        <v>6000000</v>
      </c>
      <c r="AI619" s="97">
        <f t="shared" si="1030"/>
        <v>3.73E-2</v>
      </c>
      <c r="AJ619" s="421">
        <f t="shared" si="981"/>
        <v>621.66666666666663</v>
      </c>
      <c r="AK619" s="304">
        <f t="shared" si="982"/>
        <v>1243.3333333333333</v>
      </c>
      <c r="AL619" s="307">
        <f t="shared" si="983"/>
        <v>96.666666666666629</v>
      </c>
      <c r="AN619" s="304">
        <f>'codeis $'!AB619</f>
        <v>0</v>
      </c>
      <c r="AO619" s="340">
        <f>'codeis $'!AH619</f>
        <v>0</v>
      </c>
      <c r="AP619" s="304">
        <f>'codeis $'!AE619</f>
        <v>0</v>
      </c>
      <c r="AQ619" s="304">
        <f>'codeis $'!AK619</f>
        <v>0</v>
      </c>
      <c r="AR619" s="9"/>
      <c r="AS619" s="9"/>
      <c r="AT619" s="123"/>
      <c r="AU619" s="123"/>
      <c r="AV619" s="123"/>
      <c r="AW619" s="123"/>
      <c r="AX619" s="123"/>
      <c r="AY619" s="123"/>
      <c r="AZ619" s="123"/>
      <c r="BA619" s="123"/>
      <c r="BC619" s="122"/>
      <c r="BD619" s="122"/>
      <c r="BE619" s="122"/>
      <c r="BF619" s="122"/>
      <c r="BH619" s="122"/>
      <c r="BI619" s="122"/>
      <c r="BJ619" s="122"/>
      <c r="BK619" s="122"/>
      <c r="BM619" s="122"/>
      <c r="BN619" s="122"/>
      <c r="BO619" s="122"/>
      <c r="BP619" s="122"/>
      <c r="BR619" s="122"/>
      <c r="BS619" s="122"/>
      <c r="BT619" s="122"/>
      <c r="BU619" s="122"/>
      <c r="BV619" s="439"/>
      <c r="BW619" s="120">
        <f t="shared" si="984"/>
        <v>7450000</v>
      </c>
      <c r="BX619" s="121">
        <f t="shared" si="885"/>
        <v>3.5000000000000003E-2</v>
      </c>
      <c r="BY619" s="121">
        <f t="shared" si="889"/>
        <v>3.6171140939597314E-2</v>
      </c>
      <c r="BZ619" s="120">
        <f t="shared" si="985"/>
        <v>748.54166666666663</v>
      </c>
      <c r="CA619" s="120">
        <f t="shared" si="986"/>
        <v>96.666666666666629</v>
      </c>
    </row>
    <row r="620" spans="2:79" x14ac:dyDescent="0.25">
      <c r="B620" s="123" t="str">
        <f t="shared" si="974"/>
        <v>9 2026</v>
      </c>
      <c r="C620" s="122">
        <f t="shared" si="975"/>
        <v>46269</v>
      </c>
      <c r="D620" s="122">
        <f t="shared" si="890"/>
        <v>46270</v>
      </c>
      <c r="E620" s="123">
        <f t="shared" si="976"/>
        <v>1</v>
      </c>
      <c r="F620" s="123" t="s">
        <v>7</v>
      </c>
      <c r="G620" s="124">
        <f t="shared" ref="G620:H620" si="1031">G619</f>
        <v>1450000</v>
      </c>
      <c r="H620" s="125">
        <f t="shared" si="1031"/>
        <v>3.15E-2</v>
      </c>
      <c r="I620" s="124">
        <f t="shared" si="978"/>
        <v>126.875</v>
      </c>
      <c r="J620" s="124">
        <f t="shared" si="979"/>
        <v>30056.25</v>
      </c>
      <c r="K620" s="9"/>
      <c r="L620" s="11"/>
      <c r="M620" s="306"/>
      <c r="N620" s="97"/>
      <c r="O620" s="421"/>
      <c r="P620" s="304"/>
      <c r="Q620" s="307"/>
      <c r="S620" s="11"/>
      <c r="T620" s="306"/>
      <c r="U620" s="97"/>
      <c r="V620" s="421"/>
      <c r="W620" s="304"/>
      <c r="X620" s="307"/>
      <c r="Z620" s="11"/>
      <c r="AA620" s="306"/>
      <c r="AB620" s="97"/>
      <c r="AC620" s="421"/>
      <c r="AD620" s="304"/>
      <c r="AE620" s="307"/>
      <c r="AG620" s="11" t="s">
        <v>192</v>
      </c>
      <c r="AH620" s="306">
        <f t="shared" ref="AH620:AI620" si="1032">AH619</f>
        <v>6000000</v>
      </c>
      <c r="AI620" s="97">
        <f t="shared" si="1032"/>
        <v>3.73E-2</v>
      </c>
      <c r="AJ620" s="421">
        <f t="shared" si="981"/>
        <v>621.66666666666663</v>
      </c>
      <c r="AK620" s="304">
        <f t="shared" si="982"/>
        <v>1243.3333333333333</v>
      </c>
      <c r="AL620" s="307">
        <f t="shared" si="983"/>
        <v>96.666666666666629</v>
      </c>
      <c r="AN620" s="304">
        <f>'codeis $'!AB620</f>
        <v>0</v>
      </c>
      <c r="AO620" s="340">
        <f>'codeis $'!AH620</f>
        <v>0</v>
      </c>
      <c r="AP620" s="304">
        <f>'codeis $'!AE620</f>
        <v>0</v>
      </c>
      <c r="AQ620" s="304">
        <f>'codeis $'!AK620</f>
        <v>0</v>
      </c>
      <c r="AR620" s="9"/>
      <c r="AS620" s="9"/>
      <c r="AT620" s="123"/>
      <c r="AU620" s="123"/>
      <c r="AV620" s="123"/>
      <c r="AW620" s="123"/>
      <c r="AX620" s="123"/>
      <c r="AY620" s="123"/>
      <c r="AZ620" s="123"/>
      <c r="BA620" s="123"/>
      <c r="BC620" s="122"/>
      <c r="BD620" s="122"/>
      <c r="BE620" s="122"/>
      <c r="BF620" s="122"/>
      <c r="BH620" s="122"/>
      <c r="BI620" s="122"/>
      <c r="BJ620" s="122"/>
      <c r="BK620" s="122"/>
      <c r="BM620" s="122"/>
      <c r="BN620" s="122"/>
      <c r="BO620" s="122"/>
      <c r="BP620" s="122"/>
      <c r="BR620" s="122"/>
      <c r="BS620" s="122"/>
      <c r="BT620" s="122"/>
      <c r="BU620" s="122"/>
      <c r="BV620" s="439"/>
      <c r="BW620" s="120">
        <f t="shared" si="984"/>
        <v>7450000</v>
      </c>
      <c r="BX620" s="121">
        <f t="shared" si="885"/>
        <v>3.5000000000000003E-2</v>
      </c>
      <c r="BY620" s="121">
        <f t="shared" si="889"/>
        <v>3.6171140939597314E-2</v>
      </c>
      <c r="BZ620" s="120">
        <f t="shared" si="985"/>
        <v>748.54166666666663</v>
      </c>
      <c r="CA620" s="120">
        <f t="shared" si="986"/>
        <v>96.666666666666629</v>
      </c>
    </row>
    <row r="621" spans="2:79" x14ac:dyDescent="0.25">
      <c r="B621" s="123" t="str">
        <f t="shared" si="974"/>
        <v>9 2026</v>
      </c>
      <c r="C621" s="122">
        <f t="shared" si="975"/>
        <v>46270</v>
      </c>
      <c r="D621" s="122">
        <f t="shared" si="890"/>
        <v>46271</v>
      </c>
      <c r="E621" s="123">
        <f t="shared" si="976"/>
        <v>1</v>
      </c>
      <c r="F621" s="123" t="s">
        <v>7</v>
      </c>
      <c r="G621" s="124">
        <f t="shared" ref="G621:H621" si="1033">G620</f>
        <v>1450000</v>
      </c>
      <c r="H621" s="125">
        <f t="shared" si="1033"/>
        <v>3.15E-2</v>
      </c>
      <c r="I621" s="124">
        <f t="shared" si="978"/>
        <v>126.875</v>
      </c>
      <c r="J621" s="124">
        <f t="shared" si="979"/>
        <v>30183.125</v>
      </c>
      <c r="K621" s="9"/>
      <c r="L621" s="11"/>
      <c r="M621" s="306"/>
      <c r="N621" s="97"/>
      <c r="O621" s="421"/>
      <c r="P621" s="304"/>
      <c r="Q621" s="307"/>
      <c r="S621" s="11"/>
      <c r="T621" s="306"/>
      <c r="U621" s="97"/>
      <c r="V621" s="421"/>
      <c r="W621" s="304"/>
      <c r="X621" s="307"/>
      <c r="Z621" s="11"/>
      <c r="AA621" s="306"/>
      <c r="AB621" s="97"/>
      <c r="AC621" s="421"/>
      <c r="AD621" s="304"/>
      <c r="AE621" s="307"/>
      <c r="AG621" s="11" t="s">
        <v>192</v>
      </c>
      <c r="AH621" s="306">
        <f t="shared" ref="AH621:AI621" si="1034">AH620</f>
        <v>6000000</v>
      </c>
      <c r="AI621" s="97">
        <f t="shared" si="1034"/>
        <v>3.73E-2</v>
      </c>
      <c r="AJ621" s="421">
        <f t="shared" si="981"/>
        <v>621.66666666666663</v>
      </c>
      <c r="AK621" s="304">
        <f t="shared" si="982"/>
        <v>1243.3333333333333</v>
      </c>
      <c r="AL621" s="307">
        <f t="shared" si="983"/>
        <v>96.666666666666629</v>
      </c>
      <c r="AN621" s="304">
        <f>'codeis $'!AB621</f>
        <v>0</v>
      </c>
      <c r="AO621" s="340">
        <f>'codeis $'!AH621</f>
        <v>0</v>
      </c>
      <c r="AP621" s="304">
        <f>'codeis $'!AE621</f>
        <v>0</v>
      </c>
      <c r="AQ621" s="304">
        <f>'codeis $'!AK621</f>
        <v>0</v>
      </c>
      <c r="AR621" s="9"/>
      <c r="AS621" s="9"/>
      <c r="AT621" s="123"/>
      <c r="AU621" s="123"/>
      <c r="AV621" s="123"/>
      <c r="AW621" s="123"/>
      <c r="AX621" s="123"/>
      <c r="AY621" s="123"/>
      <c r="AZ621" s="123"/>
      <c r="BA621" s="123"/>
      <c r="BC621" s="122"/>
      <c r="BD621" s="122"/>
      <c r="BE621" s="122"/>
      <c r="BF621" s="122"/>
      <c r="BH621" s="122"/>
      <c r="BI621" s="122"/>
      <c r="BJ621" s="122"/>
      <c r="BK621" s="122"/>
      <c r="BM621" s="122"/>
      <c r="BN621" s="122"/>
      <c r="BO621" s="122"/>
      <c r="BP621" s="122"/>
      <c r="BR621" s="122"/>
      <c r="BS621" s="122"/>
      <c r="BT621" s="122"/>
      <c r="BU621" s="122"/>
      <c r="BV621" s="439"/>
      <c r="BW621" s="120">
        <f t="shared" si="984"/>
        <v>7450000</v>
      </c>
      <c r="BX621" s="121">
        <f t="shared" si="885"/>
        <v>3.5000000000000003E-2</v>
      </c>
      <c r="BY621" s="121">
        <f t="shared" si="889"/>
        <v>3.6171140939597314E-2</v>
      </c>
      <c r="BZ621" s="120">
        <f t="shared" si="985"/>
        <v>748.54166666666663</v>
      </c>
      <c r="CA621" s="120">
        <f t="shared" si="986"/>
        <v>96.666666666666629</v>
      </c>
    </row>
    <row r="622" spans="2:79" x14ac:dyDescent="0.25">
      <c r="B622" s="123" t="str">
        <f t="shared" si="974"/>
        <v>9 2026</v>
      </c>
      <c r="C622" s="122">
        <f t="shared" si="975"/>
        <v>46271</v>
      </c>
      <c r="D622" s="122">
        <f t="shared" si="890"/>
        <v>46272</v>
      </c>
      <c r="E622" s="123">
        <f t="shared" si="976"/>
        <v>1</v>
      </c>
      <c r="F622" s="123" t="s">
        <v>7</v>
      </c>
      <c r="G622" s="124">
        <f t="shared" ref="G622:H622" si="1035">G621</f>
        <v>1450000</v>
      </c>
      <c r="H622" s="125">
        <f t="shared" si="1035"/>
        <v>3.15E-2</v>
      </c>
      <c r="I622" s="124">
        <f t="shared" si="978"/>
        <v>126.875</v>
      </c>
      <c r="J622" s="124">
        <f t="shared" si="979"/>
        <v>30310</v>
      </c>
      <c r="K622" s="9"/>
      <c r="L622" s="11"/>
      <c r="M622" s="306"/>
      <c r="N622" s="97"/>
      <c r="O622" s="421"/>
      <c r="P622" s="304"/>
      <c r="Q622" s="307"/>
      <c r="S622" s="11"/>
      <c r="T622" s="306"/>
      <c r="U622" s="97"/>
      <c r="V622" s="421"/>
      <c r="W622" s="304"/>
      <c r="X622" s="307"/>
      <c r="Z622" s="11"/>
      <c r="AA622" s="306"/>
      <c r="AB622" s="97"/>
      <c r="AC622" s="421"/>
      <c r="AD622" s="304"/>
      <c r="AE622" s="307"/>
      <c r="AG622" s="11" t="s">
        <v>192</v>
      </c>
      <c r="AH622" s="306">
        <f t="shared" ref="AH622:AI622" si="1036">AH621</f>
        <v>6000000</v>
      </c>
      <c r="AI622" s="97">
        <f t="shared" si="1036"/>
        <v>3.73E-2</v>
      </c>
      <c r="AJ622" s="421">
        <f t="shared" si="981"/>
        <v>621.66666666666663</v>
      </c>
      <c r="AK622" s="304">
        <f t="shared" si="982"/>
        <v>1243.3333333333333</v>
      </c>
      <c r="AL622" s="307">
        <f t="shared" si="983"/>
        <v>96.666666666666629</v>
      </c>
      <c r="AN622" s="304">
        <f>'codeis $'!AB622</f>
        <v>0</v>
      </c>
      <c r="AO622" s="340">
        <f>'codeis $'!AH622</f>
        <v>0</v>
      </c>
      <c r="AP622" s="304">
        <f>'codeis $'!AE622</f>
        <v>0</v>
      </c>
      <c r="AQ622" s="304">
        <f>'codeis $'!AK622</f>
        <v>0</v>
      </c>
      <c r="AR622" s="9"/>
      <c r="AS622" s="9"/>
      <c r="AT622" s="123"/>
      <c r="AU622" s="123"/>
      <c r="AV622" s="123"/>
      <c r="AW622" s="123"/>
      <c r="AX622" s="123"/>
      <c r="AY622" s="123"/>
      <c r="AZ622" s="123"/>
      <c r="BA622" s="123"/>
      <c r="BC622" s="122"/>
      <c r="BD622" s="122"/>
      <c r="BE622" s="122"/>
      <c r="BF622" s="122"/>
      <c r="BH622" s="122"/>
      <c r="BI622" s="122"/>
      <c r="BJ622" s="122"/>
      <c r="BK622" s="122"/>
      <c r="BM622" s="122"/>
      <c r="BN622" s="122"/>
      <c r="BO622" s="122"/>
      <c r="BP622" s="122"/>
      <c r="BR622" s="122"/>
      <c r="BS622" s="122"/>
      <c r="BT622" s="122"/>
      <c r="BU622" s="122"/>
      <c r="BV622" s="439"/>
      <c r="BW622" s="120">
        <f t="shared" si="984"/>
        <v>7450000</v>
      </c>
      <c r="BX622" s="121">
        <f t="shared" si="885"/>
        <v>3.5000000000000003E-2</v>
      </c>
      <c r="BY622" s="121">
        <f t="shared" si="889"/>
        <v>3.6171140939597314E-2</v>
      </c>
      <c r="BZ622" s="120">
        <f t="shared" si="985"/>
        <v>748.54166666666663</v>
      </c>
      <c r="CA622" s="120">
        <f t="shared" si="986"/>
        <v>96.666666666666629</v>
      </c>
    </row>
    <row r="623" spans="2:79" x14ac:dyDescent="0.25">
      <c r="B623" s="123" t="str">
        <f t="shared" si="974"/>
        <v>9 2026</v>
      </c>
      <c r="C623" s="122">
        <f t="shared" si="975"/>
        <v>46272</v>
      </c>
      <c r="D623" s="122">
        <f t="shared" si="890"/>
        <v>46273</v>
      </c>
      <c r="E623" s="123">
        <f t="shared" si="976"/>
        <v>1</v>
      </c>
      <c r="F623" s="123" t="s">
        <v>7</v>
      </c>
      <c r="G623" s="124">
        <f t="shared" ref="G623:H623" si="1037">G622</f>
        <v>1450000</v>
      </c>
      <c r="H623" s="125">
        <f t="shared" si="1037"/>
        <v>3.15E-2</v>
      </c>
      <c r="I623" s="124">
        <f t="shared" si="978"/>
        <v>126.875</v>
      </c>
      <c r="J623" s="124">
        <f t="shared" si="979"/>
        <v>30436.875</v>
      </c>
      <c r="K623" s="9"/>
      <c r="L623" s="11"/>
      <c r="M623" s="306"/>
      <c r="N623" s="97"/>
      <c r="O623" s="421"/>
      <c r="P623" s="304"/>
      <c r="Q623" s="307"/>
      <c r="S623" s="11"/>
      <c r="T623" s="306"/>
      <c r="U623" s="97"/>
      <c r="V623" s="421"/>
      <c r="W623" s="304"/>
      <c r="X623" s="307"/>
      <c r="Z623" s="11"/>
      <c r="AA623" s="306"/>
      <c r="AB623" s="97"/>
      <c r="AC623" s="421"/>
      <c r="AD623" s="304"/>
      <c r="AE623" s="307"/>
      <c r="AG623" s="11" t="s">
        <v>192</v>
      </c>
      <c r="AH623" s="306">
        <f t="shared" ref="AH623:AI623" si="1038">AH622</f>
        <v>6000000</v>
      </c>
      <c r="AI623" s="97">
        <f t="shared" si="1038"/>
        <v>3.73E-2</v>
      </c>
      <c r="AJ623" s="421">
        <f t="shared" si="981"/>
        <v>621.66666666666663</v>
      </c>
      <c r="AK623" s="304">
        <f t="shared" si="982"/>
        <v>1243.3333333333333</v>
      </c>
      <c r="AL623" s="307">
        <f t="shared" si="983"/>
        <v>96.666666666666629</v>
      </c>
      <c r="AN623" s="304">
        <f>'codeis $'!AB623</f>
        <v>0</v>
      </c>
      <c r="AO623" s="340">
        <f>'codeis $'!AH623</f>
        <v>0</v>
      </c>
      <c r="AP623" s="304">
        <f>'codeis $'!AE623</f>
        <v>0</v>
      </c>
      <c r="AQ623" s="304">
        <f>'codeis $'!AK623</f>
        <v>0</v>
      </c>
      <c r="AR623" s="9"/>
      <c r="AS623" s="9"/>
      <c r="AT623" s="123"/>
      <c r="AU623" s="123"/>
      <c r="AV623" s="123"/>
      <c r="AW623" s="123"/>
      <c r="AX623" s="123"/>
      <c r="AY623" s="123"/>
      <c r="AZ623" s="123"/>
      <c r="BA623" s="123"/>
      <c r="BC623" s="122"/>
      <c r="BD623" s="122"/>
      <c r="BE623" s="122"/>
      <c r="BF623" s="122"/>
      <c r="BH623" s="122"/>
      <c r="BI623" s="122"/>
      <c r="BJ623" s="122"/>
      <c r="BK623" s="122"/>
      <c r="BM623" s="122"/>
      <c r="BN623" s="122"/>
      <c r="BO623" s="122"/>
      <c r="BP623" s="122"/>
      <c r="BR623" s="122"/>
      <c r="BS623" s="122"/>
      <c r="BT623" s="122"/>
      <c r="BU623" s="122"/>
      <c r="BV623" s="439"/>
      <c r="BW623" s="120">
        <f t="shared" si="984"/>
        <v>7450000</v>
      </c>
      <c r="BX623" s="121">
        <f t="shared" si="885"/>
        <v>3.5000000000000003E-2</v>
      </c>
      <c r="BY623" s="121">
        <f t="shared" si="889"/>
        <v>3.6171140939597314E-2</v>
      </c>
      <c r="BZ623" s="120">
        <f t="shared" si="985"/>
        <v>748.54166666666663</v>
      </c>
      <c r="CA623" s="120">
        <f t="shared" si="986"/>
        <v>96.666666666666629</v>
      </c>
    </row>
    <row r="624" spans="2:79" x14ac:dyDescent="0.25">
      <c r="B624" s="123" t="str">
        <f t="shared" si="974"/>
        <v>9 2026</v>
      </c>
      <c r="C624" s="122">
        <f t="shared" si="975"/>
        <v>46273</v>
      </c>
      <c r="D624" s="122">
        <f t="shared" si="890"/>
        <v>46274</v>
      </c>
      <c r="E624" s="123">
        <f t="shared" si="976"/>
        <v>1</v>
      </c>
      <c r="F624" s="123" t="s">
        <v>7</v>
      </c>
      <c r="G624" s="124">
        <f t="shared" ref="G624:H624" si="1039">G623</f>
        <v>1450000</v>
      </c>
      <c r="H624" s="125">
        <f t="shared" si="1039"/>
        <v>3.15E-2</v>
      </c>
      <c r="I624" s="124">
        <f t="shared" si="978"/>
        <v>126.875</v>
      </c>
      <c r="J624" s="124">
        <f t="shared" si="979"/>
        <v>30563.75</v>
      </c>
      <c r="K624" s="9"/>
      <c r="L624" s="11"/>
      <c r="M624" s="306"/>
      <c r="N624" s="97"/>
      <c r="O624" s="421"/>
      <c r="P624" s="304"/>
      <c r="Q624" s="307"/>
      <c r="S624" s="11"/>
      <c r="T624" s="306"/>
      <c r="U624" s="97"/>
      <c r="V624" s="421"/>
      <c r="W624" s="304"/>
      <c r="X624" s="307"/>
      <c r="Z624" s="11"/>
      <c r="AA624" s="306"/>
      <c r="AB624" s="97"/>
      <c r="AC624" s="421"/>
      <c r="AD624" s="304"/>
      <c r="AE624" s="307"/>
      <c r="AG624" s="11" t="s">
        <v>192</v>
      </c>
      <c r="AH624" s="306">
        <f t="shared" ref="AH624:AI624" si="1040">AH623</f>
        <v>6000000</v>
      </c>
      <c r="AI624" s="97">
        <f t="shared" si="1040"/>
        <v>3.73E-2</v>
      </c>
      <c r="AJ624" s="421">
        <f t="shared" si="981"/>
        <v>621.66666666666663</v>
      </c>
      <c r="AK624" s="304">
        <f t="shared" si="982"/>
        <v>1243.3333333333333</v>
      </c>
      <c r="AL624" s="307">
        <f t="shared" si="983"/>
        <v>96.666666666666629</v>
      </c>
      <c r="AN624" s="304">
        <f>'codeis $'!AB624</f>
        <v>0</v>
      </c>
      <c r="AO624" s="340">
        <f>'codeis $'!AH624</f>
        <v>0</v>
      </c>
      <c r="AP624" s="304">
        <f>'codeis $'!AE624</f>
        <v>0</v>
      </c>
      <c r="AQ624" s="304">
        <f>'codeis $'!AK624</f>
        <v>0</v>
      </c>
      <c r="AR624" s="9"/>
      <c r="AS624" s="9"/>
      <c r="AT624" s="123"/>
      <c r="AU624" s="123"/>
      <c r="AV624" s="123"/>
      <c r="AW624" s="123"/>
      <c r="AX624" s="123"/>
      <c r="AY624" s="123"/>
      <c r="AZ624" s="123"/>
      <c r="BA624" s="123"/>
      <c r="BC624" s="122"/>
      <c r="BD624" s="122"/>
      <c r="BE624" s="122"/>
      <c r="BF624" s="122"/>
      <c r="BH624" s="122"/>
      <c r="BI624" s="122"/>
      <c r="BJ624" s="122"/>
      <c r="BK624" s="122"/>
      <c r="BM624" s="122"/>
      <c r="BN624" s="122"/>
      <c r="BO624" s="122"/>
      <c r="BP624" s="122"/>
      <c r="BR624" s="122"/>
      <c r="BS624" s="122"/>
      <c r="BT624" s="122"/>
      <c r="BU624" s="122"/>
      <c r="BV624" s="439"/>
      <c r="BW624" s="120">
        <f t="shared" si="984"/>
        <v>7450000</v>
      </c>
      <c r="BX624" s="121">
        <f t="shared" si="885"/>
        <v>3.5000000000000003E-2</v>
      </c>
      <c r="BY624" s="121">
        <f t="shared" si="889"/>
        <v>3.6171140939597314E-2</v>
      </c>
      <c r="BZ624" s="120">
        <f t="shared" si="985"/>
        <v>748.54166666666663</v>
      </c>
      <c r="CA624" s="120">
        <f t="shared" si="986"/>
        <v>96.666666666666629</v>
      </c>
    </row>
    <row r="625" spans="2:79" x14ac:dyDescent="0.25">
      <c r="B625" s="123" t="str">
        <f t="shared" si="974"/>
        <v>9 2026</v>
      </c>
      <c r="C625" s="122">
        <f t="shared" si="975"/>
        <v>46274</v>
      </c>
      <c r="D625" s="122">
        <f t="shared" si="890"/>
        <v>46275</v>
      </c>
      <c r="E625" s="123">
        <f t="shared" si="976"/>
        <v>1</v>
      </c>
      <c r="F625" s="123" t="s">
        <v>7</v>
      </c>
      <c r="G625" s="124">
        <f t="shared" ref="G625:H625" si="1041">G624</f>
        <v>1450000</v>
      </c>
      <c r="H625" s="125">
        <f t="shared" si="1041"/>
        <v>3.15E-2</v>
      </c>
      <c r="I625" s="124">
        <f t="shared" si="978"/>
        <v>126.875</v>
      </c>
      <c r="J625" s="124">
        <f t="shared" si="979"/>
        <v>30690.625</v>
      </c>
      <c r="K625" s="9"/>
      <c r="L625" s="11"/>
      <c r="M625" s="306"/>
      <c r="N625" s="97"/>
      <c r="O625" s="421"/>
      <c r="P625" s="304"/>
      <c r="Q625" s="307"/>
      <c r="S625" s="11"/>
      <c r="T625" s="306"/>
      <c r="U625" s="97"/>
      <c r="V625" s="421"/>
      <c r="W625" s="304"/>
      <c r="X625" s="307"/>
      <c r="Z625" s="11"/>
      <c r="AA625" s="306"/>
      <c r="AB625" s="97"/>
      <c r="AC625" s="421"/>
      <c r="AD625" s="304"/>
      <c r="AE625" s="307"/>
      <c r="AG625" s="11" t="s">
        <v>192</v>
      </c>
      <c r="AH625" s="306">
        <f t="shared" ref="AH625:AI625" si="1042">AH624</f>
        <v>6000000</v>
      </c>
      <c r="AI625" s="97">
        <f t="shared" si="1042"/>
        <v>3.73E-2</v>
      </c>
      <c r="AJ625" s="421">
        <f t="shared" si="981"/>
        <v>621.66666666666663</v>
      </c>
      <c r="AK625" s="304">
        <f t="shared" si="982"/>
        <v>1243.3333333333333</v>
      </c>
      <c r="AL625" s="307">
        <f t="shared" si="983"/>
        <v>96.666666666666629</v>
      </c>
      <c r="AN625" s="304">
        <f>'codeis $'!AB625</f>
        <v>0</v>
      </c>
      <c r="AO625" s="340">
        <f>'codeis $'!AH625</f>
        <v>0</v>
      </c>
      <c r="AP625" s="304">
        <f>'codeis $'!AE625</f>
        <v>0</v>
      </c>
      <c r="AQ625" s="304">
        <f>'codeis $'!AK625</f>
        <v>0</v>
      </c>
      <c r="AR625" s="9"/>
      <c r="AS625" s="9"/>
      <c r="AT625" s="123"/>
      <c r="AU625" s="123"/>
      <c r="AV625" s="123"/>
      <c r="AW625" s="123"/>
      <c r="AX625" s="123"/>
      <c r="AY625" s="123"/>
      <c r="AZ625" s="123"/>
      <c r="BA625" s="123"/>
      <c r="BC625" s="122"/>
      <c r="BD625" s="122"/>
      <c r="BE625" s="122"/>
      <c r="BF625" s="122"/>
      <c r="BH625" s="122"/>
      <c r="BI625" s="122"/>
      <c r="BJ625" s="122"/>
      <c r="BK625" s="122"/>
      <c r="BM625" s="122"/>
      <c r="BN625" s="122"/>
      <c r="BO625" s="122"/>
      <c r="BP625" s="122"/>
      <c r="BR625" s="122"/>
      <c r="BS625" s="122"/>
      <c r="BT625" s="122"/>
      <c r="BU625" s="122"/>
      <c r="BV625" s="439"/>
      <c r="BW625" s="120">
        <f t="shared" si="984"/>
        <v>7450000</v>
      </c>
      <c r="BX625" s="121">
        <f t="shared" si="885"/>
        <v>3.5000000000000003E-2</v>
      </c>
      <c r="BY625" s="121">
        <f t="shared" si="889"/>
        <v>3.6171140939597314E-2</v>
      </c>
      <c r="BZ625" s="120">
        <f t="shared" si="985"/>
        <v>748.54166666666663</v>
      </c>
      <c r="CA625" s="120">
        <f t="shared" si="986"/>
        <v>96.666666666666629</v>
      </c>
    </row>
    <row r="626" spans="2:79" x14ac:dyDescent="0.25">
      <c r="B626" s="123" t="str">
        <f t="shared" si="974"/>
        <v>9 2026</v>
      </c>
      <c r="C626" s="122">
        <f t="shared" si="975"/>
        <v>46275</v>
      </c>
      <c r="D626" s="122">
        <f t="shared" si="890"/>
        <v>46276</v>
      </c>
      <c r="E626" s="123">
        <f t="shared" si="976"/>
        <v>1</v>
      </c>
      <c r="F626" s="123" t="s">
        <v>7</v>
      </c>
      <c r="G626" s="124">
        <f t="shared" ref="G626:H626" si="1043">G625</f>
        <v>1450000</v>
      </c>
      <c r="H626" s="125">
        <f t="shared" si="1043"/>
        <v>3.15E-2</v>
      </c>
      <c r="I626" s="124">
        <f t="shared" si="978"/>
        <v>126.875</v>
      </c>
      <c r="J626" s="124">
        <f t="shared" si="979"/>
        <v>30817.5</v>
      </c>
      <c r="K626" s="9"/>
      <c r="L626" s="11"/>
      <c r="M626" s="306"/>
      <c r="N626" s="97"/>
      <c r="O626" s="421"/>
      <c r="P626" s="304"/>
      <c r="Q626" s="307"/>
      <c r="S626" s="11"/>
      <c r="T626" s="306"/>
      <c r="U626" s="97"/>
      <c r="V626" s="421"/>
      <c r="W626" s="304"/>
      <c r="X626" s="307"/>
      <c r="Z626" s="11"/>
      <c r="AA626" s="306"/>
      <c r="AB626" s="97"/>
      <c r="AC626" s="421"/>
      <c r="AD626" s="304"/>
      <c r="AE626" s="307"/>
      <c r="AG626" s="11" t="s">
        <v>192</v>
      </c>
      <c r="AH626" s="306">
        <f t="shared" ref="AH626:AI626" si="1044">AH625</f>
        <v>6000000</v>
      </c>
      <c r="AI626" s="97">
        <f t="shared" si="1044"/>
        <v>3.73E-2</v>
      </c>
      <c r="AJ626" s="421">
        <f t="shared" si="981"/>
        <v>621.66666666666663</v>
      </c>
      <c r="AK626" s="304">
        <f t="shared" si="982"/>
        <v>1243.3333333333333</v>
      </c>
      <c r="AL626" s="307">
        <f t="shared" si="983"/>
        <v>96.666666666666629</v>
      </c>
      <c r="AN626" s="304">
        <f>'codeis $'!AB626</f>
        <v>0</v>
      </c>
      <c r="AO626" s="340">
        <f>'codeis $'!AH626</f>
        <v>0</v>
      </c>
      <c r="AP626" s="304">
        <f>'codeis $'!AE626</f>
        <v>0</v>
      </c>
      <c r="AQ626" s="304">
        <f>'codeis $'!AK626</f>
        <v>0</v>
      </c>
      <c r="AR626" s="9"/>
      <c r="AS626" s="9"/>
      <c r="AT626" s="123"/>
      <c r="AU626" s="123"/>
      <c r="AV626" s="123"/>
      <c r="AW626" s="123"/>
      <c r="AX626" s="123"/>
      <c r="AY626" s="123"/>
      <c r="AZ626" s="123"/>
      <c r="BA626" s="123"/>
      <c r="BC626" s="122"/>
      <c r="BD626" s="122"/>
      <c r="BE626" s="122"/>
      <c r="BF626" s="122"/>
      <c r="BH626" s="122"/>
      <c r="BI626" s="122"/>
      <c r="BJ626" s="122"/>
      <c r="BK626" s="122"/>
      <c r="BM626" s="122"/>
      <c r="BN626" s="122"/>
      <c r="BO626" s="122"/>
      <c r="BP626" s="122"/>
      <c r="BR626" s="122"/>
      <c r="BS626" s="122"/>
      <c r="BT626" s="122"/>
      <c r="BU626" s="122"/>
      <c r="BV626" s="439"/>
      <c r="BW626" s="120">
        <f t="shared" si="984"/>
        <v>7450000</v>
      </c>
      <c r="BX626" s="121">
        <f t="shared" si="885"/>
        <v>3.5000000000000003E-2</v>
      </c>
      <c r="BY626" s="121">
        <f t="shared" si="889"/>
        <v>3.6171140939597314E-2</v>
      </c>
      <c r="BZ626" s="120">
        <f t="shared" si="985"/>
        <v>748.54166666666663</v>
      </c>
      <c r="CA626" s="120">
        <f t="shared" si="986"/>
        <v>96.666666666666629</v>
      </c>
    </row>
    <row r="627" spans="2:79" x14ac:dyDescent="0.25">
      <c r="B627" s="123" t="str">
        <f t="shared" si="974"/>
        <v>9 2026</v>
      </c>
      <c r="C627" s="122">
        <f t="shared" si="975"/>
        <v>46276</v>
      </c>
      <c r="D627" s="122">
        <f t="shared" si="890"/>
        <v>46277</v>
      </c>
      <c r="E627" s="123">
        <f t="shared" si="976"/>
        <v>1</v>
      </c>
      <c r="F627" s="123" t="s">
        <v>7</v>
      </c>
      <c r="G627" s="124">
        <f t="shared" ref="G627:H627" si="1045">G626</f>
        <v>1450000</v>
      </c>
      <c r="H627" s="125">
        <f t="shared" si="1045"/>
        <v>3.15E-2</v>
      </c>
      <c r="I627" s="124">
        <f t="shared" si="978"/>
        <v>126.875</v>
      </c>
      <c r="J627" s="124">
        <f t="shared" si="979"/>
        <v>30944.375</v>
      </c>
      <c r="K627" s="9"/>
      <c r="L627" s="11"/>
      <c r="M627" s="306"/>
      <c r="N627" s="97"/>
      <c r="O627" s="421"/>
      <c r="P627" s="304"/>
      <c r="Q627" s="307"/>
      <c r="S627" s="11"/>
      <c r="T627" s="306"/>
      <c r="U627" s="97"/>
      <c r="V627" s="421"/>
      <c r="W627" s="304"/>
      <c r="X627" s="307"/>
      <c r="Z627" s="11"/>
      <c r="AA627" s="306"/>
      <c r="AB627" s="97"/>
      <c r="AC627" s="421"/>
      <c r="AD627" s="304"/>
      <c r="AE627" s="307"/>
      <c r="AG627" s="11" t="s">
        <v>192</v>
      </c>
      <c r="AH627" s="306">
        <f t="shared" ref="AH627:AI627" si="1046">AH626</f>
        <v>6000000</v>
      </c>
      <c r="AI627" s="97">
        <f t="shared" si="1046"/>
        <v>3.73E-2</v>
      </c>
      <c r="AJ627" s="421">
        <f t="shared" si="981"/>
        <v>621.66666666666663</v>
      </c>
      <c r="AK627" s="304">
        <f t="shared" si="982"/>
        <v>1243.3333333333333</v>
      </c>
      <c r="AL627" s="307">
        <f t="shared" si="983"/>
        <v>96.666666666666629</v>
      </c>
      <c r="AN627" s="304">
        <f>'codeis $'!AB627</f>
        <v>0</v>
      </c>
      <c r="AO627" s="340">
        <f>'codeis $'!AH627</f>
        <v>0</v>
      </c>
      <c r="AP627" s="304">
        <f>'codeis $'!AE627</f>
        <v>0</v>
      </c>
      <c r="AQ627" s="304">
        <f>'codeis $'!AK627</f>
        <v>0</v>
      </c>
      <c r="AR627" s="9"/>
      <c r="AS627" s="9"/>
      <c r="AT627" s="123"/>
      <c r="AU627" s="123"/>
      <c r="AV627" s="123"/>
      <c r="AW627" s="123"/>
      <c r="AX627" s="123"/>
      <c r="AY627" s="123"/>
      <c r="AZ627" s="123"/>
      <c r="BA627" s="123"/>
      <c r="BC627" s="122"/>
      <c r="BD627" s="122"/>
      <c r="BE627" s="122"/>
      <c r="BF627" s="122"/>
      <c r="BH627" s="122"/>
      <c r="BI627" s="122"/>
      <c r="BJ627" s="122"/>
      <c r="BK627" s="122"/>
      <c r="BM627" s="122"/>
      <c r="BN627" s="122"/>
      <c r="BO627" s="122"/>
      <c r="BP627" s="122"/>
      <c r="BR627" s="122"/>
      <c r="BS627" s="122"/>
      <c r="BT627" s="122"/>
      <c r="BU627" s="122"/>
      <c r="BV627" s="439"/>
      <c r="BW627" s="120">
        <f t="shared" si="984"/>
        <v>7450000</v>
      </c>
      <c r="BX627" s="121">
        <f t="shared" si="885"/>
        <v>3.5000000000000003E-2</v>
      </c>
      <c r="BY627" s="121">
        <f t="shared" si="889"/>
        <v>3.6171140939597314E-2</v>
      </c>
      <c r="BZ627" s="120">
        <f t="shared" si="985"/>
        <v>748.54166666666663</v>
      </c>
      <c r="CA627" s="120">
        <f t="shared" si="986"/>
        <v>96.666666666666629</v>
      </c>
    </row>
    <row r="628" spans="2:79" x14ac:dyDescent="0.25">
      <c r="B628" s="123" t="str">
        <f t="shared" si="974"/>
        <v>9 2026</v>
      </c>
      <c r="C628" s="122">
        <f t="shared" si="975"/>
        <v>46277</v>
      </c>
      <c r="D628" s="122">
        <f t="shared" si="890"/>
        <v>46278</v>
      </c>
      <c r="E628" s="123">
        <f t="shared" si="976"/>
        <v>1</v>
      </c>
      <c r="F628" s="123" t="s">
        <v>7</v>
      </c>
      <c r="G628" s="124">
        <f t="shared" ref="G628:H628" si="1047">G627</f>
        <v>1450000</v>
      </c>
      <c r="H628" s="125">
        <f t="shared" si="1047"/>
        <v>3.15E-2</v>
      </c>
      <c r="I628" s="124">
        <f t="shared" si="978"/>
        <v>126.875</v>
      </c>
      <c r="J628" s="124">
        <f t="shared" si="979"/>
        <v>31071.25</v>
      </c>
      <c r="K628" s="9"/>
      <c r="L628" s="11"/>
      <c r="M628" s="306"/>
      <c r="N628" s="97"/>
      <c r="O628" s="421"/>
      <c r="P628" s="304"/>
      <c r="Q628" s="307"/>
      <c r="S628" s="11"/>
      <c r="T628" s="306"/>
      <c r="U628" s="97"/>
      <c r="V628" s="421"/>
      <c r="W628" s="304"/>
      <c r="X628" s="307"/>
      <c r="Z628" s="11"/>
      <c r="AA628" s="306"/>
      <c r="AB628" s="97"/>
      <c r="AC628" s="421"/>
      <c r="AD628" s="304"/>
      <c r="AE628" s="307"/>
      <c r="AG628" s="11" t="s">
        <v>192</v>
      </c>
      <c r="AH628" s="306">
        <f t="shared" ref="AH628:AI628" si="1048">AH627</f>
        <v>6000000</v>
      </c>
      <c r="AI628" s="97">
        <f t="shared" si="1048"/>
        <v>3.73E-2</v>
      </c>
      <c r="AJ628" s="421">
        <f t="shared" si="981"/>
        <v>621.66666666666663</v>
      </c>
      <c r="AK628" s="304">
        <f t="shared" si="982"/>
        <v>1243.3333333333333</v>
      </c>
      <c r="AL628" s="307">
        <f t="shared" si="983"/>
        <v>96.666666666666629</v>
      </c>
      <c r="AN628" s="304">
        <f>'codeis $'!AB628</f>
        <v>0</v>
      </c>
      <c r="AO628" s="340">
        <f>'codeis $'!AH628</f>
        <v>0</v>
      </c>
      <c r="AP628" s="304">
        <f>'codeis $'!AE628</f>
        <v>0</v>
      </c>
      <c r="AQ628" s="304">
        <f>'codeis $'!AK628</f>
        <v>0</v>
      </c>
      <c r="AR628" s="9"/>
      <c r="AS628" s="9"/>
      <c r="AT628" s="123"/>
      <c r="AU628" s="123"/>
      <c r="AV628" s="123"/>
      <c r="AW628" s="123"/>
      <c r="AX628" s="123"/>
      <c r="AY628" s="123"/>
      <c r="AZ628" s="123"/>
      <c r="BA628" s="123"/>
      <c r="BC628" s="122"/>
      <c r="BD628" s="122"/>
      <c r="BE628" s="122"/>
      <c r="BF628" s="122"/>
      <c r="BH628" s="122"/>
      <c r="BI628" s="122"/>
      <c r="BJ628" s="122"/>
      <c r="BK628" s="122"/>
      <c r="BM628" s="122"/>
      <c r="BN628" s="122"/>
      <c r="BO628" s="122"/>
      <c r="BP628" s="122"/>
      <c r="BR628" s="122"/>
      <c r="BS628" s="122"/>
      <c r="BT628" s="122"/>
      <c r="BU628" s="122"/>
      <c r="BV628" s="439"/>
      <c r="BW628" s="120">
        <f t="shared" si="984"/>
        <v>7450000</v>
      </c>
      <c r="BX628" s="121">
        <f t="shared" si="885"/>
        <v>3.5000000000000003E-2</v>
      </c>
      <c r="BY628" s="121">
        <f t="shared" si="889"/>
        <v>3.6171140939597314E-2</v>
      </c>
      <c r="BZ628" s="120">
        <f t="shared" si="985"/>
        <v>748.54166666666663</v>
      </c>
      <c r="CA628" s="120">
        <f t="shared" si="986"/>
        <v>96.666666666666629</v>
      </c>
    </row>
    <row r="629" spans="2:79" x14ac:dyDescent="0.25">
      <c r="B629" s="123" t="str">
        <f t="shared" si="974"/>
        <v>9 2026</v>
      </c>
      <c r="C629" s="122">
        <f t="shared" si="975"/>
        <v>46278</v>
      </c>
      <c r="D629" s="122">
        <f t="shared" si="890"/>
        <v>46279</v>
      </c>
      <c r="E629" s="123">
        <f t="shared" si="976"/>
        <v>1</v>
      </c>
      <c r="F629" s="123" t="s">
        <v>7</v>
      </c>
      <c r="G629" s="124">
        <f t="shared" ref="G629:H629" si="1049">G628</f>
        <v>1450000</v>
      </c>
      <c r="H629" s="125">
        <f t="shared" si="1049"/>
        <v>3.15E-2</v>
      </c>
      <c r="I629" s="124">
        <f t="shared" si="978"/>
        <v>126.875</v>
      </c>
      <c r="J629" s="124">
        <f t="shared" si="979"/>
        <v>31198.125</v>
      </c>
      <c r="K629" s="9"/>
      <c r="L629" s="11"/>
      <c r="M629" s="306"/>
      <c r="N629" s="97"/>
      <c r="O629" s="421"/>
      <c r="P629" s="304"/>
      <c r="Q629" s="307"/>
      <c r="S629" s="11"/>
      <c r="T629" s="306"/>
      <c r="U629" s="97"/>
      <c r="V629" s="421"/>
      <c r="W629" s="304"/>
      <c r="X629" s="307"/>
      <c r="Z629" s="11"/>
      <c r="AA629" s="306"/>
      <c r="AB629" s="97"/>
      <c r="AC629" s="421"/>
      <c r="AD629" s="304"/>
      <c r="AE629" s="307"/>
      <c r="AG629" s="11" t="s">
        <v>192</v>
      </c>
      <c r="AH629" s="306">
        <f t="shared" ref="AH629:AI629" si="1050">AH628</f>
        <v>6000000</v>
      </c>
      <c r="AI629" s="97">
        <f t="shared" si="1050"/>
        <v>3.73E-2</v>
      </c>
      <c r="AJ629" s="421">
        <f t="shared" si="981"/>
        <v>621.66666666666663</v>
      </c>
      <c r="AK629" s="304">
        <f t="shared" si="982"/>
        <v>1243.3333333333333</v>
      </c>
      <c r="AL629" s="307">
        <f t="shared" si="983"/>
        <v>96.666666666666629</v>
      </c>
      <c r="AN629" s="304">
        <f>'codeis $'!AB629</f>
        <v>0</v>
      </c>
      <c r="AO629" s="340">
        <f>'codeis $'!AH629</f>
        <v>0</v>
      </c>
      <c r="AP629" s="304">
        <f>'codeis $'!AE629</f>
        <v>0</v>
      </c>
      <c r="AQ629" s="304">
        <f>'codeis $'!AK629</f>
        <v>0</v>
      </c>
      <c r="AR629" s="9"/>
      <c r="AS629" s="9"/>
      <c r="AT629" s="123"/>
      <c r="AU629" s="123"/>
      <c r="AV629" s="123"/>
      <c r="AW629" s="123"/>
      <c r="AX629" s="123"/>
      <c r="AY629" s="123"/>
      <c r="AZ629" s="123"/>
      <c r="BA629" s="123"/>
      <c r="BC629" s="122"/>
      <c r="BD629" s="122"/>
      <c r="BE629" s="122"/>
      <c r="BF629" s="122"/>
      <c r="BH629" s="122"/>
      <c r="BI629" s="122"/>
      <c r="BJ629" s="122"/>
      <c r="BK629" s="122"/>
      <c r="BM629" s="122"/>
      <c r="BN629" s="122"/>
      <c r="BO629" s="122"/>
      <c r="BP629" s="122"/>
      <c r="BR629" s="122"/>
      <c r="BS629" s="122"/>
      <c r="BT629" s="122"/>
      <c r="BU629" s="122"/>
      <c r="BV629" s="439"/>
      <c r="BW629" s="120">
        <f t="shared" si="984"/>
        <v>7450000</v>
      </c>
      <c r="BX629" s="121">
        <f t="shared" ref="BX629:BX692" si="1051">BX628</f>
        <v>3.5000000000000003E-2</v>
      </c>
      <c r="BY629" s="121">
        <f t="shared" si="889"/>
        <v>3.6171140939597314E-2</v>
      </c>
      <c r="BZ629" s="120">
        <f t="shared" si="985"/>
        <v>748.54166666666663</v>
      </c>
      <c r="CA629" s="120">
        <f t="shared" si="986"/>
        <v>96.666666666666629</v>
      </c>
    </row>
    <row r="630" spans="2:79" x14ac:dyDescent="0.25">
      <c r="B630" s="123" t="str">
        <f t="shared" si="974"/>
        <v>9 2026</v>
      </c>
      <c r="C630" s="122">
        <f t="shared" si="975"/>
        <v>46279</v>
      </c>
      <c r="D630" s="122">
        <f t="shared" si="890"/>
        <v>46280</v>
      </c>
      <c r="E630" s="123">
        <f t="shared" si="976"/>
        <v>1</v>
      </c>
      <c r="F630" s="123" t="s">
        <v>7</v>
      </c>
      <c r="G630" s="124">
        <f t="shared" ref="G630:H630" si="1052">G629</f>
        <v>1450000</v>
      </c>
      <c r="H630" s="125">
        <f t="shared" si="1052"/>
        <v>3.15E-2</v>
      </c>
      <c r="I630" s="124">
        <f t="shared" si="978"/>
        <v>126.875</v>
      </c>
      <c r="J630" s="124">
        <f t="shared" si="979"/>
        <v>31325</v>
      </c>
      <c r="K630" s="9"/>
      <c r="L630" s="11"/>
      <c r="M630" s="306"/>
      <c r="N630" s="97"/>
      <c r="O630" s="421"/>
      <c r="P630" s="304"/>
      <c r="Q630" s="307"/>
      <c r="S630" s="11"/>
      <c r="T630" s="306"/>
      <c r="U630" s="97"/>
      <c r="V630" s="421"/>
      <c r="W630" s="304"/>
      <c r="X630" s="307"/>
      <c r="Z630" s="11"/>
      <c r="AA630" s="306"/>
      <c r="AB630" s="97"/>
      <c r="AC630" s="421"/>
      <c r="AD630" s="304"/>
      <c r="AE630" s="307"/>
      <c r="AG630" s="11" t="s">
        <v>192</v>
      </c>
      <c r="AH630" s="306">
        <f t="shared" ref="AH630:AI630" si="1053">AH629</f>
        <v>6000000</v>
      </c>
      <c r="AI630" s="97">
        <f t="shared" si="1053"/>
        <v>3.73E-2</v>
      </c>
      <c r="AJ630" s="421">
        <f t="shared" si="981"/>
        <v>621.66666666666663</v>
      </c>
      <c r="AK630" s="304">
        <f t="shared" si="982"/>
        <v>1243.3333333333333</v>
      </c>
      <c r="AL630" s="307">
        <f t="shared" si="983"/>
        <v>96.666666666666629</v>
      </c>
      <c r="AN630" s="304">
        <f>'codeis $'!AB630</f>
        <v>0</v>
      </c>
      <c r="AO630" s="340">
        <f>'codeis $'!AH630</f>
        <v>0</v>
      </c>
      <c r="AP630" s="304">
        <f>'codeis $'!AE630</f>
        <v>0</v>
      </c>
      <c r="AQ630" s="304">
        <f>'codeis $'!AK630</f>
        <v>0</v>
      </c>
      <c r="AR630" s="9"/>
      <c r="AS630" s="9"/>
      <c r="AT630" s="123"/>
      <c r="AU630" s="123"/>
      <c r="AV630" s="123"/>
      <c r="AW630" s="123"/>
      <c r="AX630" s="123"/>
      <c r="AY630" s="123"/>
      <c r="AZ630" s="123"/>
      <c r="BA630" s="123"/>
      <c r="BC630" s="122"/>
      <c r="BD630" s="122"/>
      <c r="BE630" s="122"/>
      <c r="BF630" s="122"/>
      <c r="BH630" s="122"/>
      <c r="BI630" s="122"/>
      <c r="BJ630" s="122"/>
      <c r="BK630" s="122"/>
      <c r="BM630" s="122"/>
      <c r="BN630" s="122"/>
      <c r="BO630" s="122"/>
      <c r="BP630" s="122"/>
      <c r="BR630" s="122"/>
      <c r="BS630" s="122"/>
      <c r="BT630" s="122"/>
      <c r="BU630" s="122"/>
      <c r="BV630" s="439"/>
      <c r="BW630" s="120">
        <f t="shared" si="984"/>
        <v>7450000</v>
      </c>
      <c r="BX630" s="121">
        <f t="shared" si="1051"/>
        <v>3.5000000000000003E-2</v>
      </c>
      <c r="BY630" s="121">
        <f t="shared" ref="BY630:BY693" si="1054">(SUM((AW630*AV630),(H630*G630),(M630*N630),(T630*U630),(AA630*AB630),(AH630*AI630),(AN630*AO630),(BC630*BD630),(BH630*BI630),(BM630*BN630),(BR630*BS630))/BW630)</f>
        <v>3.6171140939597314E-2</v>
      </c>
      <c r="BZ630" s="120">
        <f t="shared" si="985"/>
        <v>748.54166666666663</v>
      </c>
      <c r="CA630" s="120">
        <f t="shared" si="986"/>
        <v>96.666666666666629</v>
      </c>
    </row>
    <row r="631" spans="2:79" x14ac:dyDescent="0.25">
      <c r="B631" s="123" t="str">
        <f t="shared" si="974"/>
        <v>9 2026</v>
      </c>
      <c r="C631" s="122">
        <f t="shared" si="975"/>
        <v>46280</v>
      </c>
      <c r="D631" s="122">
        <f t="shared" ref="D631:D694" si="1055">D630+1</f>
        <v>46281</v>
      </c>
      <c r="E631" s="123">
        <f t="shared" si="976"/>
        <v>1</v>
      </c>
      <c r="F631" s="123" t="s">
        <v>7</v>
      </c>
      <c r="G631" s="124">
        <f t="shared" ref="G631:H631" si="1056">G630</f>
        <v>1450000</v>
      </c>
      <c r="H631" s="125">
        <f t="shared" si="1056"/>
        <v>3.15E-2</v>
      </c>
      <c r="I631" s="124">
        <f t="shared" si="978"/>
        <v>126.875</v>
      </c>
      <c r="J631" s="124">
        <f t="shared" si="979"/>
        <v>31451.875</v>
      </c>
      <c r="K631" s="9"/>
      <c r="L631" s="11"/>
      <c r="M631" s="306"/>
      <c r="N631" s="97"/>
      <c r="O631" s="421"/>
      <c r="P631" s="304"/>
      <c r="Q631" s="307"/>
      <c r="S631" s="11"/>
      <c r="T631" s="306"/>
      <c r="U631" s="97"/>
      <c r="V631" s="421"/>
      <c r="W631" s="304"/>
      <c r="X631" s="307"/>
      <c r="Z631" s="11"/>
      <c r="AA631" s="306"/>
      <c r="AB631" s="97"/>
      <c r="AC631" s="421"/>
      <c r="AD631" s="304"/>
      <c r="AE631" s="307"/>
      <c r="AG631" s="11" t="s">
        <v>192</v>
      </c>
      <c r="AH631" s="306">
        <f t="shared" ref="AH631:AI631" si="1057">AH630</f>
        <v>6000000</v>
      </c>
      <c r="AI631" s="97">
        <f t="shared" si="1057"/>
        <v>3.73E-2</v>
      </c>
      <c r="AJ631" s="421">
        <f t="shared" si="981"/>
        <v>621.66666666666663</v>
      </c>
      <c r="AK631" s="304">
        <f t="shared" si="982"/>
        <v>1243.3333333333333</v>
      </c>
      <c r="AL631" s="307">
        <f t="shared" si="983"/>
        <v>96.666666666666629</v>
      </c>
      <c r="AN631" s="304">
        <f>'codeis $'!AB631</f>
        <v>0</v>
      </c>
      <c r="AO631" s="340">
        <f>'codeis $'!AH631</f>
        <v>0</v>
      </c>
      <c r="AP631" s="304">
        <f>'codeis $'!AE631</f>
        <v>0</v>
      </c>
      <c r="AQ631" s="304">
        <f>'codeis $'!AK631</f>
        <v>0</v>
      </c>
      <c r="AR631" s="9"/>
      <c r="AS631" s="9"/>
      <c r="AT631" s="123"/>
      <c r="AU631" s="123"/>
      <c r="AV631" s="123"/>
      <c r="AW631" s="123"/>
      <c r="AX631" s="123"/>
      <c r="AY631" s="123"/>
      <c r="AZ631" s="123"/>
      <c r="BA631" s="123"/>
      <c r="BC631" s="122"/>
      <c r="BD631" s="122"/>
      <c r="BE631" s="122"/>
      <c r="BF631" s="122"/>
      <c r="BH631" s="122"/>
      <c r="BI631" s="122"/>
      <c r="BJ631" s="122"/>
      <c r="BK631" s="122"/>
      <c r="BM631" s="122"/>
      <c r="BN631" s="122"/>
      <c r="BO631" s="122"/>
      <c r="BP631" s="122"/>
      <c r="BR631" s="122"/>
      <c r="BS631" s="122"/>
      <c r="BT631" s="122"/>
      <c r="BU631" s="122"/>
      <c r="BV631" s="439"/>
      <c r="BW631" s="120">
        <f t="shared" si="984"/>
        <v>7450000</v>
      </c>
      <c r="BX631" s="121">
        <f t="shared" si="1051"/>
        <v>3.5000000000000003E-2</v>
      </c>
      <c r="BY631" s="121">
        <f t="shared" si="1054"/>
        <v>3.6171140939597314E-2</v>
      </c>
      <c r="BZ631" s="120">
        <f t="shared" si="985"/>
        <v>748.54166666666663</v>
      </c>
      <c r="CA631" s="120">
        <f t="shared" si="986"/>
        <v>96.666666666666629</v>
      </c>
    </row>
    <row r="632" spans="2:79" x14ac:dyDescent="0.25">
      <c r="B632" s="123" t="str">
        <f t="shared" si="974"/>
        <v>9 2026</v>
      </c>
      <c r="C632" s="122">
        <f t="shared" si="975"/>
        <v>46281</v>
      </c>
      <c r="D632" s="122">
        <f t="shared" si="1055"/>
        <v>46282</v>
      </c>
      <c r="E632" s="123">
        <f t="shared" si="976"/>
        <v>1</v>
      </c>
      <c r="F632" s="123" t="s">
        <v>7</v>
      </c>
      <c r="G632" s="124">
        <f t="shared" ref="G632:H632" si="1058">G631</f>
        <v>1450000</v>
      </c>
      <c r="H632" s="125">
        <f t="shared" si="1058"/>
        <v>3.15E-2</v>
      </c>
      <c r="I632" s="124">
        <f t="shared" si="978"/>
        <v>126.875</v>
      </c>
      <c r="J632" s="124">
        <f t="shared" si="979"/>
        <v>31578.75</v>
      </c>
      <c r="K632" s="9"/>
      <c r="L632" s="11"/>
      <c r="M632" s="306"/>
      <c r="N632" s="97"/>
      <c r="O632" s="421"/>
      <c r="P632" s="304"/>
      <c r="Q632" s="307"/>
      <c r="S632" s="11"/>
      <c r="T632" s="306"/>
      <c r="U632" s="97"/>
      <c r="V632" s="421"/>
      <c r="W632" s="304"/>
      <c r="X632" s="307"/>
      <c r="Z632" s="11"/>
      <c r="AA632" s="306"/>
      <c r="AB632" s="97"/>
      <c r="AC632" s="421"/>
      <c r="AD632" s="304"/>
      <c r="AE632" s="307"/>
      <c r="AG632" s="11" t="s">
        <v>192</v>
      </c>
      <c r="AH632" s="306">
        <f t="shared" ref="AH632:AI632" si="1059">AH631</f>
        <v>6000000</v>
      </c>
      <c r="AI632" s="97">
        <f t="shared" si="1059"/>
        <v>3.73E-2</v>
      </c>
      <c r="AJ632" s="421">
        <f t="shared" si="981"/>
        <v>621.66666666666663</v>
      </c>
      <c r="AK632" s="304">
        <f t="shared" si="982"/>
        <v>1243.3333333333333</v>
      </c>
      <c r="AL632" s="307">
        <f t="shared" si="983"/>
        <v>96.666666666666629</v>
      </c>
      <c r="AN632" s="304">
        <f>'codeis $'!AB632</f>
        <v>0</v>
      </c>
      <c r="AO632" s="340">
        <f>'codeis $'!AH632</f>
        <v>0</v>
      </c>
      <c r="AP632" s="304">
        <f>'codeis $'!AE632</f>
        <v>0</v>
      </c>
      <c r="AQ632" s="304">
        <f>'codeis $'!AK632</f>
        <v>0</v>
      </c>
      <c r="AR632" s="9"/>
      <c r="AS632" s="9"/>
      <c r="AT632" s="123"/>
      <c r="AU632" s="123"/>
      <c r="AV632" s="123"/>
      <c r="AW632" s="123"/>
      <c r="AX632" s="123"/>
      <c r="AY632" s="123"/>
      <c r="AZ632" s="123"/>
      <c r="BA632" s="123"/>
      <c r="BC632" s="122"/>
      <c r="BD632" s="122"/>
      <c r="BE632" s="122"/>
      <c r="BF632" s="122"/>
      <c r="BH632" s="122"/>
      <c r="BI632" s="122"/>
      <c r="BJ632" s="122"/>
      <c r="BK632" s="122"/>
      <c r="BM632" s="122"/>
      <c r="BN632" s="122"/>
      <c r="BO632" s="122"/>
      <c r="BP632" s="122"/>
      <c r="BR632" s="122"/>
      <c r="BS632" s="122"/>
      <c r="BT632" s="122"/>
      <c r="BU632" s="122"/>
      <c r="BV632" s="439"/>
      <c r="BW632" s="120">
        <f t="shared" si="984"/>
        <v>7450000</v>
      </c>
      <c r="BX632" s="121">
        <f t="shared" si="1051"/>
        <v>3.5000000000000003E-2</v>
      </c>
      <c r="BY632" s="121">
        <f t="shared" si="1054"/>
        <v>3.6171140939597314E-2</v>
      </c>
      <c r="BZ632" s="120">
        <f t="shared" si="985"/>
        <v>748.54166666666663</v>
      </c>
      <c r="CA632" s="120">
        <f t="shared" si="986"/>
        <v>96.666666666666629</v>
      </c>
    </row>
    <row r="633" spans="2:79" x14ac:dyDescent="0.25">
      <c r="B633" s="123" t="str">
        <f t="shared" si="974"/>
        <v>9 2026</v>
      </c>
      <c r="C633" s="122">
        <f t="shared" si="975"/>
        <v>46282</v>
      </c>
      <c r="D633" s="122">
        <f t="shared" si="1055"/>
        <v>46283</v>
      </c>
      <c r="E633" s="123">
        <f t="shared" si="976"/>
        <v>1</v>
      </c>
      <c r="F633" s="123" t="s">
        <v>7</v>
      </c>
      <c r="G633" s="124">
        <f t="shared" ref="G633:H633" si="1060">G632</f>
        <v>1450000</v>
      </c>
      <c r="H633" s="125">
        <f t="shared" si="1060"/>
        <v>3.15E-2</v>
      </c>
      <c r="I633" s="124">
        <f t="shared" si="978"/>
        <v>126.875</v>
      </c>
      <c r="J633" s="124">
        <f t="shared" si="979"/>
        <v>31705.625</v>
      </c>
      <c r="K633" s="9"/>
      <c r="L633" s="11"/>
      <c r="M633" s="306"/>
      <c r="N633" s="97"/>
      <c r="O633" s="421"/>
      <c r="P633" s="304"/>
      <c r="Q633" s="307"/>
      <c r="S633" s="11"/>
      <c r="T633" s="306"/>
      <c r="U633" s="97"/>
      <c r="V633" s="421"/>
      <c r="W633" s="304"/>
      <c r="X633" s="307"/>
      <c r="Z633" s="11"/>
      <c r="AA633" s="306"/>
      <c r="AB633" s="97"/>
      <c r="AC633" s="421"/>
      <c r="AD633" s="304"/>
      <c r="AE633" s="307"/>
      <c r="AG633" s="11" t="s">
        <v>192</v>
      </c>
      <c r="AH633" s="306">
        <f t="shared" ref="AH633:AI633" si="1061">AH632</f>
        <v>6000000</v>
      </c>
      <c r="AI633" s="97">
        <f t="shared" si="1061"/>
        <v>3.73E-2</v>
      </c>
      <c r="AJ633" s="421">
        <f t="shared" si="981"/>
        <v>621.66666666666663</v>
      </c>
      <c r="AK633" s="304">
        <f t="shared" si="982"/>
        <v>1243.3333333333333</v>
      </c>
      <c r="AL633" s="307">
        <f t="shared" si="983"/>
        <v>96.666666666666629</v>
      </c>
      <c r="AN633" s="304">
        <f>'codeis $'!AB633</f>
        <v>0</v>
      </c>
      <c r="AO633" s="340">
        <f>'codeis $'!AH633</f>
        <v>0</v>
      </c>
      <c r="AP633" s="304">
        <f>'codeis $'!AE633</f>
        <v>0</v>
      </c>
      <c r="AQ633" s="304">
        <f>'codeis $'!AK633</f>
        <v>0</v>
      </c>
      <c r="AR633" s="9"/>
      <c r="AS633" s="9"/>
      <c r="AT633" s="123"/>
      <c r="AU633" s="123"/>
      <c r="AV633" s="123"/>
      <c r="AW633" s="123"/>
      <c r="AX633" s="123"/>
      <c r="AY633" s="123"/>
      <c r="AZ633" s="123"/>
      <c r="BA633" s="123"/>
      <c r="BC633" s="122"/>
      <c r="BD633" s="122"/>
      <c r="BE633" s="122"/>
      <c r="BF633" s="122"/>
      <c r="BH633" s="122"/>
      <c r="BI633" s="122"/>
      <c r="BJ633" s="122"/>
      <c r="BK633" s="122"/>
      <c r="BM633" s="122"/>
      <c r="BN633" s="122"/>
      <c r="BO633" s="122"/>
      <c r="BP633" s="122"/>
      <c r="BR633" s="122"/>
      <c r="BS633" s="122"/>
      <c r="BT633" s="122"/>
      <c r="BU633" s="122"/>
      <c r="BV633" s="439"/>
      <c r="BW633" s="120">
        <f t="shared" si="984"/>
        <v>7450000</v>
      </c>
      <c r="BX633" s="121">
        <f t="shared" si="1051"/>
        <v>3.5000000000000003E-2</v>
      </c>
      <c r="BY633" s="121">
        <f t="shared" si="1054"/>
        <v>3.6171140939597314E-2</v>
      </c>
      <c r="BZ633" s="120">
        <f t="shared" si="985"/>
        <v>748.54166666666663</v>
      </c>
      <c r="CA633" s="120">
        <f t="shared" si="986"/>
        <v>96.666666666666629</v>
      </c>
    </row>
    <row r="634" spans="2:79" x14ac:dyDescent="0.25">
      <c r="B634" s="123" t="str">
        <f t="shared" si="974"/>
        <v>9 2026</v>
      </c>
      <c r="C634" s="122">
        <f t="shared" si="975"/>
        <v>46283</v>
      </c>
      <c r="D634" s="122">
        <f t="shared" si="1055"/>
        <v>46284</v>
      </c>
      <c r="E634" s="123">
        <f t="shared" si="976"/>
        <v>1</v>
      </c>
      <c r="F634" s="123" t="s">
        <v>7</v>
      </c>
      <c r="G634" s="124">
        <f t="shared" ref="G634:H634" si="1062">G633</f>
        <v>1450000</v>
      </c>
      <c r="H634" s="125">
        <f t="shared" si="1062"/>
        <v>3.15E-2</v>
      </c>
      <c r="I634" s="124">
        <f t="shared" si="978"/>
        <v>126.875</v>
      </c>
      <c r="J634" s="124">
        <f t="shared" si="979"/>
        <v>31832.5</v>
      </c>
      <c r="K634" s="9"/>
      <c r="L634" s="11"/>
      <c r="M634" s="306"/>
      <c r="N634" s="97"/>
      <c r="O634" s="421"/>
      <c r="P634" s="304"/>
      <c r="Q634" s="307"/>
      <c r="S634" s="11"/>
      <c r="T634" s="306"/>
      <c r="U634" s="97"/>
      <c r="V634" s="421"/>
      <c r="W634" s="304"/>
      <c r="X634" s="307"/>
      <c r="Z634" s="11"/>
      <c r="AA634" s="306"/>
      <c r="AB634" s="97"/>
      <c r="AC634" s="421"/>
      <c r="AD634" s="304"/>
      <c r="AE634" s="307"/>
      <c r="AG634" s="11" t="s">
        <v>192</v>
      </c>
      <c r="AH634" s="306">
        <f t="shared" ref="AH634:AI634" si="1063">AH633</f>
        <v>6000000</v>
      </c>
      <c r="AI634" s="97">
        <f t="shared" si="1063"/>
        <v>3.73E-2</v>
      </c>
      <c r="AJ634" s="421">
        <f t="shared" si="981"/>
        <v>621.66666666666663</v>
      </c>
      <c r="AK634" s="304">
        <f t="shared" si="982"/>
        <v>1243.3333333333333</v>
      </c>
      <c r="AL634" s="307">
        <f t="shared" si="983"/>
        <v>96.666666666666629</v>
      </c>
      <c r="AN634" s="304">
        <f>'codeis $'!AB634</f>
        <v>0</v>
      </c>
      <c r="AO634" s="340">
        <f>'codeis $'!AH634</f>
        <v>0</v>
      </c>
      <c r="AP634" s="304">
        <f>'codeis $'!AE634</f>
        <v>0</v>
      </c>
      <c r="AQ634" s="304">
        <f>'codeis $'!AK634</f>
        <v>0</v>
      </c>
      <c r="AR634" s="9"/>
      <c r="AS634" s="9"/>
      <c r="AT634" s="123"/>
      <c r="AU634" s="123"/>
      <c r="AV634" s="123"/>
      <c r="AW634" s="123"/>
      <c r="AX634" s="123"/>
      <c r="AY634" s="123"/>
      <c r="AZ634" s="123"/>
      <c r="BA634" s="123"/>
      <c r="BC634" s="122"/>
      <c r="BD634" s="122"/>
      <c r="BE634" s="122"/>
      <c r="BF634" s="122"/>
      <c r="BH634" s="122"/>
      <c r="BI634" s="122"/>
      <c r="BJ634" s="122"/>
      <c r="BK634" s="122"/>
      <c r="BM634" s="122"/>
      <c r="BN634" s="122"/>
      <c r="BO634" s="122"/>
      <c r="BP634" s="122"/>
      <c r="BR634" s="122"/>
      <c r="BS634" s="122"/>
      <c r="BT634" s="122"/>
      <c r="BU634" s="122"/>
      <c r="BV634" s="439"/>
      <c r="BW634" s="120">
        <f t="shared" si="984"/>
        <v>7450000</v>
      </c>
      <c r="BX634" s="121">
        <f t="shared" si="1051"/>
        <v>3.5000000000000003E-2</v>
      </c>
      <c r="BY634" s="121">
        <f t="shared" si="1054"/>
        <v>3.6171140939597314E-2</v>
      </c>
      <c r="BZ634" s="120">
        <f t="shared" si="985"/>
        <v>748.54166666666663</v>
      </c>
      <c r="CA634" s="120">
        <f t="shared" si="986"/>
        <v>96.666666666666629</v>
      </c>
    </row>
    <row r="635" spans="2:79" x14ac:dyDescent="0.25">
      <c r="B635" s="123" t="str">
        <f t="shared" si="974"/>
        <v>9 2026</v>
      </c>
      <c r="C635" s="122">
        <f t="shared" si="975"/>
        <v>46284</v>
      </c>
      <c r="D635" s="122">
        <f t="shared" si="1055"/>
        <v>46285</v>
      </c>
      <c r="E635" s="123">
        <f t="shared" si="976"/>
        <v>1</v>
      </c>
      <c r="F635" s="123" t="s">
        <v>7</v>
      </c>
      <c r="G635" s="124">
        <f t="shared" ref="G635:H635" si="1064">G634</f>
        <v>1450000</v>
      </c>
      <c r="H635" s="125">
        <f t="shared" si="1064"/>
        <v>3.15E-2</v>
      </c>
      <c r="I635" s="124">
        <f t="shared" si="978"/>
        <v>126.875</v>
      </c>
      <c r="J635" s="124">
        <f t="shared" si="979"/>
        <v>31959.375</v>
      </c>
      <c r="K635" s="9"/>
      <c r="L635" s="11"/>
      <c r="M635" s="306"/>
      <c r="N635" s="97"/>
      <c r="O635" s="421"/>
      <c r="P635" s="304"/>
      <c r="Q635" s="307"/>
      <c r="S635" s="11"/>
      <c r="T635" s="306"/>
      <c r="U635" s="97"/>
      <c r="V635" s="421"/>
      <c r="W635" s="304"/>
      <c r="X635" s="307"/>
      <c r="Z635" s="11"/>
      <c r="AA635" s="306"/>
      <c r="AB635" s="97"/>
      <c r="AC635" s="421"/>
      <c r="AD635" s="304"/>
      <c r="AE635" s="307"/>
      <c r="AG635" s="11" t="s">
        <v>192</v>
      </c>
      <c r="AH635" s="306">
        <f t="shared" ref="AH635:AI635" si="1065">AH634</f>
        <v>6000000</v>
      </c>
      <c r="AI635" s="97">
        <f t="shared" si="1065"/>
        <v>3.73E-2</v>
      </c>
      <c r="AJ635" s="421">
        <f t="shared" si="981"/>
        <v>621.66666666666663</v>
      </c>
      <c r="AK635" s="304">
        <f t="shared" si="982"/>
        <v>1243.3333333333333</v>
      </c>
      <c r="AL635" s="307">
        <f t="shared" si="983"/>
        <v>96.666666666666629</v>
      </c>
      <c r="AN635" s="304">
        <f>'codeis $'!AB635</f>
        <v>0</v>
      </c>
      <c r="AO635" s="340">
        <f>'codeis $'!AH635</f>
        <v>0</v>
      </c>
      <c r="AP635" s="304">
        <f>'codeis $'!AE635</f>
        <v>0</v>
      </c>
      <c r="AQ635" s="304">
        <f>'codeis $'!AK635</f>
        <v>0</v>
      </c>
      <c r="AR635" s="9"/>
      <c r="AS635" s="9"/>
      <c r="AT635" s="123"/>
      <c r="AU635" s="123"/>
      <c r="AV635" s="123"/>
      <c r="AW635" s="123"/>
      <c r="AX635" s="123"/>
      <c r="AY635" s="123"/>
      <c r="AZ635" s="123"/>
      <c r="BA635" s="123"/>
      <c r="BC635" s="122"/>
      <c r="BD635" s="122"/>
      <c r="BE635" s="122"/>
      <c r="BF635" s="122"/>
      <c r="BH635" s="122"/>
      <c r="BI635" s="122"/>
      <c r="BJ635" s="122"/>
      <c r="BK635" s="122"/>
      <c r="BM635" s="122"/>
      <c r="BN635" s="122"/>
      <c r="BO635" s="122"/>
      <c r="BP635" s="122"/>
      <c r="BR635" s="122"/>
      <c r="BS635" s="122"/>
      <c r="BT635" s="122"/>
      <c r="BU635" s="122"/>
      <c r="BV635" s="439"/>
      <c r="BW635" s="120">
        <f t="shared" si="984"/>
        <v>7450000</v>
      </c>
      <c r="BX635" s="121">
        <f t="shared" si="1051"/>
        <v>3.5000000000000003E-2</v>
      </c>
      <c r="BY635" s="121">
        <f t="shared" si="1054"/>
        <v>3.6171140939597314E-2</v>
      </c>
      <c r="BZ635" s="120">
        <f t="shared" si="985"/>
        <v>748.54166666666663</v>
      </c>
      <c r="CA635" s="120">
        <f t="shared" si="986"/>
        <v>96.666666666666629</v>
      </c>
    </row>
    <row r="636" spans="2:79" x14ac:dyDescent="0.25">
      <c r="B636" s="123" t="str">
        <f t="shared" si="974"/>
        <v>9 2026</v>
      </c>
      <c r="C636" s="122">
        <f t="shared" si="975"/>
        <v>46285</v>
      </c>
      <c r="D636" s="122">
        <f t="shared" si="1055"/>
        <v>46286</v>
      </c>
      <c r="E636" s="123">
        <f t="shared" si="976"/>
        <v>1</v>
      </c>
      <c r="F636" s="123" t="s">
        <v>7</v>
      </c>
      <c r="G636" s="124">
        <f t="shared" ref="G636:H636" si="1066">G635</f>
        <v>1450000</v>
      </c>
      <c r="H636" s="125">
        <f t="shared" si="1066"/>
        <v>3.15E-2</v>
      </c>
      <c r="I636" s="124">
        <f t="shared" si="978"/>
        <v>126.875</v>
      </c>
      <c r="J636" s="124">
        <f t="shared" si="979"/>
        <v>32086.25</v>
      </c>
      <c r="K636" s="9"/>
      <c r="L636" s="11"/>
      <c r="M636" s="306"/>
      <c r="N636" s="97"/>
      <c r="O636" s="421"/>
      <c r="P636" s="304"/>
      <c r="Q636" s="307"/>
      <c r="S636" s="11"/>
      <c r="T636" s="306"/>
      <c r="U636" s="97"/>
      <c r="V636" s="421"/>
      <c r="W636" s="304"/>
      <c r="X636" s="307"/>
      <c r="Z636" s="11"/>
      <c r="AA636" s="306"/>
      <c r="AB636" s="97"/>
      <c r="AC636" s="421"/>
      <c r="AD636" s="304"/>
      <c r="AE636" s="307"/>
      <c r="AG636" s="11" t="s">
        <v>192</v>
      </c>
      <c r="AH636" s="306">
        <f t="shared" ref="AH636:AI636" si="1067">AH635</f>
        <v>6000000</v>
      </c>
      <c r="AI636" s="97">
        <f t="shared" si="1067"/>
        <v>3.73E-2</v>
      </c>
      <c r="AJ636" s="421">
        <f t="shared" si="981"/>
        <v>621.66666666666663</v>
      </c>
      <c r="AK636" s="304">
        <f t="shared" si="982"/>
        <v>1243.3333333333333</v>
      </c>
      <c r="AL636" s="307">
        <f t="shared" si="983"/>
        <v>96.666666666666629</v>
      </c>
      <c r="AN636" s="304">
        <f>'codeis $'!AB636</f>
        <v>0</v>
      </c>
      <c r="AO636" s="340">
        <f>'codeis $'!AH636</f>
        <v>0</v>
      </c>
      <c r="AP636" s="304">
        <f>'codeis $'!AE636</f>
        <v>0</v>
      </c>
      <c r="AQ636" s="304">
        <f>'codeis $'!AK636</f>
        <v>0</v>
      </c>
      <c r="AR636" s="9"/>
      <c r="AS636" s="9"/>
      <c r="AT636" s="123"/>
      <c r="AU636" s="123"/>
      <c r="AV636" s="123"/>
      <c r="AW636" s="123"/>
      <c r="AX636" s="123"/>
      <c r="AY636" s="123"/>
      <c r="AZ636" s="123"/>
      <c r="BA636" s="123"/>
      <c r="BC636" s="122"/>
      <c r="BD636" s="122"/>
      <c r="BE636" s="122"/>
      <c r="BF636" s="122"/>
      <c r="BH636" s="122"/>
      <c r="BI636" s="122"/>
      <c r="BJ636" s="122"/>
      <c r="BK636" s="122"/>
      <c r="BM636" s="122"/>
      <c r="BN636" s="122"/>
      <c r="BO636" s="122"/>
      <c r="BP636" s="122"/>
      <c r="BR636" s="122"/>
      <c r="BS636" s="122"/>
      <c r="BT636" s="122"/>
      <c r="BU636" s="122"/>
      <c r="BV636" s="439"/>
      <c r="BW636" s="120">
        <f t="shared" si="984"/>
        <v>7450000</v>
      </c>
      <c r="BX636" s="121">
        <f t="shared" si="1051"/>
        <v>3.5000000000000003E-2</v>
      </c>
      <c r="BY636" s="121">
        <f t="shared" si="1054"/>
        <v>3.6171140939597314E-2</v>
      </c>
      <c r="BZ636" s="120">
        <f t="shared" si="985"/>
        <v>748.54166666666663</v>
      </c>
      <c r="CA636" s="120">
        <f t="shared" si="986"/>
        <v>96.666666666666629</v>
      </c>
    </row>
    <row r="637" spans="2:79" x14ac:dyDescent="0.25">
      <c r="B637" s="123" t="str">
        <f t="shared" si="974"/>
        <v>9 2026</v>
      </c>
      <c r="C637" s="122">
        <f t="shared" si="975"/>
        <v>46286</v>
      </c>
      <c r="D637" s="122">
        <f t="shared" si="1055"/>
        <v>46287</v>
      </c>
      <c r="E637" s="123">
        <f t="shared" si="976"/>
        <v>1</v>
      </c>
      <c r="F637" s="123" t="s">
        <v>7</v>
      </c>
      <c r="G637" s="124">
        <f t="shared" ref="G637:H637" si="1068">G636</f>
        <v>1450000</v>
      </c>
      <c r="H637" s="125">
        <f t="shared" si="1068"/>
        <v>3.15E-2</v>
      </c>
      <c r="I637" s="124">
        <f t="shared" si="978"/>
        <v>126.875</v>
      </c>
      <c r="J637" s="124">
        <f t="shared" si="979"/>
        <v>32213.125</v>
      </c>
      <c r="K637" s="9"/>
      <c r="L637" s="11"/>
      <c r="M637" s="306"/>
      <c r="N637" s="97"/>
      <c r="O637" s="421"/>
      <c r="P637" s="304"/>
      <c r="Q637" s="307"/>
      <c r="S637" s="11"/>
      <c r="T637" s="306"/>
      <c r="U637" s="97"/>
      <c r="V637" s="421"/>
      <c r="W637" s="304"/>
      <c r="X637" s="307"/>
      <c r="Z637" s="11"/>
      <c r="AA637" s="306"/>
      <c r="AB637" s="97"/>
      <c r="AC637" s="421"/>
      <c r="AD637" s="304"/>
      <c r="AE637" s="307"/>
      <c r="AG637" s="11" t="s">
        <v>192</v>
      </c>
      <c r="AH637" s="306">
        <f t="shared" ref="AH637:AI637" si="1069">AH636</f>
        <v>6000000</v>
      </c>
      <c r="AI637" s="97">
        <f t="shared" si="1069"/>
        <v>3.73E-2</v>
      </c>
      <c r="AJ637" s="421">
        <f t="shared" si="981"/>
        <v>621.66666666666663</v>
      </c>
      <c r="AK637" s="304">
        <f t="shared" si="982"/>
        <v>1243.3333333333333</v>
      </c>
      <c r="AL637" s="307">
        <f t="shared" si="983"/>
        <v>96.666666666666629</v>
      </c>
      <c r="AN637" s="304">
        <f>'codeis $'!AB637</f>
        <v>0</v>
      </c>
      <c r="AO637" s="340">
        <f>'codeis $'!AH637</f>
        <v>0</v>
      </c>
      <c r="AP637" s="304">
        <f>'codeis $'!AE637</f>
        <v>0</v>
      </c>
      <c r="AQ637" s="304">
        <f>'codeis $'!AK637</f>
        <v>0</v>
      </c>
      <c r="AR637" s="9"/>
      <c r="AS637" s="9"/>
      <c r="AT637" s="123"/>
      <c r="AU637" s="123"/>
      <c r="AV637" s="123"/>
      <c r="AW637" s="123"/>
      <c r="AX637" s="123"/>
      <c r="AY637" s="123"/>
      <c r="AZ637" s="123"/>
      <c r="BA637" s="123"/>
      <c r="BC637" s="122"/>
      <c r="BD637" s="122"/>
      <c r="BE637" s="122"/>
      <c r="BF637" s="122"/>
      <c r="BH637" s="122"/>
      <c r="BI637" s="122"/>
      <c r="BJ637" s="122"/>
      <c r="BK637" s="122"/>
      <c r="BM637" s="122"/>
      <c r="BN637" s="122"/>
      <c r="BO637" s="122"/>
      <c r="BP637" s="122"/>
      <c r="BR637" s="122"/>
      <c r="BS637" s="122"/>
      <c r="BT637" s="122"/>
      <c r="BU637" s="122"/>
      <c r="BV637" s="439"/>
      <c r="BW637" s="120">
        <f t="shared" si="984"/>
        <v>7450000</v>
      </c>
      <c r="BX637" s="121">
        <f t="shared" si="1051"/>
        <v>3.5000000000000003E-2</v>
      </c>
      <c r="BY637" s="121">
        <f t="shared" si="1054"/>
        <v>3.6171140939597314E-2</v>
      </c>
      <c r="BZ637" s="120">
        <f t="shared" si="985"/>
        <v>748.54166666666663</v>
      </c>
      <c r="CA637" s="120">
        <f t="shared" si="986"/>
        <v>96.666666666666629</v>
      </c>
    </row>
    <row r="638" spans="2:79" x14ac:dyDescent="0.25">
      <c r="B638" s="123" t="str">
        <f t="shared" si="974"/>
        <v>9 2026</v>
      </c>
      <c r="C638" s="122">
        <f t="shared" si="975"/>
        <v>46287</v>
      </c>
      <c r="D638" s="122">
        <f t="shared" si="1055"/>
        <v>46288</v>
      </c>
      <c r="E638" s="123">
        <f t="shared" si="976"/>
        <v>1</v>
      </c>
      <c r="F638" s="123" t="s">
        <v>7</v>
      </c>
      <c r="G638" s="124">
        <f t="shared" ref="G638:H638" si="1070">G637</f>
        <v>1450000</v>
      </c>
      <c r="H638" s="125">
        <f t="shared" si="1070"/>
        <v>3.15E-2</v>
      </c>
      <c r="I638" s="124">
        <f t="shared" si="978"/>
        <v>126.875</v>
      </c>
      <c r="J638" s="124">
        <f t="shared" si="979"/>
        <v>32340</v>
      </c>
      <c r="K638" s="9"/>
      <c r="L638" s="11"/>
      <c r="M638" s="306"/>
      <c r="N638" s="97"/>
      <c r="O638" s="421"/>
      <c r="P638" s="304"/>
      <c r="Q638" s="307"/>
      <c r="S638" s="11"/>
      <c r="T638" s="306"/>
      <c r="U638" s="97"/>
      <c r="V638" s="421"/>
      <c r="W638" s="304"/>
      <c r="X638" s="307"/>
      <c r="Z638" s="11"/>
      <c r="AA638" s="306"/>
      <c r="AB638" s="97"/>
      <c r="AC638" s="421"/>
      <c r="AD638" s="304"/>
      <c r="AE638" s="307"/>
      <c r="AG638" s="11" t="s">
        <v>192</v>
      </c>
      <c r="AH638" s="306">
        <f t="shared" ref="AH638:AI638" si="1071">AH637</f>
        <v>6000000</v>
      </c>
      <c r="AI638" s="97">
        <f t="shared" si="1071"/>
        <v>3.73E-2</v>
      </c>
      <c r="AJ638" s="421">
        <f t="shared" si="981"/>
        <v>621.66666666666663</v>
      </c>
      <c r="AK638" s="304">
        <f t="shared" si="982"/>
        <v>1243.3333333333333</v>
      </c>
      <c r="AL638" s="307">
        <f t="shared" si="983"/>
        <v>96.666666666666629</v>
      </c>
      <c r="AN638" s="304">
        <f>'codeis $'!AB638</f>
        <v>0</v>
      </c>
      <c r="AO638" s="340">
        <f>'codeis $'!AH638</f>
        <v>0</v>
      </c>
      <c r="AP638" s="304">
        <f>'codeis $'!AE638</f>
        <v>0</v>
      </c>
      <c r="AQ638" s="304">
        <f>'codeis $'!AK638</f>
        <v>0</v>
      </c>
      <c r="AR638" s="9"/>
      <c r="AS638" s="9"/>
      <c r="AT638" s="123"/>
      <c r="AU638" s="123"/>
      <c r="AV638" s="123"/>
      <c r="AW638" s="123"/>
      <c r="AX638" s="123"/>
      <c r="AY638" s="123"/>
      <c r="AZ638" s="123"/>
      <c r="BA638" s="123"/>
      <c r="BC638" s="122"/>
      <c r="BD638" s="122"/>
      <c r="BE638" s="122"/>
      <c r="BF638" s="122"/>
      <c r="BH638" s="122"/>
      <c r="BI638" s="122"/>
      <c r="BJ638" s="122"/>
      <c r="BK638" s="122"/>
      <c r="BM638" s="122"/>
      <c r="BN638" s="122"/>
      <c r="BO638" s="122"/>
      <c r="BP638" s="122"/>
      <c r="BR638" s="122"/>
      <c r="BS638" s="122"/>
      <c r="BT638" s="122"/>
      <c r="BU638" s="122"/>
      <c r="BV638" s="439"/>
      <c r="BW638" s="120">
        <f t="shared" si="984"/>
        <v>7450000</v>
      </c>
      <c r="BX638" s="121">
        <f t="shared" si="1051"/>
        <v>3.5000000000000003E-2</v>
      </c>
      <c r="BY638" s="121">
        <f t="shared" si="1054"/>
        <v>3.6171140939597314E-2</v>
      </c>
      <c r="BZ638" s="120">
        <f t="shared" si="985"/>
        <v>748.54166666666663</v>
      </c>
      <c r="CA638" s="120">
        <f t="shared" si="986"/>
        <v>96.666666666666629</v>
      </c>
    </row>
    <row r="639" spans="2:79" x14ac:dyDescent="0.25">
      <c r="B639" s="123" t="str">
        <f t="shared" si="974"/>
        <v>9 2026</v>
      </c>
      <c r="C639" s="122">
        <f t="shared" si="975"/>
        <v>46288</v>
      </c>
      <c r="D639" s="122">
        <f t="shared" si="1055"/>
        <v>46289</v>
      </c>
      <c r="E639" s="123">
        <f t="shared" si="976"/>
        <v>1</v>
      </c>
      <c r="F639" s="123" t="s">
        <v>7</v>
      </c>
      <c r="G639" s="124">
        <f t="shared" ref="G639:H639" si="1072">G638</f>
        <v>1450000</v>
      </c>
      <c r="H639" s="125">
        <f t="shared" si="1072"/>
        <v>3.15E-2</v>
      </c>
      <c r="I639" s="124">
        <f t="shared" si="978"/>
        <v>126.875</v>
      </c>
      <c r="J639" s="124">
        <f t="shared" si="979"/>
        <v>32466.875</v>
      </c>
      <c r="K639" s="9"/>
      <c r="L639" s="11"/>
      <c r="M639" s="306"/>
      <c r="N639" s="97"/>
      <c r="O639" s="421"/>
      <c r="P639" s="304"/>
      <c r="Q639" s="307"/>
      <c r="S639" s="11"/>
      <c r="T639" s="306"/>
      <c r="U639" s="97"/>
      <c r="V639" s="421"/>
      <c r="W639" s="304"/>
      <c r="X639" s="307"/>
      <c r="Z639" s="11"/>
      <c r="AA639" s="306"/>
      <c r="AB639" s="97"/>
      <c r="AC639" s="421"/>
      <c r="AD639" s="304"/>
      <c r="AE639" s="307"/>
      <c r="AG639" s="11" t="s">
        <v>192</v>
      </c>
      <c r="AH639" s="306">
        <f t="shared" ref="AH639:AI639" si="1073">AH638</f>
        <v>6000000</v>
      </c>
      <c r="AI639" s="97">
        <f t="shared" si="1073"/>
        <v>3.73E-2</v>
      </c>
      <c r="AJ639" s="421">
        <f t="shared" si="981"/>
        <v>621.66666666666663</v>
      </c>
      <c r="AK639" s="304">
        <f t="shared" si="982"/>
        <v>1243.3333333333333</v>
      </c>
      <c r="AL639" s="307">
        <f t="shared" si="983"/>
        <v>96.666666666666629</v>
      </c>
      <c r="AN639" s="304">
        <f>'codeis $'!AB639</f>
        <v>0</v>
      </c>
      <c r="AO639" s="340">
        <f>'codeis $'!AH639</f>
        <v>0</v>
      </c>
      <c r="AP639" s="304">
        <f>'codeis $'!AE639</f>
        <v>0</v>
      </c>
      <c r="AQ639" s="304">
        <f>'codeis $'!AK639</f>
        <v>0</v>
      </c>
      <c r="AR639" s="9"/>
      <c r="AS639" s="9"/>
      <c r="AT639" s="123"/>
      <c r="AU639" s="123"/>
      <c r="AV639" s="123"/>
      <c r="AW639" s="123"/>
      <c r="AX639" s="123"/>
      <c r="AY639" s="123"/>
      <c r="AZ639" s="123"/>
      <c r="BA639" s="123"/>
      <c r="BC639" s="122"/>
      <c r="BD639" s="122"/>
      <c r="BE639" s="122"/>
      <c r="BF639" s="122"/>
      <c r="BH639" s="122"/>
      <c r="BI639" s="122"/>
      <c r="BJ639" s="122"/>
      <c r="BK639" s="122"/>
      <c r="BM639" s="122"/>
      <c r="BN639" s="122"/>
      <c r="BO639" s="122"/>
      <c r="BP639" s="122"/>
      <c r="BR639" s="122"/>
      <c r="BS639" s="122"/>
      <c r="BT639" s="122"/>
      <c r="BU639" s="122"/>
      <c r="BV639" s="439"/>
      <c r="BW639" s="120">
        <f t="shared" si="984"/>
        <v>7450000</v>
      </c>
      <c r="BX639" s="121">
        <f t="shared" si="1051"/>
        <v>3.5000000000000003E-2</v>
      </c>
      <c r="BY639" s="121">
        <f t="shared" si="1054"/>
        <v>3.6171140939597314E-2</v>
      </c>
      <c r="BZ639" s="120">
        <f t="shared" si="985"/>
        <v>748.54166666666663</v>
      </c>
      <c r="CA639" s="120">
        <f t="shared" si="986"/>
        <v>96.666666666666629</v>
      </c>
    </row>
    <row r="640" spans="2:79" x14ac:dyDescent="0.25">
      <c r="B640" s="123" t="str">
        <f t="shared" si="974"/>
        <v>9 2026</v>
      </c>
      <c r="C640" s="122">
        <f t="shared" si="975"/>
        <v>46289</v>
      </c>
      <c r="D640" s="122">
        <f t="shared" si="1055"/>
        <v>46290</v>
      </c>
      <c r="E640" s="123">
        <f t="shared" si="976"/>
        <v>1</v>
      </c>
      <c r="F640" s="123" t="s">
        <v>7</v>
      </c>
      <c r="G640" s="124">
        <f t="shared" ref="G640:H640" si="1074">G639</f>
        <v>1450000</v>
      </c>
      <c r="H640" s="125">
        <f t="shared" si="1074"/>
        <v>3.15E-2</v>
      </c>
      <c r="I640" s="124">
        <f t="shared" si="978"/>
        <v>126.875</v>
      </c>
      <c r="J640" s="124">
        <f t="shared" si="979"/>
        <v>32593.75</v>
      </c>
      <c r="K640" s="9"/>
      <c r="L640" s="11"/>
      <c r="M640" s="306"/>
      <c r="N640" s="97"/>
      <c r="O640" s="421"/>
      <c r="P640" s="304"/>
      <c r="Q640" s="307"/>
      <c r="S640" s="11"/>
      <c r="T640" s="306"/>
      <c r="U640" s="97"/>
      <c r="V640" s="421"/>
      <c r="W640" s="304"/>
      <c r="X640" s="307"/>
      <c r="Z640" s="11"/>
      <c r="AA640" s="306"/>
      <c r="AB640" s="97"/>
      <c r="AC640" s="421"/>
      <c r="AD640" s="304"/>
      <c r="AE640" s="307"/>
      <c r="AG640" s="11" t="s">
        <v>192</v>
      </c>
      <c r="AH640" s="306">
        <f t="shared" ref="AH640:AI640" si="1075">AH639</f>
        <v>6000000</v>
      </c>
      <c r="AI640" s="97">
        <f t="shared" si="1075"/>
        <v>3.73E-2</v>
      </c>
      <c r="AJ640" s="421">
        <f t="shared" si="981"/>
        <v>621.66666666666663</v>
      </c>
      <c r="AK640" s="304">
        <f t="shared" si="982"/>
        <v>1243.3333333333333</v>
      </c>
      <c r="AL640" s="307">
        <f t="shared" si="983"/>
        <v>96.666666666666629</v>
      </c>
      <c r="AN640" s="304">
        <f>'codeis $'!AB640</f>
        <v>0</v>
      </c>
      <c r="AO640" s="340">
        <f>'codeis $'!AH640</f>
        <v>0</v>
      </c>
      <c r="AP640" s="304">
        <f>'codeis $'!AE640</f>
        <v>0</v>
      </c>
      <c r="AQ640" s="304">
        <f>'codeis $'!AK640</f>
        <v>0</v>
      </c>
      <c r="AR640" s="9"/>
      <c r="AS640" s="9"/>
      <c r="AT640" s="123"/>
      <c r="AU640" s="123"/>
      <c r="AV640" s="123"/>
      <c r="AW640" s="123"/>
      <c r="AX640" s="123"/>
      <c r="AY640" s="123"/>
      <c r="AZ640" s="123"/>
      <c r="BA640" s="123"/>
      <c r="BC640" s="122"/>
      <c r="BD640" s="122"/>
      <c r="BE640" s="122"/>
      <c r="BF640" s="122"/>
      <c r="BH640" s="122"/>
      <c r="BI640" s="122"/>
      <c r="BJ640" s="122"/>
      <c r="BK640" s="122"/>
      <c r="BM640" s="122"/>
      <c r="BN640" s="122"/>
      <c r="BO640" s="122"/>
      <c r="BP640" s="122"/>
      <c r="BR640" s="122"/>
      <c r="BS640" s="122"/>
      <c r="BT640" s="122"/>
      <c r="BU640" s="122"/>
      <c r="BV640" s="439"/>
      <c r="BW640" s="120">
        <f t="shared" si="984"/>
        <v>7450000</v>
      </c>
      <c r="BX640" s="121">
        <f t="shared" si="1051"/>
        <v>3.5000000000000003E-2</v>
      </c>
      <c r="BY640" s="121">
        <f t="shared" si="1054"/>
        <v>3.6171140939597314E-2</v>
      </c>
      <c r="BZ640" s="120">
        <f t="shared" si="985"/>
        <v>748.54166666666663</v>
      </c>
      <c r="CA640" s="120">
        <f t="shared" si="986"/>
        <v>96.666666666666629</v>
      </c>
    </row>
    <row r="641" spans="2:79" x14ac:dyDescent="0.25">
      <c r="B641" s="123" t="str">
        <f t="shared" si="974"/>
        <v>9 2026</v>
      </c>
      <c r="C641" s="122">
        <f t="shared" si="975"/>
        <v>46290</v>
      </c>
      <c r="D641" s="122">
        <f t="shared" si="1055"/>
        <v>46291</v>
      </c>
      <c r="E641" s="123">
        <f t="shared" si="976"/>
        <v>1</v>
      </c>
      <c r="F641" s="123" t="s">
        <v>7</v>
      </c>
      <c r="G641" s="124">
        <f t="shared" ref="G641:H641" si="1076">G640</f>
        <v>1450000</v>
      </c>
      <c r="H641" s="125">
        <f t="shared" si="1076"/>
        <v>3.15E-2</v>
      </c>
      <c r="I641" s="124">
        <f t="shared" si="978"/>
        <v>126.875</v>
      </c>
      <c r="J641" s="124">
        <f t="shared" si="979"/>
        <v>32720.625</v>
      </c>
      <c r="K641" s="9"/>
      <c r="L641" s="11"/>
      <c r="M641" s="306"/>
      <c r="N641" s="97"/>
      <c r="O641" s="421"/>
      <c r="P641" s="304"/>
      <c r="Q641" s="307"/>
      <c r="S641" s="11"/>
      <c r="T641" s="306"/>
      <c r="U641" s="97"/>
      <c r="V641" s="421"/>
      <c r="W641" s="304"/>
      <c r="X641" s="307"/>
      <c r="Z641" s="11"/>
      <c r="AA641" s="306"/>
      <c r="AB641" s="97"/>
      <c r="AC641" s="421"/>
      <c r="AD641" s="304"/>
      <c r="AE641" s="307"/>
      <c r="AG641" s="11" t="s">
        <v>192</v>
      </c>
      <c r="AH641" s="306">
        <f t="shared" ref="AH641:AI641" si="1077">AH640</f>
        <v>6000000</v>
      </c>
      <c r="AI641" s="97">
        <f t="shared" si="1077"/>
        <v>3.73E-2</v>
      </c>
      <c r="AJ641" s="421">
        <f t="shared" si="981"/>
        <v>621.66666666666663</v>
      </c>
      <c r="AK641" s="304">
        <f t="shared" si="982"/>
        <v>1243.3333333333333</v>
      </c>
      <c r="AL641" s="307">
        <f t="shared" si="983"/>
        <v>96.666666666666629</v>
      </c>
      <c r="AN641" s="304">
        <f>'codeis $'!AB641</f>
        <v>0</v>
      </c>
      <c r="AO641" s="340">
        <f>'codeis $'!AH641</f>
        <v>0</v>
      </c>
      <c r="AP641" s="304">
        <f>'codeis $'!AE641</f>
        <v>0</v>
      </c>
      <c r="AQ641" s="304">
        <f>'codeis $'!AK641</f>
        <v>0</v>
      </c>
      <c r="AR641" s="9"/>
      <c r="AS641" s="9"/>
      <c r="AT641" s="123"/>
      <c r="AU641" s="123"/>
      <c r="AV641" s="123"/>
      <c r="AW641" s="123"/>
      <c r="AX641" s="123"/>
      <c r="AY641" s="123"/>
      <c r="AZ641" s="123"/>
      <c r="BA641" s="123"/>
      <c r="BC641" s="122"/>
      <c r="BD641" s="122"/>
      <c r="BE641" s="122"/>
      <c r="BF641" s="122"/>
      <c r="BH641" s="122"/>
      <c r="BI641" s="122"/>
      <c r="BJ641" s="122"/>
      <c r="BK641" s="122"/>
      <c r="BM641" s="122"/>
      <c r="BN641" s="122"/>
      <c r="BO641" s="122"/>
      <c r="BP641" s="122"/>
      <c r="BR641" s="122"/>
      <c r="BS641" s="122"/>
      <c r="BT641" s="122"/>
      <c r="BU641" s="122"/>
      <c r="BV641" s="439"/>
      <c r="BW641" s="120">
        <f t="shared" si="984"/>
        <v>7450000</v>
      </c>
      <c r="BX641" s="121">
        <f t="shared" si="1051"/>
        <v>3.5000000000000003E-2</v>
      </c>
      <c r="BY641" s="121">
        <f t="shared" si="1054"/>
        <v>3.6171140939597314E-2</v>
      </c>
      <c r="BZ641" s="120">
        <f t="shared" si="985"/>
        <v>748.54166666666663</v>
      </c>
      <c r="CA641" s="120">
        <f t="shared" si="986"/>
        <v>96.666666666666629</v>
      </c>
    </row>
    <row r="642" spans="2:79" x14ac:dyDescent="0.25">
      <c r="B642" s="123" t="str">
        <f t="shared" si="974"/>
        <v>9 2026</v>
      </c>
      <c r="C642" s="122">
        <f t="shared" si="975"/>
        <v>46291</v>
      </c>
      <c r="D642" s="122">
        <f t="shared" si="1055"/>
        <v>46292</v>
      </c>
      <c r="E642" s="123">
        <f t="shared" si="976"/>
        <v>1</v>
      </c>
      <c r="F642" s="123" t="s">
        <v>7</v>
      </c>
      <c r="G642" s="124">
        <f t="shared" ref="G642:H642" si="1078">G641</f>
        <v>1450000</v>
      </c>
      <c r="H642" s="125">
        <f t="shared" si="1078"/>
        <v>3.15E-2</v>
      </c>
      <c r="I642" s="124">
        <f t="shared" si="978"/>
        <v>126.875</v>
      </c>
      <c r="J642" s="124">
        <f t="shared" si="979"/>
        <v>32847.5</v>
      </c>
      <c r="K642" s="9"/>
      <c r="L642" s="11"/>
      <c r="M642" s="306"/>
      <c r="N642" s="97"/>
      <c r="O642" s="421"/>
      <c r="P642" s="304"/>
      <c r="Q642" s="307"/>
      <c r="S642" s="11"/>
      <c r="T642" s="306"/>
      <c r="U642" s="97"/>
      <c r="V642" s="421"/>
      <c r="W642" s="304"/>
      <c r="X642" s="307"/>
      <c r="Z642" s="11"/>
      <c r="AA642" s="306"/>
      <c r="AB642" s="97"/>
      <c r="AC642" s="421"/>
      <c r="AD642" s="304"/>
      <c r="AE642" s="307"/>
      <c r="AG642" s="11" t="s">
        <v>192</v>
      </c>
      <c r="AH642" s="306">
        <f t="shared" ref="AH642:AI642" si="1079">AH641</f>
        <v>6000000</v>
      </c>
      <c r="AI642" s="97">
        <f t="shared" si="1079"/>
        <v>3.73E-2</v>
      </c>
      <c r="AJ642" s="421">
        <f t="shared" si="981"/>
        <v>621.66666666666663</v>
      </c>
      <c r="AK642" s="304">
        <f t="shared" si="982"/>
        <v>1243.3333333333333</v>
      </c>
      <c r="AL642" s="307">
        <f t="shared" si="983"/>
        <v>96.666666666666629</v>
      </c>
      <c r="AN642" s="304">
        <f>'codeis $'!AB642</f>
        <v>0</v>
      </c>
      <c r="AO642" s="340">
        <f>'codeis $'!AH642</f>
        <v>0</v>
      </c>
      <c r="AP642" s="304">
        <f>'codeis $'!AE642</f>
        <v>0</v>
      </c>
      <c r="AQ642" s="304">
        <f>'codeis $'!AK642</f>
        <v>0</v>
      </c>
      <c r="AR642" s="9"/>
      <c r="AS642" s="9"/>
      <c r="AT642" s="123"/>
      <c r="AU642" s="123"/>
      <c r="AV642" s="123"/>
      <c r="AW642" s="123"/>
      <c r="AX642" s="123"/>
      <c r="AY642" s="123"/>
      <c r="AZ642" s="123"/>
      <c r="BA642" s="123"/>
      <c r="BC642" s="122"/>
      <c r="BD642" s="122"/>
      <c r="BE642" s="122"/>
      <c r="BF642" s="122"/>
      <c r="BH642" s="122"/>
      <c r="BI642" s="122"/>
      <c r="BJ642" s="122"/>
      <c r="BK642" s="122"/>
      <c r="BM642" s="122"/>
      <c r="BN642" s="122"/>
      <c r="BO642" s="122"/>
      <c r="BP642" s="122"/>
      <c r="BR642" s="122"/>
      <c r="BS642" s="122"/>
      <c r="BT642" s="122"/>
      <c r="BU642" s="122"/>
      <c r="BV642" s="439"/>
      <c r="BW642" s="120">
        <f t="shared" si="984"/>
        <v>7450000</v>
      </c>
      <c r="BX642" s="121">
        <f t="shared" si="1051"/>
        <v>3.5000000000000003E-2</v>
      </c>
      <c r="BY642" s="121">
        <f t="shared" si="1054"/>
        <v>3.6171140939597314E-2</v>
      </c>
      <c r="BZ642" s="120">
        <f t="shared" si="985"/>
        <v>748.54166666666663</v>
      </c>
      <c r="CA642" s="120">
        <f t="shared" si="986"/>
        <v>96.666666666666629</v>
      </c>
    </row>
    <row r="643" spans="2:79" x14ac:dyDescent="0.25">
      <c r="B643" s="123" t="str">
        <f t="shared" si="974"/>
        <v>9 2026</v>
      </c>
      <c r="C643" s="122">
        <f t="shared" si="975"/>
        <v>46292</v>
      </c>
      <c r="D643" s="122">
        <f t="shared" si="1055"/>
        <v>46293</v>
      </c>
      <c r="E643" s="123">
        <f t="shared" si="976"/>
        <v>1</v>
      </c>
      <c r="F643" s="123" t="s">
        <v>7</v>
      </c>
      <c r="G643" s="124">
        <f t="shared" ref="G643:H643" si="1080">G642</f>
        <v>1450000</v>
      </c>
      <c r="H643" s="125">
        <f t="shared" si="1080"/>
        <v>3.15E-2</v>
      </c>
      <c r="I643" s="124">
        <f t="shared" si="978"/>
        <v>126.875</v>
      </c>
      <c r="J643" s="124">
        <f t="shared" si="979"/>
        <v>32974.375</v>
      </c>
      <c r="K643" s="9"/>
      <c r="L643" s="11"/>
      <c r="M643" s="306"/>
      <c r="N643" s="97"/>
      <c r="O643" s="421"/>
      <c r="P643" s="304"/>
      <c r="Q643" s="307"/>
      <c r="S643" s="11"/>
      <c r="T643" s="306"/>
      <c r="U643" s="97"/>
      <c r="V643" s="421"/>
      <c r="W643" s="304"/>
      <c r="X643" s="307"/>
      <c r="Z643" s="11"/>
      <c r="AA643" s="306"/>
      <c r="AB643" s="97"/>
      <c r="AC643" s="421"/>
      <c r="AD643" s="304"/>
      <c r="AE643" s="307"/>
      <c r="AG643" s="11" t="s">
        <v>192</v>
      </c>
      <c r="AH643" s="306">
        <f t="shared" ref="AH643:AI643" si="1081">AH642</f>
        <v>6000000</v>
      </c>
      <c r="AI643" s="97">
        <f t="shared" si="1081"/>
        <v>3.73E-2</v>
      </c>
      <c r="AJ643" s="421">
        <f t="shared" si="981"/>
        <v>621.66666666666663</v>
      </c>
      <c r="AK643" s="304">
        <f t="shared" si="982"/>
        <v>1243.3333333333333</v>
      </c>
      <c r="AL643" s="307">
        <f t="shared" si="983"/>
        <v>96.666666666666629</v>
      </c>
      <c r="AN643" s="304">
        <f>'codeis $'!AB643</f>
        <v>0</v>
      </c>
      <c r="AO643" s="340">
        <f>'codeis $'!AH643</f>
        <v>0</v>
      </c>
      <c r="AP643" s="304">
        <f>'codeis $'!AE643</f>
        <v>0</v>
      </c>
      <c r="AQ643" s="304">
        <f>'codeis $'!AK643</f>
        <v>0</v>
      </c>
      <c r="AR643" s="9"/>
      <c r="AS643" s="9"/>
      <c r="AT643" s="123"/>
      <c r="AU643" s="123"/>
      <c r="AV643" s="123"/>
      <c r="AW643" s="123"/>
      <c r="AX643" s="123"/>
      <c r="AY643" s="123"/>
      <c r="AZ643" s="123"/>
      <c r="BA643" s="123"/>
      <c r="BC643" s="122"/>
      <c r="BD643" s="122"/>
      <c r="BE643" s="122"/>
      <c r="BF643" s="122"/>
      <c r="BH643" s="122"/>
      <c r="BI643" s="122"/>
      <c r="BJ643" s="122"/>
      <c r="BK643" s="122"/>
      <c r="BM643" s="122"/>
      <c r="BN643" s="122"/>
      <c r="BO643" s="122"/>
      <c r="BP643" s="122"/>
      <c r="BR643" s="122"/>
      <c r="BS643" s="122"/>
      <c r="BT643" s="122"/>
      <c r="BU643" s="122"/>
      <c r="BV643" s="439"/>
      <c r="BW643" s="120">
        <f t="shared" si="984"/>
        <v>7450000</v>
      </c>
      <c r="BX643" s="121">
        <f t="shared" si="1051"/>
        <v>3.5000000000000003E-2</v>
      </c>
      <c r="BY643" s="121">
        <f t="shared" si="1054"/>
        <v>3.6171140939597314E-2</v>
      </c>
      <c r="BZ643" s="120">
        <f t="shared" si="985"/>
        <v>748.54166666666663</v>
      </c>
      <c r="CA643" s="120">
        <f t="shared" si="986"/>
        <v>96.666666666666629</v>
      </c>
    </row>
    <row r="644" spans="2:79" x14ac:dyDescent="0.25">
      <c r="B644" s="123" t="str">
        <f t="shared" si="974"/>
        <v>9 2026</v>
      </c>
      <c r="C644" s="122">
        <f t="shared" si="975"/>
        <v>46293</v>
      </c>
      <c r="D644" s="122">
        <f t="shared" si="1055"/>
        <v>46294</v>
      </c>
      <c r="E644" s="123">
        <f t="shared" si="976"/>
        <v>1</v>
      </c>
      <c r="F644" s="123" t="s">
        <v>7</v>
      </c>
      <c r="G644" s="124">
        <f t="shared" ref="G644:H644" si="1082">G643</f>
        <v>1450000</v>
      </c>
      <c r="H644" s="125">
        <f t="shared" si="1082"/>
        <v>3.15E-2</v>
      </c>
      <c r="I644" s="124">
        <f t="shared" si="978"/>
        <v>126.875</v>
      </c>
      <c r="J644" s="124">
        <f t="shared" si="979"/>
        <v>33101.25</v>
      </c>
      <c r="K644" s="9"/>
      <c r="L644" s="11"/>
      <c r="M644" s="306"/>
      <c r="N644" s="97"/>
      <c r="O644" s="421"/>
      <c r="P644" s="304"/>
      <c r="Q644" s="307"/>
      <c r="S644" s="11"/>
      <c r="T644" s="306"/>
      <c r="U644" s="97"/>
      <c r="V644" s="421"/>
      <c r="W644" s="304"/>
      <c r="X644" s="307"/>
      <c r="Z644" s="11"/>
      <c r="AA644" s="306"/>
      <c r="AB644" s="97"/>
      <c r="AC644" s="421"/>
      <c r="AD644" s="304"/>
      <c r="AE644" s="307"/>
      <c r="AG644" s="11" t="s">
        <v>192</v>
      </c>
      <c r="AH644" s="306">
        <f t="shared" ref="AH644:AI644" si="1083">AH643</f>
        <v>6000000</v>
      </c>
      <c r="AI644" s="97">
        <f t="shared" si="1083"/>
        <v>3.73E-2</v>
      </c>
      <c r="AJ644" s="421">
        <f t="shared" si="981"/>
        <v>621.66666666666663</v>
      </c>
      <c r="AK644" s="304">
        <f t="shared" si="982"/>
        <v>1243.3333333333333</v>
      </c>
      <c r="AL644" s="307">
        <f t="shared" si="983"/>
        <v>96.666666666666629</v>
      </c>
      <c r="AN644" s="304">
        <f>'codeis $'!AB644</f>
        <v>0</v>
      </c>
      <c r="AO644" s="340">
        <f>'codeis $'!AH644</f>
        <v>0</v>
      </c>
      <c r="AP644" s="304">
        <f>'codeis $'!AE644</f>
        <v>0</v>
      </c>
      <c r="AQ644" s="304">
        <f>'codeis $'!AK644</f>
        <v>0</v>
      </c>
      <c r="AR644" s="9"/>
      <c r="AS644" s="9"/>
      <c r="AT644" s="123"/>
      <c r="AU644" s="123"/>
      <c r="AV644" s="123"/>
      <c r="AW644" s="123"/>
      <c r="AX644" s="123"/>
      <c r="AY644" s="123"/>
      <c r="AZ644" s="123"/>
      <c r="BA644" s="123"/>
      <c r="BC644" s="122"/>
      <c r="BD644" s="122"/>
      <c r="BE644" s="122"/>
      <c r="BF644" s="122"/>
      <c r="BH644" s="122"/>
      <c r="BI644" s="122"/>
      <c r="BJ644" s="122"/>
      <c r="BK644" s="122"/>
      <c r="BM644" s="122"/>
      <c r="BN644" s="122"/>
      <c r="BO644" s="122"/>
      <c r="BP644" s="122"/>
      <c r="BR644" s="122"/>
      <c r="BS644" s="122"/>
      <c r="BT644" s="122"/>
      <c r="BU644" s="122"/>
      <c r="BV644" s="439"/>
      <c r="BW644" s="120">
        <f t="shared" si="984"/>
        <v>7450000</v>
      </c>
      <c r="BX644" s="121">
        <f t="shared" si="1051"/>
        <v>3.5000000000000003E-2</v>
      </c>
      <c r="BY644" s="121">
        <f t="shared" si="1054"/>
        <v>3.6171140939597314E-2</v>
      </c>
      <c r="BZ644" s="120">
        <f t="shared" si="985"/>
        <v>748.54166666666663</v>
      </c>
      <c r="CA644" s="120">
        <f t="shared" si="986"/>
        <v>96.666666666666629</v>
      </c>
    </row>
    <row r="645" spans="2:79" x14ac:dyDescent="0.25">
      <c r="B645" s="123" t="str">
        <f t="shared" si="974"/>
        <v>9 2026</v>
      </c>
      <c r="C645" s="122">
        <f t="shared" si="975"/>
        <v>46294</v>
      </c>
      <c r="D645" s="122">
        <f t="shared" si="1055"/>
        <v>46295</v>
      </c>
      <c r="E645" s="123">
        <f t="shared" si="976"/>
        <v>1</v>
      </c>
      <c r="F645" s="123" t="s">
        <v>7</v>
      </c>
      <c r="G645" s="124">
        <f t="shared" ref="G645:H645" si="1084">G644</f>
        <v>1450000</v>
      </c>
      <c r="H645" s="125">
        <f t="shared" si="1084"/>
        <v>3.15E-2</v>
      </c>
      <c r="I645" s="124">
        <f t="shared" si="978"/>
        <v>126.875</v>
      </c>
      <c r="J645" s="124">
        <f t="shared" si="979"/>
        <v>33228.125</v>
      </c>
      <c r="K645" s="9"/>
      <c r="L645" s="11"/>
      <c r="M645" s="306"/>
      <c r="N645" s="97"/>
      <c r="O645" s="421"/>
      <c r="P645" s="304"/>
      <c r="Q645" s="307"/>
      <c r="S645" s="11"/>
      <c r="T645" s="306"/>
      <c r="U645" s="97"/>
      <c r="V645" s="421"/>
      <c r="W645" s="304"/>
      <c r="X645" s="307"/>
      <c r="Z645" s="11"/>
      <c r="AA645" s="306"/>
      <c r="AB645" s="97"/>
      <c r="AC645" s="421"/>
      <c r="AD645" s="304"/>
      <c r="AE645" s="307"/>
      <c r="AG645" s="11" t="s">
        <v>192</v>
      </c>
      <c r="AH645" s="306">
        <f t="shared" ref="AH645:AI645" si="1085">AH644</f>
        <v>6000000</v>
      </c>
      <c r="AI645" s="97">
        <f t="shared" si="1085"/>
        <v>3.73E-2</v>
      </c>
      <c r="AJ645" s="421">
        <f t="shared" si="981"/>
        <v>621.66666666666663</v>
      </c>
      <c r="AK645" s="304">
        <f t="shared" si="982"/>
        <v>1243.3333333333333</v>
      </c>
      <c r="AL645" s="307">
        <f t="shared" si="983"/>
        <v>96.666666666666629</v>
      </c>
      <c r="AN645" s="304">
        <f>'codeis $'!AB645</f>
        <v>0</v>
      </c>
      <c r="AO645" s="340">
        <f>'codeis $'!AH645</f>
        <v>0</v>
      </c>
      <c r="AP645" s="304">
        <f>'codeis $'!AE645</f>
        <v>0</v>
      </c>
      <c r="AQ645" s="304">
        <f>'codeis $'!AK645</f>
        <v>0</v>
      </c>
      <c r="AR645" s="9"/>
      <c r="AS645" s="9"/>
      <c r="AT645" s="123"/>
      <c r="AU645" s="123"/>
      <c r="AV645" s="123"/>
      <c r="AW645" s="123"/>
      <c r="AX645" s="123"/>
      <c r="AY645" s="123"/>
      <c r="AZ645" s="123"/>
      <c r="BA645" s="123"/>
      <c r="BC645" s="122"/>
      <c r="BD645" s="122"/>
      <c r="BE645" s="122"/>
      <c r="BF645" s="122"/>
      <c r="BH645" s="122"/>
      <c r="BI645" s="122"/>
      <c r="BJ645" s="122"/>
      <c r="BK645" s="122"/>
      <c r="BM645" s="122"/>
      <c r="BN645" s="122"/>
      <c r="BO645" s="122"/>
      <c r="BP645" s="122"/>
      <c r="BR645" s="122"/>
      <c r="BS645" s="122"/>
      <c r="BT645" s="122"/>
      <c r="BU645" s="122"/>
      <c r="BV645" s="439"/>
      <c r="BW645" s="120">
        <f t="shared" si="984"/>
        <v>7450000</v>
      </c>
      <c r="BX645" s="121">
        <f t="shared" si="1051"/>
        <v>3.5000000000000003E-2</v>
      </c>
      <c r="BY645" s="121">
        <f t="shared" si="1054"/>
        <v>3.6171140939597314E-2</v>
      </c>
      <c r="BZ645" s="120">
        <f t="shared" si="985"/>
        <v>748.54166666666663</v>
      </c>
      <c r="CA645" s="120">
        <f t="shared" si="986"/>
        <v>96.666666666666629</v>
      </c>
    </row>
    <row r="646" spans="2:79" x14ac:dyDescent="0.25">
      <c r="B646" s="123" t="str">
        <f t="shared" si="974"/>
        <v>10 2026</v>
      </c>
      <c r="C646" s="122">
        <f t="shared" si="975"/>
        <v>46295</v>
      </c>
      <c r="D646" s="122">
        <f t="shared" si="1055"/>
        <v>46296</v>
      </c>
      <c r="E646" s="123">
        <f t="shared" si="976"/>
        <v>1</v>
      </c>
      <c r="F646" s="123" t="s">
        <v>7</v>
      </c>
      <c r="G646" s="124">
        <f t="shared" ref="G646:H646" si="1086">G645</f>
        <v>1450000</v>
      </c>
      <c r="H646" s="125">
        <f t="shared" si="1086"/>
        <v>3.15E-2</v>
      </c>
      <c r="I646" s="124">
        <f t="shared" si="978"/>
        <v>126.875</v>
      </c>
      <c r="J646" s="124">
        <f t="shared" si="979"/>
        <v>33355</v>
      </c>
      <c r="K646" s="9"/>
      <c r="L646" s="11"/>
      <c r="M646" s="306"/>
      <c r="N646" s="97"/>
      <c r="O646" s="421"/>
      <c r="P646" s="304"/>
      <c r="Q646" s="307"/>
      <c r="S646" s="11"/>
      <c r="T646" s="306"/>
      <c r="U646" s="97"/>
      <c r="V646" s="421"/>
      <c r="W646" s="304"/>
      <c r="X646" s="307"/>
      <c r="Z646" s="11"/>
      <c r="AA646" s="306"/>
      <c r="AB646" s="97"/>
      <c r="AC646" s="421"/>
      <c r="AD646" s="304"/>
      <c r="AE646" s="307"/>
      <c r="AG646" s="11" t="s">
        <v>192</v>
      </c>
      <c r="AH646" s="306">
        <f t="shared" ref="AH646:AI646" si="1087">AH645</f>
        <v>6000000</v>
      </c>
      <c r="AI646" s="97">
        <f t="shared" si="1087"/>
        <v>3.73E-2</v>
      </c>
      <c r="AJ646" s="421">
        <f t="shared" si="981"/>
        <v>621.66666666666663</v>
      </c>
      <c r="AK646" s="304">
        <f t="shared" si="982"/>
        <v>1243.3333333333333</v>
      </c>
      <c r="AL646" s="307">
        <f t="shared" si="983"/>
        <v>96.666666666666629</v>
      </c>
      <c r="AN646" s="304">
        <f>'codeis $'!AB646</f>
        <v>0</v>
      </c>
      <c r="AO646" s="340">
        <f>'codeis $'!AH646</f>
        <v>0</v>
      </c>
      <c r="AP646" s="304">
        <f>'codeis $'!AE646</f>
        <v>0</v>
      </c>
      <c r="AQ646" s="304">
        <f>'codeis $'!AK646</f>
        <v>0</v>
      </c>
      <c r="AR646" s="9"/>
      <c r="AS646" s="9"/>
      <c r="AT646" s="123"/>
      <c r="AU646" s="123"/>
      <c r="AV646" s="123"/>
      <c r="AW646" s="123"/>
      <c r="AX646" s="123"/>
      <c r="AY646" s="123"/>
      <c r="AZ646" s="123"/>
      <c r="BA646" s="123"/>
      <c r="BC646" s="122"/>
      <c r="BD646" s="122"/>
      <c r="BE646" s="122"/>
      <c r="BF646" s="122"/>
      <c r="BH646" s="122"/>
      <c r="BI646" s="122"/>
      <c r="BJ646" s="122"/>
      <c r="BK646" s="122"/>
      <c r="BM646" s="122"/>
      <c r="BN646" s="122"/>
      <c r="BO646" s="122"/>
      <c r="BP646" s="122"/>
      <c r="BR646" s="122"/>
      <c r="BS646" s="122"/>
      <c r="BT646" s="122"/>
      <c r="BU646" s="122"/>
      <c r="BV646" s="439"/>
      <c r="BW646" s="120">
        <f t="shared" si="984"/>
        <v>7450000</v>
      </c>
      <c r="BX646" s="121">
        <f t="shared" si="1051"/>
        <v>3.5000000000000003E-2</v>
      </c>
      <c r="BY646" s="121">
        <f t="shared" si="1054"/>
        <v>3.6171140939597314E-2</v>
      </c>
      <c r="BZ646" s="120">
        <f t="shared" si="985"/>
        <v>748.54166666666663</v>
      </c>
      <c r="CA646" s="120">
        <f t="shared" si="986"/>
        <v>96.666666666666629</v>
      </c>
    </row>
    <row r="647" spans="2:79" x14ac:dyDescent="0.25">
      <c r="B647" s="123" t="str">
        <f t="shared" si="974"/>
        <v>10 2026</v>
      </c>
      <c r="C647" s="122">
        <f t="shared" si="975"/>
        <v>46296</v>
      </c>
      <c r="D647" s="122">
        <f t="shared" si="1055"/>
        <v>46297</v>
      </c>
      <c r="E647" s="123">
        <f t="shared" si="976"/>
        <v>1</v>
      </c>
      <c r="F647" s="123" t="s">
        <v>7</v>
      </c>
      <c r="G647" s="124">
        <f t="shared" ref="G647:H647" si="1088">G646</f>
        <v>1450000</v>
      </c>
      <c r="H647" s="125">
        <f t="shared" si="1088"/>
        <v>3.15E-2</v>
      </c>
      <c r="I647" s="124">
        <f t="shared" si="978"/>
        <v>126.875</v>
      </c>
      <c r="J647" s="124">
        <f t="shared" si="979"/>
        <v>33481.875</v>
      </c>
      <c r="K647" s="9"/>
      <c r="L647" s="11"/>
      <c r="M647" s="306"/>
      <c r="N647" s="97"/>
      <c r="O647" s="421"/>
      <c r="P647" s="304"/>
      <c r="Q647" s="307"/>
      <c r="S647" s="11"/>
      <c r="T647" s="306"/>
      <c r="U647" s="97"/>
      <c r="V647" s="421"/>
      <c r="W647" s="304"/>
      <c r="X647" s="307"/>
      <c r="Z647" s="11"/>
      <c r="AA647" s="306"/>
      <c r="AB647" s="97"/>
      <c r="AC647" s="421"/>
      <c r="AD647" s="304"/>
      <c r="AE647" s="307"/>
      <c r="AG647" s="11" t="s">
        <v>192</v>
      </c>
      <c r="AH647" s="306">
        <f t="shared" ref="AH647:AI647" si="1089">AH646</f>
        <v>6000000</v>
      </c>
      <c r="AI647" s="97">
        <f t="shared" si="1089"/>
        <v>3.73E-2</v>
      </c>
      <c r="AJ647" s="421">
        <f t="shared" si="981"/>
        <v>621.66666666666663</v>
      </c>
      <c r="AK647" s="304">
        <f t="shared" si="982"/>
        <v>1243.3333333333333</v>
      </c>
      <c r="AL647" s="307">
        <f t="shared" si="983"/>
        <v>96.666666666666629</v>
      </c>
      <c r="AN647" s="304">
        <f>'codeis $'!AB647</f>
        <v>0</v>
      </c>
      <c r="AO647" s="340">
        <f>'codeis $'!AH647</f>
        <v>0</v>
      </c>
      <c r="AP647" s="304">
        <f>'codeis $'!AE647</f>
        <v>0</v>
      </c>
      <c r="AQ647" s="304">
        <f>'codeis $'!AK647</f>
        <v>0</v>
      </c>
      <c r="AR647" s="9"/>
      <c r="AS647" s="9"/>
      <c r="AT647" s="123"/>
      <c r="AU647" s="123"/>
      <c r="AV647" s="123"/>
      <c r="AW647" s="123"/>
      <c r="AX647" s="123"/>
      <c r="AY647" s="123"/>
      <c r="AZ647" s="123"/>
      <c r="BA647" s="123"/>
      <c r="BC647" s="122"/>
      <c r="BD647" s="122"/>
      <c r="BE647" s="122"/>
      <c r="BF647" s="122"/>
      <c r="BH647" s="122"/>
      <c r="BI647" s="122"/>
      <c r="BJ647" s="122"/>
      <c r="BK647" s="122"/>
      <c r="BM647" s="122"/>
      <c r="BN647" s="122"/>
      <c r="BO647" s="122"/>
      <c r="BP647" s="122"/>
      <c r="BR647" s="122"/>
      <c r="BS647" s="122"/>
      <c r="BT647" s="122"/>
      <c r="BU647" s="122"/>
      <c r="BV647" s="439"/>
      <c r="BW647" s="120">
        <f t="shared" si="984"/>
        <v>7450000</v>
      </c>
      <c r="BX647" s="121">
        <f t="shared" si="1051"/>
        <v>3.5000000000000003E-2</v>
      </c>
      <c r="BY647" s="121">
        <f t="shared" si="1054"/>
        <v>3.6171140939597314E-2</v>
      </c>
      <c r="BZ647" s="120">
        <f t="shared" si="985"/>
        <v>748.54166666666663</v>
      </c>
      <c r="CA647" s="120">
        <f t="shared" si="986"/>
        <v>96.666666666666629</v>
      </c>
    </row>
    <row r="648" spans="2:79" x14ac:dyDescent="0.25">
      <c r="B648" s="123" t="str">
        <f t="shared" si="974"/>
        <v>10 2026</v>
      </c>
      <c r="C648" s="122">
        <f t="shared" si="975"/>
        <v>46297</v>
      </c>
      <c r="D648" s="122">
        <f t="shared" si="1055"/>
        <v>46298</v>
      </c>
      <c r="E648" s="123">
        <f t="shared" si="976"/>
        <v>1</v>
      </c>
      <c r="F648" s="123" t="s">
        <v>7</v>
      </c>
      <c r="G648" s="124">
        <f t="shared" ref="G648:H648" si="1090">G647</f>
        <v>1450000</v>
      </c>
      <c r="H648" s="125">
        <f t="shared" si="1090"/>
        <v>3.15E-2</v>
      </c>
      <c r="I648" s="124">
        <f t="shared" si="978"/>
        <v>126.875</v>
      </c>
      <c r="J648" s="124">
        <f t="shared" si="979"/>
        <v>33608.75</v>
      </c>
      <c r="K648" s="9"/>
      <c r="L648" s="11"/>
      <c r="M648" s="306"/>
      <c r="N648" s="97"/>
      <c r="O648" s="421"/>
      <c r="P648" s="304"/>
      <c r="Q648" s="307"/>
      <c r="S648" s="11"/>
      <c r="T648" s="306"/>
      <c r="U648" s="97"/>
      <c r="V648" s="421"/>
      <c r="W648" s="304"/>
      <c r="X648" s="307"/>
      <c r="Z648" s="11"/>
      <c r="AA648" s="306"/>
      <c r="AB648" s="97"/>
      <c r="AC648" s="421"/>
      <c r="AD648" s="304"/>
      <c r="AE648" s="307"/>
      <c r="AG648" s="11" t="s">
        <v>192</v>
      </c>
      <c r="AH648" s="306">
        <f t="shared" ref="AH648:AI648" si="1091">AH647</f>
        <v>6000000</v>
      </c>
      <c r="AI648" s="97">
        <f t="shared" si="1091"/>
        <v>3.73E-2</v>
      </c>
      <c r="AJ648" s="421">
        <f t="shared" si="981"/>
        <v>621.66666666666663</v>
      </c>
      <c r="AK648" s="304">
        <f t="shared" si="982"/>
        <v>1243.3333333333333</v>
      </c>
      <c r="AL648" s="307">
        <f t="shared" si="983"/>
        <v>96.666666666666629</v>
      </c>
      <c r="AN648" s="304">
        <f>'codeis $'!AB648</f>
        <v>0</v>
      </c>
      <c r="AO648" s="340">
        <f>'codeis $'!AH648</f>
        <v>0</v>
      </c>
      <c r="AP648" s="304">
        <f>'codeis $'!AE648</f>
        <v>0</v>
      </c>
      <c r="AQ648" s="304">
        <f>'codeis $'!AK648</f>
        <v>0</v>
      </c>
      <c r="AR648" s="9"/>
      <c r="AS648" s="9"/>
      <c r="AT648" s="123"/>
      <c r="AU648" s="123"/>
      <c r="AV648" s="123"/>
      <c r="AW648" s="123"/>
      <c r="AX648" s="123"/>
      <c r="AY648" s="123"/>
      <c r="AZ648" s="123"/>
      <c r="BA648" s="123"/>
      <c r="BC648" s="122"/>
      <c r="BD648" s="122"/>
      <c r="BE648" s="122"/>
      <c r="BF648" s="122"/>
      <c r="BH648" s="122"/>
      <c r="BI648" s="122"/>
      <c r="BJ648" s="122"/>
      <c r="BK648" s="122"/>
      <c r="BM648" s="122"/>
      <c r="BN648" s="122"/>
      <c r="BO648" s="122"/>
      <c r="BP648" s="122"/>
      <c r="BR648" s="122"/>
      <c r="BS648" s="122"/>
      <c r="BT648" s="122"/>
      <c r="BU648" s="122"/>
      <c r="BV648" s="439"/>
      <c r="BW648" s="120">
        <f t="shared" si="984"/>
        <v>7450000</v>
      </c>
      <c r="BX648" s="121">
        <f t="shared" si="1051"/>
        <v>3.5000000000000003E-2</v>
      </c>
      <c r="BY648" s="121">
        <f t="shared" si="1054"/>
        <v>3.6171140939597314E-2</v>
      </c>
      <c r="BZ648" s="120">
        <f t="shared" si="985"/>
        <v>748.54166666666663</v>
      </c>
      <c r="CA648" s="120">
        <f t="shared" si="986"/>
        <v>96.666666666666629</v>
      </c>
    </row>
    <row r="649" spans="2:79" x14ac:dyDescent="0.25">
      <c r="B649" s="123" t="str">
        <f t="shared" si="974"/>
        <v>10 2026</v>
      </c>
      <c r="C649" s="122">
        <f t="shared" si="975"/>
        <v>46298</v>
      </c>
      <c r="D649" s="122">
        <f t="shared" si="1055"/>
        <v>46299</v>
      </c>
      <c r="E649" s="123">
        <f t="shared" si="976"/>
        <v>1</v>
      </c>
      <c r="F649" s="123" t="s">
        <v>7</v>
      </c>
      <c r="G649" s="124">
        <f t="shared" ref="G649:H649" si="1092">G648</f>
        <v>1450000</v>
      </c>
      <c r="H649" s="125">
        <f t="shared" si="1092"/>
        <v>3.15E-2</v>
      </c>
      <c r="I649" s="124">
        <f t="shared" si="978"/>
        <v>126.875</v>
      </c>
      <c r="J649" s="124">
        <f t="shared" si="979"/>
        <v>33735.625</v>
      </c>
      <c r="K649" s="9"/>
      <c r="L649" s="11"/>
      <c r="M649" s="306"/>
      <c r="N649" s="97"/>
      <c r="O649" s="421"/>
      <c r="P649" s="304"/>
      <c r="Q649" s="307"/>
      <c r="S649" s="11"/>
      <c r="T649" s="306"/>
      <c r="U649" s="97"/>
      <c r="V649" s="421"/>
      <c r="W649" s="304"/>
      <c r="X649" s="307"/>
      <c r="Z649" s="11"/>
      <c r="AA649" s="306"/>
      <c r="AB649" s="97"/>
      <c r="AC649" s="421"/>
      <c r="AD649" s="304"/>
      <c r="AE649" s="307"/>
      <c r="AG649" s="11" t="s">
        <v>192</v>
      </c>
      <c r="AH649" s="306">
        <f t="shared" ref="AH649:AI649" si="1093">AH648</f>
        <v>6000000</v>
      </c>
      <c r="AI649" s="97">
        <f t="shared" si="1093"/>
        <v>3.73E-2</v>
      </c>
      <c r="AJ649" s="421">
        <f t="shared" si="981"/>
        <v>621.66666666666663</v>
      </c>
      <c r="AK649" s="304">
        <f t="shared" si="982"/>
        <v>1243.3333333333333</v>
      </c>
      <c r="AL649" s="307">
        <f t="shared" si="983"/>
        <v>96.666666666666629</v>
      </c>
      <c r="AN649" s="304">
        <f>'codeis $'!AB649</f>
        <v>0</v>
      </c>
      <c r="AO649" s="340">
        <f>'codeis $'!AH649</f>
        <v>0</v>
      </c>
      <c r="AP649" s="304">
        <f>'codeis $'!AE649</f>
        <v>0</v>
      </c>
      <c r="AQ649" s="304">
        <f>'codeis $'!AK649</f>
        <v>0</v>
      </c>
      <c r="AR649" s="9"/>
      <c r="AS649" s="9"/>
      <c r="AT649" s="123"/>
      <c r="AU649" s="123"/>
      <c r="AV649" s="123"/>
      <c r="AW649" s="123"/>
      <c r="AX649" s="123"/>
      <c r="AY649" s="123"/>
      <c r="AZ649" s="123"/>
      <c r="BA649" s="123"/>
      <c r="BC649" s="122"/>
      <c r="BD649" s="122"/>
      <c r="BE649" s="122"/>
      <c r="BF649" s="122"/>
      <c r="BH649" s="122"/>
      <c r="BI649" s="122"/>
      <c r="BJ649" s="122"/>
      <c r="BK649" s="122"/>
      <c r="BM649" s="122"/>
      <c r="BN649" s="122"/>
      <c r="BO649" s="122"/>
      <c r="BP649" s="122"/>
      <c r="BR649" s="122"/>
      <c r="BS649" s="122"/>
      <c r="BT649" s="122"/>
      <c r="BU649" s="122"/>
      <c r="BV649" s="439"/>
      <c r="BW649" s="120">
        <f t="shared" si="984"/>
        <v>7450000</v>
      </c>
      <c r="BX649" s="121">
        <f t="shared" si="1051"/>
        <v>3.5000000000000003E-2</v>
      </c>
      <c r="BY649" s="121">
        <f t="shared" si="1054"/>
        <v>3.6171140939597314E-2</v>
      </c>
      <c r="BZ649" s="120">
        <f t="shared" si="985"/>
        <v>748.54166666666663</v>
      </c>
      <c r="CA649" s="120">
        <f t="shared" si="986"/>
        <v>96.666666666666629</v>
      </c>
    </row>
    <row r="650" spans="2:79" x14ac:dyDescent="0.25">
      <c r="B650" s="123" t="str">
        <f t="shared" si="974"/>
        <v>10 2026</v>
      </c>
      <c r="C650" s="122">
        <f t="shared" si="975"/>
        <v>46299</v>
      </c>
      <c r="D650" s="122">
        <f t="shared" si="1055"/>
        <v>46300</v>
      </c>
      <c r="E650" s="123">
        <f t="shared" si="976"/>
        <v>1</v>
      </c>
      <c r="F650" s="123" t="s">
        <v>7</v>
      </c>
      <c r="G650" s="124">
        <f t="shared" ref="G650:H650" si="1094">G649</f>
        <v>1450000</v>
      </c>
      <c r="H650" s="125">
        <f t="shared" si="1094"/>
        <v>3.15E-2</v>
      </c>
      <c r="I650" s="124">
        <f t="shared" si="978"/>
        <v>126.875</v>
      </c>
      <c r="J650" s="124">
        <f t="shared" si="979"/>
        <v>33862.5</v>
      </c>
      <c r="K650" s="9"/>
      <c r="L650" s="11"/>
      <c r="M650" s="306"/>
      <c r="N650" s="97"/>
      <c r="O650" s="421"/>
      <c r="P650" s="304"/>
      <c r="Q650" s="307"/>
      <c r="S650" s="11"/>
      <c r="T650" s="306"/>
      <c r="U650" s="97"/>
      <c r="V650" s="421"/>
      <c r="W650" s="304"/>
      <c r="X650" s="307"/>
      <c r="Z650" s="11"/>
      <c r="AA650" s="306"/>
      <c r="AB650" s="97"/>
      <c r="AC650" s="421"/>
      <c r="AD650" s="304"/>
      <c r="AE650" s="307"/>
      <c r="AG650" s="11" t="s">
        <v>192</v>
      </c>
      <c r="AH650" s="306">
        <f t="shared" ref="AH650:AI650" si="1095">AH649</f>
        <v>6000000</v>
      </c>
      <c r="AI650" s="97">
        <f t="shared" si="1095"/>
        <v>3.73E-2</v>
      </c>
      <c r="AJ650" s="421">
        <f t="shared" si="981"/>
        <v>621.66666666666663</v>
      </c>
      <c r="AK650" s="304">
        <f t="shared" si="982"/>
        <v>1243.3333333333333</v>
      </c>
      <c r="AL650" s="307">
        <f t="shared" si="983"/>
        <v>96.666666666666629</v>
      </c>
      <c r="AN650" s="304">
        <f>'codeis $'!AB650</f>
        <v>0</v>
      </c>
      <c r="AO650" s="340">
        <f>'codeis $'!AH650</f>
        <v>0</v>
      </c>
      <c r="AP650" s="304">
        <f>'codeis $'!AE650</f>
        <v>0</v>
      </c>
      <c r="AQ650" s="304">
        <f>'codeis $'!AK650</f>
        <v>0</v>
      </c>
      <c r="AR650" s="9"/>
      <c r="AS650" s="9"/>
      <c r="AT650" s="123"/>
      <c r="AU650" s="123"/>
      <c r="AV650" s="123"/>
      <c r="AW650" s="123"/>
      <c r="AX650" s="123"/>
      <c r="AY650" s="123"/>
      <c r="AZ650" s="123"/>
      <c r="BA650" s="123"/>
      <c r="BC650" s="122"/>
      <c r="BD650" s="122"/>
      <c r="BE650" s="122"/>
      <c r="BF650" s="122"/>
      <c r="BH650" s="122"/>
      <c r="BI650" s="122"/>
      <c r="BJ650" s="122"/>
      <c r="BK650" s="122"/>
      <c r="BM650" s="122"/>
      <c r="BN650" s="122"/>
      <c r="BO650" s="122"/>
      <c r="BP650" s="122"/>
      <c r="BR650" s="122"/>
      <c r="BS650" s="122"/>
      <c r="BT650" s="122"/>
      <c r="BU650" s="122"/>
      <c r="BV650" s="439"/>
      <c r="BW650" s="120">
        <f t="shared" si="984"/>
        <v>7450000</v>
      </c>
      <c r="BX650" s="121">
        <f t="shared" si="1051"/>
        <v>3.5000000000000003E-2</v>
      </c>
      <c r="BY650" s="121">
        <f t="shared" si="1054"/>
        <v>3.6171140939597314E-2</v>
      </c>
      <c r="BZ650" s="120">
        <f t="shared" si="985"/>
        <v>748.54166666666663</v>
      </c>
      <c r="CA650" s="120">
        <f t="shared" si="986"/>
        <v>96.666666666666629</v>
      </c>
    </row>
    <row r="651" spans="2:79" x14ac:dyDescent="0.25">
      <c r="B651" s="123" t="str">
        <f t="shared" si="974"/>
        <v>10 2026</v>
      </c>
      <c r="C651" s="122">
        <f t="shared" si="975"/>
        <v>46300</v>
      </c>
      <c r="D651" s="122">
        <f t="shared" si="1055"/>
        <v>46301</v>
      </c>
      <c r="E651" s="123">
        <f t="shared" si="976"/>
        <v>1</v>
      </c>
      <c r="F651" s="123" t="s">
        <v>7</v>
      </c>
      <c r="G651" s="124">
        <f t="shared" ref="G651:H651" si="1096">G650</f>
        <v>1450000</v>
      </c>
      <c r="H651" s="125">
        <f t="shared" si="1096"/>
        <v>3.15E-2</v>
      </c>
      <c r="I651" s="124">
        <f t="shared" si="978"/>
        <v>126.875</v>
      </c>
      <c r="J651" s="124">
        <f t="shared" si="979"/>
        <v>33989.375</v>
      </c>
      <c r="K651" s="9"/>
      <c r="L651" s="11"/>
      <c r="M651" s="306"/>
      <c r="N651" s="97"/>
      <c r="O651" s="421"/>
      <c r="P651" s="304"/>
      <c r="Q651" s="307"/>
      <c r="S651" s="11"/>
      <c r="T651" s="306"/>
      <c r="U651" s="97"/>
      <c r="V651" s="421"/>
      <c r="W651" s="304"/>
      <c r="X651" s="307"/>
      <c r="Z651" s="11"/>
      <c r="AA651" s="306"/>
      <c r="AB651" s="97"/>
      <c r="AC651" s="421"/>
      <c r="AD651" s="304"/>
      <c r="AE651" s="307"/>
      <c r="AG651" s="11" t="s">
        <v>192</v>
      </c>
      <c r="AH651" s="306">
        <f t="shared" ref="AH651:AI651" si="1097">AH650</f>
        <v>6000000</v>
      </c>
      <c r="AI651" s="97">
        <f t="shared" si="1097"/>
        <v>3.73E-2</v>
      </c>
      <c r="AJ651" s="421">
        <f t="shared" si="981"/>
        <v>621.66666666666663</v>
      </c>
      <c r="AK651" s="304">
        <f t="shared" si="982"/>
        <v>1243.3333333333333</v>
      </c>
      <c r="AL651" s="307">
        <f t="shared" si="983"/>
        <v>96.666666666666629</v>
      </c>
      <c r="AN651" s="304">
        <f>'codeis $'!AB651</f>
        <v>0</v>
      </c>
      <c r="AO651" s="340">
        <f>'codeis $'!AH651</f>
        <v>0</v>
      </c>
      <c r="AP651" s="304">
        <f>'codeis $'!AE651</f>
        <v>0</v>
      </c>
      <c r="AQ651" s="304">
        <f>'codeis $'!AK651</f>
        <v>0</v>
      </c>
      <c r="AR651" s="9"/>
      <c r="AS651" s="9"/>
      <c r="AT651" s="123"/>
      <c r="AU651" s="123"/>
      <c r="AV651" s="123"/>
      <c r="AW651" s="123"/>
      <c r="AX651" s="123"/>
      <c r="AY651" s="123"/>
      <c r="AZ651" s="123"/>
      <c r="BA651" s="123"/>
      <c r="BC651" s="122"/>
      <c r="BD651" s="122"/>
      <c r="BE651" s="122"/>
      <c r="BF651" s="122"/>
      <c r="BH651" s="122"/>
      <c r="BI651" s="122"/>
      <c r="BJ651" s="122"/>
      <c r="BK651" s="122"/>
      <c r="BM651" s="122"/>
      <c r="BN651" s="122"/>
      <c r="BO651" s="122"/>
      <c r="BP651" s="122"/>
      <c r="BR651" s="122"/>
      <c r="BS651" s="122"/>
      <c r="BT651" s="122"/>
      <c r="BU651" s="122"/>
      <c r="BV651" s="439"/>
      <c r="BW651" s="120">
        <f t="shared" si="984"/>
        <v>7450000</v>
      </c>
      <c r="BX651" s="121">
        <f t="shared" si="1051"/>
        <v>3.5000000000000003E-2</v>
      </c>
      <c r="BY651" s="121">
        <f t="shared" si="1054"/>
        <v>3.6171140939597314E-2</v>
      </c>
      <c r="BZ651" s="120">
        <f t="shared" si="985"/>
        <v>748.54166666666663</v>
      </c>
      <c r="CA651" s="120">
        <f t="shared" si="986"/>
        <v>96.666666666666629</v>
      </c>
    </row>
    <row r="652" spans="2:79" x14ac:dyDescent="0.25">
      <c r="B652" s="123" t="str">
        <f t="shared" si="974"/>
        <v>10 2026</v>
      </c>
      <c r="C652" s="122">
        <f t="shared" si="975"/>
        <v>46301</v>
      </c>
      <c r="D652" s="122">
        <f t="shared" si="1055"/>
        <v>46302</v>
      </c>
      <c r="E652" s="123">
        <f t="shared" si="976"/>
        <v>1</v>
      </c>
      <c r="F652" s="123" t="s">
        <v>7</v>
      </c>
      <c r="G652" s="124">
        <f t="shared" ref="G652:H652" si="1098">G651</f>
        <v>1450000</v>
      </c>
      <c r="H652" s="125">
        <f t="shared" si="1098"/>
        <v>3.15E-2</v>
      </c>
      <c r="I652" s="124">
        <f t="shared" si="978"/>
        <v>126.875</v>
      </c>
      <c r="J652" s="124">
        <f t="shared" si="979"/>
        <v>34116.25</v>
      </c>
      <c r="K652" s="9"/>
      <c r="L652" s="11"/>
      <c r="M652" s="306"/>
      <c r="N652" s="97"/>
      <c r="O652" s="421"/>
      <c r="P652" s="304"/>
      <c r="Q652" s="307"/>
      <c r="S652" s="11"/>
      <c r="T652" s="306"/>
      <c r="U652" s="97"/>
      <c r="V652" s="421"/>
      <c r="W652" s="304"/>
      <c r="X652" s="307"/>
      <c r="Z652" s="11"/>
      <c r="AA652" s="306"/>
      <c r="AB652" s="97"/>
      <c r="AC652" s="421"/>
      <c r="AD652" s="304"/>
      <c r="AE652" s="307"/>
      <c r="AG652" s="11" t="s">
        <v>192</v>
      </c>
      <c r="AH652" s="306">
        <f t="shared" ref="AH652:AI652" si="1099">AH651</f>
        <v>6000000</v>
      </c>
      <c r="AI652" s="97">
        <f t="shared" si="1099"/>
        <v>3.73E-2</v>
      </c>
      <c r="AJ652" s="421">
        <f t="shared" si="981"/>
        <v>621.66666666666663</v>
      </c>
      <c r="AK652" s="304">
        <f t="shared" si="982"/>
        <v>1243.3333333333333</v>
      </c>
      <c r="AL652" s="307">
        <f t="shared" si="983"/>
        <v>96.666666666666629</v>
      </c>
      <c r="AN652" s="304">
        <f>'codeis $'!AB652</f>
        <v>0</v>
      </c>
      <c r="AO652" s="340">
        <f>'codeis $'!AH652</f>
        <v>0</v>
      </c>
      <c r="AP652" s="304">
        <f>'codeis $'!AE652</f>
        <v>0</v>
      </c>
      <c r="AQ652" s="304">
        <f>'codeis $'!AK652</f>
        <v>0</v>
      </c>
      <c r="AR652" s="9"/>
      <c r="AS652" s="9"/>
      <c r="AT652" s="123"/>
      <c r="AU652" s="123"/>
      <c r="AV652" s="123"/>
      <c r="AW652" s="123"/>
      <c r="AX652" s="123"/>
      <c r="AY652" s="123"/>
      <c r="AZ652" s="123"/>
      <c r="BA652" s="123"/>
      <c r="BC652" s="122"/>
      <c r="BD652" s="122"/>
      <c r="BE652" s="122"/>
      <c r="BF652" s="122"/>
      <c r="BH652" s="122"/>
      <c r="BI652" s="122"/>
      <c r="BJ652" s="122"/>
      <c r="BK652" s="122"/>
      <c r="BM652" s="122"/>
      <c r="BN652" s="122"/>
      <c r="BO652" s="122"/>
      <c r="BP652" s="122"/>
      <c r="BR652" s="122"/>
      <c r="BS652" s="122"/>
      <c r="BT652" s="122"/>
      <c r="BU652" s="122"/>
      <c r="BV652" s="439"/>
      <c r="BW652" s="120">
        <f t="shared" si="984"/>
        <v>7450000</v>
      </c>
      <c r="BX652" s="121">
        <f t="shared" si="1051"/>
        <v>3.5000000000000003E-2</v>
      </c>
      <c r="BY652" s="121">
        <f t="shared" si="1054"/>
        <v>3.6171140939597314E-2</v>
      </c>
      <c r="BZ652" s="120">
        <f t="shared" si="985"/>
        <v>748.54166666666663</v>
      </c>
      <c r="CA652" s="120">
        <f t="shared" si="986"/>
        <v>96.666666666666629</v>
      </c>
    </row>
    <row r="653" spans="2:79" x14ac:dyDescent="0.25">
      <c r="B653" s="123" t="str">
        <f t="shared" si="974"/>
        <v>10 2026</v>
      </c>
      <c r="C653" s="122">
        <f t="shared" si="975"/>
        <v>46302</v>
      </c>
      <c r="D653" s="122">
        <f t="shared" si="1055"/>
        <v>46303</v>
      </c>
      <c r="E653" s="123">
        <f t="shared" si="976"/>
        <v>1</v>
      </c>
      <c r="F653" s="123" t="s">
        <v>7</v>
      </c>
      <c r="G653" s="124">
        <f t="shared" ref="G653:H653" si="1100">G652</f>
        <v>1450000</v>
      </c>
      <c r="H653" s="125">
        <f t="shared" si="1100"/>
        <v>3.15E-2</v>
      </c>
      <c r="I653" s="124">
        <f t="shared" si="978"/>
        <v>126.875</v>
      </c>
      <c r="J653" s="124">
        <f t="shared" si="979"/>
        <v>34243.125</v>
      </c>
      <c r="K653" s="9"/>
      <c r="L653" s="11"/>
      <c r="M653" s="306"/>
      <c r="N653" s="97"/>
      <c r="O653" s="421"/>
      <c r="P653" s="304"/>
      <c r="Q653" s="307"/>
      <c r="S653" s="11"/>
      <c r="T653" s="306"/>
      <c r="U653" s="97"/>
      <c r="V653" s="421"/>
      <c r="W653" s="304"/>
      <c r="X653" s="307"/>
      <c r="Z653" s="11"/>
      <c r="AA653" s="306"/>
      <c r="AB653" s="97"/>
      <c r="AC653" s="421"/>
      <c r="AD653" s="304"/>
      <c r="AE653" s="307"/>
      <c r="AG653" s="11" t="s">
        <v>192</v>
      </c>
      <c r="AH653" s="306">
        <f t="shared" ref="AH653:AI653" si="1101">AH652</f>
        <v>6000000</v>
      </c>
      <c r="AI653" s="97">
        <f t="shared" si="1101"/>
        <v>3.73E-2</v>
      </c>
      <c r="AJ653" s="421">
        <f t="shared" si="981"/>
        <v>621.66666666666663</v>
      </c>
      <c r="AK653" s="304">
        <f t="shared" si="982"/>
        <v>1243.3333333333333</v>
      </c>
      <c r="AL653" s="307">
        <f t="shared" si="983"/>
        <v>96.666666666666629</v>
      </c>
      <c r="AN653" s="304">
        <f>'codeis $'!AB653</f>
        <v>0</v>
      </c>
      <c r="AO653" s="340">
        <f>'codeis $'!AH653</f>
        <v>0</v>
      </c>
      <c r="AP653" s="304">
        <f>'codeis $'!AE653</f>
        <v>0</v>
      </c>
      <c r="AQ653" s="304">
        <f>'codeis $'!AK653</f>
        <v>0</v>
      </c>
      <c r="AR653" s="9"/>
      <c r="AS653" s="9"/>
      <c r="AT653" s="123"/>
      <c r="AU653" s="123"/>
      <c r="AV653" s="123"/>
      <c r="AW653" s="123"/>
      <c r="AX653" s="123"/>
      <c r="AY653" s="123"/>
      <c r="AZ653" s="123"/>
      <c r="BA653" s="123"/>
      <c r="BC653" s="122"/>
      <c r="BD653" s="122"/>
      <c r="BE653" s="122"/>
      <c r="BF653" s="122"/>
      <c r="BH653" s="122"/>
      <c r="BI653" s="122"/>
      <c r="BJ653" s="122"/>
      <c r="BK653" s="122"/>
      <c r="BM653" s="122"/>
      <c r="BN653" s="122"/>
      <c r="BO653" s="122"/>
      <c r="BP653" s="122"/>
      <c r="BR653" s="122"/>
      <c r="BS653" s="122"/>
      <c r="BT653" s="122"/>
      <c r="BU653" s="122"/>
      <c r="BV653" s="439"/>
      <c r="BW653" s="120">
        <f t="shared" si="984"/>
        <v>7450000</v>
      </c>
      <c r="BX653" s="121">
        <f t="shared" si="1051"/>
        <v>3.5000000000000003E-2</v>
      </c>
      <c r="BY653" s="121">
        <f t="shared" si="1054"/>
        <v>3.6171140939597314E-2</v>
      </c>
      <c r="BZ653" s="120">
        <f t="shared" si="985"/>
        <v>748.54166666666663</v>
      </c>
      <c r="CA653" s="120">
        <f t="shared" si="986"/>
        <v>96.666666666666629</v>
      </c>
    </row>
    <row r="654" spans="2:79" x14ac:dyDescent="0.25">
      <c r="B654" s="123" t="str">
        <f t="shared" si="974"/>
        <v>10 2026</v>
      </c>
      <c r="C654" s="122">
        <f t="shared" si="975"/>
        <v>46303</v>
      </c>
      <c r="D654" s="122">
        <f t="shared" si="1055"/>
        <v>46304</v>
      </c>
      <c r="E654" s="123">
        <f t="shared" si="976"/>
        <v>1</v>
      </c>
      <c r="F654" s="123" t="s">
        <v>7</v>
      </c>
      <c r="G654" s="124">
        <f t="shared" ref="G654:H654" si="1102">G653</f>
        <v>1450000</v>
      </c>
      <c r="H654" s="125">
        <f t="shared" si="1102"/>
        <v>3.15E-2</v>
      </c>
      <c r="I654" s="124">
        <f t="shared" si="978"/>
        <v>126.875</v>
      </c>
      <c r="J654" s="124">
        <f t="shared" si="979"/>
        <v>34370</v>
      </c>
      <c r="K654" s="9"/>
      <c r="L654" s="11"/>
      <c r="M654" s="306"/>
      <c r="N654" s="97"/>
      <c r="O654" s="421"/>
      <c r="P654" s="304"/>
      <c r="Q654" s="307"/>
      <c r="S654" s="11"/>
      <c r="T654" s="306"/>
      <c r="U654" s="97"/>
      <c r="V654" s="421"/>
      <c r="W654" s="304"/>
      <c r="X654" s="307"/>
      <c r="Z654" s="11"/>
      <c r="AA654" s="306"/>
      <c r="AB654" s="97"/>
      <c r="AC654" s="421"/>
      <c r="AD654" s="304"/>
      <c r="AE654" s="307"/>
      <c r="AG654" s="11" t="s">
        <v>192</v>
      </c>
      <c r="AH654" s="306">
        <f t="shared" ref="AH654:AI654" si="1103">AH653</f>
        <v>6000000</v>
      </c>
      <c r="AI654" s="97">
        <f t="shared" si="1103"/>
        <v>3.73E-2</v>
      </c>
      <c r="AJ654" s="421">
        <f t="shared" si="981"/>
        <v>621.66666666666663</v>
      </c>
      <c r="AK654" s="304">
        <f t="shared" si="982"/>
        <v>1243.3333333333333</v>
      </c>
      <c r="AL654" s="307">
        <f t="shared" si="983"/>
        <v>96.666666666666629</v>
      </c>
      <c r="AN654" s="304">
        <f>'codeis $'!AB654</f>
        <v>0</v>
      </c>
      <c r="AO654" s="340">
        <f>'codeis $'!AH654</f>
        <v>0</v>
      </c>
      <c r="AP654" s="304">
        <f>'codeis $'!AE654</f>
        <v>0</v>
      </c>
      <c r="AQ654" s="304">
        <f>'codeis $'!AK654</f>
        <v>0</v>
      </c>
      <c r="AR654" s="9"/>
      <c r="AS654" s="9"/>
      <c r="AT654" s="123"/>
      <c r="AU654" s="123"/>
      <c r="AV654" s="123"/>
      <c r="AW654" s="123"/>
      <c r="AX654" s="123"/>
      <c r="AY654" s="123"/>
      <c r="AZ654" s="123"/>
      <c r="BA654" s="123"/>
      <c r="BC654" s="122"/>
      <c r="BD654" s="122"/>
      <c r="BE654" s="122"/>
      <c r="BF654" s="122"/>
      <c r="BH654" s="122"/>
      <c r="BI654" s="122"/>
      <c r="BJ654" s="122"/>
      <c r="BK654" s="122"/>
      <c r="BM654" s="122"/>
      <c r="BN654" s="122"/>
      <c r="BO654" s="122"/>
      <c r="BP654" s="122"/>
      <c r="BR654" s="122"/>
      <c r="BS654" s="122"/>
      <c r="BT654" s="122"/>
      <c r="BU654" s="122"/>
      <c r="BV654" s="439"/>
      <c r="BW654" s="120">
        <f t="shared" si="984"/>
        <v>7450000</v>
      </c>
      <c r="BX654" s="121">
        <f t="shared" si="1051"/>
        <v>3.5000000000000003E-2</v>
      </c>
      <c r="BY654" s="121">
        <f t="shared" si="1054"/>
        <v>3.6171140939597314E-2</v>
      </c>
      <c r="BZ654" s="120">
        <f t="shared" si="985"/>
        <v>748.54166666666663</v>
      </c>
      <c r="CA654" s="120">
        <f t="shared" si="986"/>
        <v>96.666666666666629</v>
      </c>
    </row>
    <row r="655" spans="2:79" x14ac:dyDescent="0.25">
      <c r="B655" s="123" t="str">
        <f t="shared" si="974"/>
        <v>10 2026</v>
      </c>
      <c r="C655" s="122">
        <f t="shared" si="975"/>
        <v>46304</v>
      </c>
      <c r="D655" s="122">
        <f t="shared" si="1055"/>
        <v>46305</v>
      </c>
      <c r="E655" s="123">
        <f t="shared" si="976"/>
        <v>1</v>
      </c>
      <c r="F655" s="123" t="s">
        <v>7</v>
      </c>
      <c r="G655" s="124">
        <f t="shared" ref="G655:H655" si="1104">G654</f>
        <v>1450000</v>
      </c>
      <c r="H655" s="125">
        <f t="shared" si="1104"/>
        <v>3.15E-2</v>
      </c>
      <c r="I655" s="124">
        <f t="shared" si="978"/>
        <v>126.875</v>
      </c>
      <c r="J655" s="124">
        <f t="shared" si="979"/>
        <v>34496.875</v>
      </c>
      <c r="K655" s="9"/>
      <c r="L655" s="11"/>
      <c r="M655" s="306"/>
      <c r="N655" s="97"/>
      <c r="O655" s="421"/>
      <c r="P655" s="304"/>
      <c r="Q655" s="307"/>
      <c r="S655" s="11"/>
      <c r="T655" s="306"/>
      <c r="U655" s="97"/>
      <c r="V655" s="421"/>
      <c r="W655" s="304"/>
      <c r="X655" s="307"/>
      <c r="Z655" s="11"/>
      <c r="AA655" s="306"/>
      <c r="AB655" s="97"/>
      <c r="AC655" s="421"/>
      <c r="AD655" s="304"/>
      <c r="AE655" s="307"/>
      <c r="AG655" s="11" t="s">
        <v>192</v>
      </c>
      <c r="AH655" s="306">
        <f t="shared" ref="AH655:AI655" si="1105">AH654</f>
        <v>6000000</v>
      </c>
      <c r="AI655" s="97">
        <f t="shared" si="1105"/>
        <v>3.73E-2</v>
      </c>
      <c r="AJ655" s="421">
        <f t="shared" si="981"/>
        <v>621.66666666666663</v>
      </c>
      <c r="AK655" s="304">
        <f t="shared" si="982"/>
        <v>1243.3333333333333</v>
      </c>
      <c r="AL655" s="307">
        <f t="shared" si="983"/>
        <v>96.666666666666629</v>
      </c>
      <c r="AN655" s="304">
        <f>'codeis $'!AB655</f>
        <v>0</v>
      </c>
      <c r="AO655" s="340">
        <f>'codeis $'!AH655</f>
        <v>0</v>
      </c>
      <c r="AP655" s="304">
        <f>'codeis $'!AE655</f>
        <v>0</v>
      </c>
      <c r="AQ655" s="304">
        <f>'codeis $'!AK655</f>
        <v>0</v>
      </c>
      <c r="AR655" s="9"/>
      <c r="AS655" s="9"/>
      <c r="AT655" s="123"/>
      <c r="AU655" s="123"/>
      <c r="AV655" s="123"/>
      <c r="AW655" s="123"/>
      <c r="AX655" s="123"/>
      <c r="AY655" s="123"/>
      <c r="AZ655" s="123"/>
      <c r="BA655" s="123"/>
      <c r="BC655" s="122"/>
      <c r="BD655" s="122"/>
      <c r="BE655" s="122"/>
      <c r="BF655" s="122"/>
      <c r="BH655" s="122"/>
      <c r="BI655" s="122"/>
      <c r="BJ655" s="122"/>
      <c r="BK655" s="122"/>
      <c r="BM655" s="122"/>
      <c r="BN655" s="122"/>
      <c r="BO655" s="122"/>
      <c r="BP655" s="122"/>
      <c r="BR655" s="122"/>
      <c r="BS655" s="122"/>
      <c r="BT655" s="122"/>
      <c r="BU655" s="122"/>
      <c r="BV655" s="439"/>
      <c r="BW655" s="120">
        <f t="shared" si="984"/>
        <v>7450000</v>
      </c>
      <c r="BX655" s="121">
        <f t="shared" si="1051"/>
        <v>3.5000000000000003E-2</v>
      </c>
      <c r="BY655" s="121">
        <f t="shared" si="1054"/>
        <v>3.6171140939597314E-2</v>
      </c>
      <c r="BZ655" s="120">
        <f t="shared" si="985"/>
        <v>748.54166666666663</v>
      </c>
      <c r="CA655" s="120">
        <f t="shared" si="986"/>
        <v>96.666666666666629</v>
      </c>
    </row>
    <row r="656" spans="2:79" x14ac:dyDescent="0.25">
      <c r="B656" s="123" t="str">
        <f t="shared" si="974"/>
        <v>10 2026</v>
      </c>
      <c r="C656" s="122">
        <f t="shared" si="975"/>
        <v>46305</v>
      </c>
      <c r="D656" s="122">
        <f t="shared" si="1055"/>
        <v>46306</v>
      </c>
      <c r="E656" s="123">
        <f t="shared" si="976"/>
        <v>1</v>
      </c>
      <c r="F656" s="123" t="s">
        <v>7</v>
      </c>
      <c r="G656" s="124">
        <f t="shared" ref="G656:H656" si="1106">G655</f>
        <v>1450000</v>
      </c>
      <c r="H656" s="125">
        <f t="shared" si="1106"/>
        <v>3.15E-2</v>
      </c>
      <c r="I656" s="124">
        <f t="shared" si="978"/>
        <v>126.875</v>
      </c>
      <c r="J656" s="124">
        <f t="shared" si="979"/>
        <v>34623.75</v>
      </c>
      <c r="K656" s="9"/>
      <c r="L656" s="11"/>
      <c r="M656" s="306"/>
      <c r="N656" s="97"/>
      <c r="O656" s="421"/>
      <c r="P656" s="304"/>
      <c r="Q656" s="307"/>
      <c r="S656" s="11"/>
      <c r="T656" s="306"/>
      <c r="U656" s="97"/>
      <c r="V656" s="421"/>
      <c r="W656" s="304"/>
      <c r="X656" s="307"/>
      <c r="Z656" s="11"/>
      <c r="AA656" s="306"/>
      <c r="AB656" s="97"/>
      <c r="AC656" s="421"/>
      <c r="AD656" s="304"/>
      <c r="AE656" s="307"/>
      <c r="AG656" s="11" t="s">
        <v>192</v>
      </c>
      <c r="AH656" s="306">
        <f t="shared" ref="AH656:AI656" si="1107">AH655</f>
        <v>6000000</v>
      </c>
      <c r="AI656" s="97">
        <f t="shared" si="1107"/>
        <v>3.73E-2</v>
      </c>
      <c r="AJ656" s="421">
        <f t="shared" si="981"/>
        <v>621.66666666666663</v>
      </c>
      <c r="AK656" s="304">
        <f t="shared" si="982"/>
        <v>1243.3333333333333</v>
      </c>
      <c r="AL656" s="307">
        <f t="shared" si="983"/>
        <v>96.666666666666629</v>
      </c>
      <c r="AN656" s="304">
        <f>'codeis $'!AB656</f>
        <v>0</v>
      </c>
      <c r="AO656" s="340">
        <f>'codeis $'!AH656</f>
        <v>0</v>
      </c>
      <c r="AP656" s="304">
        <f>'codeis $'!AE656</f>
        <v>0</v>
      </c>
      <c r="AQ656" s="304">
        <f>'codeis $'!AK656</f>
        <v>0</v>
      </c>
      <c r="AR656" s="9"/>
      <c r="AS656" s="9"/>
      <c r="AT656" s="123"/>
      <c r="AU656" s="123"/>
      <c r="AV656" s="123"/>
      <c r="AW656" s="123"/>
      <c r="AX656" s="123"/>
      <c r="AY656" s="123"/>
      <c r="AZ656" s="123"/>
      <c r="BA656" s="123"/>
      <c r="BC656" s="122"/>
      <c r="BD656" s="122"/>
      <c r="BE656" s="122"/>
      <c r="BF656" s="122"/>
      <c r="BH656" s="122"/>
      <c r="BI656" s="122"/>
      <c r="BJ656" s="122"/>
      <c r="BK656" s="122"/>
      <c r="BM656" s="122"/>
      <c r="BN656" s="122"/>
      <c r="BO656" s="122"/>
      <c r="BP656" s="122"/>
      <c r="BR656" s="122"/>
      <c r="BS656" s="122"/>
      <c r="BT656" s="122"/>
      <c r="BU656" s="122"/>
      <c r="BV656" s="439"/>
      <c r="BW656" s="120">
        <f t="shared" si="984"/>
        <v>7450000</v>
      </c>
      <c r="BX656" s="121">
        <f t="shared" si="1051"/>
        <v>3.5000000000000003E-2</v>
      </c>
      <c r="BY656" s="121">
        <f t="shared" si="1054"/>
        <v>3.6171140939597314E-2</v>
      </c>
      <c r="BZ656" s="120">
        <f t="shared" si="985"/>
        <v>748.54166666666663</v>
      </c>
      <c r="CA656" s="120">
        <f t="shared" si="986"/>
        <v>96.666666666666629</v>
      </c>
    </row>
    <row r="657" spans="2:79" x14ac:dyDescent="0.25">
      <c r="B657" s="123" t="str">
        <f t="shared" si="974"/>
        <v>10 2026</v>
      </c>
      <c r="C657" s="122">
        <f t="shared" si="975"/>
        <v>46306</v>
      </c>
      <c r="D657" s="122">
        <f t="shared" si="1055"/>
        <v>46307</v>
      </c>
      <c r="E657" s="123">
        <f t="shared" si="976"/>
        <v>1</v>
      </c>
      <c r="F657" s="123" t="s">
        <v>7</v>
      </c>
      <c r="G657" s="124">
        <f t="shared" ref="G657:H657" si="1108">G656</f>
        <v>1450000</v>
      </c>
      <c r="H657" s="125">
        <f t="shared" si="1108"/>
        <v>3.15E-2</v>
      </c>
      <c r="I657" s="124">
        <f t="shared" si="978"/>
        <v>126.875</v>
      </c>
      <c r="J657" s="124">
        <f t="shared" si="979"/>
        <v>34750.625</v>
      </c>
      <c r="K657" s="9"/>
      <c r="L657" s="11"/>
      <c r="M657" s="306"/>
      <c r="N657" s="97"/>
      <c r="O657" s="421"/>
      <c r="P657" s="304"/>
      <c r="Q657" s="307"/>
      <c r="S657" s="11"/>
      <c r="T657" s="306"/>
      <c r="U657" s="97"/>
      <c r="V657" s="421"/>
      <c r="W657" s="304"/>
      <c r="X657" s="307"/>
      <c r="Z657" s="11"/>
      <c r="AA657" s="306"/>
      <c r="AB657" s="97"/>
      <c r="AC657" s="421"/>
      <c r="AD657" s="304"/>
      <c r="AE657" s="307"/>
      <c r="AG657" s="11" t="s">
        <v>192</v>
      </c>
      <c r="AH657" s="306">
        <f t="shared" ref="AH657:AI657" si="1109">AH656</f>
        <v>6000000</v>
      </c>
      <c r="AI657" s="97">
        <f t="shared" si="1109"/>
        <v>3.73E-2</v>
      </c>
      <c r="AJ657" s="421">
        <f t="shared" si="981"/>
        <v>621.66666666666663</v>
      </c>
      <c r="AK657" s="304">
        <f t="shared" si="982"/>
        <v>1243.3333333333333</v>
      </c>
      <c r="AL657" s="307">
        <f t="shared" si="983"/>
        <v>96.666666666666629</v>
      </c>
      <c r="AN657" s="304">
        <f>'codeis $'!AB657</f>
        <v>0</v>
      </c>
      <c r="AO657" s="340">
        <f>'codeis $'!AH657</f>
        <v>0</v>
      </c>
      <c r="AP657" s="304">
        <f>'codeis $'!AE657</f>
        <v>0</v>
      </c>
      <c r="AQ657" s="304">
        <f>'codeis $'!AK657</f>
        <v>0</v>
      </c>
      <c r="AR657" s="9"/>
      <c r="AS657" s="9"/>
      <c r="AT657" s="123"/>
      <c r="AU657" s="123"/>
      <c r="AV657" s="123"/>
      <c r="AW657" s="123"/>
      <c r="AX657" s="123"/>
      <c r="AY657" s="123"/>
      <c r="AZ657" s="123"/>
      <c r="BA657" s="123"/>
      <c r="BC657" s="122"/>
      <c r="BD657" s="122"/>
      <c r="BE657" s="122"/>
      <c r="BF657" s="122"/>
      <c r="BH657" s="122"/>
      <c r="BI657" s="122"/>
      <c r="BJ657" s="122"/>
      <c r="BK657" s="122"/>
      <c r="BM657" s="122"/>
      <c r="BN657" s="122"/>
      <c r="BO657" s="122"/>
      <c r="BP657" s="122"/>
      <c r="BR657" s="122"/>
      <c r="BS657" s="122"/>
      <c r="BT657" s="122"/>
      <c r="BU657" s="122"/>
      <c r="BV657" s="439"/>
      <c r="BW657" s="120">
        <f t="shared" si="984"/>
        <v>7450000</v>
      </c>
      <c r="BX657" s="121">
        <f t="shared" si="1051"/>
        <v>3.5000000000000003E-2</v>
      </c>
      <c r="BY657" s="121">
        <f t="shared" si="1054"/>
        <v>3.6171140939597314E-2</v>
      </c>
      <c r="BZ657" s="120">
        <f t="shared" si="985"/>
        <v>748.54166666666663</v>
      </c>
      <c r="CA657" s="120">
        <f t="shared" si="986"/>
        <v>96.666666666666629</v>
      </c>
    </row>
    <row r="658" spans="2:79" x14ac:dyDescent="0.25">
      <c r="B658" s="123" t="str">
        <f t="shared" si="974"/>
        <v>10 2026</v>
      </c>
      <c r="C658" s="122">
        <f t="shared" si="975"/>
        <v>46307</v>
      </c>
      <c r="D658" s="122">
        <f t="shared" si="1055"/>
        <v>46308</v>
      </c>
      <c r="E658" s="123">
        <f t="shared" si="976"/>
        <v>1</v>
      </c>
      <c r="F658" s="123" t="s">
        <v>7</v>
      </c>
      <c r="G658" s="124">
        <f t="shared" ref="G658:H658" si="1110">G657</f>
        <v>1450000</v>
      </c>
      <c r="H658" s="125">
        <f t="shared" si="1110"/>
        <v>3.15E-2</v>
      </c>
      <c r="I658" s="124">
        <f t="shared" si="978"/>
        <v>126.875</v>
      </c>
      <c r="J658" s="124">
        <f t="shared" si="979"/>
        <v>34877.5</v>
      </c>
      <c r="K658" s="9"/>
      <c r="L658" s="11"/>
      <c r="M658" s="306"/>
      <c r="N658" s="97"/>
      <c r="O658" s="421"/>
      <c r="P658" s="304"/>
      <c r="Q658" s="307"/>
      <c r="S658" s="11"/>
      <c r="T658" s="306"/>
      <c r="U658" s="97"/>
      <c r="V658" s="421"/>
      <c r="W658" s="304"/>
      <c r="X658" s="307"/>
      <c r="Z658" s="11"/>
      <c r="AA658" s="306"/>
      <c r="AB658" s="97"/>
      <c r="AC658" s="421"/>
      <c r="AD658" s="304"/>
      <c r="AE658" s="307"/>
      <c r="AG658" s="11" t="s">
        <v>192</v>
      </c>
      <c r="AH658" s="306">
        <f t="shared" ref="AH658:AI658" si="1111">AH657</f>
        <v>6000000</v>
      </c>
      <c r="AI658" s="97">
        <f t="shared" si="1111"/>
        <v>3.73E-2</v>
      </c>
      <c r="AJ658" s="421">
        <f t="shared" si="981"/>
        <v>621.66666666666663</v>
      </c>
      <c r="AK658" s="304">
        <f t="shared" si="982"/>
        <v>1243.3333333333333</v>
      </c>
      <c r="AL658" s="307">
        <f t="shared" si="983"/>
        <v>96.666666666666629</v>
      </c>
      <c r="AN658" s="304">
        <f>'codeis $'!AB658</f>
        <v>0</v>
      </c>
      <c r="AO658" s="340">
        <f>'codeis $'!AH658</f>
        <v>0</v>
      </c>
      <c r="AP658" s="304">
        <f>'codeis $'!AE658</f>
        <v>0</v>
      </c>
      <c r="AQ658" s="304">
        <f>'codeis $'!AK658</f>
        <v>0</v>
      </c>
      <c r="AR658" s="9"/>
      <c r="AS658" s="9"/>
      <c r="AT658" s="123"/>
      <c r="AU658" s="123"/>
      <c r="AV658" s="123"/>
      <c r="AW658" s="123"/>
      <c r="AX658" s="123"/>
      <c r="AY658" s="123"/>
      <c r="AZ658" s="123"/>
      <c r="BA658" s="123"/>
      <c r="BC658" s="122"/>
      <c r="BD658" s="122"/>
      <c r="BE658" s="122"/>
      <c r="BF658" s="122"/>
      <c r="BH658" s="122"/>
      <c r="BI658" s="122"/>
      <c r="BJ658" s="122"/>
      <c r="BK658" s="122"/>
      <c r="BM658" s="122"/>
      <c r="BN658" s="122"/>
      <c r="BO658" s="122"/>
      <c r="BP658" s="122"/>
      <c r="BR658" s="122"/>
      <c r="BS658" s="122"/>
      <c r="BT658" s="122"/>
      <c r="BU658" s="122"/>
      <c r="BV658" s="439"/>
      <c r="BW658" s="120">
        <f t="shared" si="984"/>
        <v>7450000</v>
      </c>
      <c r="BX658" s="121">
        <f t="shared" si="1051"/>
        <v>3.5000000000000003E-2</v>
      </c>
      <c r="BY658" s="121">
        <f t="shared" si="1054"/>
        <v>3.6171140939597314E-2</v>
      </c>
      <c r="BZ658" s="120">
        <f t="shared" si="985"/>
        <v>748.54166666666663</v>
      </c>
      <c r="CA658" s="120">
        <f t="shared" si="986"/>
        <v>96.666666666666629</v>
      </c>
    </row>
    <row r="659" spans="2:79" x14ac:dyDescent="0.25">
      <c r="B659" s="123" t="str">
        <f t="shared" si="974"/>
        <v>10 2026</v>
      </c>
      <c r="C659" s="122">
        <f t="shared" si="975"/>
        <v>46308</v>
      </c>
      <c r="D659" s="122">
        <f t="shared" si="1055"/>
        <v>46309</v>
      </c>
      <c r="E659" s="123">
        <f t="shared" si="976"/>
        <v>1</v>
      </c>
      <c r="F659" s="123" t="s">
        <v>7</v>
      </c>
      <c r="G659" s="124">
        <f t="shared" ref="G659:H659" si="1112">G658</f>
        <v>1450000</v>
      </c>
      <c r="H659" s="125">
        <f t="shared" si="1112"/>
        <v>3.15E-2</v>
      </c>
      <c r="I659" s="124">
        <f t="shared" si="978"/>
        <v>126.875</v>
      </c>
      <c r="J659" s="124">
        <f t="shared" si="979"/>
        <v>35004.375</v>
      </c>
      <c r="K659" s="9"/>
      <c r="L659" s="11"/>
      <c r="M659" s="306"/>
      <c r="N659" s="97"/>
      <c r="O659" s="421"/>
      <c r="P659" s="304"/>
      <c r="Q659" s="307"/>
      <c r="S659" s="11"/>
      <c r="T659" s="306"/>
      <c r="U659" s="97"/>
      <c r="V659" s="421"/>
      <c r="W659" s="304"/>
      <c r="X659" s="307"/>
      <c r="Z659" s="11"/>
      <c r="AA659" s="306"/>
      <c r="AB659" s="97"/>
      <c r="AC659" s="421"/>
      <c r="AD659" s="304"/>
      <c r="AE659" s="307"/>
      <c r="AG659" s="11" t="s">
        <v>192</v>
      </c>
      <c r="AH659" s="306">
        <f t="shared" ref="AH659:AI659" si="1113">AH658</f>
        <v>6000000</v>
      </c>
      <c r="AI659" s="97">
        <f t="shared" si="1113"/>
        <v>3.73E-2</v>
      </c>
      <c r="AJ659" s="421">
        <f t="shared" si="981"/>
        <v>621.66666666666663</v>
      </c>
      <c r="AK659" s="304">
        <f t="shared" si="982"/>
        <v>1243.3333333333333</v>
      </c>
      <c r="AL659" s="307">
        <f t="shared" si="983"/>
        <v>96.666666666666629</v>
      </c>
      <c r="AN659" s="304">
        <f>'codeis $'!AB659</f>
        <v>0</v>
      </c>
      <c r="AO659" s="340">
        <f>'codeis $'!AH659</f>
        <v>0</v>
      </c>
      <c r="AP659" s="304">
        <f>'codeis $'!AE659</f>
        <v>0</v>
      </c>
      <c r="AQ659" s="304">
        <f>'codeis $'!AK659</f>
        <v>0</v>
      </c>
      <c r="AR659" s="9"/>
      <c r="AS659" s="9"/>
      <c r="AT659" s="123"/>
      <c r="AU659" s="123"/>
      <c r="AV659" s="123"/>
      <c r="AW659" s="123"/>
      <c r="AX659" s="123"/>
      <c r="AY659" s="123"/>
      <c r="AZ659" s="123"/>
      <c r="BA659" s="123"/>
      <c r="BC659" s="122"/>
      <c r="BD659" s="122"/>
      <c r="BE659" s="122"/>
      <c r="BF659" s="122"/>
      <c r="BH659" s="122"/>
      <c r="BI659" s="122"/>
      <c r="BJ659" s="122"/>
      <c r="BK659" s="122"/>
      <c r="BM659" s="122"/>
      <c r="BN659" s="122"/>
      <c r="BO659" s="122"/>
      <c r="BP659" s="122"/>
      <c r="BR659" s="122"/>
      <c r="BS659" s="122"/>
      <c r="BT659" s="122"/>
      <c r="BU659" s="122"/>
      <c r="BV659" s="439"/>
      <c r="BW659" s="120">
        <f t="shared" si="984"/>
        <v>7450000</v>
      </c>
      <c r="BX659" s="121">
        <f t="shared" si="1051"/>
        <v>3.5000000000000003E-2</v>
      </c>
      <c r="BY659" s="121">
        <f t="shared" si="1054"/>
        <v>3.6171140939597314E-2</v>
      </c>
      <c r="BZ659" s="120">
        <f t="shared" si="985"/>
        <v>748.54166666666663</v>
      </c>
      <c r="CA659" s="120">
        <f t="shared" si="986"/>
        <v>96.666666666666629</v>
      </c>
    </row>
    <row r="660" spans="2:79" x14ac:dyDescent="0.25">
      <c r="B660" s="123" t="str">
        <f t="shared" si="974"/>
        <v>10 2026</v>
      </c>
      <c r="C660" s="122">
        <f t="shared" si="975"/>
        <v>46309</v>
      </c>
      <c r="D660" s="122">
        <f t="shared" si="1055"/>
        <v>46310</v>
      </c>
      <c r="E660" s="123">
        <f t="shared" si="976"/>
        <v>1</v>
      </c>
      <c r="F660" s="123" t="s">
        <v>7</v>
      </c>
      <c r="G660" s="124">
        <f t="shared" ref="G660:H660" si="1114">G659</f>
        <v>1450000</v>
      </c>
      <c r="H660" s="125">
        <f t="shared" si="1114"/>
        <v>3.15E-2</v>
      </c>
      <c r="I660" s="124">
        <f t="shared" si="978"/>
        <v>126.875</v>
      </c>
      <c r="J660" s="124">
        <f t="shared" si="979"/>
        <v>35131.25</v>
      </c>
      <c r="K660" s="9"/>
      <c r="L660" s="11"/>
      <c r="M660" s="306"/>
      <c r="N660" s="97"/>
      <c r="O660" s="421"/>
      <c r="P660" s="304"/>
      <c r="Q660" s="307"/>
      <c r="S660" s="11"/>
      <c r="T660" s="306"/>
      <c r="U660" s="97"/>
      <c r="V660" s="421"/>
      <c r="W660" s="304"/>
      <c r="X660" s="307"/>
      <c r="Z660" s="11"/>
      <c r="AA660" s="306"/>
      <c r="AB660" s="97"/>
      <c r="AC660" s="421"/>
      <c r="AD660" s="304"/>
      <c r="AE660" s="307"/>
      <c r="AG660" s="11" t="s">
        <v>192</v>
      </c>
      <c r="AH660" s="306">
        <f t="shared" ref="AH660:AI660" si="1115">AH659</f>
        <v>6000000</v>
      </c>
      <c r="AI660" s="97">
        <f t="shared" si="1115"/>
        <v>3.73E-2</v>
      </c>
      <c r="AJ660" s="421">
        <f t="shared" si="981"/>
        <v>621.66666666666663</v>
      </c>
      <c r="AK660" s="304">
        <f t="shared" si="982"/>
        <v>1243.3333333333333</v>
      </c>
      <c r="AL660" s="307">
        <f t="shared" si="983"/>
        <v>96.666666666666629</v>
      </c>
      <c r="AN660" s="304">
        <f>'codeis $'!AB660</f>
        <v>0</v>
      </c>
      <c r="AO660" s="340">
        <f>'codeis $'!AH660</f>
        <v>0</v>
      </c>
      <c r="AP660" s="304">
        <f>'codeis $'!AE660</f>
        <v>0</v>
      </c>
      <c r="AQ660" s="304">
        <f>'codeis $'!AK660</f>
        <v>0</v>
      </c>
      <c r="AR660" s="9"/>
      <c r="AS660" s="9"/>
      <c r="AT660" s="123"/>
      <c r="AU660" s="123"/>
      <c r="AV660" s="123"/>
      <c r="AW660" s="123"/>
      <c r="AX660" s="123"/>
      <c r="AY660" s="123"/>
      <c r="AZ660" s="123"/>
      <c r="BA660" s="123"/>
      <c r="BC660" s="122"/>
      <c r="BD660" s="122"/>
      <c r="BE660" s="122"/>
      <c r="BF660" s="122"/>
      <c r="BH660" s="122"/>
      <c r="BI660" s="122"/>
      <c r="BJ660" s="122"/>
      <c r="BK660" s="122"/>
      <c r="BM660" s="122"/>
      <c r="BN660" s="122"/>
      <c r="BO660" s="122"/>
      <c r="BP660" s="122"/>
      <c r="BR660" s="122"/>
      <c r="BS660" s="122"/>
      <c r="BT660" s="122"/>
      <c r="BU660" s="122"/>
      <c r="BV660" s="439"/>
      <c r="BW660" s="120">
        <f t="shared" si="984"/>
        <v>7450000</v>
      </c>
      <c r="BX660" s="121">
        <f t="shared" si="1051"/>
        <v>3.5000000000000003E-2</v>
      </c>
      <c r="BY660" s="121">
        <f t="shared" si="1054"/>
        <v>3.6171140939597314E-2</v>
      </c>
      <c r="BZ660" s="120">
        <f t="shared" si="985"/>
        <v>748.54166666666663</v>
      </c>
      <c r="CA660" s="120">
        <f t="shared" si="986"/>
        <v>96.666666666666629</v>
      </c>
    </row>
    <row r="661" spans="2:79" x14ac:dyDescent="0.25">
      <c r="B661" s="123" t="str">
        <f t="shared" ref="B661:B724" si="1116">CONCATENATE(MONTH(D661)," ",YEAR(D661))</f>
        <v>10 2026</v>
      </c>
      <c r="C661" s="122">
        <f t="shared" ref="C661:C724" si="1117">D660</f>
        <v>46310</v>
      </c>
      <c r="D661" s="122">
        <f t="shared" si="1055"/>
        <v>46311</v>
      </c>
      <c r="E661" s="123">
        <f t="shared" ref="E661:E724" si="1118">D661-C661</f>
        <v>1</v>
      </c>
      <c r="F661" s="123" t="s">
        <v>7</v>
      </c>
      <c r="G661" s="124">
        <f t="shared" ref="G661:H661" si="1119">G660</f>
        <v>1450000</v>
      </c>
      <c r="H661" s="125">
        <f t="shared" si="1119"/>
        <v>3.15E-2</v>
      </c>
      <c r="I661" s="124">
        <f t="shared" ref="I661:I724" si="1120">G661*H661*E661/360</f>
        <v>126.875</v>
      </c>
      <c r="J661" s="124">
        <f t="shared" ref="J661:J724" si="1121">J660+I661</f>
        <v>35258.125</v>
      </c>
      <c r="K661" s="9"/>
      <c r="L661" s="11"/>
      <c r="M661" s="306"/>
      <c r="N661" s="97"/>
      <c r="O661" s="421"/>
      <c r="P661" s="304"/>
      <c r="Q661" s="307"/>
      <c r="S661" s="11"/>
      <c r="T661" s="306"/>
      <c r="U661" s="97"/>
      <c r="V661" s="421"/>
      <c r="W661" s="304"/>
      <c r="X661" s="307"/>
      <c r="Z661" s="11"/>
      <c r="AA661" s="306"/>
      <c r="AB661" s="97"/>
      <c r="AC661" s="421"/>
      <c r="AD661" s="304"/>
      <c r="AE661" s="307"/>
      <c r="AG661" s="11" t="s">
        <v>192</v>
      </c>
      <c r="AH661" s="306">
        <f t="shared" ref="AH661:AI661" si="1122">AH660</f>
        <v>6000000</v>
      </c>
      <c r="AI661" s="97">
        <f t="shared" si="1122"/>
        <v>3.73E-2</v>
      </c>
      <c r="AJ661" s="421">
        <f t="shared" ref="AJ661:AJ680" si="1123">AH661*AI661*$E661/360</f>
        <v>621.66666666666663</v>
      </c>
      <c r="AK661" s="304">
        <f t="shared" ref="AK661:AK680" si="1124">AJ661+AJ660</f>
        <v>1243.3333333333333</v>
      </c>
      <c r="AL661" s="307">
        <f t="shared" ref="AL661:AL680" si="1125">AJ661-AH661*$H661*$E661/360</f>
        <v>96.666666666666629</v>
      </c>
      <c r="AN661" s="304">
        <f>'codeis $'!AB661</f>
        <v>0</v>
      </c>
      <c r="AO661" s="340">
        <f>'codeis $'!AH661</f>
        <v>0</v>
      </c>
      <c r="AP661" s="304">
        <f>'codeis $'!AE661</f>
        <v>0</v>
      </c>
      <c r="AQ661" s="304">
        <f>'codeis $'!AK661</f>
        <v>0</v>
      </c>
      <c r="AR661" s="9"/>
      <c r="AS661" s="9"/>
      <c r="AT661" s="123"/>
      <c r="AU661" s="123"/>
      <c r="AV661" s="123"/>
      <c r="AW661" s="123"/>
      <c r="AX661" s="123"/>
      <c r="AY661" s="123"/>
      <c r="AZ661" s="123"/>
      <c r="BA661" s="123"/>
      <c r="BC661" s="122"/>
      <c r="BD661" s="122"/>
      <c r="BE661" s="122"/>
      <c r="BF661" s="122"/>
      <c r="BH661" s="122"/>
      <c r="BI661" s="122"/>
      <c r="BJ661" s="122"/>
      <c r="BK661" s="122"/>
      <c r="BM661" s="122"/>
      <c r="BN661" s="122"/>
      <c r="BO661" s="122"/>
      <c r="BP661" s="122"/>
      <c r="BR661" s="122"/>
      <c r="BS661" s="122"/>
      <c r="BT661" s="122"/>
      <c r="BU661" s="122"/>
      <c r="BV661" s="439"/>
      <c r="BW661" s="120">
        <f t="shared" ref="BW661:BW724" si="1126">AV661+G661+M661+T661+AA661+AH661+AN661+BC661+BH661+BM661+BR661</f>
        <v>7450000</v>
      </c>
      <c r="BX661" s="121">
        <f t="shared" si="1051"/>
        <v>3.5000000000000003E-2</v>
      </c>
      <c r="BY661" s="121">
        <f t="shared" si="1054"/>
        <v>3.6171140939597314E-2</v>
      </c>
      <c r="BZ661" s="120">
        <f t="shared" ref="BZ661:BZ724" si="1127">AY661+I661+O661+V661+AC661+AJ661+AP661+BE661+BJ661+BO661+BT661</f>
        <v>748.54166666666663</v>
      </c>
      <c r="CA661" s="120">
        <f t="shared" ref="CA661:CA724" si="1128">BA661+Q661+X661+AE661+AL661+AQ661+BF661+BK661+BP661+BU661</f>
        <v>96.666666666666629</v>
      </c>
    </row>
    <row r="662" spans="2:79" x14ac:dyDescent="0.25">
      <c r="B662" s="123" t="str">
        <f t="shared" si="1116"/>
        <v>10 2026</v>
      </c>
      <c r="C662" s="122">
        <f t="shared" si="1117"/>
        <v>46311</v>
      </c>
      <c r="D662" s="122">
        <f t="shared" si="1055"/>
        <v>46312</v>
      </c>
      <c r="E662" s="123">
        <f t="shared" si="1118"/>
        <v>1</v>
      </c>
      <c r="F662" s="123" t="s">
        <v>7</v>
      </c>
      <c r="G662" s="124">
        <f t="shared" ref="G662:H662" si="1129">G661</f>
        <v>1450000</v>
      </c>
      <c r="H662" s="125">
        <f t="shared" si="1129"/>
        <v>3.15E-2</v>
      </c>
      <c r="I662" s="124">
        <f t="shared" si="1120"/>
        <v>126.875</v>
      </c>
      <c r="J662" s="124">
        <f t="shared" si="1121"/>
        <v>35385</v>
      </c>
      <c r="K662" s="9"/>
      <c r="L662" s="11"/>
      <c r="M662" s="306"/>
      <c r="N662" s="97"/>
      <c r="O662" s="421"/>
      <c r="P662" s="304"/>
      <c r="Q662" s="307"/>
      <c r="S662" s="11"/>
      <c r="T662" s="306"/>
      <c r="U662" s="97"/>
      <c r="V662" s="421"/>
      <c r="W662" s="304"/>
      <c r="X662" s="307"/>
      <c r="Z662" s="11"/>
      <c r="AA662" s="306"/>
      <c r="AB662" s="97"/>
      <c r="AC662" s="421"/>
      <c r="AD662" s="304"/>
      <c r="AE662" s="307"/>
      <c r="AG662" s="11" t="s">
        <v>192</v>
      </c>
      <c r="AH662" s="306">
        <f t="shared" ref="AH662:AI662" si="1130">AH661</f>
        <v>6000000</v>
      </c>
      <c r="AI662" s="97">
        <f t="shared" si="1130"/>
        <v>3.73E-2</v>
      </c>
      <c r="AJ662" s="421">
        <f t="shared" si="1123"/>
        <v>621.66666666666663</v>
      </c>
      <c r="AK662" s="304">
        <f t="shared" si="1124"/>
        <v>1243.3333333333333</v>
      </c>
      <c r="AL662" s="307">
        <f t="shared" si="1125"/>
        <v>96.666666666666629</v>
      </c>
      <c r="AN662" s="304">
        <f>'codeis $'!AB662</f>
        <v>0</v>
      </c>
      <c r="AO662" s="340">
        <f>'codeis $'!AH662</f>
        <v>0</v>
      </c>
      <c r="AP662" s="304">
        <f>'codeis $'!AE662</f>
        <v>0</v>
      </c>
      <c r="AQ662" s="304">
        <f>'codeis $'!AK662</f>
        <v>0</v>
      </c>
      <c r="AR662" s="9"/>
      <c r="AS662" s="9"/>
      <c r="AT662" s="123"/>
      <c r="AU662" s="123"/>
      <c r="AV662" s="123"/>
      <c r="AW662" s="123"/>
      <c r="AX662" s="123"/>
      <c r="AY662" s="123"/>
      <c r="AZ662" s="123"/>
      <c r="BA662" s="123"/>
      <c r="BC662" s="122"/>
      <c r="BD662" s="122"/>
      <c r="BE662" s="122"/>
      <c r="BF662" s="122"/>
      <c r="BH662" s="122"/>
      <c r="BI662" s="122"/>
      <c r="BJ662" s="122"/>
      <c r="BK662" s="122"/>
      <c r="BM662" s="122"/>
      <c r="BN662" s="122"/>
      <c r="BO662" s="122"/>
      <c r="BP662" s="122"/>
      <c r="BR662" s="122"/>
      <c r="BS662" s="122"/>
      <c r="BT662" s="122"/>
      <c r="BU662" s="122"/>
      <c r="BV662" s="439"/>
      <c r="BW662" s="120">
        <f t="shared" si="1126"/>
        <v>7450000</v>
      </c>
      <c r="BX662" s="121">
        <f t="shared" si="1051"/>
        <v>3.5000000000000003E-2</v>
      </c>
      <c r="BY662" s="121">
        <f t="shared" si="1054"/>
        <v>3.6171140939597314E-2</v>
      </c>
      <c r="BZ662" s="120">
        <f t="shared" si="1127"/>
        <v>748.54166666666663</v>
      </c>
      <c r="CA662" s="120">
        <f t="shared" si="1128"/>
        <v>96.666666666666629</v>
      </c>
    </row>
    <row r="663" spans="2:79" x14ac:dyDescent="0.25">
      <c r="B663" s="123" t="str">
        <f t="shared" si="1116"/>
        <v>10 2026</v>
      </c>
      <c r="C663" s="122">
        <f t="shared" si="1117"/>
        <v>46312</v>
      </c>
      <c r="D663" s="122">
        <f t="shared" si="1055"/>
        <v>46313</v>
      </c>
      <c r="E663" s="123">
        <f t="shared" si="1118"/>
        <v>1</v>
      </c>
      <c r="F663" s="123" t="s">
        <v>7</v>
      </c>
      <c r="G663" s="124">
        <f t="shared" ref="G663:H663" si="1131">G662</f>
        <v>1450000</v>
      </c>
      <c r="H663" s="125">
        <f t="shared" si="1131"/>
        <v>3.15E-2</v>
      </c>
      <c r="I663" s="124">
        <f t="shared" si="1120"/>
        <v>126.875</v>
      </c>
      <c r="J663" s="124">
        <f t="shared" si="1121"/>
        <v>35511.875</v>
      </c>
      <c r="K663" s="9"/>
      <c r="L663" s="11"/>
      <c r="M663" s="306"/>
      <c r="N663" s="97"/>
      <c r="O663" s="421"/>
      <c r="P663" s="304"/>
      <c r="Q663" s="307"/>
      <c r="S663" s="11"/>
      <c r="T663" s="306"/>
      <c r="U663" s="97"/>
      <c r="V663" s="421"/>
      <c r="W663" s="304"/>
      <c r="X663" s="307"/>
      <c r="Z663" s="11"/>
      <c r="AA663" s="306"/>
      <c r="AB663" s="97"/>
      <c r="AC663" s="421"/>
      <c r="AD663" s="304"/>
      <c r="AE663" s="307"/>
      <c r="AG663" s="11" t="s">
        <v>192</v>
      </c>
      <c r="AH663" s="306">
        <f t="shared" ref="AH663:AI663" si="1132">AH662</f>
        <v>6000000</v>
      </c>
      <c r="AI663" s="97">
        <f t="shared" si="1132"/>
        <v>3.73E-2</v>
      </c>
      <c r="AJ663" s="421">
        <f t="shared" si="1123"/>
        <v>621.66666666666663</v>
      </c>
      <c r="AK663" s="304">
        <f t="shared" si="1124"/>
        <v>1243.3333333333333</v>
      </c>
      <c r="AL663" s="307">
        <f t="shared" si="1125"/>
        <v>96.666666666666629</v>
      </c>
      <c r="AN663" s="304">
        <f>'codeis $'!AB663</f>
        <v>0</v>
      </c>
      <c r="AO663" s="340">
        <f>'codeis $'!AH663</f>
        <v>0</v>
      </c>
      <c r="AP663" s="304">
        <f>'codeis $'!AE663</f>
        <v>0</v>
      </c>
      <c r="AQ663" s="304">
        <f>'codeis $'!AK663</f>
        <v>0</v>
      </c>
      <c r="AR663" s="9"/>
      <c r="AS663" s="9"/>
      <c r="AT663" s="123"/>
      <c r="AU663" s="123"/>
      <c r="AV663" s="123"/>
      <c r="AW663" s="123"/>
      <c r="AX663" s="123"/>
      <c r="AY663" s="123"/>
      <c r="AZ663" s="123"/>
      <c r="BA663" s="123"/>
      <c r="BC663" s="122"/>
      <c r="BD663" s="122"/>
      <c r="BE663" s="122"/>
      <c r="BF663" s="122"/>
      <c r="BH663" s="122"/>
      <c r="BI663" s="122"/>
      <c r="BJ663" s="122"/>
      <c r="BK663" s="122"/>
      <c r="BM663" s="122"/>
      <c r="BN663" s="122"/>
      <c r="BO663" s="122"/>
      <c r="BP663" s="122"/>
      <c r="BR663" s="122"/>
      <c r="BS663" s="122"/>
      <c r="BT663" s="122"/>
      <c r="BU663" s="122"/>
      <c r="BV663" s="439"/>
      <c r="BW663" s="120">
        <f t="shared" si="1126"/>
        <v>7450000</v>
      </c>
      <c r="BX663" s="121">
        <f t="shared" si="1051"/>
        <v>3.5000000000000003E-2</v>
      </c>
      <c r="BY663" s="121">
        <f t="shared" si="1054"/>
        <v>3.6171140939597314E-2</v>
      </c>
      <c r="BZ663" s="120">
        <f t="shared" si="1127"/>
        <v>748.54166666666663</v>
      </c>
      <c r="CA663" s="120">
        <f t="shared" si="1128"/>
        <v>96.666666666666629</v>
      </c>
    </row>
    <row r="664" spans="2:79" x14ac:dyDescent="0.25">
      <c r="B664" s="123" t="str">
        <f t="shared" si="1116"/>
        <v>10 2026</v>
      </c>
      <c r="C664" s="122">
        <f t="shared" si="1117"/>
        <v>46313</v>
      </c>
      <c r="D664" s="122">
        <f t="shared" si="1055"/>
        <v>46314</v>
      </c>
      <c r="E664" s="123">
        <f t="shared" si="1118"/>
        <v>1</v>
      </c>
      <c r="F664" s="123" t="s">
        <v>7</v>
      </c>
      <c r="G664" s="124">
        <f t="shared" ref="G664:H664" si="1133">G663</f>
        <v>1450000</v>
      </c>
      <c r="H664" s="125">
        <f t="shared" si="1133"/>
        <v>3.15E-2</v>
      </c>
      <c r="I664" s="124">
        <f t="shared" si="1120"/>
        <v>126.875</v>
      </c>
      <c r="J664" s="124">
        <f t="shared" si="1121"/>
        <v>35638.75</v>
      </c>
      <c r="K664" s="9"/>
      <c r="L664" s="11"/>
      <c r="M664" s="306"/>
      <c r="N664" s="97"/>
      <c r="O664" s="421"/>
      <c r="P664" s="304"/>
      <c r="Q664" s="307"/>
      <c r="S664" s="11"/>
      <c r="T664" s="306"/>
      <c r="U664" s="97"/>
      <c r="V664" s="421"/>
      <c r="W664" s="304"/>
      <c r="X664" s="307"/>
      <c r="Z664" s="11"/>
      <c r="AA664" s="306"/>
      <c r="AB664" s="97"/>
      <c r="AC664" s="421"/>
      <c r="AD664" s="304"/>
      <c r="AE664" s="307"/>
      <c r="AG664" s="11" t="s">
        <v>192</v>
      </c>
      <c r="AH664" s="306">
        <f t="shared" ref="AH664:AI664" si="1134">AH663</f>
        <v>6000000</v>
      </c>
      <c r="AI664" s="97">
        <f t="shared" si="1134"/>
        <v>3.73E-2</v>
      </c>
      <c r="AJ664" s="421">
        <f t="shared" si="1123"/>
        <v>621.66666666666663</v>
      </c>
      <c r="AK664" s="304">
        <f t="shared" si="1124"/>
        <v>1243.3333333333333</v>
      </c>
      <c r="AL664" s="307">
        <f t="shared" si="1125"/>
        <v>96.666666666666629</v>
      </c>
      <c r="AN664" s="304">
        <f>'codeis $'!AB664</f>
        <v>0</v>
      </c>
      <c r="AO664" s="340">
        <f>'codeis $'!AH664</f>
        <v>0</v>
      </c>
      <c r="AP664" s="304">
        <f>'codeis $'!AE664</f>
        <v>0</v>
      </c>
      <c r="AQ664" s="304">
        <f>'codeis $'!AK664</f>
        <v>0</v>
      </c>
      <c r="AR664" s="9"/>
      <c r="AS664" s="9"/>
      <c r="AT664" s="123"/>
      <c r="AU664" s="123"/>
      <c r="AV664" s="123"/>
      <c r="AW664" s="123"/>
      <c r="AX664" s="123"/>
      <c r="AY664" s="123"/>
      <c r="AZ664" s="123"/>
      <c r="BA664" s="123"/>
      <c r="BC664" s="122"/>
      <c r="BD664" s="122"/>
      <c r="BE664" s="122"/>
      <c r="BF664" s="122"/>
      <c r="BH664" s="122"/>
      <c r="BI664" s="122"/>
      <c r="BJ664" s="122"/>
      <c r="BK664" s="122"/>
      <c r="BM664" s="122"/>
      <c r="BN664" s="122"/>
      <c r="BO664" s="122"/>
      <c r="BP664" s="122"/>
      <c r="BR664" s="122"/>
      <c r="BS664" s="122"/>
      <c r="BT664" s="122"/>
      <c r="BU664" s="122"/>
      <c r="BV664" s="439"/>
      <c r="BW664" s="120">
        <f t="shared" si="1126"/>
        <v>7450000</v>
      </c>
      <c r="BX664" s="121">
        <f t="shared" si="1051"/>
        <v>3.5000000000000003E-2</v>
      </c>
      <c r="BY664" s="121">
        <f t="shared" si="1054"/>
        <v>3.6171140939597314E-2</v>
      </c>
      <c r="BZ664" s="120">
        <f t="shared" si="1127"/>
        <v>748.54166666666663</v>
      </c>
      <c r="CA664" s="120">
        <f t="shared" si="1128"/>
        <v>96.666666666666629</v>
      </c>
    </row>
    <row r="665" spans="2:79" x14ac:dyDescent="0.25">
      <c r="B665" s="123" t="str">
        <f t="shared" si="1116"/>
        <v>10 2026</v>
      </c>
      <c r="C665" s="122">
        <f t="shared" si="1117"/>
        <v>46314</v>
      </c>
      <c r="D665" s="122">
        <f t="shared" si="1055"/>
        <v>46315</v>
      </c>
      <c r="E665" s="123">
        <f t="shared" si="1118"/>
        <v>1</v>
      </c>
      <c r="F665" s="123" t="s">
        <v>7</v>
      </c>
      <c r="G665" s="124">
        <f t="shared" ref="G665:H665" si="1135">G664</f>
        <v>1450000</v>
      </c>
      <c r="H665" s="125">
        <f t="shared" si="1135"/>
        <v>3.15E-2</v>
      </c>
      <c r="I665" s="124">
        <f t="shared" si="1120"/>
        <v>126.875</v>
      </c>
      <c r="J665" s="124">
        <f t="shared" si="1121"/>
        <v>35765.625</v>
      </c>
      <c r="K665" s="9"/>
      <c r="L665" s="11"/>
      <c r="M665" s="306"/>
      <c r="N665" s="97"/>
      <c r="O665" s="421"/>
      <c r="P665" s="304"/>
      <c r="Q665" s="307"/>
      <c r="S665" s="11"/>
      <c r="T665" s="306"/>
      <c r="U665" s="97"/>
      <c r="V665" s="421"/>
      <c r="W665" s="304"/>
      <c r="X665" s="307"/>
      <c r="Z665" s="11"/>
      <c r="AA665" s="306"/>
      <c r="AB665" s="97"/>
      <c r="AC665" s="421"/>
      <c r="AD665" s="304"/>
      <c r="AE665" s="307"/>
      <c r="AG665" s="11" t="s">
        <v>192</v>
      </c>
      <c r="AH665" s="306">
        <f t="shared" ref="AH665:AI665" si="1136">AH664</f>
        <v>6000000</v>
      </c>
      <c r="AI665" s="97">
        <f t="shared" si="1136"/>
        <v>3.73E-2</v>
      </c>
      <c r="AJ665" s="421">
        <f t="shared" si="1123"/>
        <v>621.66666666666663</v>
      </c>
      <c r="AK665" s="304">
        <f t="shared" si="1124"/>
        <v>1243.3333333333333</v>
      </c>
      <c r="AL665" s="307">
        <f t="shared" si="1125"/>
        <v>96.666666666666629</v>
      </c>
      <c r="AN665" s="304">
        <f>'codeis $'!AB665</f>
        <v>0</v>
      </c>
      <c r="AO665" s="340">
        <f>'codeis $'!AH665</f>
        <v>0</v>
      </c>
      <c r="AP665" s="304">
        <f>'codeis $'!AE665</f>
        <v>0</v>
      </c>
      <c r="AQ665" s="304">
        <f>'codeis $'!AK665</f>
        <v>0</v>
      </c>
      <c r="AR665" s="9"/>
      <c r="AS665" s="9"/>
      <c r="AT665" s="123"/>
      <c r="AU665" s="123"/>
      <c r="AV665" s="123"/>
      <c r="AW665" s="123"/>
      <c r="AX665" s="123"/>
      <c r="AY665" s="123"/>
      <c r="AZ665" s="123"/>
      <c r="BA665" s="123"/>
      <c r="BC665" s="122"/>
      <c r="BD665" s="122"/>
      <c r="BE665" s="122"/>
      <c r="BF665" s="122"/>
      <c r="BH665" s="122"/>
      <c r="BI665" s="122"/>
      <c r="BJ665" s="122"/>
      <c r="BK665" s="122"/>
      <c r="BM665" s="122"/>
      <c r="BN665" s="122"/>
      <c r="BO665" s="122"/>
      <c r="BP665" s="122"/>
      <c r="BR665" s="122"/>
      <c r="BS665" s="122"/>
      <c r="BT665" s="122"/>
      <c r="BU665" s="122"/>
      <c r="BV665" s="439"/>
      <c r="BW665" s="120">
        <f t="shared" si="1126"/>
        <v>7450000</v>
      </c>
      <c r="BX665" s="121">
        <f t="shared" si="1051"/>
        <v>3.5000000000000003E-2</v>
      </c>
      <c r="BY665" s="121">
        <f t="shared" si="1054"/>
        <v>3.6171140939597314E-2</v>
      </c>
      <c r="BZ665" s="120">
        <f t="shared" si="1127"/>
        <v>748.54166666666663</v>
      </c>
      <c r="CA665" s="120">
        <f t="shared" si="1128"/>
        <v>96.666666666666629</v>
      </c>
    </row>
    <row r="666" spans="2:79" x14ac:dyDescent="0.25">
      <c r="B666" s="123" t="str">
        <f t="shared" si="1116"/>
        <v>10 2026</v>
      </c>
      <c r="C666" s="122">
        <f t="shared" si="1117"/>
        <v>46315</v>
      </c>
      <c r="D666" s="122">
        <f t="shared" si="1055"/>
        <v>46316</v>
      </c>
      <c r="E666" s="123">
        <f t="shared" si="1118"/>
        <v>1</v>
      </c>
      <c r="F666" s="123" t="s">
        <v>7</v>
      </c>
      <c r="G666" s="124">
        <f t="shared" ref="G666:H666" si="1137">G665</f>
        <v>1450000</v>
      </c>
      <c r="H666" s="125">
        <f t="shared" si="1137"/>
        <v>3.15E-2</v>
      </c>
      <c r="I666" s="124">
        <f t="shared" si="1120"/>
        <v>126.875</v>
      </c>
      <c r="J666" s="124">
        <f t="shared" si="1121"/>
        <v>35892.5</v>
      </c>
      <c r="K666" s="9"/>
      <c r="L666" s="11"/>
      <c r="M666" s="306"/>
      <c r="N666" s="97"/>
      <c r="O666" s="421"/>
      <c r="P666" s="304"/>
      <c r="Q666" s="307"/>
      <c r="S666" s="11"/>
      <c r="T666" s="306"/>
      <c r="U666" s="97"/>
      <c r="V666" s="421"/>
      <c r="W666" s="304"/>
      <c r="X666" s="307"/>
      <c r="Z666" s="11"/>
      <c r="AA666" s="306"/>
      <c r="AB666" s="97"/>
      <c r="AC666" s="421"/>
      <c r="AD666" s="304"/>
      <c r="AE666" s="307"/>
      <c r="AG666" s="11" t="s">
        <v>192</v>
      </c>
      <c r="AH666" s="306">
        <f t="shared" ref="AH666:AI666" si="1138">AH665</f>
        <v>6000000</v>
      </c>
      <c r="AI666" s="97">
        <f t="shared" si="1138"/>
        <v>3.73E-2</v>
      </c>
      <c r="AJ666" s="421">
        <f t="shared" si="1123"/>
        <v>621.66666666666663</v>
      </c>
      <c r="AK666" s="304">
        <f t="shared" si="1124"/>
        <v>1243.3333333333333</v>
      </c>
      <c r="AL666" s="307">
        <f t="shared" si="1125"/>
        <v>96.666666666666629</v>
      </c>
      <c r="AN666" s="304">
        <f>'codeis $'!AB666</f>
        <v>0</v>
      </c>
      <c r="AO666" s="340">
        <f>'codeis $'!AH666</f>
        <v>0</v>
      </c>
      <c r="AP666" s="304">
        <f>'codeis $'!AE666</f>
        <v>0</v>
      </c>
      <c r="AQ666" s="304">
        <f>'codeis $'!AK666</f>
        <v>0</v>
      </c>
      <c r="AR666" s="9"/>
      <c r="AS666" s="9"/>
      <c r="AT666" s="123"/>
      <c r="AU666" s="123"/>
      <c r="AV666" s="123"/>
      <c r="AW666" s="123"/>
      <c r="AX666" s="123"/>
      <c r="AY666" s="123"/>
      <c r="AZ666" s="123"/>
      <c r="BA666" s="123"/>
      <c r="BC666" s="122"/>
      <c r="BD666" s="122"/>
      <c r="BE666" s="122"/>
      <c r="BF666" s="122"/>
      <c r="BH666" s="122"/>
      <c r="BI666" s="122"/>
      <c r="BJ666" s="122"/>
      <c r="BK666" s="122"/>
      <c r="BM666" s="122"/>
      <c r="BN666" s="122"/>
      <c r="BO666" s="122"/>
      <c r="BP666" s="122"/>
      <c r="BR666" s="122"/>
      <c r="BS666" s="122"/>
      <c r="BT666" s="122"/>
      <c r="BU666" s="122"/>
      <c r="BV666" s="439"/>
      <c r="BW666" s="120">
        <f t="shared" si="1126"/>
        <v>7450000</v>
      </c>
      <c r="BX666" s="121">
        <f t="shared" si="1051"/>
        <v>3.5000000000000003E-2</v>
      </c>
      <c r="BY666" s="121">
        <f t="shared" si="1054"/>
        <v>3.6171140939597314E-2</v>
      </c>
      <c r="BZ666" s="120">
        <f t="shared" si="1127"/>
        <v>748.54166666666663</v>
      </c>
      <c r="CA666" s="120">
        <f t="shared" si="1128"/>
        <v>96.666666666666629</v>
      </c>
    </row>
    <row r="667" spans="2:79" x14ac:dyDescent="0.25">
      <c r="B667" s="123" t="str">
        <f t="shared" si="1116"/>
        <v>10 2026</v>
      </c>
      <c r="C667" s="122">
        <f t="shared" si="1117"/>
        <v>46316</v>
      </c>
      <c r="D667" s="122">
        <f t="shared" si="1055"/>
        <v>46317</v>
      </c>
      <c r="E667" s="123">
        <f t="shared" si="1118"/>
        <v>1</v>
      </c>
      <c r="F667" s="123" t="s">
        <v>7</v>
      </c>
      <c r="G667" s="124">
        <f t="shared" ref="G667:H667" si="1139">G666</f>
        <v>1450000</v>
      </c>
      <c r="H667" s="125">
        <f t="shared" si="1139"/>
        <v>3.15E-2</v>
      </c>
      <c r="I667" s="124">
        <f t="shared" si="1120"/>
        <v>126.875</v>
      </c>
      <c r="J667" s="124">
        <f t="shared" si="1121"/>
        <v>36019.375</v>
      </c>
      <c r="K667" s="9"/>
      <c r="L667" s="11"/>
      <c r="M667" s="306"/>
      <c r="N667" s="97"/>
      <c r="O667" s="421"/>
      <c r="P667" s="304"/>
      <c r="Q667" s="307"/>
      <c r="S667" s="11"/>
      <c r="T667" s="306"/>
      <c r="U667" s="97"/>
      <c r="V667" s="421"/>
      <c r="W667" s="304"/>
      <c r="X667" s="307"/>
      <c r="Z667" s="11"/>
      <c r="AA667" s="306"/>
      <c r="AB667" s="97"/>
      <c r="AC667" s="421"/>
      <c r="AD667" s="304"/>
      <c r="AE667" s="307"/>
      <c r="AG667" s="11" t="s">
        <v>192</v>
      </c>
      <c r="AH667" s="306">
        <f t="shared" ref="AH667:AI667" si="1140">AH666</f>
        <v>6000000</v>
      </c>
      <c r="AI667" s="97">
        <f t="shared" si="1140"/>
        <v>3.73E-2</v>
      </c>
      <c r="AJ667" s="421">
        <f t="shared" si="1123"/>
        <v>621.66666666666663</v>
      </c>
      <c r="AK667" s="304">
        <f t="shared" si="1124"/>
        <v>1243.3333333333333</v>
      </c>
      <c r="AL667" s="307">
        <f t="shared" si="1125"/>
        <v>96.666666666666629</v>
      </c>
      <c r="AN667" s="304">
        <f>'codeis $'!AB667</f>
        <v>0</v>
      </c>
      <c r="AO667" s="340">
        <f>'codeis $'!AH667</f>
        <v>0</v>
      </c>
      <c r="AP667" s="304">
        <f>'codeis $'!AE667</f>
        <v>0</v>
      </c>
      <c r="AQ667" s="304">
        <f>'codeis $'!AK667</f>
        <v>0</v>
      </c>
      <c r="AR667" s="9"/>
      <c r="AS667" s="9"/>
      <c r="AT667" s="123"/>
      <c r="AU667" s="123"/>
      <c r="AV667" s="123"/>
      <c r="AW667" s="123"/>
      <c r="AX667" s="123"/>
      <c r="AY667" s="123"/>
      <c r="AZ667" s="123"/>
      <c r="BA667" s="123"/>
      <c r="BC667" s="122"/>
      <c r="BD667" s="122"/>
      <c r="BE667" s="122"/>
      <c r="BF667" s="122"/>
      <c r="BH667" s="122"/>
      <c r="BI667" s="122"/>
      <c r="BJ667" s="122"/>
      <c r="BK667" s="122"/>
      <c r="BM667" s="122"/>
      <c r="BN667" s="122"/>
      <c r="BO667" s="122"/>
      <c r="BP667" s="122"/>
      <c r="BR667" s="122"/>
      <c r="BS667" s="122"/>
      <c r="BT667" s="122"/>
      <c r="BU667" s="122"/>
      <c r="BV667" s="439"/>
      <c r="BW667" s="120">
        <f t="shared" si="1126"/>
        <v>7450000</v>
      </c>
      <c r="BX667" s="121">
        <f t="shared" si="1051"/>
        <v>3.5000000000000003E-2</v>
      </c>
      <c r="BY667" s="121">
        <f t="shared" si="1054"/>
        <v>3.6171140939597314E-2</v>
      </c>
      <c r="BZ667" s="120">
        <f t="shared" si="1127"/>
        <v>748.54166666666663</v>
      </c>
      <c r="CA667" s="120">
        <f t="shared" si="1128"/>
        <v>96.666666666666629</v>
      </c>
    </row>
    <row r="668" spans="2:79" x14ac:dyDescent="0.25">
      <c r="B668" s="123" t="str">
        <f t="shared" si="1116"/>
        <v>10 2026</v>
      </c>
      <c r="C668" s="122">
        <f t="shared" si="1117"/>
        <v>46317</v>
      </c>
      <c r="D668" s="122">
        <f t="shared" si="1055"/>
        <v>46318</v>
      </c>
      <c r="E668" s="123">
        <f t="shared" si="1118"/>
        <v>1</v>
      </c>
      <c r="F668" s="123" t="s">
        <v>7</v>
      </c>
      <c r="G668" s="124">
        <f t="shared" ref="G668:H668" si="1141">G667</f>
        <v>1450000</v>
      </c>
      <c r="H668" s="125">
        <f t="shared" si="1141"/>
        <v>3.15E-2</v>
      </c>
      <c r="I668" s="124">
        <f t="shared" si="1120"/>
        <v>126.875</v>
      </c>
      <c r="J668" s="124">
        <f t="shared" si="1121"/>
        <v>36146.25</v>
      </c>
      <c r="K668" s="9"/>
      <c r="L668" s="11"/>
      <c r="M668" s="306"/>
      <c r="N668" s="97"/>
      <c r="O668" s="421"/>
      <c r="P668" s="304"/>
      <c r="Q668" s="307"/>
      <c r="S668" s="11"/>
      <c r="T668" s="306"/>
      <c r="U668" s="97"/>
      <c r="V668" s="421"/>
      <c r="W668" s="304"/>
      <c r="X668" s="307"/>
      <c r="Z668" s="11"/>
      <c r="AA668" s="306"/>
      <c r="AB668" s="97"/>
      <c r="AC668" s="421"/>
      <c r="AD668" s="304"/>
      <c r="AE668" s="307"/>
      <c r="AG668" s="11" t="s">
        <v>192</v>
      </c>
      <c r="AH668" s="306">
        <f t="shared" ref="AH668:AI668" si="1142">AH667</f>
        <v>6000000</v>
      </c>
      <c r="AI668" s="97">
        <f t="shared" si="1142"/>
        <v>3.73E-2</v>
      </c>
      <c r="AJ668" s="421">
        <f t="shared" si="1123"/>
        <v>621.66666666666663</v>
      </c>
      <c r="AK668" s="304">
        <f t="shared" si="1124"/>
        <v>1243.3333333333333</v>
      </c>
      <c r="AL668" s="307">
        <f t="shared" si="1125"/>
        <v>96.666666666666629</v>
      </c>
      <c r="AN668" s="304">
        <f>'codeis $'!AB668</f>
        <v>0</v>
      </c>
      <c r="AO668" s="340">
        <f>'codeis $'!AH668</f>
        <v>0</v>
      </c>
      <c r="AP668" s="304">
        <f>'codeis $'!AE668</f>
        <v>0</v>
      </c>
      <c r="AQ668" s="304">
        <f>'codeis $'!AK668</f>
        <v>0</v>
      </c>
      <c r="AR668" s="9"/>
      <c r="AS668" s="9"/>
      <c r="AT668" s="123"/>
      <c r="AU668" s="123"/>
      <c r="AV668" s="123"/>
      <c r="AW668" s="123"/>
      <c r="AX668" s="123"/>
      <c r="AY668" s="123"/>
      <c r="AZ668" s="123"/>
      <c r="BA668" s="123"/>
      <c r="BC668" s="122"/>
      <c r="BD668" s="122"/>
      <c r="BE668" s="122"/>
      <c r="BF668" s="122"/>
      <c r="BH668" s="122"/>
      <c r="BI668" s="122"/>
      <c r="BJ668" s="122"/>
      <c r="BK668" s="122"/>
      <c r="BM668" s="122"/>
      <c r="BN668" s="122"/>
      <c r="BO668" s="122"/>
      <c r="BP668" s="122"/>
      <c r="BR668" s="122"/>
      <c r="BS668" s="122"/>
      <c r="BT668" s="122"/>
      <c r="BU668" s="122"/>
      <c r="BV668" s="439"/>
      <c r="BW668" s="120">
        <f t="shared" si="1126"/>
        <v>7450000</v>
      </c>
      <c r="BX668" s="121">
        <f t="shared" si="1051"/>
        <v>3.5000000000000003E-2</v>
      </c>
      <c r="BY668" s="121">
        <f t="shared" si="1054"/>
        <v>3.6171140939597314E-2</v>
      </c>
      <c r="BZ668" s="120">
        <f t="shared" si="1127"/>
        <v>748.54166666666663</v>
      </c>
      <c r="CA668" s="120">
        <f t="shared" si="1128"/>
        <v>96.666666666666629</v>
      </c>
    </row>
    <row r="669" spans="2:79" x14ac:dyDescent="0.25">
      <c r="B669" s="123" t="str">
        <f t="shared" si="1116"/>
        <v>10 2026</v>
      </c>
      <c r="C669" s="122">
        <f t="shared" si="1117"/>
        <v>46318</v>
      </c>
      <c r="D669" s="122">
        <f t="shared" si="1055"/>
        <v>46319</v>
      </c>
      <c r="E669" s="123">
        <f t="shared" si="1118"/>
        <v>1</v>
      </c>
      <c r="F669" s="123" t="s">
        <v>7</v>
      </c>
      <c r="G669" s="124">
        <f t="shared" ref="G669:H669" si="1143">G668</f>
        <v>1450000</v>
      </c>
      <c r="H669" s="125">
        <f t="shared" si="1143"/>
        <v>3.15E-2</v>
      </c>
      <c r="I669" s="124">
        <f t="shared" si="1120"/>
        <v>126.875</v>
      </c>
      <c r="J669" s="124">
        <f t="shared" si="1121"/>
        <v>36273.125</v>
      </c>
      <c r="K669" s="9"/>
      <c r="L669" s="11"/>
      <c r="M669" s="306"/>
      <c r="N669" s="97"/>
      <c r="O669" s="421"/>
      <c r="P669" s="304"/>
      <c r="Q669" s="307"/>
      <c r="S669" s="11"/>
      <c r="T669" s="306"/>
      <c r="U669" s="97"/>
      <c r="V669" s="421"/>
      <c r="W669" s="304"/>
      <c r="X669" s="307"/>
      <c r="Z669" s="11"/>
      <c r="AA669" s="306"/>
      <c r="AB669" s="97"/>
      <c r="AC669" s="421"/>
      <c r="AD669" s="304"/>
      <c r="AE669" s="307"/>
      <c r="AG669" s="11" t="s">
        <v>192</v>
      </c>
      <c r="AH669" s="306">
        <f t="shared" ref="AH669:AI669" si="1144">AH668</f>
        <v>6000000</v>
      </c>
      <c r="AI669" s="97">
        <f t="shared" si="1144"/>
        <v>3.73E-2</v>
      </c>
      <c r="AJ669" s="421">
        <f t="shared" si="1123"/>
        <v>621.66666666666663</v>
      </c>
      <c r="AK669" s="304">
        <f t="shared" si="1124"/>
        <v>1243.3333333333333</v>
      </c>
      <c r="AL669" s="307">
        <f t="shared" si="1125"/>
        <v>96.666666666666629</v>
      </c>
      <c r="AN669" s="304">
        <f>'codeis $'!AB669</f>
        <v>0</v>
      </c>
      <c r="AO669" s="340">
        <f>'codeis $'!AH669</f>
        <v>0</v>
      </c>
      <c r="AP669" s="304">
        <f>'codeis $'!AE669</f>
        <v>0</v>
      </c>
      <c r="AQ669" s="304">
        <f>'codeis $'!AK669</f>
        <v>0</v>
      </c>
      <c r="AR669" s="9"/>
      <c r="AS669" s="9"/>
      <c r="AT669" s="123"/>
      <c r="AU669" s="123"/>
      <c r="AV669" s="123"/>
      <c r="AW669" s="123"/>
      <c r="AX669" s="123"/>
      <c r="AY669" s="123"/>
      <c r="AZ669" s="123"/>
      <c r="BA669" s="123"/>
      <c r="BC669" s="122"/>
      <c r="BD669" s="122"/>
      <c r="BE669" s="122"/>
      <c r="BF669" s="122"/>
      <c r="BH669" s="122"/>
      <c r="BI669" s="122"/>
      <c r="BJ669" s="122"/>
      <c r="BK669" s="122"/>
      <c r="BM669" s="122"/>
      <c r="BN669" s="122"/>
      <c r="BO669" s="122"/>
      <c r="BP669" s="122"/>
      <c r="BR669" s="122"/>
      <c r="BS669" s="122"/>
      <c r="BT669" s="122"/>
      <c r="BU669" s="122"/>
      <c r="BV669" s="439"/>
      <c r="BW669" s="120">
        <f t="shared" si="1126"/>
        <v>7450000</v>
      </c>
      <c r="BX669" s="121">
        <f t="shared" si="1051"/>
        <v>3.5000000000000003E-2</v>
      </c>
      <c r="BY669" s="121">
        <f t="shared" si="1054"/>
        <v>3.6171140939597314E-2</v>
      </c>
      <c r="BZ669" s="120">
        <f t="shared" si="1127"/>
        <v>748.54166666666663</v>
      </c>
      <c r="CA669" s="120">
        <f t="shared" si="1128"/>
        <v>96.666666666666629</v>
      </c>
    </row>
    <row r="670" spans="2:79" x14ac:dyDescent="0.25">
      <c r="B670" s="123" t="str">
        <f t="shared" si="1116"/>
        <v>10 2026</v>
      </c>
      <c r="C670" s="122">
        <f t="shared" si="1117"/>
        <v>46319</v>
      </c>
      <c r="D670" s="122">
        <f t="shared" si="1055"/>
        <v>46320</v>
      </c>
      <c r="E670" s="123">
        <f t="shared" si="1118"/>
        <v>1</v>
      </c>
      <c r="F670" s="123" t="s">
        <v>7</v>
      </c>
      <c r="G670" s="124">
        <f t="shared" ref="G670:H670" si="1145">G669</f>
        <v>1450000</v>
      </c>
      <c r="H670" s="125">
        <f t="shared" si="1145"/>
        <v>3.15E-2</v>
      </c>
      <c r="I670" s="124">
        <f t="shared" si="1120"/>
        <v>126.875</v>
      </c>
      <c r="J670" s="124">
        <f t="shared" si="1121"/>
        <v>36400</v>
      </c>
      <c r="K670" s="9"/>
      <c r="L670" s="11"/>
      <c r="M670" s="306"/>
      <c r="N670" s="97"/>
      <c r="O670" s="421"/>
      <c r="P670" s="304"/>
      <c r="Q670" s="307"/>
      <c r="S670" s="11"/>
      <c r="T670" s="306"/>
      <c r="U670" s="97"/>
      <c r="V670" s="421"/>
      <c r="W670" s="304"/>
      <c r="X670" s="307"/>
      <c r="Z670" s="11"/>
      <c r="AA670" s="306"/>
      <c r="AB670" s="97"/>
      <c r="AC670" s="421"/>
      <c r="AD670" s="304"/>
      <c r="AE670" s="307"/>
      <c r="AG670" s="11" t="s">
        <v>192</v>
      </c>
      <c r="AH670" s="306">
        <f t="shared" ref="AH670:AI670" si="1146">AH669</f>
        <v>6000000</v>
      </c>
      <c r="AI670" s="97">
        <f t="shared" si="1146"/>
        <v>3.73E-2</v>
      </c>
      <c r="AJ670" s="421">
        <f t="shared" si="1123"/>
        <v>621.66666666666663</v>
      </c>
      <c r="AK670" s="304">
        <f t="shared" si="1124"/>
        <v>1243.3333333333333</v>
      </c>
      <c r="AL670" s="307">
        <f t="shared" si="1125"/>
        <v>96.666666666666629</v>
      </c>
      <c r="AN670" s="304">
        <f>'codeis $'!AB670</f>
        <v>0</v>
      </c>
      <c r="AO670" s="340">
        <f>'codeis $'!AH670</f>
        <v>0</v>
      </c>
      <c r="AP670" s="304">
        <f>'codeis $'!AE670</f>
        <v>0</v>
      </c>
      <c r="AQ670" s="304">
        <f>'codeis $'!AK670</f>
        <v>0</v>
      </c>
      <c r="AR670" s="9"/>
      <c r="AS670" s="9"/>
      <c r="AT670" s="123"/>
      <c r="AU670" s="123"/>
      <c r="AV670" s="123"/>
      <c r="AW670" s="123"/>
      <c r="AX670" s="123"/>
      <c r="AY670" s="123"/>
      <c r="AZ670" s="123"/>
      <c r="BA670" s="123"/>
      <c r="BC670" s="122"/>
      <c r="BD670" s="122"/>
      <c r="BE670" s="122"/>
      <c r="BF670" s="122"/>
      <c r="BH670" s="122"/>
      <c r="BI670" s="122"/>
      <c r="BJ670" s="122"/>
      <c r="BK670" s="122"/>
      <c r="BM670" s="122"/>
      <c r="BN670" s="122"/>
      <c r="BO670" s="122"/>
      <c r="BP670" s="122"/>
      <c r="BR670" s="122"/>
      <c r="BS670" s="122"/>
      <c r="BT670" s="122"/>
      <c r="BU670" s="122"/>
      <c r="BV670" s="439"/>
      <c r="BW670" s="120">
        <f t="shared" si="1126"/>
        <v>7450000</v>
      </c>
      <c r="BX670" s="121">
        <f t="shared" si="1051"/>
        <v>3.5000000000000003E-2</v>
      </c>
      <c r="BY670" s="121">
        <f t="shared" si="1054"/>
        <v>3.6171140939597314E-2</v>
      </c>
      <c r="BZ670" s="120">
        <f t="shared" si="1127"/>
        <v>748.54166666666663</v>
      </c>
      <c r="CA670" s="120">
        <f t="shared" si="1128"/>
        <v>96.666666666666629</v>
      </c>
    </row>
    <row r="671" spans="2:79" x14ac:dyDescent="0.25">
      <c r="B671" s="123" t="str">
        <f t="shared" si="1116"/>
        <v>10 2026</v>
      </c>
      <c r="C671" s="122">
        <f t="shared" si="1117"/>
        <v>46320</v>
      </c>
      <c r="D671" s="122">
        <f t="shared" si="1055"/>
        <v>46321</v>
      </c>
      <c r="E671" s="123">
        <f t="shared" si="1118"/>
        <v>1</v>
      </c>
      <c r="F671" s="123" t="s">
        <v>7</v>
      </c>
      <c r="G671" s="124">
        <f t="shared" ref="G671:H671" si="1147">G670</f>
        <v>1450000</v>
      </c>
      <c r="H671" s="125">
        <f t="shared" si="1147"/>
        <v>3.15E-2</v>
      </c>
      <c r="I671" s="124">
        <f t="shared" si="1120"/>
        <v>126.875</v>
      </c>
      <c r="J671" s="124">
        <f t="shared" si="1121"/>
        <v>36526.875</v>
      </c>
      <c r="K671" s="9"/>
      <c r="L671" s="11"/>
      <c r="M671" s="306"/>
      <c r="N671" s="97"/>
      <c r="O671" s="421"/>
      <c r="P671" s="304"/>
      <c r="Q671" s="307"/>
      <c r="S671" s="11"/>
      <c r="T671" s="306"/>
      <c r="U671" s="97"/>
      <c r="V671" s="421"/>
      <c r="W671" s="304"/>
      <c r="X671" s="307"/>
      <c r="Z671" s="11"/>
      <c r="AA671" s="306"/>
      <c r="AB671" s="97"/>
      <c r="AC671" s="421"/>
      <c r="AD671" s="304"/>
      <c r="AE671" s="307"/>
      <c r="AG671" s="11" t="s">
        <v>192</v>
      </c>
      <c r="AH671" s="306">
        <f t="shared" ref="AH671:AI671" si="1148">AH670</f>
        <v>6000000</v>
      </c>
      <c r="AI671" s="97">
        <f t="shared" si="1148"/>
        <v>3.73E-2</v>
      </c>
      <c r="AJ671" s="421">
        <f t="shared" si="1123"/>
        <v>621.66666666666663</v>
      </c>
      <c r="AK671" s="304">
        <f t="shared" si="1124"/>
        <v>1243.3333333333333</v>
      </c>
      <c r="AL671" s="307">
        <f t="shared" si="1125"/>
        <v>96.666666666666629</v>
      </c>
      <c r="AN671" s="304">
        <f>'codeis $'!AB671</f>
        <v>0</v>
      </c>
      <c r="AO671" s="340">
        <f>'codeis $'!AH671</f>
        <v>0</v>
      </c>
      <c r="AP671" s="304">
        <f>'codeis $'!AE671</f>
        <v>0</v>
      </c>
      <c r="AQ671" s="304">
        <f>'codeis $'!AK671</f>
        <v>0</v>
      </c>
      <c r="AR671" s="9"/>
      <c r="AS671" s="9"/>
      <c r="AT671" s="123"/>
      <c r="AU671" s="123"/>
      <c r="AV671" s="123"/>
      <c r="AW671" s="123"/>
      <c r="AX671" s="123"/>
      <c r="AY671" s="123"/>
      <c r="AZ671" s="123"/>
      <c r="BA671" s="123"/>
      <c r="BC671" s="122"/>
      <c r="BD671" s="122"/>
      <c r="BE671" s="122"/>
      <c r="BF671" s="122"/>
      <c r="BH671" s="122"/>
      <c r="BI671" s="122"/>
      <c r="BJ671" s="122"/>
      <c r="BK671" s="122"/>
      <c r="BM671" s="122"/>
      <c r="BN671" s="122"/>
      <c r="BO671" s="122"/>
      <c r="BP671" s="122"/>
      <c r="BR671" s="122"/>
      <c r="BS671" s="122"/>
      <c r="BT671" s="122"/>
      <c r="BU671" s="122"/>
      <c r="BV671" s="439"/>
      <c r="BW671" s="120">
        <f t="shared" si="1126"/>
        <v>7450000</v>
      </c>
      <c r="BX671" s="121">
        <f t="shared" si="1051"/>
        <v>3.5000000000000003E-2</v>
      </c>
      <c r="BY671" s="121">
        <f t="shared" si="1054"/>
        <v>3.6171140939597314E-2</v>
      </c>
      <c r="BZ671" s="120">
        <f t="shared" si="1127"/>
        <v>748.54166666666663</v>
      </c>
      <c r="CA671" s="120">
        <f t="shared" si="1128"/>
        <v>96.666666666666629</v>
      </c>
    </row>
    <row r="672" spans="2:79" x14ac:dyDescent="0.25">
      <c r="B672" s="123" t="str">
        <f t="shared" si="1116"/>
        <v>10 2026</v>
      </c>
      <c r="C672" s="122">
        <f t="shared" si="1117"/>
        <v>46321</v>
      </c>
      <c r="D672" s="122">
        <f t="shared" si="1055"/>
        <v>46322</v>
      </c>
      <c r="E672" s="123">
        <f t="shared" si="1118"/>
        <v>1</v>
      </c>
      <c r="F672" s="123" t="s">
        <v>7</v>
      </c>
      <c r="G672" s="124">
        <f t="shared" ref="G672:H672" si="1149">G671</f>
        <v>1450000</v>
      </c>
      <c r="H672" s="125">
        <f t="shared" si="1149"/>
        <v>3.15E-2</v>
      </c>
      <c r="I672" s="124">
        <f t="shared" si="1120"/>
        <v>126.875</v>
      </c>
      <c r="J672" s="124">
        <f t="shared" si="1121"/>
        <v>36653.75</v>
      </c>
      <c r="K672" s="9"/>
      <c r="L672" s="11"/>
      <c r="M672" s="306"/>
      <c r="N672" s="97"/>
      <c r="O672" s="421"/>
      <c r="P672" s="304"/>
      <c r="Q672" s="307"/>
      <c r="S672" s="11"/>
      <c r="T672" s="306"/>
      <c r="U672" s="97"/>
      <c r="V672" s="421"/>
      <c r="W672" s="304"/>
      <c r="X672" s="307"/>
      <c r="Z672" s="11"/>
      <c r="AA672" s="306"/>
      <c r="AB672" s="97"/>
      <c r="AC672" s="421"/>
      <c r="AD672" s="304"/>
      <c r="AE672" s="307"/>
      <c r="AG672" s="11" t="s">
        <v>192</v>
      </c>
      <c r="AH672" s="306">
        <f t="shared" ref="AH672:AI672" si="1150">AH671</f>
        <v>6000000</v>
      </c>
      <c r="AI672" s="97">
        <f t="shared" si="1150"/>
        <v>3.73E-2</v>
      </c>
      <c r="AJ672" s="421">
        <f t="shared" si="1123"/>
        <v>621.66666666666663</v>
      </c>
      <c r="AK672" s="304">
        <f t="shared" si="1124"/>
        <v>1243.3333333333333</v>
      </c>
      <c r="AL672" s="307">
        <f t="shared" si="1125"/>
        <v>96.666666666666629</v>
      </c>
      <c r="AN672" s="304">
        <f>'codeis $'!AB672</f>
        <v>0</v>
      </c>
      <c r="AO672" s="340">
        <f>'codeis $'!AH672</f>
        <v>0</v>
      </c>
      <c r="AP672" s="304">
        <f>'codeis $'!AE672</f>
        <v>0</v>
      </c>
      <c r="AQ672" s="304">
        <f>'codeis $'!AK672</f>
        <v>0</v>
      </c>
      <c r="AR672" s="9"/>
      <c r="AS672" s="9"/>
      <c r="AT672" s="123"/>
      <c r="AU672" s="123"/>
      <c r="AV672" s="123"/>
      <c r="AW672" s="123"/>
      <c r="AX672" s="123"/>
      <c r="AY672" s="123"/>
      <c r="AZ672" s="123"/>
      <c r="BA672" s="123"/>
      <c r="BC672" s="122"/>
      <c r="BD672" s="122"/>
      <c r="BE672" s="122"/>
      <c r="BF672" s="122"/>
      <c r="BH672" s="122"/>
      <c r="BI672" s="122"/>
      <c r="BJ672" s="122"/>
      <c r="BK672" s="122"/>
      <c r="BM672" s="122"/>
      <c r="BN672" s="122"/>
      <c r="BO672" s="122"/>
      <c r="BP672" s="122"/>
      <c r="BR672" s="122"/>
      <c r="BS672" s="122"/>
      <c r="BT672" s="122"/>
      <c r="BU672" s="122"/>
      <c r="BV672" s="439"/>
      <c r="BW672" s="120">
        <f t="shared" si="1126"/>
        <v>7450000</v>
      </c>
      <c r="BX672" s="121">
        <f t="shared" si="1051"/>
        <v>3.5000000000000003E-2</v>
      </c>
      <c r="BY672" s="121">
        <f t="shared" si="1054"/>
        <v>3.6171140939597314E-2</v>
      </c>
      <c r="BZ672" s="120">
        <f t="shared" si="1127"/>
        <v>748.54166666666663</v>
      </c>
      <c r="CA672" s="120">
        <f t="shared" si="1128"/>
        <v>96.666666666666629</v>
      </c>
    </row>
    <row r="673" spans="2:79" x14ac:dyDescent="0.25">
      <c r="B673" s="123" t="str">
        <f t="shared" si="1116"/>
        <v>10 2026</v>
      </c>
      <c r="C673" s="122">
        <f t="shared" si="1117"/>
        <v>46322</v>
      </c>
      <c r="D673" s="122">
        <f t="shared" si="1055"/>
        <v>46323</v>
      </c>
      <c r="E673" s="123">
        <f t="shared" si="1118"/>
        <v>1</v>
      </c>
      <c r="F673" s="123" t="s">
        <v>7</v>
      </c>
      <c r="G673" s="124">
        <f t="shared" ref="G673:H673" si="1151">G672</f>
        <v>1450000</v>
      </c>
      <c r="H673" s="125">
        <f t="shared" si="1151"/>
        <v>3.15E-2</v>
      </c>
      <c r="I673" s="124">
        <f t="shared" si="1120"/>
        <v>126.875</v>
      </c>
      <c r="J673" s="124">
        <f t="shared" si="1121"/>
        <v>36780.625</v>
      </c>
      <c r="K673" s="9"/>
      <c r="L673" s="11"/>
      <c r="M673" s="306"/>
      <c r="N673" s="97"/>
      <c r="O673" s="421"/>
      <c r="P673" s="304"/>
      <c r="Q673" s="307"/>
      <c r="S673" s="11"/>
      <c r="T673" s="306"/>
      <c r="U673" s="97"/>
      <c r="V673" s="421"/>
      <c r="W673" s="304"/>
      <c r="X673" s="307"/>
      <c r="Z673" s="11"/>
      <c r="AA673" s="306"/>
      <c r="AB673" s="97"/>
      <c r="AC673" s="421"/>
      <c r="AD673" s="304"/>
      <c r="AE673" s="307"/>
      <c r="AG673" s="11" t="s">
        <v>192</v>
      </c>
      <c r="AH673" s="306">
        <f t="shared" ref="AH673:AI673" si="1152">AH672</f>
        <v>6000000</v>
      </c>
      <c r="AI673" s="97">
        <f t="shared" si="1152"/>
        <v>3.73E-2</v>
      </c>
      <c r="AJ673" s="421">
        <f t="shared" si="1123"/>
        <v>621.66666666666663</v>
      </c>
      <c r="AK673" s="304">
        <f t="shared" si="1124"/>
        <v>1243.3333333333333</v>
      </c>
      <c r="AL673" s="307">
        <f t="shared" si="1125"/>
        <v>96.666666666666629</v>
      </c>
      <c r="AN673" s="304">
        <f>'codeis $'!AB673</f>
        <v>0</v>
      </c>
      <c r="AO673" s="340">
        <f>'codeis $'!AH673</f>
        <v>0</v>
      </c>
      <c r="AP673" s="304">
        <f>'codeis $'!AE673</f>
        <v>0</v>
      </c>
      <c r="AQ673" s="304">
        <f>'codeis $'!AK673</f>
        <v>0</v>
      </c>
      <c r="AR673" s="9"/>
      <c r="AS673" s="9"/>
      <c r="AT673" s="123"/>
      <c r="AU673" s="123"/>
      <c r="AV673" s="123"/>
      <c r="AW673" s="123"/>
      <c r="AX673" s="123"/>
      <c r="AY673" s="123"/>
      <c r="AZ673" s="123"/>
      <c r="BA673" s="123"/>
      <c r="BC673" s="122"/>
      <c r="BD673" s="122"/>
      <c r="BE673" s="122"/>
      <c r="BF673" s="122"/>
      <c r="BH673" s="122"/>
      <c r="BI673" s="122"/>
      <c r="BJ673" s="122"/>
      <c r="BK673" s="122"/>
      <c r="BM673" s="122"/>
      <c r="BN673" s="122"/>
      <c r="BO673" s="122"/>
      <c r="BP673" s="122"/>
      <c r="BR673" s="122"/>
      <c r="BS673" s="122"/>
      <c r="BT673" s="122"/>
      <c r="BU673" s="122"/>
      <c r="BV673" s="439"/>
      <c r="BW673" s="120">
        <f t="shared" si="1126"/>
        <v>7450000</v>
      </c>
      <c r="BX673" s="121">
        <f t="shared" si="1051"/>
        <v>3.5000000000000003E-2</v>
      </c>
      <c r="BY673" s="121">
        <f t="shared" si="1054"/>
        <v>3.6171140939597314E-2</v>
      </c>
      <c r="BZ673" s="120">
        <f t="shared" si="1127"/>
        <v>748.54166666666663</v>
      </c>
      <c r="CA673" s="120">
        <f t="shared" si="1128"/>
        <v>96.666666666666629</v>
      </c>
    </row>
    <row r="674" spans="2:79" x14ac:dyDescent="0.25">
      <c r="B674" s="123" t="str">
        <f t="shared" si="1116"/>
        <v>10 2026</v>
      </c>
      <c r="C674" s="122">
        <f t="shared" si="1117"/>
        <v>46323</v>
      </c>
      <c r="D674" s="122">
        <f t="shared" si="1055"/>
        <v>46324</v>
      </c>
      <c r="E674" s="123">
        <f t="shared" si="1118"/>
        <v>1</v>
      </c>
      <c r="F674" s="123" t="s">
        <v>7</v>
      </c>
      <c r="G674" s="124">
        <f t="shared" ref="G674:H674" si="1153">G673</f>
        <v>1450000</v>
      </c>
      <c r="H674" s="125">
        <f t="shared" si="1153"/>
        <v>3.15E-2</v>
      </c>
      <c r="I674" s="124">
        <f t="shared" si="1120"/>
        <v>126.875</v>
      </c>
      <c r="J674" s="124">
        <f t="shared" si="1121"/>
        <v>36907.5</v>
      </c>
      <c r="K674" s="9"/>
      <c r="L674" s="11"/>
      <c r="M674" s="306"/>
      <c r="N674" s="97"/>
      <c r="O674" s="421"/>
      <c r="P674" s="304"/>
      <c r="Q674" s="307"/>
      <c r="S674" s="11"/>
      <c r="T674" s="306"/>
      <c r="U674" s="97"/>
      <c r="V674" s="421"/>
      <c r="W674" s="304"/>
      <c r="X674" s="307"/>
      <c r="Z674" s="11"/>
      <c r="AA674" s="306"/>
      <c r="AB674" s="97"/>
      <c r="AC674" s="421"/>
      <c r="AD674" s="304"/>
      <c r="AE674" s="307"/>
      <c r="AG674" s="11" t="s">
        <v>192</v>
      </c>
      <c r="AH674" s="306">
        <f t="shared" ref="AH674:AI674" si="1154">AH673</f>
        <v>6000000</v>
      </c>
      <c r="AI674" s="97">
        <f t="shared" si="1154"/>
        <v>3.73E-2</v>
      </c>
      <c r="AJ674" s="421">
        <f t="shared" si="1123"/>
        <v>621.66666666666663</v>
      </c>
      <c r="AK674" s="304">
        <f t="shared" si="1124"/>
        <v>1243.3333333333333</v>
      </c>
      <c r="AL674" s="307">
        <f t="shared" si="1125"/>
        <v>96.666666666666629</v>
      </c>
      <c r="AN674" s="304">
        <f>'codeis $'!AB674</f>
        <v>0</v>
      </c>
      <c r="AO674" s="340">
        <f>'codeis $'!AH674</f>
        <v>0</v>
      </c>
      <c r="AP674" s="304">
        <f>'codeis $'!AE674</f>
        <v>0</v>
      </c>
      <c r="AQ674" s="304">
        <f>'codeis $'!AK674</f>
        <v>0</v>
      </c>
      <c r="AR674" s="9"/>
      <c r="AS674" s="9"/>
      <c r="AT674" s="123"/>
      <c r="AU674" s="123"/>
      <c r="AV674" s="123"/>
      <c r="AW674" s="123"/>
      <c r="AX674" s="123"/>
      <c r="AY674" s="123"/>
      <c r="AZ674" s="123"/>
      <c r="BA674" s="123"/>
      <c r="BC674" s="122"/>
      <c r="BD674" s="122"/>
      <c r="BE674" s="122"/>
      <c r="BF674" s="122"/>
      <c r="BH674" s="122"/>
      <c r="BI674" s="122"/>
      <c r="BJ674" s="122"/>
      <c r="BK674" s="122"/>
      <c r="BM674" s="122"/>
      <c r="BN674" s="122"/>
      <c r="BO674" s="122"/>
      <c r="BP674" s="122"/>
      <c r="BR674" s="122"/>
      <c r="BS674" s="122"/>
      <c r="BT674" s="122"/>
      <c r="BU674" s="122"/>
      <c r="BV674" s="439"/>
      <c r="BW674" s="120">
        <f t="shared" si="1126"/>
        <v>7450000</v>
      </c>
      <c r="BX674" s="121">
        <f t="shared" si="1051"/>
        <v>3.5000000000000003E-2</v>
      </c>
      <c r="BY674" s="121">
        <f t="shared" si="1054"/>
        <v>3.6171140939597314E-2</v>
      </c>
      <c r="BZ674" s="120">
        <f t="shared" si="1127"/>
        <v>748.54166666666663</v>
      </c>
      <c r="CA674" s="120">
        <f t="shared" si="1128"/>
        <v>96.666666666666629</v>
      </c>
    </row>
    <row r="675" spans="2:79" x14ac:dyDescent="0.25">
      <c r="B675" s="123" t="str">
        <f t="shared" si="1116"/>
        <v>10 2026</v>
      </c>
      <c r="C675" s="122">
        <f t="shared" si="1117"/>
        <v>46324</v>
      </c>
      <c r="D675" s="122">
        <f t="shared" si="1055"/>
        <v>46325</v>
      </c>
      <c r="E675" s="123">
        <f t="shared" si="1118"/>
        <v>1</v>
      </c>
      <c r="F675" s="123" t="s">
        <v>7</v>
      </c>
      <c r="G675" s="124">
        <f t="shared" ref="G675:H675" si="1155">G674</f>
        <v>1450000</v>
      </c>
      <c r="H675" s="125">
        <f t="shared" si="1155"/>
        <v>3.15E-2</v>
      </c>
      <c r="I675" s="124">
        <f t="shared" si="1120"/>
        <v>126.875</v>
      </c>
      <c r="J675" s="124">
        <f t="shared" si="1121"/>
        <v>37034.375</v>
      </c>
      <c r="K675" s="9"/>
      <c r="L675" s="11"/>
      <c r="M675" s="306"/>
      <c r="N675" s="97"/>
      <c r="O675" s="421"/>
      <c r="P675" s="304"/>
      <c r="Q675" s="307"/>
      <c r="S675" s="11"/>
      <c r="T675" s="306"/>
      <c r="U675" s="97"/>
      <c r="V675" s="421"/>
      <c r="W675" s="304"/>
      <c r="X675" s="307"/>
      <c r="Z675" s="11"/>
      <c r="AA675" s="306"/>
      <c r="AB675" s="97"/>
      <c r="AC675" s="421"/>
      <c r="AD675" s="304"/>
      <c r="AE675" s="307"/>
      <c r="AG675" s="11" t="s">
        <v>192</v>
      </c>
      <c r="AH675" s="306">
        <f t="shared" ref="AH675:AI675" si="1156">AH674</f>
        <v>6000000</v>
      </c>
      <c r="AI675" s="97">
        <f t="shared" si="1156"/>
        <v>3.73E-2</v>
      </c>
      <c r="AJ675" s="421">
        <f t="shared" si="1123"/>
        <v>621.66666666666663</v>
      </c>
      <c r="AK675" s="304">
        <f t="shared" si="1124"/>
        <v>1243.3333333333333</v>
      </c>
      <c r="AL675" s="307">
        <f t="shared" si="1125"/>
        <v>96.666666666666629</v>
      </c>
      <c r="AN675" s="304">
        <f>'codeis $'!AB675</f>
        <v>0</v>
      </c>
      <c r="AO675" s="340">
        <f>'codeis $'!AH675</f>
        <v>0</v>
      </c>
      <c r="AP675" s="304">
        <f>'codeis $'!AE675</f>
        <v>0</v>
      </c>
      <c r="AQ675" s="304">
        <f>'codeis $'!AK675</f>
        <v>0</v>
      </c>
      <c r="AR675" s="9"/>
      <c r="AS675" s="9"/>
      <c r="AT675" s="123"/>
      <c r="AU675" s="123"/>
      <c r="AV675" s="123"/>
      <c r="AW675" s="123"/>
      <c r="AX675" s="123"/>
      <c r="AY675" s="123"/>
      <c r="AZ675" s="123"/>
      <c r="BA675" s="123"/>
      <c r="BC675" s="122"/>
      <c r="BD675" s="122"/>
      <c r="BE675" s="122"/>
      <c r="BF675" s="122"/>
      <c r="BH675" s="122"/>
      <c r="BI675" s="122"/>
      <c r="BJ675" s="122"/>
      <c r="BK675" s="122"/>
      <c r="BM675" s="122"/>
      <c r="BN675" s="122"/>
      <c r="BO675" s="122"/>
      <c r="BP675" s="122"/>
      <c r="BR675" s="122"/>
      <c r="BS675" s="122"/>
      <c r="BT675" s="122"/>
      <c r="BU675" s="122"/>
      <c r="BV675" s="439"/>
      <c r="BW675" s="120">
        <f t="shared" si="1126"/>
        <v>7450000</v>
      </c>
      <c r="BX675" s="121">
        <f t="shared" si="1051"/>
        <v>3.5000000000000003E-2</v>
      </c>
      <c r="BY675" s="121">
        <f t="shared" si="1054"/>
        <v>3.6171140939597314E-2</v>
      </c>
      <c r="BZ675" s="120">
        <f t="shared" si="1127"/>
        <v>748.54166666666663</v>
      </c>
      <c r="CA675" s="120">
        <f t="shared" si="1128"/>
        <v>96.666666666666629</v>
      </c>
    </row>
    <row r="676" spans="2:79" x14ac:dyDescent="0.25">
      <c r="B676" s="123" t="str">
        <f t="shared" si="1116"/>
        <v>10 2026</v>
      </c>
      <c r="C676" s="122">
        <f t="shared" si="1117"/>
        <v>46325</v>
      </c>
      <c r="D676" s="122">
        <f t="shared" si="1055"/>
        <v>46326</v>
      </c>
      <c r="E676" s="123">
        <f t="shared" si="1118"/>
        <v>1</v>
      </c>
      <c r="F676" s="123" t="s">
        <v>7</v>
      </c>
      <c r="G676" s="124">
        <f t="shared" ref="G676:H676" si="1157">G675</f>
        <v>1450000</v>
      </c>
      <c r="H676" s="125">
        <f t="shared" si="1157"/>
        <v>3.15E-2</v>
      </c>
      <c r="I676" s="124">
        <f t="shared" si="1120"/>
        <v>126.875</v>
      </c>
      <c r="J676" s="124">
        <f t="shared" si="1121"/>
        <v>37161.25</v>
      </c>
      <c r="K676" s="9"/>
      <c r="L676" s="11"/>
      <c r="M676" s="306"/>
      <c r="N676" s="97"/>
      <c r="O676" s="421"/>
      <c r="P676" s="304"/>
      <c r="Q676" s="307"/>
      <c r="S676" s="11"/>
      <c r="T676" s="306"/>
      <c r="U676" s="97"/>
      <c r="V676" s="421"/>
      <c r="W676" s="304"/>
      <c r="X676" s="307"/>
      <c r="Z676" s="11"/>
      <c r="AA676" s="306"/>
      <c r="AB676" s="97"/>
      <c r="AC676" s="421"/>
      <c r="AD676" s="304"/>
      <c r="AE676" s="307"/>
      <c r="AG676" s="11" t="s">
        <v>192</v>
      </c>
      <c r="AH676" s="306">
        <f t="shared" ref="AH676:AI676" si="1158">AH675</f>
        <v>6000000</v>
      </c>
      <c r="AI676" s="97">
        <f t="shared" si="1158"/>
        <v>3.73E-2</v>
      </c>
      <c r="AJ676" s="421">
        <f t="shared" si="1123"/>
        <v>621.66666666666663</v>
      </c>
      <c r="AK676" s="304">
        <f t="shared" si="1124"/>
        <v>1243.3333333333333</v>
      </c>
      <c r="AL676" s="307">
        <f t="shared" si="1125"/>
        <v>96.666666666666629</v>
      </c>
      <c r="AN676" s="304">
        <f>'codeis $'!AB676</f>
        <v>0</v>
      </c>
      <c r="AO676" s="340">
        <f>'codeis $'!AH676</f>
        <v>0</v>
      </c>
      <c r="AP676" s="304">
        <f>'codeis $'!AE676</f>
        <v>0</v>
      </c>
      <c r="AQ676" s="304">
        <f>'codeis $'!AK676</f>
        <v>0</v>
      </c>
      <c r="AR676" s="9"/>
      <c r="AS676" s="9"/>
      <c r="AT676" s="123"/>
      <c r="AU676" s="123"/>
      <c r="AV676" s="123"/>
      <c r="AW676" s="123"/>
      <c r="AX676" s="123"/>
      <c r="AY676" s="123"/>
      <c r="AZ676" s="123"/>
      <c r="BA676" s="123"/>
      <c r="BC676" s="122"/>
      <c r="BD676" s="122"/>
      <c r="BE676" s="122"/>
      <c r="BF676" s="122"/>
      <c r="BH676" s="122"/>
      <c r="BI676" s="122"/>
      <c r="BJ676" s="122"/>
      <c r="BK676" s="122"/>
      <c r="BM676" s="122"/>
      <c r="BN676" s="122"/>
      <c r="BO676" s="122"/>
      <c r="BP676" s="122"/>
      <c r="BR676" s="122"/>
      <c r="BS676" s="122"/>
      <c r="BT676" s="122"/>
      <c r="BU676" s="122"/>
      <c r="BV676" s="439"/>
      <c r="BW676" s="120">
        <f t="shared" si="1126"/>
        <v>7450000</v>
      </c>
      <c r="BX676" s="121">
        <f t="shared" si="1051"/>
        <v>3.5000000000000003E-2</v>
      </c>
      <c r="BY676" s="121">
        <f t="shared" si="1054"/>
        <v>3.6171140939597314E-2</v>
      </c>
      <c r="BZ676" s="120">
        <f t="shared" si="1127"/>
        <v>748.54166666666663</v>
      </c>
      <c r="CA676" s="120">
        <f t="shared" si="1128"/>
        <v>96.666666666666629</v>
      </c>
    </row>
    <row r="677" spans="2:79" x14ac:dyDescent="0.25">
      <c r="B677" s="123" t="str">
        <f t="shared" si="1116"/>
        <v>11 2026</v>
      </c>
      <c r="C677" s="122">
        <f t="shared" si="1117"/>
        <v>46326</v>
      </c>
      <c r="D677" s="122">
        <f t="shared" si="1055"/>
        <v>46327</v>
      </c>
      <c r="E677" s="123">
        <f t="shared" si="1118"/>
        <v>1</v>
      </c>
      <c r="F677" s="123" t="s">
        <v>7</v>
      </c>
      <c r="G677" s="124">
        <f t="shared" ref="G677:H677" si="1159">G676</f>
        <v>1450000</v>
      </c>
      <c r="H677" s="125">
        <f t="shared" si="1159"/>
        <v>3.15E-2</v>
      </c>
      <c r="I677" s="124">
        <f t="shared" si="1120"/>
        <v>126.875</v>
      </c>
      <c r="J677" s="124">
        <f t="shared" si="1121"/>
        <v>37288.125</v>
      </c>
      <c r="K677" s="9"/>
      <c r="L677" s="11"/>
      <c r="M677" s="306"/>
      <c r="N677" s="97"/>
      <c r="O677" s="421"/>
      <c r="P677" s="304"/>
      <c r="Q677" s="307"/>
      <c r="S677" s="11"/>
      <c r="T677" s="306"/>
      <c r="U677" s="97"/>
      <c r="V677" s="421"/>
      <c r="W677" s="304"/>
      <c r="X677" s="307"/>
      <c r="Z677" s="11"/>
      <c r="AA677" s="306"/>
      <c r="AB677" s="97"/>
      <c r="AC677" s="421"/>
      <c r="AD677" s="304"/>
      <c r="AE677" s="307"/>
      <c r="AG677" s="11" t="s">
        <v>192</v>
      </c>
      <c r="AH677" s="306">
        <f t="shared" ref="AH677:AI677" si="1160">AH676</f>
        <v>6000000</v>
      </c>
      <c r="AI677" s="97">
        <f t="shared" si="1160"/>
        <v>3.73E-2</v>
      </c>
      <c r="AJ677" s="421">
        <f t="shared" si="1123"/>
        <v>621.66666666666663</v>
      </c>
      <c r="AK677" s="304">
        <f t="shared" si="1124"/>
        <v>1243.3333333333333</v>
      </c>
      <c r="AL677" s="307">
        <f t="shared" si="1125"/>
        <v>96.666666666666629</v>
      </c>
      <c r="AN677" s="304">
        <f>'codeis $'!AB677</f>
        <v>0</v>
      </c>
      <c r="AO677" s="340">
        <f>'codeis $'!AH677</f>
        <v>0</v>
      </c>
      <c r="AP677" s="304">
        <f>'codeis $'!AE677</f>
        <v>0</v>
      </c>
      <c r="AQ677" s="304">
        <f>'codeis $'!AK677</f>
        <v>0</v>
      </c>
      <c r="AR677" s="9"/>
      <c r="AS677" s="9"/>
      <c r="AT677" s="123"/>
      <c r="AU677" s="123"/>
      <c r="AV677" s="123"/>
      <c r="AW677" s="123"/>
      <c r="AX677" s="123"/>
      <c r="AY677" s="123"/>
      <c r="AZ677" s="123"/>
      <c r="BA677" s="123"/>
      <c r="BC677" s="122"/>
      <c r="BD677" s="122"/>
      <c r="BE677" s="122"/>
      <c r="BF677" s="122"/>
      <c r="BH677" s="122"/>
      <c r="BI677" s="122"/>
      <c r="BJ677" s="122"/>
      <c r="BK677" s="122"/>
      <c r="BM677" s="122"/>
      <c r="BN677" s="122"/>
      <c r="BO677" s="122"/>
      <c r="BP677" s="122"/>
      <c r="BR677" s="122"/>
      <c r="BS677" s="122"/>
      <c r="BT677" s="122"/>
      <c r="BU677" s="122"/>
      <c r="BV677" s="439"/>
      <c r="BW677" s="120">
        <f t="shared" si="1126"/>
        <v>7450000</v>
      </c>
      <c r="BX677" s="121">
        <f t="shared" si="1051"/>
        <v>3.5000000000000003E-2</v>
      </c>
      <c r="BY677" s="121">
        <f t="shared" si="1054"/>
        <v>3.6171140939597314E-2</v>
      </c>
      <c r="BZ677" s="120">
        <f t="shared" si="1127"/>
        <v>748.54166666666663</v>
      </c>
      <c r="CA677" s="120">
        <f t="shared" si="1128"/>
        <v>96.666666666666629</v>
      </c>
    </row>
    <row r="678" spans="2:79" x14ac:dyDescent="0.25">
      <c r="B678" s="123" t="str">
        <f t="shared" si="1116"/>
        <v>11 2026</v>
      </c>
      <c r="C678" s="122">
        <f t="shared" si="1117"/>
        <v>46327</v>
      </c>
      <c r="D678" s="122">
        <f t="shared" si="1055"/>
        <v>46328</v>
      </c>
      <c r="E678" s="123">
        <f t="shared" si="1118"/>
        <v>1</v>
      </c>
      <c r="F678" s="123" t="s">
        <v>7</v>
      </c>
      <c r="G678" s="124">
        <f t="shared" ref="G678:H678" si="1161">G677</f>
        <v>1450000</v>
      </c>
      <c r="H678" s="125">
        <f t="shared" si="1161"/>
        <v>3.15E-2</v>
      </c>
      <c r="I678" s="124">
        <f t="shared" si="1120"/>
        <v>126.875</v>
      </c>
      <c r="J678" s="124">
        <f t="shared" si="1121"/>
        <v>37415</v>
      </c>
      <c r="K678" s="9"/>
      <c r="L678" s="11"/>
      <c r="M678" s="306"/>
      <c r="N678" s="97"/>
      <c r="O678" s="421"/>
      <c r="P678" s="304"/>
      <c r="Q678" s="307"/>
      <c r="S678" s="11"/>
      <c r="T678" s="306"/>
      <c r="U678" s="97"/>
      <c r="V678" s="421"/>
      <c r="W678" s="304"/>
      <c r="X678" s="307"/>
      <c r="Z678" s="11"/>
      <c r="AA678" s="306"/>
      <c r="AB678" s="97"/>
      <c r="AC678" s="421"/>
      <c r="AD678" s="304"/>
      <c r="AE678" s="307"/>
      <c r="AG678" s="11" t="s">
        <v>192</v>
      </c>
      <c r="AH678" s="306">
        <f t="shared" ref="AH678:AI678" si="1162">AH677</f>
        <v>6000000</v>
      </c>
      <c r="AI678" s="97">
        <f t="shared" si="1162"/>
        <v>3.73E-2</v>
      </c>
      <c r="AJ678" s="421">
        <f t="shared" si="1123"/>
        <v>621.66666666666663</v>
      </c>
      <c r="AK678" s="304">
        <f t="shared" si="1124"/>
        <v>1243.3333333333333</v>
      </c>
      <c r="AL678" s="307">
        <f t="shared" si="1125"/>
        <v>96.666666666666629</v>
      </c>
      <c r="AN678" s="304">
        <f>'codeis $'!AB678</f>
        <v>0</v>
      </c>
      <c r="AO678" s="340">
        <f>'codeis $'!AH678</f>
        <v>0</v>
      </c>
      <c r="AP678" s="304">
        <f>'codeis $'!AE678</f>
        <v>0</v>
      </c>
      <c r="AQ678" s="304">
        <f>'codeis $'!AK678</f>
        <v>0</v>
      </c>
      <c r="AR678" s="9"/>
      <c r="AS678" s="9"/>
      <c r="AT678" s="123"/>
      <c r="AU678" s="123"/>
      <c r="AV678" s="123"/>
      <c r="AW678" s="123"/>
      <c r="AX678" s="123"/>
      <c r="AY678" s="123"/>
      <c r="AZ678" s="123"/>
      <c r="BA678" s="123"/>
      <c r="BC678" s="122"/>
      <c r="BD678" s="122"/>
      <c r="BE678" s="122"/>
      <c r="BF678" s="122"/>
      <c r="BH678" s="122"/>
      <c r="BI678" s="122"/>
      <c r="BJ678" s="122"/>
      <c r="BK678" s="122"/>
      <c r="BM678" s="122"/>
      <c r="BN678" s="122"/>
      <c r="BO678" s="122"/>
      <c r="BP678" s="122"/>
      <c r="BR678" s="122"/>
      <c r="BS678" s="122"/>
      <c r="BT678" s="122"/>
      <c r="BU678" s="122"/>
      <c r="BV678" s="439"/>
      <c r="BW678" s="120">
        <f t="shared" si="1126"/>
        <v>7450000</v>
      </c>
      <c r="BX678" s="121">
        <f t="shared" si="1051"/>
        <v>3.5000000000000003E-2</v>
      </c>
      <c r="BY678" s="121">
        <f t="shared" si="1054"/>
        <v>3.6171140939597314E-2</v>
      </c>
      <c r="BZ678" s="120">
        <f t="shared" si="1127"/>
        <v>748.54166666666663</v>
      </c>
      <c r="CA678" s="120">
        <f t="shared" si="1128"/>
        <v>96.666666666666629</v>
      </c>
    </row>
    <row r="679" spans="2:79" x14ac:dyDescent="0.25">
      <c r="B679" s="123" t="str">
        <f t="shared" si="1116"/>
        <v>11 2026</v>
      </c>
      <c r="C679" s="122">
        <f t="shared" si="1117"/>
        <v>46328</v>
      </c>
      <c r="D679" s="122">
        <f t="shared" si="1055"/>
        <v>46329</v>
      </c>
      <c r="E679" s="123">
        <f t="shared" si="1118"/>
        <v>1</v>
      </c>
      <c r="F679" s="123" t="s">
        <v>7</v>
      </c>
      <c r="G679" s="124">
        <f t="shared" ref="G679:H679" si="1163">G678</f>
        <v>1450000</v>
      </c>
      <c r="H679" s="125">
        <f t="shared" si="1163"/>
        <v>3.15E-2</v>
      </c>
      <c r="I679" s="124">
        <f t="shared" si="1120"/>
        <v>126.875</v>
      </c>
      <c r="J679" s="124">
        <f t="shared" si="1121"/>
        <v>37541.875</v>
      </c>
      <c r="K679" s="9"/>
      <c r="L679" s="11"/>
      <c r="M679" s="306"/>
      <c r="N679" s="97"/>
      <c r="O679" s="421"/>
      <c r="P679" s="304"/>
      <c r="Q679" s="307"/>
      <c r="S679" s="11"/>
      <c r="T679" s="306"/>
      <c r="U679" s="97"/>
      <c r="V679" s="421"/>
      <c r="W679" s="304"/>
      <c r="X679" s="307"/>
      <c r="Z679" s="11"/>
      <c r="AA679" s="306"/>
      <c r="AB679" s="97"/>
      <c r="AC679" s="421"/>
      <c r="AD679" s="304"/>
      <c r="AE679" s="307"/>
      <c r="AG679" s="11" t="s">
        <v>192</v>
      </c>
      <c r="AH679" s="306">
        <f t="shared" ref="AH679:AI679" si="1164">AH678</f>
        <v>6000000</v>
      </c>
      <c r="AI679" s="97">
        <f t="shared" si="1164"/>
        <v>3.73E-2</v>
      </c>
      <c r="AJ679" s="421">
        <f t="shared" si="1123"/>
        <v>621.66666666666663</v>
      </c>
      <c r="AK679" s="304">
        <f t="shared" si="1124"/>
        <v>1243.3333333333333</v>
      </c>
      <c r="AL679" s="307">
        <f t="shared" si="1125"/>
        <v>96.666666666666629</v>
      </c>
      <c r="AN679" s="304">
        <f>'codeis $'!AB679</f>
        <v>0</v>
      </c>
      <c r="AO679" s="340">
        <f>'codeis $'!AH679</f>
        <v>0</v>
      </c>
      <c r="AP679" s="304">
        <f>'codeis $'!AE679</f>
        <v>0</v>
      </c>
      <c r="AQ679" s="304">
        <f>'codeis $'!AK679</f>
        <v>0</v>
      </c>
      <c r="AR679" s="9"/>
      <c r="AS679" s="9"/>
      <c r="AT679" s="123"/>
      <c r="AU679" s="123"/>
      <c r="AV679" s="123"/>
      <c r="AW679" s="123"/>
      <c r="AX679" s="123"/>
      <c r="AY679" s="123"/>
      <c r="AZ679" s="123"/>
      <c r="BA679" s="123"/>
      <c r="BC679" s="122"/>
      <c r="BD679" s="122"/>
      <c r="BE679" s="122"/>
      <c r="BF679" s="122"/>
      <c r="BH679" s="122"/>
      <c r="BI679" s="122"/>
      <c r="BJ679" s="122"/>
      <c r="BK679" s="122"/>
      <c r="BM679" s="122"/>
      <c r="BN679" s="122"/>
      <c r="BO679" s="122"/>
      <c r="BP679" s="122"/>
      <c r="BR679" s="122"/>
      <c r="BS679" s="122"/>
      <c r="BT679" s="122"/>
      <c r="BU679" s="122"/>
      <c r="BV679" s="439"/>
      <c r="BW679" s="120">
        <f t="shared" si="1126"/>
        <v>7450000</v>
      </c>
      <c r="BX679" s="121">
        <f t="shared" si="1051"/>
        <v>3.5000000000000003E-2</v>
      </c>
      <c r="BY679" s="121">
        <f t="shared" si="1054"/>
        <v>3.6171140939597314E-2</v>
      </c>
      <c r="BZ679" s="120">
        <f t="shared" si="1127"/>
        <v>748.54166666666663</v>
      </c>
      <c r="CA679" s="120">
        <f t="shared" si="1128"/>
        <v>96.666666666666629</v>
      </c>
    </row>
    <row r="680" spans="2:79" x14ac:dyDescent="0.25">
      <c r="B680" s="123" t="str">
        <f t="shared" si="1116"/>
        <v>11 2026</v>
      </c>
      <c r="C680" s="122">
        <f t="shared" si="1117"/>
        <v>46329</v>
      </c>
      <c r="D680" s="122">
        <f t="shared" si="1055"/>
        <v>46330</v>
      </c>
      <c r="E680" s="123">
        <f t="shared" si="1118"/>
        <v>1</v>
      </c>
      <c r="F680" s="123" t="s">
        <v>7</v>
      </c>
      <c r="G680" s="124">
        <f t="shared" ref="G680:H680" si="1165">G679</f>
        <v>1450000</v>
      </c>
      <c r="H680" s="125">
        <f t="shared" si="1165"/>
        <v>3.15E-2</v>
      </c>
      <c r="I680" s="124">
        <f t="shared" si="1120"/>
        <v>126.875</v>
      </c>
      <c r="J680" s="124">
        <f t="shared" si="1121"/>
        <v>37668.75</v>
      </c>
      <c r="K680" s="9"/>
      <c r="L680" s="11"/>
      <c r="M680" s="306"/>
      <c r="N680" s="97"/>
      <c r="O680" s="421"/>
      <c r="P680" s="304"/>
      <c r="Q680" s="307"/>
      <c r="S680" s="11"/>
      <c r="T680" s="306"/>
      <c r="U680" s="97"/>
      <c r="V680" s="421"/>
      <c r="W680" s="304"/>
      <c r="X680" s="307"/>
      <c r="Z680" s="11"/>
      <c r="AA680" s="306"/>
      <c r="AB680" s="97"/>
      <c r="AC680" s="421"/>
      <c r="AD680" s="304"/>
      <c r="AE680" s="307"/>
      <c r="AG680" s="11" t="s">
        <v>192</v>
      </c>
      <c r="AH680" s="306">
        <f t="shared" ref="AH680:AI680" si="1166">AH679</f>
        <v>6000000</v>
      </c>
      <c r="AI680" s="97">
        <f t="shared" si="1166"/>
        <v>3.73E-2</v>
      </c>
      <c r="AJ680" s="421">
        <f t="shared" si="1123"/>
        <v>621.66666666666663</v>
      </c>
      <c r="AK680" s="304">
        <f t="shared" si="1124"/>
        <v>1243.3333333333333</v>
      </c>
      <c r="AL680" s="307">
        <f t="shared" si="1125"/>
        <v>96.666666666666629</v>
      </c>
      <c r="AN680" s="304">
        <f>'codeis $'!AB680</f>
        <v>0</v>
      </c>
      <c r="AO680" s="340">
        <f>'codeis $'!AH680</f>
        <v>0</v>
      </c>
      <c r="AP680" s="304">
        <f>'codeis $'!AE680</f>
        <v>0</v>
      </c>
      <c r="AQ680" s="304">
        <f>'codeis $'!AK680</f>
        <v>0</v>
      </c>
      <c r="AR680" s="9"/>
      <c r="AS680" s="9"/>
      <c r="AT680" s="123"/>
      <c r="AU680" s="123"/>
      <c r="AV680" s="123"/>
      <c r="AW680" s="123"/>
      <c r="AX680" s="123"/>
      <c r="AY680" s="123"/>
      <c r="AZ680" s="123"/>
      <c r="BA680" s="123"/>
      <c r="BC680" s="122"/>
      <c r="BD680" s="122"/>
      <c r="BE680" s="122"/>
      <c r="BF680" s="122"/>
      <c r="BH680" s="122"/>
      <c r="BI680" s="122"/>
      <c r="BJ680" s="122"/>
      <c r="BK680" s="122"/>
      <c r="BM680" s="122"/>
      <c r="BN680" s="122"/>
      <c r="BO680" s="122"/>
      <c r="BP680" s="122"/>
      <c r="BR680" s="122"/>
      <c r="BS680" s="122"/>
      <c r="BT680" s="122"/>
      <c r="BU680" s="122"/>
      <c r="BV680" s="439"/>
      <c r="BW680" s="120">
        <f t="shared" si="1126"/>
        <v>7450000</v>
      </c>
      <c r="BX680" s="121">
        <f t="shared" si="1051"/>
        <v>3.5000000000000003E-2</v>
      </c>
      <c r="BY680" s="121">
        <f t="shared" si="1054"/>
        <v>3.6171140939597314E-2</v>
      </c>
      <c r="BZ680" s="120">
        <f t="shared" si="1127"/>
        <v>748.54166666666663</v>
      </c>
      <c r="CA680" s="120">
        <f t="shared" si="1128"/>
        <v>96.666666666666629</v>
      </c>
    </row>
    <row r="681" spans="2:79" x14ac:dyDescent="0.25">
      <c r="B681" s="123" t="str">
        <f t="shared" si="1116"/>
        <v>11 2026</v>
      </c>
      <c r="C681" s="122">
        <f t="shared" si="1117"/>
        <v>46330</v>
      </c>
      <c r="D681" s="122">
        <f t="shared" si="1055"/>
        <v>46331</v>
      </c>
      <c r="E681" s="123">
        <f t="shared" si="1118"/>
        <v>1</v>
      </c>
      <c r="F681" s="123" t="s">
        <v>7</v>
      </c>
      <c r="G681" s="124">
        <f t="shared" ref="G681:H681" si="1167">G680</f>
        <v>1450000</v>
      </c>
      <c r="H681" s="125">
        <f t="shared" si="1167"/>
        <v>3.15E-2</v>
      </c>
      <c r="I681" s="124">
        <f t="shared" si="1120"/>
        <v>126.875</v>
      </c>
      <c r="J681" s="124">
        <f t="shared" si="1121"/>
        <v>37795.625</v>
      </c>
      <c r="K681" s="9"/>
      <c r="L681" s="11"/>
      <c r="M681" s="306"/>
      <c r="N681" s="97"/>
      <c r="O681" s="421"/>
      <c r="P681" s="304"/>
      <c r="Q681" s="307"/>
      <c r="S681" s="11"/>
      <c r="T681" s="306"/>
      <c r="U681" s="97"/>
      <c r="V681" s="421"/>
      <c r="W681" s="304"/>
      <c r="X681" s="307"/>
      <c r="Z681" s="11"/>
      <c r="AA681" s="306"/>
      <c r="AB681" s="97"/>
      <c r="AC681" s="421"/>
      <c r="AD681" s="304"/>
      <c r="AE681" s="307"/>
      <c r="AG681" s="11" t="s">
        <v>192</v>
      </c>
      <c r="AH681" s="635">
        <f t="shared" ref="AH681" si="1168">AH680</f>
        <v>6000000</v>
      </c>
      <c r="AI681" s="97"/>
      <c r="AJ681" s="421"/>
      <c r="AK681" s="304"/>
      <c r="AL681" s="307"/>
      <c r="AN681" s="304">
        <f>'codeis $'!AB681</f>
        <v>0</v>
      </c>
      <c r="AO681" s="340">
        <f>'codeis $'!AH681</f>
        <v>0</v>
      </c>
      <c r="AP681" s="304">
        <f>'codeis $'!AE681</f>
        <v>0</v>
      </c>
      <c r="AQ681" s="304">
        <f>'codeis $'!AK681</f>
        <v>0</v>
      </c>
      <c r="AR681" s="9"/>
      <c r="AS681" s="9"/>
      <c r="AT681" s="123"/>
      <c r="AU681" s="123"/>
      <c r="AV681" s="123"/>
      <c r="AW681" s="123"/>
      <c r="AX681" s="123"/>
      <c r="AY681" s="123"/>
      <c r="AZ681" s="123"/>
      <c r="BA681" s="123"/>
      <c r="BC681" s="122"/>
      <c r="BD681" s="122"/>
      <c r="BE681" s="122"/>
      <c r="BF681" s="122"/>
      <c r="BH681" s="122"/>
      <c r="BI681" s="122"/>
      <c r="BJ681" s="122"/>
      <c r="BK681" s="122"/>
      <c r="BM681" s="122"/>
      <c r="BN681" s="122"/>
      <c r="BO681" s="122"/>
      <c r="BP681" s="122"/>
      <c r="BR681" s="122"/>
      <c r="BS681" s="122"/>
      <c r="BT681" s="122"/>
      <c r="BU681" s="122"/>
      <c r="BV681" s="439"/>
      <c r="BW681" s="120">
        <f t="shared" si="1126"/>
        <v>7450000</v>
      </c>
      <c r="BX681" s="121">
        <f t="shared" si="1051"/>
        <v>3.5000000000000003E-2</v>
      </c>
      <c r="BY681" s="121">
        <f t="shared" si="1054"/>
        <v>6.1308724832214766E-3</v>
      </c>
      <c r="BZ681" s="120">
        <f t="shared" si="1127"/>
        <v>126.875</v>
      </c>
      <c r="CA681" s="120">
        <f t="shared" si="1128"/>
        <v>0</v>
      </c>
    </row>
    <row r="682" spans="2:79" x14ac:dyDescent="0.25">
      <c r="B682" s="123" t="str">
        <f t="shared" si="1116"/>
        <v>11 2026</v>
      </c>
      <c r="C682" s="122">
        <f t="shared" si="1117"/>
        <v>46331</v>
      </c>
      <c r="D682" s="122">
        <f t="shared" si="1055"/>
        <v>46332</v>
      </c>
      <c r="E682" s="123">
        <f t="shared" si="1118"/>
        <v>1</v>
      </c>
      <c r="F682" s="123" t="s">
        <v>7</v>
      </c>
      <c r="G682" s="124">
        <f t="shared" ref="G682:H682" si="1169">G681</f>
        <v>1450000</v>
      </c>
      <c r="H682" s="125">
        <f t="shared" si="1169"/>
        <v>3.15E-2</v>
      </c>
      <c r="I682" s="124">
        <f t="shared" si="1120"/>
        <v>126.875</v>
      </c>
      <c r="J682" s="124">
        <f t="shared" si="1121"/>
        <v>37922.5</v>
      </c>
      <c r="K682" s="9"/>
      <c r="L682" s="11"/>
      <c r="M682" s="306"/>
      <c r="N682" s="97"/>
      <c r="O682" s="421"/>
      <c r="P682" s="304"/>
      <c r="Q682" s="307"/>
      <c r="S682" s="11"/>
      <c r="T682" s="306"/>
      <c r="U682" s="97"/>
      <c r="V682" s="421"/>
      <c r="W682" s="304"/>
      <c r="X682" s="307"/>
      <c r="Z682" s="11"/>
      <c r="AA682" s="306"/>
      <c r="AB682" s="97"/>
      <c r="AC682" s="421"/>
      <c r="AD682" s="304"/>
      <c r="AE682" s="307"/>
      <c r="AG682" s="11"/>
      <c r="AH682" s="306"/>
      <c r="AI682" s="97"/>
      <c r="AJ682" s="421"/>
      <c r="AK682" s="304"/>
      <c r="AL682" s="307"/>
      <c r="AN682" s="304">
        <f>'codeis $'!AB682</f>
        <v>0</v>
      </c>
      <c r="AO682" s="340">
        <f>'codeis $'!AH682</f>
        <v>0</v>
      </c>
      <c r="AP682" s="304">
        <f>'codeis $'!AE682</f>
        <v>0</v>
      </c>
      <c r="AQ682" s="304">
        <f>'codeis $'!AK682</f>
        <v>0</v>
      </c>
      <c r="AR682" s="9"/>
      <c r="AS682" s="9"/>
      <c r="AT682" s="123"/>
      <c r="AU682" s="123"/>
      <c r="AV682" s="123"/>
      <c r="AW682" s="123"/>
      <c r="AX682" s="123"/>
      <c r="AY682" s="123"/>
      <c r="AZ682" s="123"/>
      <c r="BA682" s="123"/>
      <c r="BC682" s="122"/>
      <c r="BD682" s="122"/>
      <c r="BE682" s="122"/>
      <c r="BF682" s="122"/>
      <c r="BH682" s="122"/>
      <c r="BI682" s="122"/>
      <c r="BJ682" s="122"/>
      <c r="BK682" s="122"/>
      <c r="BM682" s="122"/>
      <c r="BN682" s="122"/>
      <c r="BO682" s="122"/>
      <c r="BP682" s="122"/>
      <c r="BR682" s="122"/>
      <c r="BS682" s="122"/>
      <c r="BT682" s="122"/>
      <c r="BU682" s="122"/>
      <c r="BV682" s="439"/>
      <c r="BW682" s="120">
        <f t="shared" si="1126"/>
        <v>1450000</v>
      </c>
      <c r="BX682" s="121">
        <f t="shared" si="1051"/>
        <v>3.5000000000000003E-2</v>
      </c>
      <c r="BY682" s="121">
        <f t="shared" si="1054"/>
        <v>3.15E-2</v>
      </c>
      <c r="BZ682" s="120">
        <f t="shared" si="1127"/>
        <v>126.875</v>
      </c>
      <c r="CA682" s="120">
        <f t="shared" si="1128"/>
        <v>0</v>
      </c>
    </row>
    <row r="683" spans="2:79" x14ac:dyDescent="0.25">
      <c r="B683" s="123" t="str">
        <f t="shared" si="1116"/>
        <v>11 2026</v>
      </c>
      <c r="C683" s="122">
        <f t="shared" si="1117"/>
        <v>46332</v>
      </c>
      <c r="D683" s="122">
        <f t="shared" si="1055"/>
        <v>46333</v>
      </c>
      <c r="E683" s="123">
        <f t="shared" si="1118"/>
        <v>1</v>
      </c>
      <c r="F683" s="123" t="s">
        <v>7</v>
      </c>
      <c r="G683" s="124">
        <f t="shared" ref="G683:H683" si="1170">G682</f>
        <v>1450000</v>
      </c>
      <c r="H683" s="125">
        <f t="shared" si="1170"/>
        <v>3.15E-2</v>
      </c>
      <c r="I683" s="124">
        <f t="shared" si="1120"/>
        <v>126.875</v>
      </c>
      <c r="J683" s="124">
        <f t="shared" si="1121"/>
        <v>38049.375</v>
      </c>
      <c r="K683" s="9"/>
      <c r="L683" s="11"/>
      <c r="M683" s="306"/>
      <c r="N683" s="97"/>
      <c r="O683" s="421"/>
      <c r="P683" s="304"/>
      <c r="Q683" s="307"/>
      <c r="S683" s="11"/>
      <c r="T683" s="306"/>
      <c r="U683" s="97"/>
      <c r="V683" s="421"/>
      <c r="W683" s="304"/>
      <c r="X683" s="307"/>
      <c r="Z683" s="11"/>
      <c r="AA683" s="306"/>
      <c r="AB683" s="97"/>
      <c r="AC683" s="421"/>
      <c r="AD683" s="304"/>
      <c r="AE683" s="307"/>
      <c r="AG683" s="11"/>
      <c r="AH683" s="306"/>
      <c r="AI683" s="97"/>
      <c r="AJ683" s="421"/>
      <c r="AK683" s="304"/>
      <c r="AL683" s="307"/>
      <c r="AN683" s="304">
        <f>'codeis $'!AB683</f>
        <v>0</v>
      </c>
      <c r="AO683" s="340">
        <f>'codeis $'!AH683</f>
        <v>0</v>
      </c>
      <c r="AP683" s="304">
        <f>'codeis $'!AE683</f>
        <v>0</v>
      </c>
      <c r="AQ683" s="304">
        <f>'codeis $'!AK683</f>
        <v>0</v>
      </c>
      <c r="AR683" s="9"/>
      <c r="AS683" s="9"/>
      <c r="AT683" s="123"/>
      <c r="AU683" s="123"/>
      <c r="AV683" s="123"/>
      <c r="AW683" s="123"/>
      <c r="AX683" s="123"/>
      <c r="AY683" s="123"/>
      <c r="AZ683" s="123"/>
      <c r="BA683" s="123"/>
      <c r="BC683" s="122"/>
      <c r="BD683" s="122"/>
      <c r="BE683" s="122"/>
      <c r="BF683" s="122"/>
      <c r="BH683" s="122"/>
      <c r="BI683" s="122"/>
      <c r="BJ683" s="122"/>
      <c r="BK683" s="122"/>
      <c r="BM683" s="122"/>
      <c r="BN683" s="122"/>
      <c r="BO683" s="122"/>
      <c r="BP683" s="122"/>
      <c r="BR683" s="122"/>
      <c r="BS683" s="122"/>
      <c r="BT683" s="122"/>
      <c r="BU683" s="122"/>
      <c r="BV683" s="439"/>
      <c r="BW683" s="120">
        <f t="shared" si="1126"/>
        <v>1450000</v>
      </c>
      <c r="BX683" s="121">
        <f t="shared" si="1051"/>
        <v>3.5000000000000003E-2</v>
      </c>
      <c r="BY683" s="121">
        <f t="shared" si="1054"/>
        <v>3.15E-2</v>
      </c>
      <c r="BZ683" s="120">
        <f t="shared" si="1127"/>
        <v>126.875</v>
      </c>
      <c r="CA683" s="120">
        <f t="shared" si="1128"/>
        <v>0</v>
      </c>
    </row>
    <row r="684" spans="2:79" x14ac:dyDescent="0.25">
      <c r="B684" s="123" t="str">
        <f t="shared" si="1116"/>
        <v>11 2026</v>
      </c>
      <c r="C684" s="122">
        <f t="shared" si="1117"/>
        <v>46333</v>
      </c>
      <c r="D684" s="122">
        <f t="shared" si="1055"/>
        <v>46334</v>
      </c>
      <c r="E684" s="123">
        <f t="shared" si="1118"/>
        <v>1</v>
      </c>
      <c r="F684" s="123" t="s">
        <v>7</v>
      </c>
      <c r="G684" s="124">
        <f t="shared" ref="G684:H684" si="1171">G683</f>
        <v>1450000</v>
      </c>
      <c r="H684" s="125">
        <f t="shared" si="1171"/>
        <v>3.15E-2</v>
      </c>
      <c r="I684" s="124">
        <f t="shared" si="1120"/>
        <v>126.875</v>
      </c>
      <c r="J684" s="124">
        <f t="shared" si="1121"/>
        <v>38176.25</v>
      </c>
      <c r="K684" s="9"/>
      <c r="L684" s="11"/>
      <c r="M684" s="306"/>
      <c r="N684" s="97"/>
      <c r="O684" s="421"/>
      <c r="P684" s="304"/>
      <c r="Q684" s="307"/>
      <c r="S684" s="11"/>
      <c r="T684" s="306"/>
      <c r="U684" s="97"/>
      <c r="V684" s="421"/>
      <c r="W684" s="304"/>
      <c r="X684" s="307"/>
      <c r="Z684" s="11"/>
      <c r="AA684" s="306"/>
      <c r="AB684" s="97"/>
      <c r="AC684" s="421"/>
      <c r="AD684" s="304"/>
      <c r="AE684" s="307"/>
      <c r="AG684" s="11"/>
      <c r="AH684" s="306"/>
      <c r="AI684" s="97"/>
      <c r="AJ684" s="421"/>
      <c r="AK684" s="304"/>
      <c r="AL684" s="307"/>
      <c r="AN684" s="304">
        <f>'codeis $'!AB684</f>
        <v>0</v>
      </c>
      <c r="AO684" s="340">
        <f>'codeis $'!AH684</f>
        <v>0</v>
      </c>
      <c r="AP684" s="304">
        <f>'codeis $'!AE684</f>
        <v>0</v>
      </c>
      <c r="AQ684" s="304">
        <f>'codeis $'!AK684</f>
        <v>0</v>
      </c>
      <c r="AR684" s="9"/>
      <c r="AS684" s="9"/>
      <c r="AT684" s="123"/>
      <c r="AU684" s="123"/>
      <c r="AV684" s="123"/>
      <c r="AW684" s="123"/>
      <c r="AX684" s="123"/>
      <c r="AY684" s="123"/>
      <c r="AZ684" s="123"/>
      <c r="BA684" s="123"/>
      <c r="BC684" s="122"/>
      <c r="BD684" s="122"/>
      <c r="BE684" s="122"/>
      <c r="BF684" s="122"/>
      <c r="BH684" s="122"/>
      <c r="BI684" s="122"/>
      <c r="BJ684" s="122"/>
      <c r="BK684" s="122"/>
      <c r="BM684" s="122"/>
      <c r="BN684" s="122"/>
      <c r="BO684" s="122"/>
      <c r="BP684" s="122"/>
      <c r="BR684" s="122"/>
      <c r="BS684" s="122"/>
      <c r="BT684" s="122"/>
      <c r="BU684" s="122"/>
      <c r="BV684" s="439"/>
      <c r="BW684" s="120">
        <f t="shared" si="1126"/>
        <v>1450000</v>
      </c>
      <c r="BX684" s="121">
        <f t="shared" si="1051"/>
        <v>3.5000000000000003E-2</v>
      </c>
      <c r="BY684" s="121">
        <f t="shared" si="1054"/>
        <v>3.15E-2</v>
      </c>
      <c r="BZ684" s="120">
        <f t="shared" si="1127"/>
        <v>126.875</v>
      </c>
      <c r="CA684" s="120">
        <f t="shared" si="1128"/>
        <v>0</v>
      </c>
    </row>
    <row r="685" spans="2:79" x14ac:dyDescent="0.25">
      <c r="B685" s="123" t="str">
        <f t="shared" si="1116"/>
        <v>11 2026</v>
      </c>
      <c r="C685" s="122">
        <f t="shared" si="1117"/>
        <v>46334</v>
      </c>
      <c r="D685" s="122">
        <f t="shared" si="1055"/>
        <v>46335</v>
      </c>
      <c r="E685" s="123">
        <f t="shared" si="1118"/>
        <v>1</v>
      </c>
      <c r="F685" s="123" t="s">
        <v>7</v>
      </c>
      <c r="G685" s="124">
        <f t="shared" ref="G685:H685" si="1172">G684</f>
        <v>1450000</v>
      </c>
      <c r="H685" s="125">
        <f t="shared" si="1172"/>
        <v>3.15E-2</v>
      </c>
      <c r="I685" s="124">
        <f t="shared" si="1120"/>
        <v>126.875</v>
      </c>
      <c r="J685" s="124">
        <f t="shared" si="1121"/>
        <v>38303.125</v>
      </c>
      <c r="K685" s="9"/>
      <c r="L685" s="11"/>
      <c r="M685" s="306"/>
      <c r="N685" s="97"/>
      <c r="O685" s="421"/>
      <c r="P685" s="304"/>
      <c r="Q685" s="307"/>
      <c r="S685" s="11"/>
      <c r="T685" s="306"/>
      <c r="U685" s="97"/>
      <c r="V685" s="421"/>
      <c r="W685" s="304"/>
      <c r="X685" s="307"/>
      <c r="Z685" s="11"/>
      <c r="AA685" s="306"/>
      <c r="AB685" s="97"/>
      <c r="AC685" s="421"/>
      <c r="AD685" s="304"/>
      <c r="AE685" s="307"/>
      <c r="AG685" s="11"/>
      <c r="AH685" s="306"/>
      <c r="AI685" s="97"/>
      <c r="AJ685" s="421"/>
      <c r="AK685" s="304"/>
      <c r="AL685" s="307"/>
      <c r="AN685" s="304">
        <f>'codeis $'!AB685</f>
        <v>0</v>
      </c>
      <c r="AO685" s="340">
        <f>'codeis $'!AH685</f>
        <v>0</v>
      </c>
      <c r="AP685" s="304">
        <f>'codeis $'!AE685</f>
        <v>0</v>
      </c>
      <c r="AQ685" s="304">
        <f>'codeis $'!AK685</f>
        <v>0</v>
      </c>
      <c r="AR685" s="9"/>
      <c r="AS685" s="9"/>
      <c r="AT685" s="123"/>
      <c r="AU685" s="123"/>
      <c r="AV685" s="123"/>
      <c r="AW685" s="123"/>
      <c r="AX685" s="123"/>
      <c r="AY685" s="123"/>
      <c r="AZ685" s="123"/>
      <c r="BA685" s="123"/>
      <c r="BC685" s="122"/>
      <c r="BD685" s="122"/>
      <c r="BE685" s="122"/>
      <c r="BF685" s="122"/>
      <c r="BH685" s="122"/>
      <c r="BI685" s="122"/>
      <c r="BJ685" s="122"/>
      <c r="BK685" s="122"/>
      <c r="BM685" s="122"/>
      <c r="BN685" s="122"/>
      <c r="BO685" s="122"/>
      <c r="BP685" s="122"/>
      <c r="BR685" s="122"/>
      <c r="BS685" s="122"/>
      <c r="BT685" s="122"/>
      <c r="BU685" s="122"/>
      <c r="BV685" s="439"/>
      <c r="BW685" s="120">
        <f t="shared" si="1126"/>
        <v>1450000</v>
      </c>
      <c r="BX685" s="121">
        <f t="shared" si="1051"/>
        <v>3.5000000000000003E-2</v>
      </c>
      <c r="BY685" s="121">
        <f t="shared" si="1054"/>
        <v>3.15E-2</v>
      </c>
      <c r="BZ685" s="120">
        <f t="shared" si="1127"/>
        <v>126.875</v>
      </c>
      <c r="CA685" s="120">
        <f t="shared" si="1128"/>
        <v>0</v>
      </c>
    </row>
    <row r="686" spans="2:79" x14ac:dyDescent="0.25">
      <c r="B686" s="123" t="str">
        <f t="shared" si="1116"/>
        <v>11 2026</v>
      </c>
      <c r="C686" s="122">
        <f t="shared" si="1117"/>
        <v>46335</v>
      </c>
      <c r="D686" s="122">
        <f t="shared" si="1055"/>
        <v>46336</v>
      </c>
      <c r="E686" s="123">
        <f t="shared" si="1118"/>
        <v>1</v>
      </c>
      <c r="F686" s="123" t="s">
        <v>7</v>
      </c>
      <c r="G686" s="124">
        <f t="shared" ref="G686:H686" si="1173">G685</f>
        <v>1450000</v>
      </c>
      <c r="H686" s="125">
        <f t="shared" si="1173"/>
        <v>3.15E-2</v>
      </c>
      <c r="I686" s="124">
        <f t="shared" si="1120"/>
        <v>126.875</v>
      </c>
      <c r="J686" s="124">
        <f t="shared" si="1121"/>
        <v>38430</v>
      </c>
      <c r="K686" s="9"/>
      <c r="L686" s="11"/>
      <c r="M686" s="306"/>
      <c r="N686" s="97"/>
      <c r="O686" s="421"/>
      <c r="P686" s="304"/>
      <c r="Q686" s="307"/>
      <c r="S686" s="11"/>
      <c r="T686" s="306"/>
      <c r="U686" s="97"/>
      <c r="V686" s="421"/>
      <c r="W686" s="304"/>
      <c r="X686" s="307"/>
      <c r="Z686" s="11"/>
      <c r="AA686" s="306"/>
      <c r="AB686" s="97"/>
      <c r="AC686" s="421"/>
      <c r="AD686" s="304"/>
      <c r="AE686" s="307"/>
      <c r="AG686" s="11"/>
      <c r="AH686" s="306"/>
      <c r="AI686" s="97"/>
      <c r="AJ686" s="421"/>
      <c r="AK686" s="304"/>
      <c r="AL686" s="307"/>
      <c r="AN686" s="304">
        <f>'codeis $'!AB686</f>
        <v>0</v>
      </c>
      <c r="AO686" s="340">
        <f>'codeis $'!AH686</f>
        <v>0</v>
      </c>
      <c r="AP686" s="304">
        <f>'codeis $'!AE686</f>
        <v>0</v>
      </c>
      <c r="AQ686" s="304">
        <f>'codeis $'!AK686</f>
        <v>0</v>
      </c>
      <c r="AR686" s="9"/>
      <c r="AS686" s="9"/>
      <c r="AT686" s="123"/>
      <c r="AU686" s="123"/>
      <c r="AV686" s="123"/>
      <c r="AW686" s="123"/>
      <c r="AX686" s="123"/>
      <c r="AY686" s="123"/>
      <c r="AZ686" s="123"/>
      <c r="BA686" s="123"/>
      <c r="BC686" s="122"/>
      <c r="BD686" s="122"/>
      <c r="BE686" s="122"/>
      <c r="BF686" s="122"/>
      <c r="BH686" s="122"/>
      <c r="BI686" s="122"/>
      <c r="BJ686" s="122"/>
      <c r="BK686" s="122"/>
      <c r="BM686" s="122"/>
      <c r="BN686" s="122"/>
      <c r="BO686" s="122"/>
      <c r="BP686" s="122"/>
      <c r="BR686" s="122"/>
      <c r="BS686" s="122"/>
      <c r="BT686" s="122"/>
      <c r="BU686" s="122"/>
      <c r="BV686" s="439"/>
      <c r="BW686" s="120">
        <f t="shared" si="1126"/>
        <v>1450000</v>
      </c>
      <c r="BX686" s="121">
        <f t="shared" si="1051"/>
        <v>3.5000000000000003E-2</v>
      </c>
      <c r="BY686" s="121">
        <f t="shared" si="1054"/>
        <v>3.15E-2</v>
      </c>
      <c r="BZ686" s="120">
        <f t="shared" si="1127"/>
        <v>126.875</v>
      </c>
      <c r="CA686" s="120">
        <f t="shared" si="1128"/>
        <v>0</v>
      </c>
    </row>
    <row r="687" spans="2:79" x14ac:dyDescent="0.25">
      <c r="B687" s="123" t="str">
        <f t="shared" si="1116"/>
        <v>11 2026</v>
      </c>
      <c r="C687" s="122">
        <f t="shared" si="1117"/>
        <v>46336</v>
      </c>
      <c r="D687" s="122">
        <f t="shared" si="1055"/>
        <v>46337</v>
      </c>
      <c r="E687" s="123">
        <f t="shared" si="1118"/>
        <v>1</v>
      </c>
      <c r="F687" s="123" t="s">
        <v>7</v>
      </c>
      <c r="G687" s="124">
        <f t="shared" ref="G687:H687" si="1174">G686</f>
        <v>1450000</v>
      </c>
      <c r="H687" s="125">
        <f t="shared" si="1174"/>
        <v>3.15E-2</v>
      </c>
      <c r="I687" s="124">
        <f t="shared" si="1120"/>
        <v>126.875</v>
      </c>
      <c r="J687" s="124">
        <f t="shared" si="1121"/>
        <v>38556.875</v>
      </c>
      <c r="K687" s="9"/>
      <c r="L687" s="11"/>
      <c r="M687" s="306"/>
      <c r="N687" s="97"/>
      <c r="O687" s="421"/>
      <c r="P687" s="304"/>
      <c r="Q687" s="307"/>
      <c r="S687" s="11"/>
      <c r="T687" s="306"/>
      <c r="U687" s="97"/>
      <c r="V687" s="421"/>
      <c r="W687" s="304"/>
      <c r="X687" s="307"/>
      <c r="Z687" s="11"/>
      <c r="AA687" s="306"/>
      <c r="AB687" s="97"/>
      <c r="AC687" s="421"/>
      <c r="AD687" s="304"/>
      <c r="AE687" s="307"/>
      <c r="AG687" s="11"/>
      <c r="AH687" s="306"/>
      <c r="AI687" s="97"/>
      <c r="AJ687" s="421"/>
      <c r="AK687" s="304"/>
      <c r="AL687" s="307"/>
      <c r="AN687" s="304">
        <f>'codeis $'!AB687</f>
        <v>0</v>
      </c>
      <c r="AO687" s="340">
        <f>'codeis $'!AH687</f>
        <v>0</v>
      </c>
      <c r="AP687" s="304">
        <f>'codeis $'!AE687</f>
        <v>0</v>
      </c>
      <c r="AQ687" s="304">
        <f>'codeis $'!AK687</f>
        <v>0</v>
      </c>
      <c r="AR687" s="9"/>
      <c r="AS687" s="9"/>
      <c r="AT687" s="123"/>
      <c r="AU687" s="123"/>
      <c r="AV687" s="123"/>
      <c r="AW687" s="123"/>
      <c r="AX687" s="123"/>
      <c r="AY687" s="123"/>
      <c r="AZ687" s="123"/>
      <c r="BA687" s="123"/>
      <c r="BC687" s="122"/>
      <c r="BD687" s="122"/>
      <c r="BE687" s="122"/>
      <c r="BF687" s="122"/>
      <c r="BH687" s="122"/>
      <c r="BI687" s="122"/>
      <c r="BJ687" s="122"/>
      <c r="BK687" s="122"/>
      <c r="BM687" s="122"/>
      <c r="BN687" s="122"/>
      <c r="BO687" s="122"/>
      <c r="BP687" s="122"/>
      <c r="BR687" s="122"/>
      <c r="BS687" s="122"/>
      <c r="BT687" s="122"/>
      <c r="BU687" s="122"/>
      <c r="BV687" s="439"/>
      <c r="BW687" s="120">
        <f t="shared" si="1126"/>
        <v>1450000</v>
      </c>
      <c r="BX687" s="121">
        <f t="shared" si="1051"/>
        <v>3.5000000000000003E-2</v>
      </c>
      <c r="BY687" s="121">
        <f t="shared" si="1054"/>
        <v>3.15E-2</v>
      </c>
      <c r="BZ687" s="120">
        <f t="shared" si="1127"/>
        <v>126.875</v>
      </c>
      <c r="CA687" s="120">
        <f t="shared" si="1128"/>
        <v>0</v>
      </c>
    </row>
    <row r="688" spans="2:79" x14ac:dyDescent="0.25">
      <c r="B688" s="123" t="str">
        <f t="shared" si="1116"/>
        <v>11 2026</v>
      </c>
      <c r="C688" s="122">
        <f t="shared" si="1117"/>
        <v>46337</v>
      </c>
      <c r="D688" s="122">
        <f t="shared" si="1055"/>
        <v>46338</v>
      </c>
      <c r="E688" s="123">
        <f t="shared" si="1118"/>
        <v>1</v>
      </c>
      <c r="F688" s="123" t="s">
        <v>7</v>
      </c>
      <c r="G688" s="124">
        <f t="shared" ref="G688:H688" si="1175">G687</f>
        <v>1450000</v>
      </c>
      <c r="H688" s="125">
        <f t="shared" si="1175"/>
        <v>3.15E-2</v>
      </c>
      <c r="I688" s="124">
        <f t="shared" si="1120"/>
        <v>126.875</v>
      </c>
      <c r="J688" s="124">
        <f t="shared" si="1121"/>
        <v>38683.75</v>
      </c>
      <c r="K688" s="9"/>
      <c r="L688" s="11"/>
      <c r="M688" s="306"/>
      <c r="N688" s="97"/>
      <c r="O688" s="421"/>
      <c r="P688" s="304"/>
      <c r="Q688" s="307"/>
      <c r="S688" s="11"/>
      <c r="T688" s="306"/>
      <c r="U688" s="97"/>
      <c r="V688" s="421"/>
      <c r="W688" s="304"/>
      <c r="X688" s="307"/>
      <c r="Z688" s="11"/>
      <c r="AA688" s="306"/>
      <c r="AB688" s="97"/>
      <c r="AC688" s="421"/>
      <c r="AD688" s="304"/>
      <c r="AE688" s="307"/>
      <c r="AG688" s="11"/>
      <c r="AH688" s="306"/>
      <c r="AI688" s="97"/>
      <c r="AJ688" s="421"/>
      <c r="AK688" s="304"/>
      <c r="AL688" s="307"/>
      <c r="AN688" s="304">
        <f>'codeis $'!AB688</f>
        <v>0</v>
      </c>
      <c r="AO688" s="340">
        <f>'codeis $'!AH688</f>
        <v>0</v>
      </c>
      <c r="AP688" s="304">
        <f>'codeis $'!AE688</f>
        <v>0</v>
      </c>
      <c r="AQ688" s="304">
        <f>'codeis $'!AK688</f>
        <v>0</v>
      </c>
      <c r="AR688" s="9"/>
      <c r="AS688" s="9"/>
      <c r="AT688" s="123"/>
      <c r="AU688" s="123"/>
      <c r="AV688" s="123"/>
      <c r="AW688" s="123"/>
      <c r="AX688" s="123"/>
      <c r="AY688" s="123"/>
      <c r="AZ688" s="123"/>
      <c r="BA688" s="123"/>
      <c r="BC688" s="122"/>
      <c r="BD688" s="122"/>
      <c r="BE688" s="122"/>
      <c r="BF688" s="122"/>
      <c r="BH688" s="122"/>
      <c r="BI688" s="122"/>
      <c r="BJ688" s="122"/>
      <c r="BK688" s="122"/>
      <c r="BM688" s="122"/>
      <c r="BN688" s="122"/>
      <c r="BO688" s="122"/>
      <c r="BP688" s="122"/>
      <c r="BR688" s="122"/>
      <c r="BS688" s="122"/>
      <c r="BT688" s="122"/>
      <c r="BU688" s="122"/>
      <c r="BV688" s="439"/>
      <c r="BW688" s="120">
        <f t="shared" si="1126"/>
        <v>1450000</v>
      </c>
      <c r="BX688" s="121">
        <f t="shared" si="1051"/>
        <v>3.5000000000000003E-2</v>
      </c>
      <c r="BY688" s="121">
        <f t="shared" si="1054"/>
        <v>3.15E-2</v>
      </c>
      <c r="BZ688" s="120">
        <f t="shared" si="1127"/>
        <v>126.875</v>
      </c>
      <c r="CA688" s="120">
        <f t="shared" si="1128"/>
        <v>0</v>
      </c>
    </row>
    <row r="689" spans="2:79" x14ac:dyDescent="0.25">
      <c r="B689" s="123" t="str">
        <f t="shared" si="1116"/>
        <v>11 2026</v>
      </c>
      <c r="C689" s="122">
        <f t="shared" si="1117"/>
        <v>46338</v>
      </c>
      <c r="D689" s="122">
        <f t="shared" si="1055"/>
        <v>46339</v>
      </c>
      <c r="E689" s="123">
        <f t="shared" si="1118"/>
        <v>1</v>
      </c>
      <c r="F689" s="123" t="s">
        <v>7</v>
      </c>
      <c r="G689" s="124">
        <f t="shared" ref="G689:H689" si="1176">G688</f>
        <v>1450000</v>
      </c>
      <c r="H689" s="125">
        <f t="shared" si="1176"/>
        <v>3.15E-2</v>
      </c>
      <c r="I689" s="124">
        <f t="shared" si="1120"/>
        <v>126.875</v>
      </c>
      <c r="J689" s="124">
        <f t="shared" si="1121"/>
        <v>38810.625</v>
      </c>
      <c r="K689" s="9"/>
      <c r="L689" s="11"/>
      <c r="M689" s="306"/>
      <c r="N689" s="97"/>
      <c r="O689" s="421"/>
      <c r="P689" s="304"/>
      <c r="Q689" s="307"/>
      <c r="S689" s="11"/>
      <c r="T689" s="306"/>
      <c r="U689" s="97"/>
      <c r="V689" s="421"/>
      <c r="W689" s="304"/>
      <c r="X689" s="307"/>
      <c r="Z689" s="11"/>
      <c r="AA689" s="306"/>
      <c r="AB689" s="97"/>
      <c r="AC689" s="421"/>
      <c r="AD689" s="304"/>
      <c r="AE689" s="307"/>
      <c r="AG689" s="11"/>
      <c r="AH689" s="306"/>
      <c r="AI689" s="97"/>
      <c r="AJ689" s="421"/>
      <c r="AK689" s="304"/>
      <c r="AL689" s="307"/>
      <c r="AN689" s="304">
        <f>'codeis $'!AB689</f>
        <v>0</v>
      </c>
      <c r="AO689" s="340">
        <f>'codeis $'!AH689</f>
        <v>0</v>
      </c>
      <c r="AP689" s="304">
        <f>'codeis $'!AE689</f>
        <v>0</v>
      </c>
      <c r="AQ689" s="304">
        <f>'codeis $'!AK689</f>
        <v>0</v>
      </c>
      <c r="AR689" s="9"/>
      <c r="AS689" s="9"/>
      <c r="AT689" s="123"/>
      <c r="AU689" s="123"/>
      <c r="AV689" s="123"/>
      <c r="AW689" s="123"/>
      <c r="AX689" s="123"/>
      <c r="AY689" s="123"/>
      <c r="AZ689" s="123"/>
      <c r="BA689" s="123"/>
      <c r="BC689" s="122"/>
      <c r="BD689" s="122"/>
      <c r="BE689" s="122"/>
      <c r="BF689" s="122"/>
      <c r="BH689" s="122"/>
      <c r="BI689" s="122"/>
      <c r="BJ689" s="122"/>
      <c r="BK689" s="122"/>
      <c r="BM689" s="122"/>
      <c r="BN689" s="122"/>
      <c r="BO689" s="122"/>
      <c r="BP689" s="122"/>
      <c r="BR689" s="122"/>
      <c r="BS689" s="122"/>
      <c r="BT689" s="122"/>
      <c r="BU689" s="122"/>
      <c r="BV689" s="439"/>
      <c r="BW689" s="120">
        <f t="shared" si="1126"/>
        <v>1450000</v>
      </c>
      <c r="BX689" s="121">
        <f t="shared" si="1051"/>
        <v>3.5000000000000003E-2</v>
      </c>
      <c r="BY689" s="121">
        <f t="shared" si="1054"/>
        <v>3.15E-2</v>
      </c>
      <c r="BZ689" s="120">
        <f t="shared" si="1127"/>
        <v>126.875</v>
      </c>
      <c r="CA689" s="120">
        <f t="shared" si="1128"/>
        <v>0</v>
      </c>
    </row>
    <row r="690" spans="2:79" x14ac:dyDescent="0.25">
      <c r="B690" s="123" t="str">
        <f t="shared" si="1116"/>
        <v>11 2026</v>
      </c>
      <c r="C690" s="122">
        <f t="shared" si="1117"/>
        <v>46339</v>
      </c>
      <c r="D690" s="122">
        <f t="shared" si="1055"/>
        <v>46340</v>
      </c>
      <c r="E690" s="123">
        <f t="shared" si="1118"/>
        <v>1</v>
      </c>
      <c r="F690" s="123" t="s">
        <v>7</v>
      </c>
      <c r="G690" s="124">
        <f t="shared" ref="G690:H690" si="1177">G689</f>
        <v>1450000</v>
      </c>
      <c r="H690" s="125">
        <f t="shared" si="1177"/>
        <v>3.15E-2</v>
      </c>
      <c r="I690" s="124">
        <f t="shared" si="1120"/>
        <v>126.875</v>
      </c>
      <c r="J690" s="124">
        <f t="shared" si="1121"/>
        <v>38937.5</v>
      </c>
      <c r="K690" s="9"/>
      <c r="L690" s="11"/>
      <c r="M690" s="306"/>
      <c r="N690" s="97"/>
      <c r="O690" s="421"/>
      <c r="P690" s="304"/>
      <c r="Q690" s="307"/>
      <c r="S690" s="11"/>
      <c r="T690" s="306"/>
      <c r="U690" s="97"/>
      <c r="V690" s="421"/>
      <c r="W690" s="304"/>
      <c r="X690" s="307"/>
      <c r="Z690" s="11"/>
      <c r="AA690" s="306"/>
      <c r="AB690" s="97"/>
      <c r="AC690" s="421"/>
      <c r="AD690" s="304"/>
      <c r="AE690" s="307"/>
      <c r="AG690" s="11"/>
      <c r="AH690" s="306"/>
      <c r="AI690" s="97"/>
      <c r="AJ690" s="421"/>
      <c r="AK690" s="304"/>
      <c r="AL690" s="307"/>
      <c r="AN690" s="304">
        <f>'codeis $'!AB690</f>
        <v>0</v>
      </c>
      <c r="AO690" s="340">
        <f>'codeis $'!AH690</f>
        <v>0</v>
      </c>
      <c r="AP690" s="304">
        <f>'codeis $'!AE690</f>
        <v>0</v>
      </c>
      <c r="AQ690" s="304">
        <f>'codeis $'!AK690</f>
        <v>0</v>
      </c>
      <c r="AR690" s="9"/>
      <c r="AS690" s="9"/>
      <c r="AT690" s="123"/>
      <c r="AU690" s="123"/>
      <c r="AV690" s="123"/>
      <c r="AW690" s="123"/>
      <c r="AX690" s="123"/>
      <c r="AY690" s="123"/>
      <c r="AZ690" s="123"/>
      <c r="BA690" s="123"/>
      <c r="BC690" s="122"/>
      <c r="BD690" s="122"/>
      <c r="BE690" s="122"/>
      <c r="BF690" s="122"/>
      <c r="BH690" s="122"/>
      <c r="BI690" s="122"/>
      <c r="BJ690" s="122"/>
      <c r="BK690" s="122"/>
      <c r="BM690" s="122"/>
      <c r="BN690" s="122"/>
      <c r="BO690" s="122"/>
      <c r="BP690" s="122"/>
      <c r="BR690" s="122"/>
      <c r="BS690" s="122"/>
      <c r="BT690" s="122"/>
      <c r="BU690" s="122"/>
      <c r="BV690" s="439"/>
      <c r="BW690" s="120">
        <f t="shared" si="1126"/>
        <v>1450000</v>
      </c>
      <c r="BX690" s="121">
        <f t="shared" si="1051"/>
        <v>3.5000000000000003E-2</v>
      </c>
      <c r="BY690" s="121">
        <f t="shared" si="1054"/>
        <v>3.15E-2</v>
      </c>
      <c r="BZ690" s="120">
        <f t="shared" si="1127"/>
        <v>126.875</v>
      </c>
      <c r="CA690" s="120">
        <f t="shared" si="1128"/>
        <v>0</v>
      </c>
    </row>
    <row r="691" spans="2:79" x14ac:dyDescent="0.25">
      <c r="B691" s="123" t="str">
        <f t="shared" si="1116"/>
        <v>11 2026</v>
      </c>
      <c r="C691" s="122">
        <f t="shared" si="1117"/>
        <v>46340</v>
      </c>
      <c r="D691" s="122">
        <f t="shared" si="1055"/>
        <v>46341</v>
      </c>
      <c r="E691" s="123">
        <f t="shared" si="1118"/>
        <v>1</v>
      </c>
      <c r="F691" s="123" t="s">
        <v>7</v>
      </c>
      <c r="G691" s="124">
        <f t="shared" ref="G691:H691" si="1178">G690</f>
        <v>1450000</v>
      </c>
      <c r="H691" s="125">
        <f t="shared" si="1178"/>
        <v>3.15E-2</v>
      </c>
      <c r="I691" s="124">
        <f t="shared" si="1120"/>
        <v>126.875</v>
      </c>
      <c r="J691" s="124">
        <f t="shared" si="1121"/>
        <v>39064.375</v>
      </c>
      <c r="K691" s="9"/>
      <c r="L691" s="11"/>
      <c r="M691" s="306"/>
      <c r="N691" s="97"/>
      <c r="O691" s="421"/>
      <c r="P691" s="304"/>
      <c r="Q691" s="307"/>
      <c r="S691" s="11"/>
      <c r="T691" s="306"/>
      <c r="U691" s="97"/>
      <c r="V691" s="421"/>
      <c r="W691" s="304"/>
      <c r="X691" s="307"/>
      <c r="Z691" s="11"/>
      <c r="AA691" s="306"/>
      <c r="AB691" s="97"/>
      <c r="AC691" s="421"/>
      <c r="AD691" s="304"/>
      <c r="AE691" s="307"/>
      <c r="AG691" s="11"/>
      <c r="AH691" s="306"/>
      <c r="AI691" s="97"/>
      <c r="AJ691" s="421"/>
      <c r="AK691" s="304"/>
      <c r="AL691" s="307"/>
      <c r="AN691" s="304">
        <f>'codeis $'!AB691</f>
        <v>0</v>
      </c>
      <c r="AO691" s="340">
        <f>'codeis $'!AH691</f>
        <v>0</v>
      </c>
      <c r="AP691" s="304">
        <f>'codeis $'!AE691</f>
        <v>0</v>
      </c>
      <c r="AQ691" s="304">
        <f>'codeis $'!AK691</f>
        <v>0</v>
      </c>
      <c r="AR691" s="9"/>
      <c r="AS691" s="9"/>
      <c r="AT691" s="123"/>
      <c r="AU691" s="123"/>
      <c r="AV691" s="123"/>
      <c r="AW691" s="123"/>
      <c r="AX691" s="123"/>
      <c r="AY691" s="123"/>
      <c r="AZ691" s="123"/>
      <c r="BA691" s="123"/>
      <c r="BC691" s="122"/>
      <c r="BD691" s="122"/>
      <c r="BE691" s="122"/>
      <c r="BF691" s="122"/>
      <c r="BH691" s="122"/>
      <c r="BI691" s="122"/>
      <c r="BJ691" s="122"/>
      <c r="BK691" s="122"/>
      <c r="BM691" s="122"/>
      <c r="BN691" s="122"/>
      <c r="BO691" s="122"/>
      <c r="BP691" s="122"/>
      <c r="BR691" s="122"/>
      <c r="BS691" s="122"/>
      <c r="BT691" s="122"/>
      <c r="BU691" s="122"/>
      <c r="BV691" s="439"/>
      <c r="BW691" s="120">
        <f t="shared" si="1126"/>
        <v>1450000</v>
      </c>
      <c r="BX691" s="121">
        <f t="shared" si="1051"/>
        <v>3.5000000000000003E-2</v>
      </c>
      <c r="BY691" s="121">
        <f t="shared" si="1054"/>
        <v>3.15E-2</v>
      </c>
      <c r="BZ691" s="120">
        <f t="shared" si="1127"/>
        <v>126.875</v>
      </c>
      <c r="CA691" s="120">
        <f t="shared" si="1128"/>
        <v>0</v>
      </c>
    </row>
    <row r="692" spans="2:79" x14ac:dyDescent="0.25">
      <c r="B692" s="123" t="str">
        <f t="shared" si="1116"/>
        <v>11 2026</v>
      </c>
      <c r="C692" s="122">
        <f t="shared" si="1117"/>
        <v>46341</v>
      </c>
      <c r="D692" s="122">
        <f t="shared" si="1055"/>
        <v>46342</v>
      </c>
      <c r="E692" s="123">
        <f t="shared" si="1118"/>
        <v>1</v>
      </c>
      <c r="F692" s="123" t="s">
        <v>7</v>
      </c>
      <c r="G692" s="124">
        <f t="shared" ref="G692:H692" si="1179">G691</f>
        <v>1450000</v>
      </c>
      <c r="H692" s="125">
        <f t="shared" si="1179"/>
        <v>3.15E-2</v>
      </c>
      <c r="I692" s="124">
        <f t="shared" si="1120"/>
        <v>126.875</v>
      </c>
      <c r="J692" s="124">
        <f t="shared" si="1121"/>
        <v>39191.25</v>
      </c>
      <c r="K692" s="9"/>
      <c r="L692" s="11"/>
      <c r="M692" s="306"/>
      <c r="N692" s="97"/>
      <c r="O692" s="421"/>
      <c r="P692" s="304"/>
      <c r="Q692" s="307"/>
      <c r="S692" s="11"/>
      <c r="T692" s="306"/>
      <c r="U692" s="97"/>
      <c r="V692" s="421"/>
      <c r="W692" s="304"/>
      <c r="X692" s="307"/>
      <c r="Z692" s="11"/>
      <c r="AA692" s="306"/>
      <c r="AB692" s="97"/>
      <c r="AC692" s="421"/>
      <c r="AD692" s="304"/>
      <c r="AE692" s="307"/>
      <c r="AG692" s="11"/>
      <c r="AH692" s="306"/>
      <c r="AI692" s="97"/>
      <c r="AJ692" s="421"/>
      <c r="AK692" s="304"/>
      <c r="AL692" s="307"/>
      <c r="AN692" s="304">
        <f>'codeis $'!AB692</f>
        <v>0</v>
      </c>
      <c r="AO692" s="340">
        <f>'codeis $'!AH692</f>
        <v>0</v>
      </c>
      <c r="AP692" s="304">
        <f>'codeis $'!AE692</f>
        <v>0</v>
      </c>
      <c r="AQ692" s="304">
        <f>'codeis $'!AK692</f>
        <v>0</v>
      </c>
      <c r="AR692" s="9"/>
      <c r="AS692" s="9"/>
      <c r="AT692" s="123"/>
      <c r="AU692" s="123"/>
      <c r="AV692" s="123"/>
      <c r="AW692" s="123"/>
      <c r="AX692" s="123"/>
      <c r="AY692" s="123"/>
      <c r="AZ692" s="123"/>
      <c r="BA692" s="123"/>
      <c r="BC692" s="122"/>
      <c r="BD692" s="122"/>
      <c r="BE692" s="122"/>
      <c r="BF692" s="122"/>
      <c r="BH692" s="122"/>
      <c r="BI692" s="122"/>
      <c r="BJ692" s="122"/>
      <c r="BK692" s="122"/>
      <c r="BM692" s="122"/>
      <c r="BN692" s="122"/>
      <c r="BO692" s="122"/>
      <c r="BP692" s="122"/>
      <c r="BR692" s="122"/>
      <c r="BS692" s="122"/>
      <c r="BT692" s="122"/>
      <c r="BU692" s="122"/>
      <c r="BV692" s="439"/>
      <c r="BW692" s="120">
        <f t="shared" si="1126"/>
        <v>1450000</v>
      </c>
      <c r="BX692" s="121">
        <f t="shared" si="1051"/>
        <v>3.5000000000000003E-2</v>
      </c>
      <c r="BY692" s="121">
        <f t="shared" si="1054"/>
        <v>3.15E-2</v>
      </c>
      <c r="BZ692" s="120">
        <f t="shared" si="1127"/>
        <v>126.875</v>
      </c>
      <c r="CA692" s="120">
        <f t="shared" si="1128"/>
        <v>0</v>
      </c>
    </row>
    <row r="693" spans="2:79" x14ac:dyDescent="0.25">
      <c r="B693" s="123" t="str">
        <f t="shared" si="1116"/>
        <v>11 2026</v>
      </c>
      <c r="C693" s="122">
        <f t="shared" si="1117"/>
        <v>46342</v>
      </c>
      <c r="D693" s="122">
        <f t="shared" si="1055"/>
        <v>46343</v>
      </c>
      <c r="E693" s="123">
        <f t="shared" si="1118"/>
        <v>1</v>
      </c>
      <c r="F693" s="123" t="s">
        <v>7</v>
      </c>
      <c r="G693" s="124">
        <f t="shared" ref="G693:H693" si="1180">G692</f>
        <v>1450000</v>
      </c>
      <c r="H693" s="125">
        <f t="shared" si="1180"/>
        <v>3.15E-2</v>
      </c>
      <c r="I693" s="124">
        <f t="shared" si="1120"/>
        <v>126.875</v>
      </c>
      <c r="J693" s="124">
        <f t="shared" si="1121"/>
        <v>39318.125</v>
      </c>
      <c r="K693" s="9"/>
      <c r="L693" s="11"/>
      <c r="M693" s="306"/>
      <c r="N693" s="97"/>
      <c r="O693" s="421"/>
      <c r="P693" s="304"/>
      <c r="Q693" s="307"/>
      <c r="S693" s="11"/>
      <c r="T693" s="306"/>
      <c r="U693" s="97"/>
      <c r="V693" s="421"/>
      <c r="W693" s="304"/>
      <c r="X693" s="307"/>
      <c r="Z693" s="11"/>
      <c r="AA693" s="306"/>
      <c r="AB693" s="97"/>
      <c r="AC693" s="421"/>
      <c r="AD693" s="304"/>
      <c r="AE693" s="307"/>
      <c r="AG693" s="11"/>
      <c r="AH693" s="306"/>
      <c r="AI693" s="97"/>
      <c r="AJ693" s="421"/>
      <c r="AK693" s="304"/>
      <c r="AL693" s="307"/>
      <c r="AN693" s="304">
        <f>'codeis $'!AB693</f>
        <v>0</v>
      </c>
      <c r="AO693" s="340">
        <f>'codeis $'!AH693</f>
        <v>0</v>
      </c>
      <c r="AP693" s="304">
        <f>'codeis $'!AE693</f>
        <v>0</v>
      </c>
      <c r="AQ693" s="304">
        <f>'codeis $'!AK693</f>
        <v>0</v>
      </c>
      <c r="AR693" s="9"/>
      <c r="AS693" s="9"/>
      <c r="AT693" s="123"/>
      <c r="AU693" s="123"/>
      <c r="AV693" s="123"/>
      <c r="AW693" s="123"/>
      <c r="AX693" s="123"/>
      <c r="AY693" s="123"/>
      <c r="AZ693" s="123"/>
      <c r="BA693" s="123"/>
      <c r="BC693" s="122"/>
      <c r="BD693" s="122"/>
      <c r="BE693" s="122"/>
      <c r="BF693" s="122"/>
      <c r="BH693" s="122"/>
      <c r="BI693" s="122"/>
      <c r="BJ693" s="122"/>
      <c r="BK693" s="122"/>
      <c r="BM693" s="122"/>
      <c r="BN693" s="122"/>
      <c r="BO693" s="122"/>
      <c r="BP693" s="122"/>
      <c r="BR693" s="122"/>
      <c r="BS693" s="122"/>
      <c r="BT693" s="122"/>
      <c r="BU693" s="122"/>
      <c r="BV693" s="439"/>
      <c r="BW693" s="120">
        <f t="shared" si="1126"/>
        <v>1450000</v>
      </c>
      <c r="BX693" s="121">
        <f t="shared" ref="BX693:BX753" si="1181">BX692</f>
        <v>3.5000000000000003E-2</v>
      </c>
      <c r="BY693" s="121">
        <f t="shared" si="1054"/>
        <v>3.15E-2</v>
      </c>
      <c r="BZ693" s="120">
        <f t="shared" si="1127"/>
        <v>126.875</v>
      </c>
      <c r="CA693" s="120">
        <f t="shared" si="1128"/>
        <v>0</v>
      </c>
    </row>
    <row r="694" spans="2:79" x14ac:dyDescent="0.25">
      <c r="B694" s="123" t="str">
        <f t="shared" si="1116"/>
        <v>11 2026</v>
      </c>
      <c r="C694" s="122">
        <f t="shared" si="1117"/>
        <v>46343</v>
      </c>
      <c r="D694" s="122">
        <f t="shared" si="1055"/>
        <v>46344</v>
      </c>
      <c r="E694" s="123">
        <f t="shared" si="1118"/>
        <v>1</v>
      </c>
      <c r="F694" s="123" t="s">
        <v>7</v>
      </c>
      <c r="G694" s="124">
        <f t="shared" ref="G694:H694" si="1182">G693</f>
        <v>1450000</v>
      </c>
      <c r="H694" s="125">
        <f t="shared" si="1182"/>
        <v>3.15E-2</v>
      </c>
      <c r="I694" s="124">
        <f t="shared" si="1120"/>
        <v>126.875</v>
      </c>
      <c r="J694" s="124">
        <f t="shared" si="1121"/>
        <v>39445</v>
      </c>
      <c r="K694" s="9"/>
      <c r="L694" s="11"/>
      <c r="M694" s="306"/>
      <c r="N694" s="97"/>
      <c r="O694" s="421"/>
      <c r="P694" s="304"/>
      <c r="Q694" s="307"/>
      <c r="S694" s="11"/>
      <c r="T694" s="306"/>
      <c r="U694" s="97"/>
      <c r="V694" s="421"/>
      <c r="W694" s="304"/>
      <c r="X694" s="307"/>
      <c r="Z694" s="11"/>
      <c r="AA694" s="306"/>
      <c r="AB694" s="97"/>
      <c r="AC694" s="421"/>
      <c r="AD694" s="304"/>
      <c r="AE694" s="307"/>
      <c r="AG694" s="11"/>
      <c r="AH694" s="306"/>
      <c r="AI694" s="97"/>
      <c r="AJ694" s="421"/>
      <c r="AK694" s="304"/>
      <c r="AL694" s="307"/>
      <c r="AN694" s="304">
        <f>'codeis $'!AB694</f>
        <v>0</v>
      </c>
      <c r="AO694" s="340">
        <f>'codeis $'!AH694</f>
        <v>0</v>
      </c>
      <c r="AP694" s="304">
        <f>'codeis $'!AE694</f>
        <v>0</v>
      </c>
      <c r="AQ694" s="304">
        <f>'codeis $'!AK694</f>
        <v>0</v>
      </c>
      <c r="AR694" s="9"/>
      <c r="AS694" s="9"/>
      <c r="AT694" s="123"/>
      <c r="AU694" s="123"/>
      <c r="AV694" s="123"/>
      <c r="AW694" s="123"/>
      <c r="AX694" s="123"/>
      <c r="AY694" s="123"/>
      <c r="AZ694" s="123"/>
      <c r="BA694" s="123"/>
      <c r="BC694" s="122"/>
      <c r="BD694" s="122"/>
      <c r="BE694" s="122"/>
      <c r="BF694" s="122"/>
      <c r="BH694" s="122"/>
      <c r="BI694" s="122"/>
      <c r="BJ694" s="122"/>
      <c r="BK694" s="122"/>
      <c r="BM694" s="122"/>
      <c r="BN694" s="122"/>
      <c r="BO694" s="122"/>
      <c r="BP694" s="122"/>
      <c r="BR694" s="122"/>
      <c r="BS694" s="122"/>
      <c r="BT694" s="122"/>
      <c r="BU694" s="122"/>
      <c r="BV694" s="439"/>
      <c r="BW694" s="120">
        <f t="shared" si="1126"/>
        <v>1450000</v>
      </c>
      <c r="BX694" s="121">
        <f t="shared" si="1181"/>
        <v>3.5000000000000003E-2</v>
      </c>
      <c r="BY694" s="121">
        <f t="shared" ref="BY694:BY737" si="1183">(SUM((AW694*AV694),(H694*G694),(M694*N694),(T694*U694),(AA694*AB694),(AH694*AI694),(AN694*AO694),(BC694*BD694),(BH694*BI694),(BM694*BN694),(BR694*BS694))/BW694)</f>
        <v>3.15E-2</v>
      </c>
      <c r="BZ694" s="120">
        <f t="shared" si="1127"/>
        <v>126.875</v>
      </c>
      <c r="CA694" s="120">
        <f t="shared" si="1128"/>
        <v>0</v>
      </c>
    </row>
    <row r="695" spans="2:79" x14ac:dyDescent="0.25">
      <c r="B695" s="123" t="str">
        <f t="shared" si="1116"/>
        <v>11 2026</v>
      </c>
      <c r="C695" s="122">
        <f t="shared" si="1117"/>
        <v>46344</v>
      </c>
      <c r="D695" s="122">
        <f t="shared" ref="D695:D753" si="1184">D694+1</f>
        <v>46345</v>
      </c>
      <c r="E695" s="123">
        <f t="shared" si="1118"/>
        <v>1</v>
      </c>
      <c r="F695" s="123" t="s">
        <v>7</v>
      </c>
      <c r="G695" s="124">
        <f t="shared" ref="G695:H695" si="1185">G694</f>
        <v>1450000</v>
      </c>
      <c r="H695" s="125">
        <f t="shared" si="1185"/>
        <v>3.15E-2</v>
      </c>
      <c r="I695" s="124">
        <f t="shared" si="1120"/>
        <v>126.875</v>
      </c>
      <c r="J695" s="124">
        <f t="shared" si="1121"/>
        <v>39571.875</v>
      </c>
      <c r="K695" s="9"/>
      <c r="L695" s="11"/>
      <c r="M695" s="306"/>
      <c r="N695" s="97"/>
      <c r="O695" s="421"/>
      <c r="P695" s="304"/>
      <c r="Q695" s="307"/>
      <c r="S695" s="11"/>
      <c r="T695" s="306"/>
      <c r="U695" s="97"/>
      <c r="V695" s="421"/>
      <c r="W695" s="304"/>
      <c r="X695" s="307"/>
      <c r="Z695" s="11"/>
      <c r="AA695" s="306"/>
      <c r="AB695" s="97"/>
      <c r="AC695" s="421"/>
      <c r="AD695" s="304"/>
      <c r="AE695" s="307"/>
      <c r="AG695" s="11"/>
      <c r="AH695" s="306"/>
      <c r="AI695" s="97"/>
      <c r="AJ695" s="421"/>
      <c r="AK695" s="304"/>
      <c r="AL695" s="307"/>
      <c r="AN695" s="304">
        <f>'codeis $'!AB695</f>
        <v>0</v>
      </c>
      <c r="AO695" s="340">
        <f>'codeis $'!AH695</f>
        <v>0</v>
      </c>
      <c r="AP695" s="304">
        <f>'codeis $'!AE695</f>
        <v>0</v>
      </c>
      <c r="AQ695" s="304">
        <f>'codeis $'!AK695</f>
        <v>0</v>
      </c>
      <c r="AR695" s="9"/>
      <c r="AS695" s="9"/>
      <c r="AT695" s="123"/>
      <c r="AU695" s="123"/>
      <c r="AV695" s="123"/>
      <c r="AW695" s="123"/>
      <c r="AX695" s="123"/>
      <c r="AY695" s="123"/>
      <c r="AZ695" s="123"/>
      <c r="BA695" s="123"/>
      <c r="BC695" s="122"/>
      <c r="BD695" s="122"/>
      <c r="BE695" s="122"/>
      <c r="BF695" s="122"/>
      <c r="BH695" s="122"/>
      <c r="BI695" s="122"/>
      <c r="BJ695" s="122"/>
      <c r="BK695" s="122"/>
      <c r="BM695" s="122"/>
      <c r="BN695" s="122"/>
      <c r="BO695" s="122"/>
      <c r="BP695" s="122"/>
      <c r="BR695" s="122"/>
      <c r="BS695" s="122"/>
      <c r="BT695" s="122"/>
      <c r="BU695" s="122"/>
      <c r="BV695" s="439"/>
      <c r="BW695" s="120">
        <f t="shared" si="1126"/>
        <v>1450000</v>
      </c>
      <c r="BX695" s="121">
        <f t="shared" si="1181"/>
        <v>3.5000000000000003E-2</v>
      </c>
      <c r="BY695" s="121">
        <f t="shared" si="1183"/>
        <v>3.15E-2</v>
      </c>
      <c r="BZ695" s="120">
        <f t="shared" si="1127"/>
        <v>126.875</v>
      </c>
      <c r="CA695" s="120">
        <f t="shared" si="1128"/>
        <v>0</v>
      </c>
    </row>
    <row r="696" spans="2:79" x14ac:dyDescent="0.25">
      <c r="B696" s="123" t="str">
        <f t="shared" si="1116"/>
        <v>11 2026</v>
      </c>
      <c r="C696" s="122">
        <f t="shared" si="1117"/>
        <v>46345</v>
      </c>
      <c r="D696" s="122">
        <f t="shared" si="1184"/>
        <v>46346</v>
      </c>
      <c r="E696" s="123">
        <f t="shared" si="1118"/>
        <v>1</v>
      </c>
      <c r="F696" s="123" t="s">
        <v>7</v>
      </c>
      <c r="G696" s="124">
        <f t="shared" ref="G696:H696" si="1186">G695</f>
        <v>1450000</v>
      </c>
      <c r="H696" s="125">
        <f t="shared" si="1186"/>
        <v>3.15E-2</v>
      </c>
      <c r="I696" s="124">
        <f t="shared" si="1120"/>
        <v>126.875</v>
      </c>
      <c r="J696" s="124">
        <f t="shared" si="1121"/>
        <v>39698.75</v>
      </c>
      <c r="K696" s="9"/>
      <c r="L696" s="11"/>
      <c r="M696" s="306"/>
      <c r="N696" s="97"/>
      <c r="O696" s="421"/>
      <c r="P696" s="304"/>
      <c r="Q696" s="307"/>
      <c r="S696" s="11"/>
      <c r="T696" s="306"/>
      <c r="U696" s="97"/>
      <c r="V696" s="421"/>
      <c r="W696" s="304"/>
      <c r="X696" s="307"/>
      <c r="Z696" s="11"/>
      <c r="AA696" s="306"/>
      <c r="AB696" s="97"/>
      <c r="AC696" s="421"/>
      <c r="AD696" s="304"/>
      <c r="AE696" s="307"/>
      <c r="AG696" s="11"/>
      <c r="AH696" s="306"/>
      <c r="AI696" s="97"/>
      <c r="AJ696" s="421"/>
      <c r="AK696" s="304"/>
      <c r="AL696" s="307"/>
      <c r="AN696" s="304">
        <f>'codeis $'!AB696</f>
        <v>0</v>
      </c>
      <c r="AO696" s="340">
        <f>'codeis $'!AH696</f>
        <v>0</v>
      </c>
      <c r="AP696" s="304">
        <f>'codeis $'!AE696</f>
        <v>0</v>
      </c>
      <c r="AQ696" s="304">
        <f>'codeis $'!AK696</f>
        <v>0</v>
      </c>
      <c r="AR696" s="9"/>
      <c r="AS696" s="9"/>
      <c r="AT696" s="123"/>
      <c r="AU696" s="123"/>
      <c r="AV696" s="123"/>
      <c r="AW696" s="123"/>
      <c r="AX696" s="123"/>
      <c r="AY696" s="123"/>
      <c r="AZ696" s="123"/>
      <c r="BA696" s="123"/>
      <c r="BC696" s="122"/>
      <c r="BD696" s="122"/>
      <c r="BE696" s="122"/>
      <c r="BF696" s="122"/>
      <c r="BH696" s="122"/>
      <c r="BI696" s="122"/>
      <c r="BJ696" s="122"/>
      <c r="BK696" s="122"/>
      <c r="BM696" s="122"/>
      <c r="BN696" s="122"/>
      <c r="BO696" s="122"/>
      <c r="BP696" s="122"/>
      <c r="BR696" s="122"/>
      <c r="BS696" s="122"/>
      <c r="BT696" s="122"/>
      <c r="BU696" s="122"/>
      <c r="BV696" s="439"/>
      <c r="BW696" s="120">
        <f t="shared" si="1126"/>
        <v>1450000</v>
      </c>
      <c r="BX696" s="121">
        <f t="shared" si="1181"/>
        <v>3.5000000000000003E-2</v>
      </c>
      <c r="BY696" s="121">
        <f t="shared" si="1183"/>
        <v>3.15E-2</v>
      </c>
      <c r="BZ696" s="120">
        <f t="shared" si="1127"/>
        <v>126.875</v>
      </c>
      <c r="CA696" s="120">
        <f t="shared" si="1128"/>
        <v>0</v>
      </c>
    </row>
    <row r="697" spans="2:79" x14ac:dyDescent="0.25">
      <c r="B697" s="123" t="str">
        <f t="shared" si="1116"/>
        <v>11 2026</v>
      </c>
      <c r="C697" s="122">
        <f t="shared" si="1117"/>
        <v>46346</v>
      </c>
      <c r="D697" s="122">
        <f t="shared" si="1184"/>
        <v>46347</v>
      </c>
      <c r="E697" s="123">
        <f t="shared" si="1118"/>
        <v>1</v>
      </c>
      <c r="F697" s="123" t="s">
        <v>7</v>
      </c>
      <c r="G697" s="124">
        <f t="shared" ref="G697:H697" si="1187">G696</f>
        <v>1450000</v>
      </c>
      <c r="H697" s="125">
        <f t="shared" si="1187"/>
        <v>3.15E-2</v>
      </c>
      <c r="I697" s="124">
        <f t="shared" si="1120"/>
        <v>126.875</v>
      </c>
      <c r="J697" s="124">
        <f t="shared" si="1121"/>
        <v>39825.625</v>
      </c>
      <c r="K697" s="9"/>
      <c r="L697" s="11"/>
      <c r="M697" s="306"/>
      <c r="N697" s="97"/>
      <c r="O697" s="421"/>
      <c r="P697" s="304"/>
      <c r="Q697" s="307"/>
      <c r="S697" s="11"/>
      <c r="T697" s="306"/>
      <c r="U697" s="97"/>
      <c r="V697" s="421"/>
      <c r="W697" s="304"/>
      <c r="X697" s="307"/>
      <c r="Z697" s="11"/>
      <c r="AA697" s="306"/>
      <c r="AB697" s="97"/>
      <c r="AC697" s="421"/>
      <c r="AD697" s="304"/>
      <c r="AE697" s="307"/>
      <c r="AG697" s="11"/>
      <c r="AH697" s="306"/>
      <c r="AI697" s="97"/>
      <c r="AJ697" s="421"/>
      <c r="AK697" s="304"/>
      <c r="AL697" s="307"/>
      <c r="AN697" s="304">
        <f>'codeis $'!AB697</f>
        <v>0</v>
      </c>
      <c r="AO697" s="340">
        <f>'codeis $'!AH697</f>
        <v>0</v>
      </c>
      <c r="AP697" s="304">
        <f>'codeis $'!AE697</f>
        <v>0</v>
      </c>
      <c r="AQ697" s="304">
        <f>'codeis $'!AK697</f>
        <v>0</v>
      </c>
      <c r="AR697" s="9"/>
      <c r="AS697" s="9"/>
      <c r="AT697" s="123"/>
      <c r="AU697" s="123"/>
      <c r="AV697" s="123"/>
      <c r="AW697" s="123"/>
      <c r="AX697" s="123"/>
      <c r="AY697" s="123"/>
      <c r="AZ697" s="123"/>
      <c r="BA697" s="123"/>
      <c r="BC697" s="122"/>
      <c r="BD697" s="122"/>
      <c r="BE697" s="122"/>
      <c r="BF697" s="122"/>
      <c r="BH697" s="122"/>
      <c r="BI697" s="122"/>
      <c r="BJ697" s="122"/>
      <c r="BK697" s="122"/>
      <c r="BM697" s="122"/>
      <c r="BN697" s="122"/>
      <c r="BO697" s="122"/>
      <c r="BP697" s="122"/>
      <c r="BR697" s="122"/>
      <c r="BS697" s="122"/>
      <c r="BT697" s="122"/>
      <c r="BU697" s="122"/>
      <c r="BV697" s="439"/>
      <c r="BW697" s="120">
        <f t="shared" si="1126"/>
        <v>1450000</v>
      </c>
      <c r="BX697" s="121">
        <f t="shared" si="1181"/>
        <v>3.5000000000000003E-2</v>
      </c>
      <c r="BY697" s="121">
        <f t="shared" si="1183"/>
        <v>3.15E-2</v>
      </c>
      <c r="BZ697" s="120">
        <f t="shared" si="1127"/>
        <v>126.875</v>
      </c>
      <c r="CA697" s="120">
        <f t="shared" si="1128"/>
        <v>0</v>
      </c>
    </row>
    <row r="698" spans="2:79" x14ac:dyDescent="0.25">
      <c r="B698" s="123" t="str">
        <f t="shared" si="1116"/>
        <v>11 2026</v>
      </c>
      <c r="C698" s="122">
        <f t="shared" si="1117"/>
        <v>46347</v>
      </c>
      <c r="D698" s="122">
        <f t="shared" si="1184"/>
        <v>46348</v>
      </c>
      <c r="E698" s="123">
        <f t="shared" si="1118"/>
        <v>1</v>
      </c>
      <c r="F698" s="123" t="s">
        <v>7</v>
      </c>
      <c r="G698" s="124">
        <f t="shared" ref="G698:H698" si="1188">G697</f>
        <v>1450000</v>
      </c>
      <c r="H698" s="125">
        <f t="shared" si="1188"/>
        <v>3.15E-2</v>
      </c>
      <c r="I698" s="124">
        <f t="shared" si="1120"/>
        <v>126.875</v>
      </c>
      <c r="J698" s="124">
        <f t="shared" si="1121"/>
        <v>39952.5</v>
      </c>
      <c r="K698" s="9"/>
      <c r="L698" s="11"/>
      <c r="M698" s="306"/>
      <c r="N698" s="97"/>
      <c r="O698" s="421"/>
      <c r="P698" s="304"/>
      <c r="Q698" s="307"/>
      <c r="S698" s="11"/>
      <c r="T698" s="306"/>
      <c r="U698" s="97"/>
      <c r="V698" s="421"/>
      <c r="W698" s="304"/>
      <c r="X698" s="307"/>
      <c r="Z698" s="11"/>
      <c r="AA698" s="306"/>
      <c r="AB698" s="97"/>
      <c r="AC698" s="421"/>
      <c r="AD698" s="304"/>
      <c r="AE698" s="307"/>
      <c r="AG698" s="11"/>
      <c r="AH698" s="306"/>
      <c r="AI698" s="97"/>
      <c r="AJ698" s="421"/>
      <c r="AK698" s="304"/>
      <c r="AL698" s="307"/>
      <c r="AN698" s="304">
        <f>'codeis $'!AB698</f>
        <v>0</v>
      </c>
      <c r="AO698" s="340">
        <f>'codeis $'!AH698</f>
        <v>0</v>
      </c>
      <c r="AP698" s="304">
        <f>'codeis $'!AE698</f>
        <v>0</v>
      </c>
      <c r="AQ698" s="304">
        <f>'codeis $'!AK698</f>
        <v>0</v>
      </c>
      <c r="AR698" s="9"/>
      <c r="AS698" s="9"/>
      <c r="AT698" s="123"/>
      <c r="AU698" s="123"/>
      <c r="AV698" s="123"/>
      <c r="AW698" s="123"/>
      <c r="AX698" s="123"/>
      <c r="AY698" s="123"/>
      <c r="AZ698" s="123"/>
      <c r="BA698" s="123"/>
      <c r="BC698" s="122"/>
      <c r="BD698" s="122"/>
      <c r="BE698" s="122"/>
      <c r="BF698" s="122"/>
      <c r="BH698" s="122"/>
      <c r="BI698" s="122"/>
      <c r="BJ698" s="122"/>
      <c r="BK698" s="122"/>
      <c r="BM698" s="122"/>
      <c r="BN698" s="122"/>
      <c r="BO698" s="122"/>
      <c r="BP698" s="122"/>
      <c r="BR698" s="122"/>
      <c r="BS698" s="122"/>
      <c r="BT698" s="122"/>
      <c r="BU698" s="122"/>
      <c r="BV698" s="439"/>
      <c r="BW698" s="120">
        <f t="shared" si="1126"/>
        <v>1450000</v>
      </c>
      <c r="BX698" s="121">
        <f t="shared" si="1181"/>
        <v>3.5000000000000003E-2</v>
      </c>
      <c r="BY698" s="121">
        <f t="shared" si="1183"/>
        <v>3.15E-2</v>
      </c>
      <c r="BZ698" s="120">
        <f t="shared" si="1127"/>
        <v>126.875</v>
      </c>
      <c r="CA698" s="120">
        <f t="shared" si="1128"/>
        <v>0</v>
      </c>
    </row>
    <row r="699" spans="2:79" x14ac:dyDescent="0.25">
      <c r="B699" s="123" t="str">
        <f t="shared" si="1116"/>
        <v>11 2026</v>
      </c>
      <c r="C699" s="122">
        <f t="shared" si="1117"/>
        <v>46348</v>
      </c>
      <c r="D699" s="122">
        <f t="shared" si="1184"/>
        <v>46349</v>
      </c>
      <c r="E699" s="123">
        <f t="shared" si="1118"/>
        <v>1</v>
      </c>
      <c r="F699" s="123" t="s">
        <v>7</v>
      </c>
      <c r="G699" s="124">
        <f t="shared" ref="G699:H699" si="1189">G698</f>
        <v>1450000</v>
      </c>
      <c r="H699" s="125">
        <f t="shared" si="1189"/>
        <v>3.15E-2</v>
      </c>
      <c r="I699" s="124">
        <f t="shared" si="1120"/>
        <v>126.875</v>
      </c>
      <c r="J699" s="124">
        <f t="shared" si="1121"/>
        <v>40079.375</v>
      </c>
      <c r="K699" s="9"/>
      <c r="L699" s="11"/>
      <c r="M699" s="306"/>
      <c r="N699" s="97"/>
      <c r="O699" s="421"/>
      <c r="P699" s="304"/>
      <c r="Q699" s="307"/>
      <c r="S699" s="11"/>
      <c r="T699" s="306"/>
      <c r="U699" s="97"/>
      <c r="V699" s="421"/>
      <c r="W699" s="304"/>
      <c r="X699" s="307"/>
      <c r="Z699" s="11"/>
      <c r="AA699" s="306"/>
      <c r="AB699" s="97"/>
      <c r="AC699" s="421"/>
      <c r="AD699" s="304"/>
      <c r="AE699" s="307"/>
      <c r="AG699" s="11"/>
      <c r="AH699" s="306"/>
      <c r="AI699" s="97"/>
      <c r="AJ699" s="421"/>
      <c r="AK699" s="304"/>
      <c r="AL699" s="307"/>
      <c r="AN699" s="304">
        <f>'codeis $'!AB699</f>
        <v>0</v>
      </c>
      <c r="AO699" s="340">
        <f>'codeis $'!AH699</f>
        <v>0</v>
      </c>
      <c r="AP699" s="304">
        <f>'codeis $'!AE699</f>
        <v>0</v>
      </c>
      <c r="AQ699" s="304">
        <f>'codeis $'!AK699</f>
        <v>0</v>
      </c>
      <c r="AR699" s="9"/>
      <c r="AS699" s="9"/>
      <c r="AT699" s="123"/>
      <c r="AU699" s="123"/>
      <c r="AV699" s="123"/>
      <c r="AW699" s="123"/>
      <c r="AX699" s="123"/>
      <c r="AY699" s="123"/>
      <c r="AZ699" s="123"/>
      <c r="BA699" s="123"/>
      <c r="BC699" s="122"/>
      <c r="BD699" s="122"/>
      <c r="BE699" s="122"/>
      <c r="BF699" s="122"/>
      <c r="BH699" s="122"/>
      <c r="BI699" s="122"/>
      <c r="BJ699" s="122"/>
      <c r="BK699" s="122"/>
      <c r="BM699" s="122"/>
      <c r="BN699" s="122"/>
      <c r="BO699" s="122"/>
      <c r="BP699" s="122"/>
      <c r="BR699" s="122"/>
      <c r="BS699" s="122"/>
      <c r="BT699" s="122"/>
      <c r="BU699" s="122"/>
      <c r="BV699" s="439"/>
      <c r="BW699" s="120">
        <f t="shared" si="1126"/>
        <v>1450000</v>
      </c>
      <c r="BX699" s="121">
        <f t="shared" si="1181"/>
        <v>3.5000000000000003E-2</v>
      </c>
      <c r="BY699" s="121">
        <f t="shared" si="1183"/>
        <v>3.15E-2</v>
      </c>
      <c r="BZ699" s="120">
        <f t="shared" si="1127"/>
        <v>126.875</v>
      </c>
      <c r="CA699" s="120">
        <f t="shared" si="1128"/>
        <v>0</v>
      </c>
    </row>
    <row r="700" spans="2:79" x14ac:dyDescent="0.25">
      <c r="B700" s="123" t="str">
        <f t="shared" si="1116"/>
        <v>11 2026</v>
      </c>
      <c r="C700" s="122">
        <f t="shared" si="1117"/>
        <v>46349</v>
      </c>
      <c r="D700" s="122">
        <f t="shared" si="1184"/>
        <v>46350</v>
      </c>
      <c r="E700" s="123">
        <f t="shared" si="1118"/>
        <v>1</v>
      </c>
      <c r="F700" s="123" t="s">
        <v>7</v>
      </c>
      <c r="G700" s="124">
        <f t="shared" ref="G700:H700" si="1190">G699</f>
        <v>1450000</v>
      </c>
      <c r="H700" s="125">
        <f t="shared" si="1190"/>
        <v>3.15E-2</v>
      </c>
      <c r="I700" s="124">
        <f t="shared" si="1120"/>
        <v>126.875</v>
      </c>
      <c r="J700" s="124">
        <f t="shared" si="1121"/>
        <v>40206.25</v>
      </c>
      <c r="K700" s="9"/>
      <c r="L700" s="11"/>
      <c r="M700" s="306"/>
      <c r="N700" s="97"/>
      <c r="O700" s="421"/>
      <c r="P700" s="304"/>
      <c r="Q700" s="307"/>
      <c r="S700" s="11"/>
      <c r="T700" s="306"/>
      <c r="U700" s="97"/>
      <c r="V700" s="421"/>
      <c r="W700" s="304"/>
      <c r="X700" s="307"/>
      <c r="Z700" s="11"/>
      <c r="AA700" s="306"/>
      <c r="AB700" s="97"/>
      <c r="AC700" s="421"/>
      <c r="AD700" s="304"/>
      <c r="AE700" s="307"/>
      <c r="AG700" s="11"/>
      <c r="AH700" s="306"/>
      <c r="AI700" s="97"/>
      <c r="AJ700" s="421"/>
      <c r="AK700" s="304"/>
      <c r="AL700" s="307"/>
      <c r="AN700" s="304">
        <f>'codeis $'!AB700</f>
        <v>0</v>
      </c>
      <c r="AO700" s="340">
        <f>'codeis $'!AH700</f>
        <v>0</v>
      </c>
      <c r="AP700" s="304">
        <f>'codeis $'!AE700</f>
        <v>0</v>
      </c>
      <c r="AQ700" s="304">
        <f>'codeis $'!AK700</f>
        <v>0</v>
      </c>
      <c r="AR700" s="9"/>
      <c r="AS700" s="9"/>
      <c r="AT700" s="123"/>
      <c r="AU700" s="123"/>
      <c r="AV700" s="123"/>
      <c r="AW700" s="123"/>
      <c r="AX700" s="123"/>
      <c r="AY700" s="123"/>
      <c r="AZ700" s="123"/>
      <c r="BA700" s="123"/>
      <c r="BC700" s="122"/>
      <c r="BD700" s="122"/>
      <c r="BE700" s="122"/>
      <c r="BF700" s="122"/>
      <c r="BH700" s="122"/>
      <c r="BI700" s="122"/>
      <c r="BJ700" s="122"/>
      <c r="BK700" s="122"/>
      <c r="BM700" s="122"/>
      <c r="BN700" s="122"/>
      <c r="BO700" s="122"/>
      <c r="BP700" s="122"/>
      <c r="BR700" s="122"/>
      <c r="BS700" s="122"/>
      <c r="BT700" s="122"/>
      <c r="BU700" s="122"/>
      <c r="BV700" s="439"/>
      <c r="BW700" s="120">
        <f t="shared" si="1126"/>
        <v>1450000</v>
      </c>
      <c r="BX700" s="121">
        <f t="shared" si="1181"/>
        <v>3.5000000000000003E-2</v>
      </c>
      <c r="BY700" s="121">
        <f t="shared" si="1183"/>
        <v>3.15E-2</v>
      </c>
      <c r="BZ700" s="120">
        <f t="shared" si="1127"/>
        <v>126.875</v>
      </c>
      <c r="CA700" s="120">
        <f t="shared" si="1128"/>
        <v>0</v>
      </c>
    </row>
    <row r="701" spans="2:79" x14ac:dyDescent="0.25">
      <c r="B701" s="123" t="str">
        <f t="shared" si="1116"/>
        <v>11 2026</v>
      </c>
      <c r="C701" s="122">
        <f t="shared" si="1117"/>
        <v>46350</v>
      </c>
      <c r="D701" s="122">
        <f t="shared" si="1184"/>
        <v>46351</v>
      </c>
      <c r="E701" s="123">
        <f t="shared" si="1118"/>
        <v>1</v>
      </c>
      <c r="F701" s="123" t="s">
        <v>7</v>
      </c>
      <c r="G701" s="124">
        <f t="shared" ref="G701:H701" si="1191">G700</f>
        <v>1450000</v>
      </c>
      <c r="H701" s="125">
        <f t="shared" si="1191"/>
        <v>3.15E-2</v>
      </c>
      <c r="I701" s="124">
        <f t="shared" si="1120"/>
        <v>126.875</v>
      </c>
      <c r="J701" s="124">
        <f t="shared" si="1121"/>
        <v>40333.125</v>
      </c>
      <c r="K701" s="9"/>
      <c r="L701" s="11"/>
      <c r="M701" s="306"/>
      <c r="N701" s="97"/>
      <c r="O701" s="421"/>
      <c r="P701" s="304"/>
      <c r="Q701" s="307"/>
      <c r="S701" s="11"/>
      <c r="T701" s="306"/>
      <c r="U701" s="97"/>
      <c r="V701" s="421"/>
      <c r="W701" s="304"/>
      <c r="X701" s="307"/>
      <c r="Z701" s="11"/>
      <c r="AA701" s="306"/>
      <c r="AB701" s="97"/>
      <c r="AC701" s="421"/>
      <c r="AD701" s="304"/>
      <c r="AE701" s="307"/>
      <c r="AG701" s="11"/>
      <c r="AH701" s="306"/>
      <c r="AI701" s="97"/>
      <c r="AJ701" s="421"/>
      <c r="AK701" s="304"/>
      <c r="AL701" s="307"/>
      <c r="AN701" s="304">
        <f>'codeis $'!AB701</f>
        <v>0</v>
      </c>
      <c r="AO701" s="340">
        <f>'codeis $'!AH701</f>
        <v>0</v>
      </c>
      <c r="AP701" s="304">
        <f>'codeis $'!AE701</f>
        <v>0</v>
      </c>
      <c r="AQ701" s="304">
        <f>'codeis $'!AK701</f>
        <v>0</v>
      </c>
      <c r="AR701" s="9"/>
      <c r="AS701" s="9"/>
      <c r="AT701" s="123"/>
      <c r="AU701" s="123"/>
      <c r="AV701" s="123"/>
      <c r="AW701" s="123"/>
      <c r="AX701" s="123"/>
      <c r="AY701" s="123"/>
      <c r="AZ701" s="123"/>
      <c r="BA701" s="123"/>
      <c r="BC701" s="122"/>
      <c r="BD701" s="122"/>
      <c r="BE701" s="122"/>
      <c r="BF701" s="122"/>
      <c r="BH701" s="122"/>
      <c r="BI701" s="122"/>
      <c r="BJ701" s="122"/>
      <c r="BK701" s="122"/>
      <c r="BM701" s="122"/>
      <c r="BN701" s="122"/>
      <c r="BO701" s="122"/>
      <c r="BP701" s="122"/>
      <c r="BR701" s="122"/>
      <c r="BS701" s="122"/>
      <c r="BT701" s="122"/>
      <c r="BU701" s="122"/>
      <c r="BV701" s="439"/>
      <c r="BW701" s="120">
        <f t="shared" si="1126"/>
        <v>1450000</v>
      </c>
      <c r="BX701" s="121">
        <f t="shared" si="1181"/>
        <v>3.5000000000000003E-2</v>
      </c>
      <c r="BY701" s="121">
        <f t="shared" si="1183"/>
        <v>3.15E-2</v>
      </c>
      <c r="BZ701" s="120">
        <f t="shared" si="1127"/>
        <v>126.875</v>
      </c>
      <c r="CA701" s="120">
        <f t="shared" si="1128"/>
        <v>0</v>
      </c>
    </row>
    <row r="702" spans="2:79" x14ac:dyDescent="0.25">
      <c r="B702" s="123" t="str">
        <f t="shared" si="1116"/>
        <v>11 2026</v>
      </c>
      <c r="C702" s="122">
        <f t="shared" si="1117"/>
        <v>46351</v>
      </c>
      <c r="D702" s="122">
        <f t="shared" si="1184"/>
        <v>46352</v>
      </c>
      <c r="E702" s="123">
        <f t="shared" si="1118"/>
        <v>1</v>
      </c>
      <c r="F702" s="123" t="s">
        <v>7</v>
      </c>
      <c r="G702" s="124">
        <f t="shared" ref="G702:H702" si="1192">G701</f>
        <v>1450000</v>
      </c>
      <c r="H702" s="125">
        <f t="shared" si="1192"/>
        <v>3.15E-2</v>
      </c>
      <c r="I702" s="124">
        <f t="shared" si="1120"/>
        <v>126.875</v>
      </c>
      <c r="J702" s="124">
        <f t="shared" si="1121"/>
        <v>40460</v>
      </c>
      <c r="K702" s="9"/>
      <c r="L702" s="11"/>
      <c r="M702" s="306"/>
      <c r="N702" s="97"/>
      <c r="O702" s="421"/>
      <c r="P702" s="304"/>
      <c r="Q702" s="307"/>
      <c r="S702" s="11"/>
      <c r="T702" s="306"/>
      <c r="U702" s="97"/>
      <c r="V702" s="421"/>
      <c r="W702" s="304"/>
      <c r="X702" s="307"/>
      <c r="Z702" s="11"/>
      <c r="AA702" s="306"/>
      <c r="AB702" s="97"/>
      <c r="AC702" s="421"/>
      <c r="AD702" s="304"/>
      <c r="AE702" s="307"/>
      <c r="AG702" s="11"/>
      <c r="AH702" s="306"/>
      <c r="AI702" s="97"/>
      <c r="AJ702" s="421"/>
      <c r="AK702" s="304"/>
      <c r="AL702" s="307"/>
      <c r="AN702" s="304">
        <f>'codeis $'!AB702</f>
        <v>0</v>
      </c>
      <c r="AO702" s="340">
        <f>'codeis $'!AH702</f>
        <v>0</v>
      </c>
      <c r="AP702" s="304">
        <f>'codeis $'!AE702</f>
        <v>0</v>
      </c>
      <c r="AQ702" s="304">
        <f>'codeis $'!AK702</f>
        <v>0</v>
      </c>
      <c r="AR702" s="9"/>
      <c r="AS702" s="9"/>
      <c r="AT702" s="123"/>
      <c r="AU702" s="123"/>
      <c r="AV702" s="123"/>
      <c r="AW702" s="123"/>
      <c r="AX702" s="123"/>
      <c r="AY702" s="123"/>
      <c r="AZ702" s="123"/>
      <c r="BA702" s="123"/>
      <c r="BC702" s="122"/>
      <c r="BD702" s="122"/>
      <c r="BE702" s="122"/>
      <c r="BF702" s="122"/>
      <c r="BH702" s="122"/>
      <c r="BI702" s="122"/>
      <c r="BJ702" s="122"/>
      <c r="BK702" s="122"/>
      <c r="BM702" s="122"/>
      <c r="BN702" s="122"/>
      <c r="BO702" s="122"/>
      <c r="BP702" s="122"/>
      <c r="BR702" s="122"/>
      <c r="BS702" s="122"/>
      <c r="BT702" s="122"/>
      <c r="BU702" s="122"/>
      <c r="BV702" s="439"/>
      <c r="BW702" s="120">
        <f t="shared" si="1126"/>
        <v>1450000</v>
      </c>
      <c r="BX702" s="121">
        <f t="shared" si="1181"/>
        <v>3.5000000000000003E-2</v>
      </c>
      <c r="BY702" s="121">
        <f t="shared" si="1183"/>
        <v>3.15E-2</v>
      </c>
      <c r="BZ702" s="120">
        <f t="shared" si="1127"/>
        <v>126.875</v>
      </c>
      <c r="CA702" s="120">
        <f t="shared" si="1128"/>
        <v>0</v>
      </c>
    </row>
    <row r="703" spans="2:79" x14ac:dyDescent="0.25">
      <c r="B703" s="123" t="str">
        <f t="shared" si="1116"/>
        <v>11 2026</v>
      </c>
      <c r="C703" s="122">
        <f t="shared" si="1117"/>
        <v>46352</v>
      </c>
      <c r="D703" s="122">
        <f t="shared" si="1184"/>
        <v>46353</v>
      </c>
      <c r="E703" s="123">
        <f t="shared" si="1118"/>
        <v>1</v>
      </c>
      <c r="F703" s="123" t="s">
        <v>7</v>
      </c>
      <c r="G703" s="124">
        <f t="shared" ref="G703:H703" si="1193">G702</f>
        <v>1450000</v>
      </c>
      <c r="H703" s="125">
        <f t="shared" si="1193"/>
        <v>3.15E-2</v>
      </c>
      <c r="I703" s="124">
        <f t="shared" si="1120"/>
        <v>126.875</v>
      </c>
      <c r="J703" s="124">
        <f t="shared" si="1121"/>
        <v>40586.875</v>
      </c>
      <c r="K703" s="9"/>
      <c r="L703" s="11"/>
      <c r="M703" s="306"/>
      <c r="N703" s="97"/>
      <c r="O703" s="421"/>
      <c r="P703" s="304"/>
      <c r="Q703" s="307"/>
      <c r="S703" s="11"/>
      <c r="T703" s="306"/>
      <c r="U703" s="97"/>
      <c r="V703" s="421"/>
      <c r="W703" s="304"/>
      <c r="X703" s="307"/>
      <c r="Z703" s="11"/>
      <c r="AA703" s="306"/>
      <c r="AB703" s="97"/>
      <c r="AC703" s="421"/>
      <c r="AD703" s="304"/>
      <c r="AE703" s="307"/>
      <c r="AG703" s="11"/>
      <c r="AH703" s="306"/>
      <c r="AI703" s="97"/>
      <c r="AJ703" s="421"/>
      <c r="AK703" s="304"/>
      <c r="AL703" s="307"/>
      <c r="AN703" s="304">
        <f>'codeis $'!AB703</f>
        <v>0</v>
      </c>
      <c r="AO703" s="340">
        <f>'codeis $'!AH703</f>
        <v>0</v>
      </c>
      <c r="AP703" s="304">
        <f>'codeis $'!AE703</f>
        <v>0</v>
      </c>
      <c r="AQ703" s="304">
        <f>'codeis $'!AK703</f>
        <v>0</v>
      </c>
      <c r="AR703" s="9"/>
      <c r="AS703" s="9"/>
      <c r="AT703" s="123"/>
      <c r="AU703" s="123"/>
      <c r="AV703" s="123"/>
      <c r="AW703" s="123"/>
      <c r="AX703" s="123"/>
      <c r="AY703" s="123"/>
      <c r="AZ703" s="123"/>
      <c r="BA703" s="123"/>
      <c r="BC703" s="122"/>
      <c r="BD703" s="122"/>
      <c r="BE703" s="122"/>
      <c r="BF703" s="122"/>
      <c r="BH703" s="122"/>
      <c r="BI703" s="122"/>
      <c r="BJ703" s="122"/>
      <c r="BK703" s="122"/>
      <c r="BM703" s="122"/>
      <c r="BN703" s="122"/>
      <c r="BO703" s="122"/>
      <c r="BP703" s="122"/>
      <c r="BR703" s="122"/>
      <c r="BS703" s="122"/>
      <c r="BT703" s="122"/>
      <c r="BU703" s="122"/>
      <c r="BV703" s="439"/>
      <c r="BW703" s="120">
        <f t="shared" si="1126"/>
        <v>1450000</v>
      </c>
      <c r="BX703" s="121">
        <f t="shared" si="1181"/>
        <v>3.5000000000000003E-2</v>
      </c>
      <c r="BY703" s="121">
        <f t="shared" si="1183"/>
        <v>3.15E-2</v>
      </c>
      <c r="BZ703" s="120">
        <f t="shared" si="1127"/>
        <v>126.875</v>
      </c>
      <c r="CA703" s="120">
        <f t="shared" si="1128"/>
        <v>0</v>
      </c>
    </row>
    <row r="704" spans="2:79" x14ac:dyDescent="0.25">
      <c r="B704" s="123" t="str">
        <f t="shared" si="1116"/>
        <v>11 2026</v>
      </c>
      <c r="C704" s="122">
        <f t="shared" si="1117"/>
        <v>46353</v>
      </c>
      <c r="D704" s="122">
        <f t="shared" si="1184"/>
        <v>46354</v>
      </c>
      <c r="E704" s="123">
        <f t="shared" si="1118"/>
        <v>1</v>
      </c>
      <c r="F704" s="123" t="s">
        <v>7</v>
      </c>
      <c r="G704" s="124">
        <f t="shared" ref="G704:H704" si="1194">G703</f>
        <v>1450000</v>
      </c>
      <c r="H704" s="125">
        <f t="shared" si="1194"/>
        <v>3.15E-2</v>
      </c>
      <c r="I704" s="124">
        <f t="shared" si="1120"/>
        <v>126.875</v>
      </c>
      <c r="J704" s="124">
        <f t="shared" si="1121"/>
        <v>40713.75</v>
      </c>
      <c r="K704" s="9"/>
      <c r="L704" s="11"/>
      <c r="M704" s="306"/>
      <c r="N704" s="97"/>
      <c r="O704" s="421"/>
      <c r="P704" s="304"/>
      <c r="Q704" s="307"/>
      <c r="S704" s="11"/>
      <c r="T704" s="306"/>
      <c r="U704" s="97"/>
      <c r="V704" s="421"/>
      <c r="W704" s="304"/>
      <c r="X704" s="307"/>
      <c r="Z704" s="11"/>
      <c r="AA704" s="306"/>
      <c r="AB704" s="97"/>
      <c r="AC704" s="421"/>
      <c r="AD704" s="304"/>
      <c r="AE704" s="307"/>
      <c r="AG704" s="11"/>
      <c r="AH704" s="306"/>
      <c r="AI704" s="97"/>
      <c r="AJ704" s="421"/>
      <c r="AK704" s="304"/>
      <c r="AL704" s="307"/>
      <c r="AN704" s="304">
        <f>'codeis $'!AB704</f>
        <v>0</v>
      </c>
      <c r="AO704" s="340">
        <f>'codeis $'!AH704</f>
        <v>0</v>
      </c>
      <c r="AP704" s="304">
        <f>'codeis $'!AE704</f>
        <v>0</v>
      </c>
      <c r="AQ704" s="304">
        <f>'codeis $'!AK704</f>
        <v>0</v>
      </c>
      <c r="AR704" s="9"/>
      <c r="AS704" s="9"/>
      <c r="AT704" s="123"/>
      <c r="AU704" s="123"/>
      <c r="AV704" s="123"/>
      <c r="AW704" s="123"/>
      <c r="AX704" s="123"/>
      <c r="AY704" s="123"/>
      <c r="AZ704" s="123"/>
      <c r="BA704" s="123"/>
      <c r="BC704" s="122"/>
      <c r="BD704" s="122"/>
      <c r="BE704" s="122"/>
      <c r="BF704" s="122"/>
      <c r="BH704" s="122"/>
      <c r="BI704" s="122"/>
      <c r="BJ704" s="122"/>
      <c r="BK704" s="122"/>
      <c r="BM704" s="122"/>
      <c r="BN704" s="122"/>
      <c r="BO704" s="122"/>
      <c r="BP704" s="122"/>
      <c r="BR704" s="122"/>
      <c r="BS704" s="122"/>
      <c r="BT704" s="122"/>
      <c r="BU704" s="122"/>
      <c r="BV704" s="439"/>
      <c r="BW704" s="120">
        <f t="shared" si="1126"/>
        <v>1450000</v>
      </c>
      <c r="BX704" s="121">
        <f t="shared" si="1181"/>
        <v>3.5000000000000003E-2</v>
      </c>
      <c r="BY704" s="121">
        <f t="shared" si="1183"/>
        <v>3.15E-2</v>
      </c>
      <c r="BZ704" s="120">
        <f t="shared" si="1127"/>
        <v>126.875</v>
      </c>
      <c r="CA704" s="120">
        <f t="shared" si="1128"/>
        <v>0</v>
      </c>
    </row>
    <row r="705" spans="2:79" x14ac:dyDescent="0.25">
      <c r="B705" s="123" t="str">
        <f t="shared" si="1116"/>
        <v>11 2026</v>
      </c>
      <c r="C705" s="122">
        <f t="shared" si="1117"/>
        <v>46354</v>
      </c>
      <c r="D705" s="122">
        <f t="shared" si="1184"/>
        <v>46355</v>
      </c>
      <c r="E705" s="123">
        <f t="shared" si="1118"/>
        <v>1</v>
      </c>
      <c r="F705" s="123" t="s">
        <v>7</v>
      </c>
      <c r="G705" s="124">
        <f t="shared" ref="G705:H705" si="1195">G704</f>
        <v>1450000</v>
      </c>
      <c r="H705" s="125">
        <f t="shared" si="1195"/>
        <v>3.15E-2</v>
      </c>
      <c r="I705" s="124">
        <f t="shared" si="1120"/>
        <v>126.875</v>
      </c>
      <c r="J705" s="124">
        <f t="shared" si="1121"/>
        <v>40840.625</v>
      </c>
      <c r="K705" s="9"/>
      <c r="L705" s="11"/>
      <c r="M705" s="306"/>
      <c r="N705" s="97"/>
      <c r="O705" s="421"/>
      <c r="P705" s="304"/>
      <c r="Q705" s="307"/>
      <c r="S705" s="11"/>
      <c r="T705" s="306"/>
      <c r="U705" s="97"/>
      <c r="V705" s="421"/>
      <c r="W705" s="304"/>
      <c r="X705" s="307"/>
      <c r="Z705" s="11"/>
      <c r="AA705" s="306"/>
      <c r="AB705" s="97"/>
      <c r="AC705" s="421"/>
      <c r="AD705" s="304"/>
      <c r="AE705" s="307"/>
      <c r="AG705" s="11"/>
      <c r="AH705" s="306"/>
      <c r="AI705" s="97"/>
      <c r="AJ705" s="421"/>
      <c r="AK705" s="304"/>
      <c r="AL705" s="307"/>
      <c r="AN705" s="304">
        <f>'codeis $'!AB705</f>
        <v>0</v>
      </c>
      <c r="AO705" s="340">
        <f>'codeis $'!AH705</f>
        <v>0</v>
      </c>
      <c r="AP705" s="304">
        <f>'codeis $'!AE705</f>
        <v>0</v>
      </c>
      <c r="AQ705" s="304">
        <f>'codeis $'!AK705</f>
        <v>0</v>
      </c>
      <c r="AR705" s="9"/>
      <c r="AS705" s="9"/>
      <c r="AT705" s="123"/>
      <c r="AU705" s="123"/>
      <c r="AV705" s="123"/>
      <c r="AW705" s="123"/>
      <c r="AX705" s="123"/>
      <c r="AY705" s="123"/>
      <c r="AZ705" s="123"/>
      <c r="BA705" s="123"/>
      <c r="BC705" s="122"/>
      <c r="BD705" s="122"/>
      <c r="BE705" s="122"/>
      <c r="BF705" s="122"/>
      <c r="BH705" s="122"/>
      <c r="BI705" s="122"/>
      <c r="BJ705" s="122"/>
      <c r="BK705" s="122"/>
      <c r="BM705" s="122"/>
      <c r="BN705" s="122"/>
      <c r="BO705" s="122"/>
      <c r="BP705" s="122"/>
      <c r="BR705" s="122"/>
      <c r="BS705" s="122"/>
      <c r="BT705" s="122"/>
      <c r="BU705" s="122"/>
      <c r="BV705" s="439"/>
      <c r="BW705" s="120">
        <f t="shared" si="1126"/>
        <v>1450000</v>
      </c>
      <c r="BX705" s="121">
        <f t="shared" si="1181"/>
        <v>3.5000000000000003E-2</v>
      </c>
      <c r="BY705" s="121">
        <f t="shared" si="1183"/>
        <v>3.15E-2</v>
      </c>
      <c r="BZ705" s="120">
        <f t="shared" si="1127"/>
        <v>126.875</v>
      </c>
      <c r="CA705" s="120">
        <f t="shared" si="1128"/>
        <v>0</v>
      </c>
    </row>
    <row r="706" spans="2:79" x14ac:dyDescent="0.25">
      <c r="B706" s="123" t="str">
        <f t="shared" si="1116"/>
        <v>11 2026</v>
      </c>
      <c r="C706" s="122">
        <f t="shared" si="1117"/>
        <v>46355</v>
      </c>
      <c r="D706" s="122">
        <f t="shared" si="1184"/>
        <v>46356</v>
      </c>
      <c r="E706" s="123">
        <f t="shared" si="1118"/>
        <v>1</v>
      </c>
      <c r="F706" s="123" t="s">
        <v>7</v>
      </c>
      <c r="G706" s="124">
        <f t="shared" ref="G706:H706" si="1196">G705</f>
        <v>1450000</v>
      </c>
      <c r="H706" s="125">
        <f t="shared" si="1196"/>
        <v>3.15E-2</v>
      </c>
      <c r="I706" s="124">
        <f t="shared" si="1120"/>
        <v>126.875</v>
      </c>
      <c r="J706" s="124">
        <f t="shared" si="1121"/>
        <v>40967.5</v>
      </c>
      <c r="K706" s="9"/>
      <c r="L706" s="11"/>
      <c r="M706" s="306"/>
      <c r="N706" s="97"/>
      <c r="O706" s="421"/>
      <c r="P706" s="304"/>
      <c r="Q706" s="307"/>
      <c r="S706" s="11"/>
      <c r="T706" s="306"/>
      <c r="U706" s="97"/>
      <c r="V706" s="421"/>
      <c r="W706" s="304"/>
      <c r="X706" s="307"/>
      <c r="Z706" s="11"/>
      <c r="AA706" s="306"/>
      <c r="AB706" s="97"/>
      <c r="AC706" s="421"/>
      <c r="AD706" s="304"/>
      <c r="AE706" s="307"/>
      <c r="AG706" s="11"/>
      <c r="AH706" s="306"/>
      <c r="AI706" s="97"/>
      <c r="AJ706" s="421"/>
      <c r="AK706" s="304"/>
      <c r="AL706" s="307"/>
      <c r="AN706" s="304">
        <f>'codeis $'!AB706</f>
        <v>0</v>
      </c>
      <c r="AO706" s="340">
        <f>'codeis $'!AH706</f>
        <v>0</v>
      </c>
      <c r="AP706" s="304">
        <f>'codeis $'!AE706</f>
        <v>0</v>
      </c>
      <c r="AQ706" s="304">
        <f>'codeis $'!AK706</f>
        <v>0</v>
      </c>
      <c r="AR706" s="9"/>
      <c r="AS706" s="9"/>
      <c r="AT706" s="123"/>
      <c r="AU706" s="123"/>
      <c r="AV706" s="123"/>
      <c r="AW706" s="123"/>
      <c r="AX706" s="123"/>
      <c r="AY706" s="123"/>
      <c r="AZ706" s="123"/>
      <c r="BA706" s="123"/>
      <c r="BC706" s="122"/>
      <c r="BD706" s="122"/>
      <c r="BE706" s="122"/>
      <c r="BF706" s="122"/>
      <c r="BH706" s="122"/>
      <c r="BI706" s="122"/>
      <c r="BJ706" s="122"/>
      <c r="BK706" s="122"/>
      <c r="BM706" s="122"/>
      <c r="BN706" s="122"/>
      <c r="BO706" s="122"/>
      <c r="BP706" s="122"/>
      <c r="BR706" s="122"/>
      <c r="BS706" s="122"/>
      <c r="BT706" s="122"/>
      <c r="BU706" s="122"/>
      <c r="BV706" s="439"/>
      <c r="BW706" s="120">
        <f t="shared" si="1126"/>
        <v>1450000</v>
      </c>
      <c r="BX706" s="121">
        <f t="shared" si="1181"/>
        <v>3.5000000000000003E-2</v>
      </c>
      <c r="BY706" s="121">
        <f t="shared" si="1183"/>
        <v>3.15E-2</v>
      </c>
      <c r="BZ706" s="120">
        <f t="shared" si="1127"/>
        <v>126.875</v>
      </c>
      <c r="CA706" s="120">
        <f t="shared" si="1128"/>
        <v>0</v>
      </c>
    </row>
    <row r="707" spans="2:79" x14ac:dyDescent="0.25">
      <c r="B707" s="123" t="str">
        <f t="shared" si="1116"/>
        <v>12 2026</v>
      </c>
      <c r="C707" s="122">
        <f t="shared" si="1117"/>
        <v>46356</v>
      </c>
      <c r="D707" s="122">
        <f t="shared" si="1184"/>
        <v>46357</v>
      </c>
      <c r="E707" s="123">
        <f t="shared" si="1118"/>
        <v>1</v>
      </c>
      <c r="F707" s="123" t="s">
        <v>7</v>
      </c>
      <c r="G707" s="124">
        <f t="shared" ref="G707:H707" si="1197">G706</f>
        <v>1450000</v>
      </c>
      <c r="H707" s="125">
        <f t="shared" si="1197"/>
        <v>3.15E-2</v>
      </c>
      <c r="I707" s="124">
        <f t="shared" si="1120"/>
        <v>126.875</v>
      </c>
      <c r="J707" s="124">
        <f t="shared" si="1121"/>
        <v>41094.375</v>
      </c>
      <c r="K707" s="9"/>
      <c r="L707" s="11"/>
      <c r="M707" s="306"/>
      <c r="N707" s="97"/>
      <c r="O707" s="421"/>
      <c r="P707" s="304"/>
      <c r="Q707" s="307"/>
      <c r="S707" s="11"/>
      <c r="T707" s="306"/>
      <c r="U707" s="97"/>
      <c r="V707" s="421"/>
      <c r="W707" s="304"/>
      <c r="X707" s="307"/>
      <c r="Z707" s="11"/>
      <c r="AA707" s="306"/>
      <c r="AB707" s="97"/>
      <c r="AC707" s="421"/>
      <c r="AD707" s="304"/>
      <c r="AE707" s="307"/>
      <c r="AG707" s="11"/>
      <c r="AH707" s="306"/>
      <c r="AI707" s="97"/>
      <c r="AJ707" s="421"/>
      <c r="AK707" s="304"/>
      <c r="AL707" s="307"/>
      <c r="AN707" s="304">
        <f>'codeis $'!AB707</f>
        <v>0</v>
      </c>
      <c r="AO707" s="340">
        <f>'codeis $'!AH707</f>
        <v>0</v>
      </c>
      <c r="AP707" s="304">
        <f>'codeis $'!AE707</f>
        <v>0</v>
      </c>
      <c r="AQ707" s="304">
        <f>'codeis $'!AK707</f>
        <v>0</v>
      </c>
      <c r="AR707" s="9"/>
      <c r="AS707" s="9"/>
      <c r="AT707" s="123"/>
      <c r="AU707" s="123"/>
      <c r="AV707" s="123"/>
      <c r="AW707" s="123"/>
      <c r="AX707" s="123"/>
      <c r="AY707" s="123"/>
      <c r="AZ707" s="123"/>
      <c r="BA707" s="123"/>
      <c r="BC707" s="122"/>
      <c r="BD707" s="122"/>
      <c r="BE707" s="122"/>
      <c r="BF707" s="122"/>
      <c r="BH707" s="122"/>
      <c r="BI707" s="122"/>
      <c r="BJ707" s="122"/>
      <c r="BK707" s="122"/>
      <c r="BM707" s="122"/>
      <c r="BN707" s="122"/>
      <c r="BO707" s="122"/>
      <c r="BP707" s="122"/>
      <c r="BR707" s="122"/>
      <c r="BS707" s="122"/>
      <c r="BT707" s="122"/>
      <c r="BU707" s="122"/>
      <c r="BV707" s="439"/>
      <c r="BW707" s="120">
        <f t="shared" si="1126"/>
        <v>1450000</v>
      </c>
      <c r="BX707" s="121">
        <f t="shared" si="1181"/>
        <v>3.5000000000000003E-2</v>
      </c>
      <c r="BY707" s="121">
        <f t="shared" si="1183"/>
        <v>3.15E-2</v>
      </c>
      <c r="BZ707" s="120">
        <f t="shared" si="1127"/>
        <v>126.875</v>
      </c>
      <c r="CA707" s="120">
        <f t="shared" si="1128"/>
        <v>0</v>
      </c>
    </row>
    <row r="708" spans="2:79" x14ac:dyDescent="0.25">
      <c r="B708" s="123" t="str">
        <f t="shared" si="1116"/>
        <v>12 2026</v>
      </c>
      <c r="C708" s="122">
        <f t="shared" si="1117"/>
        <v>46357</v>
      </c>
      <c r="D708" s="122">
        <f t="shared" si="1184"/>
        <v>46358</v>
      </c>
      <c r="E708" s="123">
        <f t="shared" si="1118"/>
        <v>1</v>
      </c>
      <c r="F708" s="123" t="s">
        <v>7</v>
      </c>
      <c r="G708" s="124">
        <f t="shared" ref="G708:H708" si="1198">G707</f>
        <v>1450000</v>
      </c>
      <c r="H708" s="125">
        <f t="shared" si="1198"/>
        <v>3.15E-2</v>
      </c>
      <c r="I708" s="124">
        <f t="shared" si="1120"/>
        <v>126.875</v>
      </c>
      <c r="J708" s="124">
        <f t="shared" si="1121"/>
        <v>41221.25</v>
      </c>
      <c r="K708" s="9"/>
      <c r="L708" s="11"/>
      <c r="M708" s="306"/>
      <c r="N708" s="97"/>
      <c r="O708" s="421"/>
      <c r="P708" s="304"/>
      <c r="Q708" s="307"/>
      <c r="S708" s="11"/>
      <c r="T708" s="306"/>
      <c r="U708" s="97"/>
      <c r="V708" s="421"/>
      <c r="W708" s="304"/>
      <c r="X708" s="307"/>
      <c r="Z708" s="11"/>
      <c r="AA708" s="306"/>
      <c r="AB708" s="97"/>
      <c r="AC708" s="421"/>
      <c r="AD708" s="304"/>
      <c r="AE708" s="307"/>
      <c r="AG708" s="11"/>
      <c r="AH708" s="306"/>
      <c r="AI708" s="97"/>
      <c r="AJ708" s="421"/>
      <c r="AK708" s="304"/>
      <c r="AL708" s="307"/>
      <c r="AN708" s="304">
        <f>'codeis $'!AB708</f>
        <v>0</v>
      </c>
      <c r="AO708" s="340">
        <f>'codeis $'!AH708</f>
        <v>0</v>
      </c>
      <c r="AP708" s="304">
        <f>'codeis $'!AE708</f>
        <v>0</v>
      </c>
      <c r="AQ708" s="304">
        <f>'codeis $'!AK708</f>
        <v>0</v>
      </c>
      <c r="AR708" s="9"/>
      <c r="AS708" s="9"/>
      <c r="AT708" s="123"/>
      <c r="AU708" s="123"/>
      <c r="AV708" s="123"/>
      <c r="AW708" s="123"/>
      <c r="AX708" s="123"/>
      <c r="AY708" s="123"/>
      <c r="AZ708" s="123"/>
      <c r="BA708" s="123"/>
      <c r="BC708" s="122"/>
      <c r="BD708" s="122"/>
      <c r="BE708" s="122"/>
      <c r="BF708" s="122"/>
      <c r="BH708" s="122"/>
      <c r="BI708" s="122"/>
      <c r="BJ708" s="122"/>
      <c r="BK708" s="122"/>
      <c r="BM708" s="122"/>
      <c r="BN708" s="122"/>
      <c r="BO708" s="122"/>
      <c r="BP708" s="122"/>
      <c r="BR708" s="122"/>
      <c r="BS708" s="122"/>
      <c r="BT708" s="122"/>
      <c r="BU708" s="122"/>
      <c r="BV708" s="439"/>
      <c r="BW708" s="120">
        <f t="shared" si="1126"/>
        <v>1450000</v>
      </c>
      <c r="BX708" s="121">
        <f t="shared" si="1181"/>
        <v>3.5000000000000003E-2</v>
      </c>
      <c r="BY708" s="121">
        <f t="shared" si="1183"/>
        <v>3.15E-2</v>
      </c>
      <c r="BZ708" s="120">
        <f t="shared" si="1127"/>
        <v>126.875</v>
      </c>
      <c r="CA708" s="120">
        <f t="shared" si="1128"/>
        <v>0</v>
      </c>
    </row>
    <row r="709" spans="2:79" x14ac:dyDescent="0.25">
      <c r="B709" s="123" t="str">
        <f t="shared" si="1116"/>
        <v>12 2026</v>
      </c>
      <c r="C709" s="122">
        <f t="shared" si="1117"/>
        <v>46358</v>
      </c>
      <c r="D709" s="122">
        <f t="shared" si="1184"/>
        <v>46359</v>
      </c>
      <c r="E709" s="123">
        <f t="shared" si="1118"/>
        <v>1</v>
      </c>
      <c r="F709" s="123" t="s">
        <v>7</v>
      </c>
      <c r="G709" s="124">
        <f t="shared" ref="G709:H709" si="1199">G708</f>
        <v>1450000</v>
      </c>
      <c r="H709" s="125">
        <f t="shared" si="1199"/>
        <v>3.15E-2</v>
      </c>
      <c r="I709" s="124">
        <f t="shared" si="1120"/>
        <v>126.875</v>
      </c>
      <c r="J709" s="124">
        <f t="shared" si="1121"/>
        <v>41348.125</v>
      </c>
      <c r="K709" s="9"/>
      <c r="L709" s="11"/>
      <c r="M709" s="306"/>
      <c r="N709" s="97"/>
      <c r="O709" s="421"/>
      <c r="P709" s="304"/>
      <c r="Q709" s="307"/>
      <c r="S709" s="11"/>
      <c r="T709" s="306"/>
      <c r="U709" s="97"/>
      <c r="V709" s="421"/>
      <c r="W709" s="304"/>
      <c r="X709" s="307"/>
      <c r="Z709" s="11"/>
      <c r="AA709" s="306"/>
      <c r="AB709" s="97"/>
      <c r="AC709" s="421"/>
      <c r="AD709" s="304"/>
      <c r="AE709" s="307"/>
      <c r="AG709" s="11"/>
      <c r="AH709" s="306"/>
      <c r="AI709" s="97"/>
      <c r="AJ709" s="421"/>
      <c r="AK709" s="304"/>
      <c r="AL709" s="307"/>
      <c r="AN709" s="304">
        <f>'codeis $'!AB709</f>
        <v>0</v>
      </c>
      <c r="AO709" s="340">
        <f>'codeis $'!AH709</f>
        <v>0</v>
      </c>
      <c r="AP709" s="304">
        <f>'codeis $'!AE709</f>
        <v>0</v>
      </c>
      <c r="AQ709" s="304">
        <f>'codeis $'!AK709</f>
        <v>0</v>
      </c>
      <c r="AR709" s="9"/>
      <c r="AS709" s="9"/>
      <c r="AT709" s="123"/>
      <c r="AU709" s="123"/>
      <c r="AV709" s="123"/>
      <c r="AW709" s="123"/>
      <c r="AX709" s="123"/>
      <c r="AY709" s="123"/>
      <c r="AZ709" s="123"/>
      <c r="BA709" s="123"/>
      <c r="BC709" s="122"/>
      <c r="BD709" s="122"/>
      <c r="BE709" s="122"/>
      <c r="BF709" s="122"/>
      <c r="BH709" s="122"/>
      <c r="BI709" s="122"/>
      <c r="BJ709" s="122"/>
      <c r="BK709" s="122"/>
      <c r="BM709" s="122"/>
      <c r="BN709" s="122"/>
      <c r="BO709" s="122"/>
      <c r="BP709" s="122"/>
      <c r="BR709" s="122"/>
      <c r="BS709" s="122"/>
      <c r="BT709" s="122"/>
      <c r="BU709" s="122"/>
      <c r="BV709" s="439"/>
      <c r="BW709" s="120">
        <f t="shared" si="1126"/>
        <v>1450000</v>
      </c>
      <c r="BX709" s="121">
        <f t="shared" si="1181"/>
        <v>3.5000000000000003E-2</v>
      </c>
      <c r="BY709" s="121">
        <f t="shared" si="1183"/>
        <v>3.15E-2</v>
      </c>
      <c r="BZ709" s="120">
        <f t="shared" si="1127"/>
        <v>126.875</v>
      </c>
      <c r="CA709" s="120">
        <f t="shared" si="1128"/>
        <v>0</v>
      </c>
    </row>
    <row r="710" spans="2:79" x14ac:dyDescent="0.25">
      <c r="B710" s="123" t="str">
        <f t="shared" si="1116"/>
        <v>12 2026</v>
      </c>
      <c r="C710" s="122">
        <f t="shared" si="1117"/>
        <v>46359</v>
      </c>
      <c r="D710" s="122">
        <f t="shared" si="1184"/>
        <v>46360</v>
      </c>
      <c r="E710" s="123">
        <f t="shared" si="1118"/>
        <v>1</v>
      </c>
      <c r="F710" s="123" t="s">
        <v>7</v>
      </c>
      <c r="G710" s="124">
        <f t="shared" ref="G710:H710" si="1200">G709</f>
        <v>1450000</v>
      </c>
      <c r="H710" s="125">
        <f t="shared" si="1200"/>
        <v>3.15E-2</v>
      </c>
      <c r="I710" s="124">
        <f t="shared" si="1120"/>
        <v>126.875</v>
      </c>
      <c r="J710" s="124">
        <f t="shared" si="1121"/>
        <v>41475</v>
      </c>
      <c r="K710" s="9"/>
      <c r="L710" s="11"/>
      <c r="M710" s="306"/>
      <c r="N710" s="97"/>
      <c r="O710" s="421"/>
      <c r="P710" s="304"/>
      <c r="Q710" s="307"/>
      <c r="S710" s="11"/>
      <c r="T710" s="306"/>
      <c r="U710" s="97"/>
      <c r="V710" s="421"/>
      <c r="W710" s="304"/>
      <c r="X710" s="307"/>
      <c r="Z710" s="11"/>
      <c r="AA710" s="306"/>
      <c r="AB710" s="97"/>
      <c r="AC710" s="421"/>
      <c r="AD710" s="304"/>
      <c r="AE710" s="307"/>
      <c r="AG710" s="11"/>
      <c r="AH710" s="306"/>
      <c r="AI710" s="97"/>
      <c r="AJ710" s="421"/>
      <c r="AK710" s="304"/>
      <c r="AL710" s="307"/>
      <c r="AN710" s="304">
        <f>'codeis $'!AB710</f>
        <v>0</v>
      </c>
      <c r="AO710" s="340">
        <f>'codeis $'!AH710</f>
        <v>0</v>
      </c>
      <c r="AP710" s="304">
        <f>'codeis $'!AE710</f>
        <v>0</v>
      </c>
      <c r="AQ710" s="304">
        <f>'codeis $'!AK710</f>
        <v>0</v>
      </c>
      <c r="AR710" s="9"/>
      <c r="AS710" s="9"/>
      <c r="AT710" s="123"/>
      <c r="AU710" s="123"/>
      <c r="AV710" s="123"/>
      <c r="AW710" s="123"/>
      <c r="AX710" s="123"/>
      <c r="AY710" s="123"/>
      <c r="AZ710" s="123"/>
      <c r="BA710" s="123"/>
      <c r="BC710" s="122"/>
      <c r="BD710" s="122"/>
      <c r="BE710" s="122"/>
      <c r="BF710" s="122"/>
      <c r="BH710" s="122"/>
      <c r="BI710" s="122"/>
      <c r="BJ710" s="122"/>
      <c r="BK710" s="122"/>
      <c r="BM710" s="122"/>
      <c r="BN710" s="122"/>
      <c r="BO710" s="122"/>
      <c r="BP710" s="122"/>
      <c r="BR710" s="122"/>
      <c r="BS710" s="122"/>
      <c r="BT710" s="122"/>
      <c r="BU710" s="122"/>
      <c r="BV710" s="439"/>
      <c r="BW710" s="120">
        <f t="shared" si="1126"/>
        <v>1450000</v>
      </c>
      <c r="BX710" s="121">
        <f t="shared" si="1181"/>
        <v>3.5000000000000003E-2</v>
      </c>
      <c r="BY710" s="121">
        <f t="shared" si="1183"/>
        <v>3.15E-2</v>
      </c>
      <c r="BZ710" s="120">
        <f t="shared" si="1127"/>
        <v>126.875</v>
      </c>
      <c r="CA710" s="120">
        <f t="shared" si="1128"/>
        <v>0</v>
      </c>
    </row>
    <row r="711" spans="2:79" x14ac:dyDescent="0.25">
      <c r="B711" s="123" t="str">
        <f t="shared" si="1116"/>
        <v>12 2026</v>
      </c>
      <c r="C711" s="122">
        <f t="shared" si="1117"/>
        <v>46360</v>
      </c>
      <c r="D711" s="122">
        <f t="shared" si="1184"/>
        <v>46361</v>
      </c>
      <c r="E711" s="123">
        <f t="shared" si="1118"/>
        <v>1</v>
      </c>
      <c r="F711" s="123" t="s">
        <v>7</v>
      </c>
      <c r="G711" s="124">
        <f t="shared" ref="G711:H711" si="1201">G710</f>
        <v>1450000</v>
      </c>
      <c r="H711" s="125">
        <f t="shared" si="1201"/>
        <v>3.15E-2</v>
      </c>
      <c r="I711" s="124">
        <f t="shared" si="1120"/>
        <v>126.875</v>
      </c>
      <c r="J711" s="124">
        <f t="shared" si="1121"/>
        <v>41601.875</v>
      </c>
      <c r="K711" s="9"/>
      <c r="L711" s="11"/>
      <c r="M711" s="306"/>
      <c r="N711" s="97"/>
      <c r="O711" s="421"/>
      <c r="P711" s="304"/>
      <c r="Q711" s="307"/>
      <c r="S711" s="11"/>
      <c r="T711" s="306"/>
      <c r="U711" s="97"/>
      <c r="V711" s="421"/>
      <c r="W711" s="304"/>
      <c r="X711" s="307"/>
      <c r="Z711" s="11"/>
      <c r="AA711" s="306"/>
      <c r="AB711" s="97"/>
      <c r="AC711" s="421"/>
      <c r="AD711" s="304"/>
      <c r="AE711" s="307"/>
      <c r="AG711" s="11"/>
      <c r="AH711" s="306"/>
      <c r="AI711" s="97"/>
      <c r="AJ711" s="421"/>
      <c r="AK711" s="304"/>
      <c r="AL711" s="307"/>
      <c r="AN711" s="304">
        <f>'codeis $'!AB711</f>
        <v>0</v>
      </c>
      <c r="AO711" s="340">
        <f>'codeis $'!AH711</f>
        <v>0</v>
      </c>
      <c r="AP711" s="304">
        <f>'codeis $'!AE711</f>
        <v>0</v>
      </c>
      <c r="AQ711" s="304">
        <f>'codeis $'!AK711</f>
        <v>0</v>
      </c>
      <c r="AR711" s="9"/>
      <c r="AS711" s="9"/>
      <c r="AT711" s="123"/>
      <c r="AU711" s="123"/>
      <c r="AV711" s="123"/>
      <c r="AW711" s="123"/>
      <c r="AX711" s="123"/>
      <c r="AY711" s="123"/>
      <c r="AZ711" s="123"/>
      <c r="BA711" s="123"/>
      <c r="BC711" s="122"/>
      <c r="BD711" s="122"/>
      <c r="BE711" s="122"/>
      <c r="BF711" s="122"/>
      <c r="BH711" s="122"/>
      <c r="BI711" s="122"/>
      <c r="BJ711" s="122"/>
      <c r="BK711" s="122"/>
      <c r="BM711" s="122"/>
      <c r="BN711" s="122"/>
      <c r="BO711" s="122"/>
      <c r="BP711" s="122"/>
      <c r="BR711" s="122"/>
      <c r="BS711" s="122"/>
      <c r="BT711" s="122"/>
      <c r="BU711" s="122"/>
      <c r="BV711" s="439"/>
      <c r="BW711" s="120">
        <f t="shared" si="1126"/>
        <v>1450000</v>
      </c>
      <c r="BX711" s="121">
        <f t="shared" si="1181"/>
        <v>3.5000000000000003E-2</v>
      </c>
      <c r="BY711" s="121">
        <f t="shared" si="1183"/>
        <v>3.15E-2</v>
      </c>
      <c r="BZ711" s="120">
        <f t="shared" si="1127"/>
        <v>126.875</v>
      </c>
      <c r="CA711" s="120">
        <f t="shared" si="1128"/>
        <v>0</v>
      </c>
    </row>
    <row r="712" spans="2:79" x14ac:dyDescent="0.25">
      <c r="B712" s="123" t="str">
        <f t="shared" si="1116"/>
        <v>12 2026</v>
      </c>
      <c r="C712" s="122">
        <f t="shared" si="1117"/>
        <v>46361</v>
      </c>
      <c r="D712" s="122">
        <f t="shared" si="1184"/>
        <v>46362</v>
      </c>
      <c r="E712" s="123">
        <f t="shared" si="1118"/>
        <v>1</v>
      </c>
      <c r="F712" s="123" t="s">
        <v>7</v>
      </c>
      <c r="G712" s="124">
        <f t="shared" ref="G712:H712" si="1202">G711</f>
        <v>1450000</v>
      </c>
      <c r="H712" s="125">
        <f t="shared" si="1202"/>
        <v>3.15E-2</v>
      </c>
      <c r="I712" s="124">
        <f t="shared" si="1120"/>
        <v>126.875</v>
      </c>
      <c r="J712" s="124">
        <f t="shared" si="1121"/>
        <v>41728.75</v>
      </c>
      <c r="K712" s="9"/>
      <c r="L712" s="11"/>
      <c r="M712" s="306"/>
      <c r="N712" s="97"/>
      <c r="O712" s="421"/>
      <c r="P712" s="304"/>
      <c r="Q712" s="307"/>
      <c r="S712" s="11"/>
      <c r="T712" s="306"/>
      <c r="U712" s="97"/>
      <c r="V712" s="421"/>
      <c r="W712" s="304"/>
      <c r="X712" s="307"/>
      <c r="Z712" s="11"/>
      <c r="AA712" s="306"/>
      <c r="AB712" s="97"/>
      <c r="AC712" s="421"/>
      <c r="AD712" s="304"/>
      <c r="AE712" s="307"/>
      <c r="AG712" s="11"/>
      <c r="AH712" s="306"/>
      <c r="AI712" s="97"/>
      <c r="AJ712" s="421"/>
      <c r="AK712" s="304"/>
      <c r="AL712" s="307"/>
      <c r="AN712" s="304">
        <f>'codeis $'!AB712</f>
        <v>0</v>
      </c>
      <c r="AO712" s="340">
        <f>'codeis $'!AH712</f>
        <v>0</v>
      </c>
      <c r="AP712" s="304">
        <f>'codeis $'!AE712</f>
        <v>0</v>
      </c>
      <c r="AQ712" s="304">
        <f>'codeis $'!AK712</f>
        <v>0</v>
      </c>
      <c r="AR712" s="9"/>
      <c r="AS712" s="9"/>
      <c r="AT712" s="123"/>
      <c r="AU712" s="123"/>
      <c r="AV712" s="123"/>
      <c r="AW712" s="123"/>
      <c r="AX712" s="123"/>
      <c r="AY712" s="123"/>
      <c r="AZ712" s="123"/>
      <c r="BA712" s="123"/>
      <c r="BC712" s="122"/>
      <c r="BD712" s="122"/>
      <c r="BE712" s="122"/>
      <c r="BF712" s="122"/>
      <c r="BH712" s="122"/>
      <c r="BI712" s="122"/>
      <c r="BJ712" s="122"/>
      <c r="BK712" s="122"/>
      <c r="BM712" s="122"/>
      <c r="BN712" s="122"/>
      <c r="BO712" s="122"/>
      <c r="BP712" s="122"/>
      <c r="BR712" s="122"/>
      <c r="BS712" s="122"/>
      <c r="BT712" s="122"/>
      <c r="BU712" s="122"/>
      <c r="BV712" s="439"/>
      <c r="BW712" s="120">
        <f t="shared" si="1126"/>
        <v>1450000</v>
      </c>
      <c r="BX712" s="121">
        <f t="shared" si="1181"/>
        <v>3.5000000000000003E-2</v>
      </c>
      <c r="BY712" s="121">
        <f t="shared" si="1183"/>
        <v>3.15E-2</v>
      </c>
      <c r="BZ712" s="120">
        <f t="shared" si="1127"/>
        <v>126.875</v>
      </c>
      <c r="CA712" s="120">
        <f t="shared" si="1128"/>
        <v>0</v>
      </c>
    </row>
    <row r="713" spans="2:79" x14ac:dyDescent="0.25">
      <c r="B713" s="123" t="str">
        <f t="shared" si="1116"/>
        <v>12 2026</v>
      </c>
      <c r="C713" s="122">
        <f t="shared" si="1117"/>
        <v>46362</v>
      </c>
      <c r="D713" s="122">
        <f t="shared" si="1184"/>
        <v>46363</v>
      </c>
      <c r="E713" s="123">
        <f t="shared" si="1118"/>
        <v>1</v>
      </c>
      <c r="F713" s="123" t="s">
        <v>7</v>
      </c>
      <c r="G713" s="124">
        <f t="shared" ref="G713:H713" si="1203">G712</f>
        <v>1450000</v>
      </c>
      <c r="H713" s="125">
        <f t="shared" si="1203"/>
        <v>3.15E-2</v>
      </c>
      <c r="I713" s="124">
        <f t="shared" si="1120"/>
        <v>126.875</v>
      </c>
      <c r="J713" s="124">
        <f t="shared" si="1121"/>
        <v>41855.625</v>
      </c>
      <c r="K713" s="9"/>
      <c r="L713" s="11"/>
      <c r="M713" s="306"/>
      <c r="N713" s="97"/>
      <c r="O713" s="421"/>
      <c r="P713" s="304"/>
      <c r="Q713" s="307"/>
      <c r="S713" s="11"/>
      <c r="T713" s="306"/>
      <c r="U713" s="97"/>
      <c r="V713" s="421"/>
      <c r="W713" s="304"/>
      <c r="X713" s="307"/>
      <c r="Z713" s="11"/>
      <c r="AA713" s="306"/>
      <c r="AB713" s="97"/>
      <c r="AC713" s="421"/>
      <c r="AD713" s="304"/>
      <c r="AE713" s="307"/>
      <c r="AG713" s="11"/>
      <c r="AH713" s="306"/>
      <c r="AI713" s="97"/>
      <c r="AJ713" s="421"/>
      <c r="AK713" s="304"/>
      <c r="AL713" s="307"/>
      <c r="AN713" s="304">
        <f>'codeis $'!AB713</f>
        <v>0</v>
      </c>
      <c r="AO713" s="340">
        <f>'codeis $'!AH713</f>
        <v>0</v>
      </c>
      <c r="AP713" s="304">
        <f>'codeis $'!AE713</f>
        <v>0</v>
      </c>
      <c r="AQ713" s="304">
        <f>'codeis $'!AK713</f>
        <v>0</v>
      </c>
      <c r="AR713" s="9"/>
      <c r="AS713" s="9"/>
      <c r="AT713" s="123"/>
      <c r="AU713" s="123"/>
      <c r="AV713" s="123"/>
      <c r="AW713" s="123"/>
      <c r="AX713" s="123"/>
      <c r="AY713" s="123"/>
      <c r="AZ713" s="123"/>
      <c r="BA713" s="123"/>
      <c r="BC713" s="122"/>
      <c r="BD713" s="122"/>
      <c r="BE713" s="122"/>
      <c r="BF713" s="122"/>
      <c r="BH713" s="122"/>
      <c r="BI713" s="122"/>
      <c r="BJ713" s="122"/>
      <c r="BK713" s="122"/>
      <c r="BM713" s="122"/>
      <c r="BN713" s="122"/>
      <c r="BO713" s="122"/>
      <c r="BP713" s="122"/>
      <c r="BR713" s="122"/>
      <c r="BS713" s="122"/>
      <c r="BT713" s="122"/>
      <c r="BU713" s="122"/>
      <c r="BV713" s="439"/>
      <c r="BW713" s="120">
        <f t="shared" si="1126"/>
        <v>1450000</v>
      </c>
      <c r="BX713" s="121">
        <f t="shared" si="1181"/>
        <v>3.5000000000000003E-2</v>
      </c>
      <c r="BY713" s="121">
        <f t="shared" si="1183"/>
        <v>3.15E-2</v>
      </c>
      <c r="BZ713" s="120">
        <f t="shared" si="1127"/>
        <v>126.875</v>
      </c>
      <c r="CA713" s="120">
        <f t="shared" si="1128"/>
        <v>0</v>
      </c>
    </row>
    <row r="714" spans="2:79" x14ac:dyDescent="0.25">
      <c r="B714" s="123" t="str">
        <f t="shared" si="1116"/>
        <v>12 2026</v>
      </c>
      <c r="C714" s="122">
        <f t="shared" si="1117"/>
        <v>46363</v>
      </c>
      <c r="D714" s="122">
        <f t="shared" si="1184"/>
        <v>46364</v>
      </c>
      <c r="E714" s="123">
        <f t="shared" si="1118"/>
        <v>1</v>
      </c>
      <c r="F714" s="123" t="s">
        <v>7</v>
      </c>
      <c r="G714" s="124">
        <f t="shared" ref="G714:H714" si="1204">G713</f>
        <v>1450000</v>
      </c>
      <c r="H714" s="125">
        <f t="shared" si="1204"/>
        <v>3.15E-2</v>
      </c>
      <c r="I714" s="124">
        <f t="shared" si="1120"/>
        <v>126.875</v>
      </c>
      <c r="J714" s="124">
        <f t="shared" si="1121"/>
        <v>41982.5</v>
      </c>
      <c r="K714" s="9"/>
      <c r="L714" s="11"/>
      <c r="M714" s="306"/>
      <c r="N714" s="97"/>
      <c r="O714" s="421"/>
      <c r="P714" s="304"/>
      <c r="Q714" s="307"/>
      <c r="S714" s="11"/>
      <c r="T714" s="306"/>
      <c r="U714" s="97"/>
      <c r="V714" s="421"/>
      <c r="W714" s="304"/>
      <c r="X714" s="307"/>
      <c r="Z714" s="11"/>
      <c r="AA714" s="306"/>
      <c r="AB714" s="97"/>
      <c r="AC714" s="421"/>
      <c r="AD714" s="304"/>
      <c r="AE714" s="307"/>
      <c r="AG714" s="11"/>
      <c r="AH714" s="306"/>
      <c r="AI714" s="97"/>
      <c r="AJ714" s="421"/>
      <c r="AK714" s="304"/>
      <c r="AL714" s="307"/>
      <c r="AN714" s="304">
        <f>'codeis $'!AB714</f>
        <v>0</v>
      </c>
      <c r="AO714" s="340">
        <f>'codeis $'!AH714</f>
        <v>0</v>
      </c>
      <c r="AP714" s="304">
        <f>'codeis $'!AE714</f>
        <v>0</v>
      </c>
      <c r="AQ714" s="304">
        <f>'codeis $'!AK714</f>
        <v>0</v>
      </c>
      <c r="AR714" s="9"/>
      <c r="AS714" s="9"/>
      <c r="AT714" s="123"/>
      <c r="AU714" s="123"/>
      <c r="AV714" s="123"/>
      <c r="AW714" s="123"/>
      <c r="AX714" s="123"/>
      <c r="AY714" s="123"/>
      <c r="AZ714" s="123"/>
      <c r="BA714" s="123"/>
      <c r="BC714" s="122"/>
      <c r="BD714" s="122"/>
      <c r="BE714" s="122"/>
      <c r="BF714" s="122"/>
      <c r="BH714" s="122"/>
      <c r="BI714" s="122"/>
      <c r="BJ714" s="122"/>
      <c r="BK714" s="122"/>
      <c r="BM714" s="122"/>
      <c r="BN714" s="122"/>
      <c r="BO714" s="122"/>
      <c r="BP714" s="122"/>
      <c r="BR714" s="122"/>
      <c r="BS714" s="122"/>
      <c r="BT714" s="122"/>
      <c r="BU714" s="122"/>
      <c r="BV714" s="439"/>
      <c r="BW714" s="120">
        <f t="shared" si="1126"/>
        <v>1450000</v>
      </c>
      <c r="BX714" s="121">
        <f t="shared" si="1181"/>
        <v>3.5000000000000003E-2</v>
      </c>
      <c r="BY714" s="121">
        <f t="shared" si="1183"/>
        <v>3.15E-2</v>
      </c>
      <c r="BZ714" s="120">
        <f t="shared" si="1127"/>
        <v>126.875</v>
      </c>
      <c r="CA714" s="120">
        <f t="shared" si="1128"/>
        <v>0</v>
      </c>
    </row>
    <row r="715" spans="2:79" x14ac:dyDescent="0.25">
      <c r="B715" s="123" t="str">
        <f t="shared" si="1116"/>
        <v>12 2026</v>
      </c>
      <c r="C715" s="122">
        <f t="shared" si="1117"/>
        <v>46364</v>
      </c>
      <c r="D715" s="122">
        <f t="shared" si="1184"/>
        <v>46365</v>
      </c>
      <c r="E715" s="123">
        <f t="shared" si="1118"/>
        <v>1</v>
      </c>
      <c r="F715" s="123" t="s">
        <v>7</v>
      </c>
      <c r="G715" s="124">
        <f t="shared" ref="G715:H715" si="1205">G714</f>
        <v>1450000</v>
      </c>
      <c r="H715" s="125">
        <f t="shared" si="1205"/>
        <v>3.15E-2</v>
      </c>
      <c r="I715" s="124">
        <f t="shared" si="1120"/>
        <v>126.875</v>
      </c>
      <c r="J715" s="124">
        <f t="shared" si="1121"/>
        <v>42109.375</v>
      </c>
      <c r="K715" s="9"/>
      <c r="L715" s="11"/>
      <c r="M715" s="306"/>
      <c r="N715" s="97"/>
      <c r="O715" s="421"/>
      <c r="P715" s="304"/>
      <c r="Q715" s="307"/>
      <c r="S715" s="11"/>
      <c r="T715" s="306"/>
      <c r="U715" s="97"/>
      <c r="V715" s="421"/>
      <c r="W715" s="304"/>
      <c r="X715" s="307"/>
      <c r="Z715" s="11"/>
      <c r="AA715" s="306"/>
      <c r="AB715" s="97"/>
      <c r="AC715" s="421"/>
      <c r="AD715" s="304"/>
      <c r="AE715" s="307"/>
      <c r="AG715" s="11"/>
      <c r="AH715" s="306"/>
      <c r="AI715" s="97"/>
      <c r="AJ715" s="421"/>
      <c r="AK715" s="304"/>
      <c r="AL715" s="307"/>
      <c r="AN715" s="304">
        <f>'codeis $'!AB715</f>
        <v>0</v>
      </c>
      <c r="AO715" s="340">
        <f>'codeis $'!AH715</f>
        <v>0</v>
      </c>
      <c r="AP715" s="304">
        <f>'codeis $'!AE715</f>
        <v>0</v>
      </c>
      <c r="AQ715" s="304">
        <f>'codeis $'!AK715</f>
        <v>0</v>
      </c>
      <c r="AR715" s="9"/>
      <c r="AS715" s="9"/>
      <c r="AT715" s="123"/>
      <c r="AU715" s="123"/>
      <c r="AV715" s="123"/>
      <c r="AW715" s="123"/>
      <c r="AX715" s="123"/>
      <c r="AY715" s="123"/>
      <c r="AZ715" s="123"/>
      <c r="BA715" s="123"/>
      <c r="BC715" s="122"/>
      <c r="BD715" s="122"/>
      <c r="BE715" s="122"/>
      <c r="BF715" s="122"/>
      <c r="BH715" s="122"/>
      <c r="BI715" s="122"/>
      <c r="BJ715" s="122"/>
      <c r="BK715" s="122"/>
      <c r="BM715" s="122"/>
      <c r="BN715" s="122"/>
      <c r="BO715" s="122"/>
      <c r="BP715" s="122"/>
      <c r="BR715" s="122"/>
      <c r="BS715" s="122"/>
      <c r="BT715" s="122"/>
      <c r="BU715" s="122"/>
      <c r="BV715" s="439"/>
      <c r="BW715" s="120">
        <f t="shared" si="1126"/>
        <v>1450000</v>
      </c>
      <c r="BX715" s="121">
        <f t="shared" si="1181"/>
        <v>3.5000000000000003E-2</v>
      </c>
      <c r="BY715" s="121">
        <f t="shared" si="1183"/>
        <v>3.15E-2</v>
      </c>
      <c r="BZ715" s="120">
        <f t="shared" si="1127"/>
        <v>126.875</v>
      </c>
      <c r="CA715" s="120">
        <f t="shared" si="1128"/>
        <v>0</v>
      </c>
    </row>
    <row r="716" spans="2:79" x14ac:dyDescent="0.25">
      <c r="B716" s="123" t="str">
        <f t="shared" si="1116"/>
        <v>12 2026</v>
      </c>
      <c r="C716" s="122">
        <f t="shared" si="1117"/>
        <v>46365</v>
      </c>
      <c r="D716" s="122">
        <f t="shared" si="1184"/>
        <v>46366</v>
      </c>
      <c r="E716" s="123">
        <f t="shared" si="1118"/>
        <v>1</v>
      </c>
      <c r="F716" s="123" t="s">
        <v>7</v>
      </c>
      <c r="G716" s="124">
        <f t="shared" ref="G716:H716" si="1206">G715</f>
        <v>1450000</v>
      </c>
      <c r="H716" s="125">
        <f t="shared" si="1206"/>
        <v>3.15E-2</v>
      </c>
      <c r="I716" s="124">
        <f t="shared" si="1120"/>
        <v>126.875</v>
      </c>
      <c r="J716" s="124">
        <f t="shared" si="1121"/>
        <v>42236.25</v>
      </c>
      <c r="K716" s="9"/>
      <c r="L716" s="11"/>
      <c r="M716" s="306"/>
      <c r="N716" s="97"/>
      <c r="O716" s="421"/>
      <c r="P716" s="304"/>
      <c r="Q716" s="307"/>
      <c r="S716" s="11"/>
      <c r="T716" s="306"/>
      <c r="U716" s="97"/>
      <c r="V716" s="421"/>
      <c r="W716" s="304"/>
      <c r="X716" s="307"/>
      <c r="Z716" s="11"/>
      <c r="AA716" s="306"/>
      <c r="AB716" s="97"/>
      <c r="AC716" s="421"/>
      <c r="AD716" s="304"/>
      <c r="AE716" s="307"/>
      <c r="AG716" s="11"/>
      <c r="AH716" s="306"/>
      <c r="AI716" s="97"/>
      <c r="AJ716" s="421"/>
      <c r="AK716" s="304"/>
      <c r="AL716" s="307"/>
      <c r="AN716" s="304">
        <f>'codeis $'!AB716</f>
        <v>0</v>
      </c>
      <c r="AO716" s="340">
        <f>'codeis $'!AH716</f>
        <v>0</v>
      </c>
      <c r="AP716" s="304">
        <f>'codeis $'!AE716</f>
        <v>0</v>
      </c>
      <c r="AQ716" s="304">
        <f>'codeis $'!AK716</f>
        <v>0</v>
      </c>
      <c r="AR716" s="9"/>
      <c r="AS716" s="9"/>
      <c r="AT716" s="123"/>
      <c r="AU716" s="123"/>
      <c r="AV716" s="123"/>
      <c r="AW716" s="123"/>
      <c r="AX716" s="123"/>
      <c r="AY716" s="123"/>
      <c r="AZ716" s="123"/>
      <c r="BA716" s="123"/>
      <c r="BC716" s="122"/>
      <c r="BD716" s="122"/>
      <c r="BE716" s="122"/>
      <c r="BF716" s="122"/>
      <c r="BH716" s="122"/>
      <c r="BI716" s="122"/>
      <c r="BJ716" s="122"/>
      <c r="BK716" s="122"/>
      <c r="BM716" s="122"/>
      <c r="BN716" s="122"/>
      <c r="BO716" s="122"/>
      <c r="BP716" s="122"/>
      <c r="BR716" s="122"/>
      <c r="BS716" s="122"/>
      <c r="BT716" s="122"/>
      <c r="BU716" s="122"/>
      <c r="BV716" s="439"/>
      <c r="BW716" s="120">
        <f t="shared" si="1126"/>
        <v>1450000</v>
      </c>
      <c r="BX716" s="121">
        <f t="shared" si="1181"/>
        <v>3.5000000000000003E-2</v>
      </c>
      <c r="BY716" s="121">
        <f t="shared" si="1183"/>
        <v>3.15E-2</v>
      </c>
      <c r="BZ716" s="120">
        <f t="shared" si="1127"/>
        <v>126.875</v>
      </c>
      <c r="CA716" s="120">
        <f t="shared" si="1128"/>
        <v>0</v>
      </c>
    </row>
    <row r="717" spans="2:79" x14ac:dyDescent="0.25">
      <c r="B717" s="123" t="str">
        <f t="shared" si="1116"/>
        <v>12 2026</v>
      </c>
      <c r="C717" s="122">
        <f t="shared" si="1117"/>
        <v>46366</v>
      </c>
      <c r="D717" s="122">
        <f t="shared" si="1184"/>
        <v>46367</v>
      </c>
      <c r="E717" s="123">
        <f t="shared" si="1118"/>
        <v>1</v>
      </c>
      <c r="F717" s="123" t="s">
        <v>7</v>
      </c>
      <c r="G717" s="124">
        <f t="shared" ref="G717:H717" si="1207">G716</f>
        <v>1450000</v>
      </c>
      <c r="H717" s="125">
        <f t="shared" si="1207"/>
        <v>3.15E-2</v>
      </c>
      <c r="I717" s="124">
        <f t="shared" si="1120"/>
        <v>126.875</v>
      </c>
      <c r="J717" s="124">
        <f t="shared" si="1121"/>
        <v>42363.125</v>
      </c>
      <c r="K717" s="9"/>
      <c r="L717" s="11"/>
      <c r="M717" s="306"/>
      <c r="N717" s="97"/>
      <c r="O717" s="421"/>
      <c r="P717" s="304"/>
      <c r="Q717" s="307"/>
      <c r="S717" s="11"/>
      <c r="T717" s="306"/>
      <c r="U717" s="97"/>
      <c r="V717" s="421"/>
      <c r="W717" s="304"/>
      <c r="X717" s="307"/>
      <c r="Z717" s="11"/>
      <c r="AA717" s="306"/>
      <c r="AB717" s="97"/>
      <c r="AC717" s="421"/>
      <c r="AD717" s="304"/>
      <c r="AE717" s="307"/>
      <c r="AG717" s="11"/>
      <c r="AH717" s="306"/>
      <c r="AI717" s="97"/>
      <c r="AJ717" s="421"/>
      <c r="AK717" s="304"/>
      <c r="AL717" s="307"/>
      <c r="AN717" s="304">
        <f>'codeis $'!AB717</f>
        <v>0</v>
      </c>
      <c r="AO717" s="340">
        <f>'codeis $'!AH717</f>
        <v>0</v>
      </c>
      <c r="AP717" s="304">
        <f>'codeis $'!AE717</f>
        <v>0</v>
      </c>
      <c r="AQ717" s="304">
        <f>'codeis $'!AK717</f>
        <v>0</v>
      </c>
      <c r="AR717" s="9"/>
      <c r="AS717" s="9"/>
      <c r="AT717" s="123"/>
      <c r="AU717" s="123"/>
      <c r="AV717" s="123"/>
      <c r="AW717" s="123"/>
      <c r="AX717" s="123"/>
      <c r="AY717" s="123"/>
      <c r="AZ717" s="123"/>
      <c r="BA717" s="123"/>
      <c r="BC717" s="122"/>
      <c r="BD717" s="122"/>
      <c r="BE717" s="122"/>
      <c r="BF717" s="122"/>
      <c r="BH717" s="122"/>
      <c r="BI717" s="122"/>
      <c r="BJ717" s="122"/>
      <c r="BK717" s="122"/>
      <c r="BM717" s="122"/>
      <c r="BN717" s="122"/>
      <c r="BO717" s="122"/>
      <c r="BP717" s="122"/>
      <c r="BR717" s="122"/>
      <c r="BS717" s="122"/>
      <c r="BT717" s="122"/>
      <c r="BU717" s="122"/>
      <c r="BV717" s="439"/>
      <c r="BW717" s="120">
        <f t="shared" si="1126"/>
        <v>1450000</v>
      </c>
      <c r="BX717" s="121">
        <f t="shared" si="1181"/>
        <v>3.5000000000000003E-2</v>
      </c>
      <c r="BY717" s="121">
        <f t="shared" si="1183"/>
        <v>3.15E-2</v>
      </c>
      <c r="BZ717" s="120">
        <f t="shared" si="1127"/>
        <v>126.875</v>
      </c>
      <c r="CA717" s="120">
        <f t="shared" si="1128"/>
        <v>0</v>
      </c>
    </row>
    <row r="718" spans="2:79" x14ac:dyDescent="0.25">
      <c r="B718" s="123" t="str">
        <f t="shared" si="1116"/>
        <v>12 2026</v>
      </c>
      <c r="C718" s="122">
        <f t="shared" si="1117"/>
        <v>46367</v>
      </c>
      <c r="D718" s="122">
        <f t="shared" si="1184"/>
        <v>46368</v>
      </c>
      <c r="E718" s="123">
        <f t="shared" si="1118"/>
        <v>1</v>
      </c>
      <c r="F718" s="123" t="s">
        <v>7</v>
      </c>
      <c r="G718" s="124">
        <f t="shared" ref="G718:H718" si="1208">G717</f>
        <v>1450000</v>
      </c>
      <c r="H718" s="125">
        <f t="shared" si="1208"/>
        <v>3.15E-2</v>
      </c>
      <c r="I718" s="124">
        <f t="shared" si="1120"/>
        <v>126.875</v>
      </c>
      <c r="J718" s="124">
        <f t="shared" si="1121"/>
        <v>42490</v>
      </c>
      <c r="K718" s="9"/>
      <c r="L718" s="11"/>
      <c r="M718" s="306"/>
      <c r="N718" s="97"/>
      <c r="O718" s="421"/>
      <c r="P718" s="304"/>
      <c r="Q718" s="307"/>
      <c r="S718" s="11"/>
      <c r="T718" s="306"/>
      <c r="U718" s="97"/>
      <c r="V718" s="421"/>
      <c r="W718" s="304"/>
      <c r="X718" s="307"/>
      <c r="Z718" s="11"/>
      <c r="AA718" s="306"/>
      <c r="AB718" s="97"/>
      <c r="AC718" s="421"/>
      <c r="AD718" s="304"/>
      <c r="AE718" s="307"/>
      <c r="AG718" s="11"/>
      <c r="AH718" s="306"/>
      <c r="AI718" s="97"/>
      <c r="AJ718" s="421"/>
      <c r="AK718" s="304"/>
      <c r="AL718" s="307"/>
      <c r="AN718" s="304">
        <f>'codeis $'!AB718</f>
        <v>0</v>
      </c>
      <c r="AO718" s="340">
        <f>'codeis $'!AH718</f>
        <v>0</v>
      </c>
      <c r="AP718" s="304">
        <f>'codeis $'!AE718</f>
        <v>0</v>
      </c>
      <c r="AQ718" s="304">
        <f>'codeis $'!AK718</f>
        <v>0</v>
      </c>
      <c r="AR718" s="9"/>
      <c r="AS718" s="9"/>
      <c r="AT718" s="123"/>
      <c r="AU718" s="123"/>
      <c r="AV718" s="123"/>
      <c r="AW718" s="123"/>
      <c r="AX718" s="123"/>
      <c r="AY718" s="123"/>
      <c r="AZ718" s="123"/>
      <c r="BA718" s="123"/>
      <c r="BC718" s="122"/>
      <c r="BD718" s="122"/>
      <c r="BE718" s="122"/>
      <c r="BF718" s="122"/>
      <c r="BH718" s="122"/>
      <c r="BI718" s="122"/>
      <c r="BJ718" s="122"/>
      <c r="BK718" s="122"/>
      <c r="BM718" s="122"/>
      <c r="BN718" s="122"/>
      <c r="BO718" s="122"/>
      <c r="BP718" s="122"/>
      <c r="BR718" s="122"/>
      <c r="BS718" s="122"/>
      <c r="BT718" s="122"/>
      <c r="BU718" s="122"/>
      <c r="BV718" s="439"/>
      <c r="BW718" s="120">
        <f t="shared" si="1126"/>
        <v>1450000</v>
      </c>
      <c r="BX718" s="121">
        <f t="shared" si="1181"/>
        <v>3.5000000000000003E-2</v>
      </c>
      <c r="BY718" s="121">
        <f t="shared" si="1183"/>
        <v>3.15E-2</v>
      </c>
      <c r="BZ718" s="120">
        <f t="shared" si="1127"/>
        <v>126.875</v>
      </c>
      <c r="CA718" s="120">
        <f t="shared" si="1128"/>
        <v>0</v>
      </c>
    </row>
    <row r="719" spans="2:79" x14ac:dyDescent="0.25">
      <c r="B719" s="123" t="str">
        <f t="shared" si="1116"/>
        <v>12 2026</v>
      </c>
      <c r="C719" s="122">
        <f t="shared" si="1117"/>
        <v>46368</v>
      </c>
      <c r="D719" s="122">
        <f t="shared" si="1184"/>
        <v>46369</v>
      </c>
      <c r="E719" s="123">
        <f t="shared" si="1118"/>
        <v>1</v>
      </c>
      <c r="F719" s="123" t="s">
        <v>7</v>
      </c>
      <c r="G719" s="124">
        <f t="shared" ref="G719:H719" si="1209">G718</f>
        <v>1450000</v>
      </c>
      <c r="H719" s="125">
        <f t="shared" si="1209"/>
        <v>3.15E-2</v>
      </c>
      <c r="I719" s="124">
        <f t="shared" si="1120"/>
        <v>126.875</v>
      </c>
      <c r="J719" s="124">
        <f t="shared" si="1121"/>
        <v>42616.875</v>
      </c>
      <c r="K719" s="9"/>
      <c r="L719" s="11"/>
      <c r="M719" s="306"/>
      <c r="N719" s="97"/>
      <c r="O719" s="421"/>
      <c r="P719" s="304"/>
      <c r="Q719" s="307"/>
      <c r="S719" s="11"/>
      <c r="T719" s="306"/>
      <c r="U719" s="97"/>
      <c r="V719" s="421"/>
      <c r="W719" s="304"/>
      <c r="X719" s="307"/>
      <c r="Z719" s="11"/>
      <c r="AA719" s="306"/>
      <c r="AB719" s="97"/>
      <c r="AC719" s="421"/>
      <c r="AD719" s="304"/>
      <c r="AE719" s="307"/>
      <c r="AG719" s="11"/>
      <c r="AH719" s="306"/>
      <c r="AI719" s="97"/>
      <c r="AJ719" s="421"/>
      <c r="AK719" s="304"/>
      <c r="AL719" s="307"/>
      <c r="AN719" s="304">
        <f>'codeis $'!AB719</f>
        <v>0</v>
      </c>
      <c r="AO719" s="340">
        <f>'codeis $'!AH719</f>
        <v>0</v>
      </c>
      <c r="AP719" s="304">
        <f>'codeis $'!AE719</f>
        <v>0</v>
      </c>
      <c r="AQ719" s="304">
        <f>'codeis $'!AK719</f>
        <v>0</v>
      </c>
      <c r="AR719" s="9"/>
      <c r="AS719" s="9"/>
      <c r="AT719" s="123"/>
      <c r="AU719" s="123"/>
      <c r="AV719" s="123"/>
      <c r="AW719" s="123"/>
      <c r="AX719" s="123"/>
      <c r="AY719" s="123"/>
      <c r="AZ719" s="123"/>
      <c r="BA719" s="123"/>
      <c r="BC719" s="122"/>
      <c r="BD719" s="122"/>
      <c r="BE719" s="122"/>
      <c r="BF719" s="122"/>
      <c r="BH719" s="122"/>
      <c r="BI719" s="122"/>
      <c r="BJ719" s="122"/>
      <c r="BK719" s="122"/>
      <c r="BM719" s="122"/>
      <c r="BN719" s="122"/>
      <c r="BO719" s="122"/>
      <c r="BP719" s="122"/>
      <c r="BR719" s="122"/>
      <c r="BS719" s="122"/>
      <c r="BT719" s="122"/>
      <c r="BU719" s="122"/>
      <c r="BV719" s="439"/>
      <c r="BW719" s="120">
        <f t="shared" si="1126"/>
        <v>1450000</v>
      </c>
      <c r="BX719" s="121">
        <f t="shared" si="1181"/>
        <v>3.5000000000000003E-2</v>
      </c>
      <c r="BY719" s="121">
        <f t="shared" si="1183"/>
        <v>3.15E-2</v>
      </c>
      <c r="BZ719" s="120">
        <f t="shared" si="1127"/>
        <v>126.875</v>
      </c>
      <c r="CA719" s="120">
        <f t="shared" si="1128"/>
        <v>0</v>
      </c>
    </row>
    <row r="720" spans="2:79" x14ac:dyDescent="0.25">
      <c r="B720" s="123" t="str">
        <f t="shared" si="1116"/>
        <v>12 2026</v>
      </c>
      <c r="C720" s="122">
        <f t="shared" si="1117"/>
        <v>46369</v>
      </c>
      <c r="D720" s="122">
        <f t="shared" si="1184"/>
        <v>46370</v>
      </c>
      <c r="E720" s="123">
        <f t="shared" si="1118"/>
        <v>1</v>
      </c>
      <c r="F720" s="123" t="s">
        <v>7</v>
      </c>
      <c r="G720" s="124">
        <f t="shared" ref="G720:H720" si="1210">G719</f>
        <v>1450000</v>
      </c>
      <c r="H720" s="125">
        <f t="shared" si="1210"/>
        <v>3.15E-2</v>
      </c>
      <c r="I720" s="124">
        <f t="shared" si="1120"/>
        <v>126.875</v>
      </c>
      <c r="J720" s="124">
        <f t="shared" si="1121"/>
        <v>42743.75</v>
      </c>
      <c r="K720" s="9"/>
      <c r="L720" s="11"/>
      <c r="M720" s="306"/>
      <c r="N720" s="97"/>
      <c r="O720" s="421"/>
      <c r="P720" s="304"/>
      <c r="Q720" s="307"/>
      <c r="S720" s="11"/>
      <c r="T720" s="306"/>
      <c r="U720" s="97"/>
      <c r="V720" s="421"/>
      <c r="W720" s="304"/>
      <c r="X720" s="307"/>
      <c r="Z720" s="11"/>
      <c r="AA720" s="306"/>
      <c r="AB720" s="97"/>
      <c r="AC720" s="421"/>
      <c r="AD720" s="304"/>
      <c r="AE720" s="307"/>
      <c r="AG720" s="11"/>
      <c r="AH720" s="306"/>
      <c r="AI720" s="97"/>
      <c r="AJ720" s="421"/>
      <c r="AK720" s="304"/>
      <c r="AL720" s="307"/>
      <c r="AN720" s="304">
        <f>'codeis $'!AB720</f>
        <v>0</v>
      </c>
      <c r="AO720" s="340">
        <f>'codeis $'!AH720</f>
        <v>0</v>
      </c>
      <c r="AP720" s="304">
        <f>'codeis $'!AE720</f>
        <v>0</v>
      </c>
      <c r="AQ720" s="304">
        <f>'codeis $'!AK720</f>
        <v>0</v>
      </c>
      <c r="AR720" s="9"/>
      <c r="AS720" s="9"/>
      <c r="AT720" s="123"/>
      <c r="AU720" s="123"/>
      <c r="AV720" s="123"/>
      <c r="AW720" s="123"/>
      <c r="AX720" s="123"/>
      <c r="AY720" s="123"/>
      <c r="AZ720" s="123"/>
      <c r="BA720" s="123"/>
      <c r="BC720" s="122"/>
      <c r="BD720" s="122"/>
      <c r="BE720" s="122"/>
      <c r="BF720" s="122"/>
      <c r="BH720" s="122"/>
      <c r="BI720" s="122"/>
      <c r="BJ720" s="122"/>
      <c r="BK720" s="122"/>
      <c r="BM720" s="122"/>
      <c r="BN720" s="122"/>
      <c r="BO720" s="122"/>
      <c r="BP720" s="122"/>
      <c r="BR720" s="122"/>
      <c r="BS720" s="122"/>
      <c r="BT720" s="122"/>
      <c r="BU720" s="122"/>
      <c r="BV720" s="439"/>
      <c r="BW720" s="120">
        <f t="shared" si="1126"/>
        <v>1450000</v>
      </c>
      <c r="BX720" s="121">
        <f t="shared" si="1181"/>
        <v>3.5000000000000003E-2</v>
      </c>
      <c r="BY720" s="121">
        <f t="shared" si="1183"/>
        <v>3.15E-2</v>
      </c>
      <c r="BZ720" s="120">
        <f t="shared" si="1127"/>
        <v>126.875</v>
      </c>
      <c r="CA720" s="120">
        <f t="shared" si="1128"/>
        <v>0</v>
      </c>
    </row>
    <row r="721" spans="2:79" x14ac:dyDescent="0.25">
      <c r="B721" s="123" t="str">
        <f t="shared" si="1116"/>
        <v>12 2026</v>
      </c>
      <c r="C721" s="122">
        <f t="shared" si="1117"/>
        <v>46370</v>
      </c>
      <c r="D721" s="122">
        <f t="shared" si="1184"/>
        <v>46371</v>
      </c>
      <c r="E721" s="123">
        <f t="shared" si="1118"/>
        <v>1</v>
      </c>
      <c r="F721" s="123" t="s">
        <v>7</v>
      </c>
      <c r="G721" s="124">
        <f t="shared" ref="G721:H721" si="1211">G720</f>
        <v>1450000</v>
      </c>
      <c r="H721" s="125">
        <f t="shared" si="1211"/>
        <v>3.15E-2</v>
      </c>
      <c r="I721" s="124">
        <f t="shared" si="1120"/>
        <v>126.875</v>
      </c>
      <c r="J721" s="124">
        <f t="shared" si="1121"/>
        <v>42870.625</v>
      </c>
      <c r="K721" s="9"/>
      <c r="L721" s="11"/>
      <c r="M721" s="306"/>
      <c r="N721" s="97"/>
      <c r="O721" s="421"/>
      <c r="P721" s="304"/>
      <c r="Q721" s="307"/>
      <c r="S721" s="11"/>
      <c r="T721" s="306"/>
      <c r="U721" s="97"/>
      <c r="V721" s="421"/>
      <c r="W721" s="304"/>
      <c r="X721" s="307"/>
      <c r="Z721" s="11"/>
      <c r="AA721" s="306"/>
      <c r="AB721" s="97"/>
      <c r="AC721" s="421"/>
      <c r="AD721" s="304"/>
      <c r="AE721" s="307"/>
      <c r="AG721" s="11"/>
      <c r="AH721" s="306"/>
      <c r="AI721" s="97"/>
      <c r="AJ721" s="421"/>
      <c r="AK721" s="304"/>
      <c r="AL721" s="307"/>
      <c r="AN721" s="304">
        <f>'codeis $'!AB721</f>
        <v>0</v>
      </c>
      <c r="AO721" s="340">
        <f>'codeis $'!AH721</f>
        <v>0</v>
      </c>
      <c r="AP721" s="304">
        <f>'codeis $'!AE721</f>
        <v>0</v>
      </c>
      <c r="AQ721" s="304">
        <f>'codeis $'!AK721</f>
        <v>0</v>
      </c>
      <c r="AR721" s="9"/>
      <c r="AS721" s="9"/>
      <c r="AT721" s="123"/>
      <c r="AU721" s="123"/>
      <c r="AV721" s="123"/>
      <c r="AW721" s="123"/>
      <c r="AX721" s="123"/>
      <c r="AY721" s="123"/>
      <c r="AZ721" s="123"/>
      <c r="BA721" s="123"/>
      <c r="BC721" s="122"/>
      <c r="BD721" s="122"/>
      <c r="BE721" s="122"/>
      <c r="BF721" s="122"/>
      <c r="BH721" s="122"/>
      <c r="BI721" s="122"/>
      <c r="BJ721" s="122"/>
      <c r="BK721" s="122"/>
      <c r="BM721" s="122"/>
      <c r="BN721" s="122"/>
      <c r="BO721" s="122"/>
      <c r="BP721" s="122"/>
      <c r="BR721" s="122"/>
      <c r="BS721" s="122"/>
      <c r="BT721" s="122"/>
      <c r="BU721" s="122"/>
      <c r="BV721" s="439"/>
      <c r="BW721" s="120">
        <f t="shared" si="1126"/>
        <v>1450000</v>
      </c>
      <c r="BX721" s="121">
        <f t="shared" si="1181"/>
        <v>3.5000000000000003E-2</v>
      </c>
      <c r="BY721" s="121">
        <f t="shared" si="1183"/>
        <v>3.15E-2</v>
      </c>
      <c r="BZ721" s="120">
        <f t="shared" si="1127"/>
        <v>126.875</v>
      </c>
      <c r="CA721" s="120">
        <f t="shared" si="1128"/>
        <v>0</v>
      </c>
    </row>
    <row r="722" spans="2:79" x14ac:dyDescent="0.25">
      <c r="B722" s="123" t="str">
        <f t="shared" si="1116"/>
        <v>12 2026</v>
      </c>
      <c r="C722" s="122">
        <f t="shared" si="1117"/>
        <v>46371</v>
      </c>
      <c r="D722" s="122">
        <f t="shared" si="1184"/>
        <v>46372</v>
      </c>
      <c r="E722" s="123">
        <f t="shared" si="1118"/>
        <v>1</v>
      </c>
      <c r="F722" s="123" t="s">
        <v>7</v>
      </c>
      <c r="G722" s="124">
        <f t="shared" ref="G722:H722" si="1212">G721</f>
        <v>1450000</v>
      </c>
      <c r="H722" s="125">
        <f t="shared" si="1212"/>
        <v>3.15E-2</v>
      </c>
      <c r="I722" s="124">
        <f t="shared" si="1120"/>
        <v>126.875</v>
      </c>
      <c r="J722" s="124">
        <f t="shared" si="1121"/>
        <v>42997.5</v>
      </c>
      <c r="K722" s="9"/>
      <c r="L722" s="11"/>
      <c r="M722" s="306"/>
      <c r="N722" s="97"/>
      <c r="O722" s="421"/>
      <c r="P722" s="304"/>
      <c r="Q722" s="307"/>
      <c r="S722" s="11"/>
      <c r="T722" s="306"/>
      <c r="U722" s="97"/>
      <c r="V722" s="421"/>
      <c r="W722" s="304"/>
      <c r="X722" s="307"/>
      <c r="Z722" s="11"/>
      <c r="AA722" s="306"/>
      <c r="AB722" s="97"/>
      <c r="AC722" s="421"/>
      <c r="AD722" s="304"/>
      <c r="AE722" s="307"/>
      <c r="AG722" s="11"/>
      <c r="AH722" s="306"/>
      <c r="AI722" s="97"/>
      <c r="AJ722" s="421"/>
      <c r="AK722" s="304"/>
      <c r="AL722" s="307"/>
      <c r="AN722" s="304">
        <f>'codeis $'!AB722</f>
        <v>0</v>
      </c>
      <c r="AO722" s="340">
        <f>'codeis $'!AH722</f>
        <v>0</v>
      </c>
      <c r="AP722" s="304">
        <f>'codeis $'!AE722</f>
        <v>0</v>
      </c>
      <c r="AQ722" s="304">
        <f>'codeis $'!AK722</f>
        <v>0</v>
      </c>
      <c r="AR722" s="9"/>
      <c r="AS722" s="9"/>
      <c r="AT722" s="123"/>
      <c r="AU722" s="123"/>
      <c r="AV722" s="123"/>
      <c r="AW722" s="123"/>
      <c r="AX722" s="123"/>
      <c r="AY722" s="123"/>
      <c r="AZ722" s="123"/>
      <c r="BA722" s="123"/>
      <c r="BC722" s="122"/>
      <c r="BD722" s="122"/>
      <c r="BE722" s="122"/>
      <c r="BF722" s="122"/>
      <c r="BH722" s="122"/>
      <c r="BI722" s="122"/>
      <c r="BJ722" s="122"/>
      <c r="BK722" s="122"/>
      <c r="BM722" s="122"/>
      <c r="BN722" s="122"/>
      <c r="BO722" s="122"/>
      <c r="BP722" s="122"/>
      <c r="BR722" s="122"/>
      <c r="BS722" s="122"/>
      <c r="BT722" s="122"/>
      <c r="BU722" s="122"/>
      <c r="BV722" s="439"/>
      <c r="BW722" s="120">
        <f t="shared" si="1126"/>
        <v>1450000</v>
      </c>
      <c r="BX722" s="121">
        <f t="shared" si="1181"/>
        <v>3.5000000000000003E-2</v>
      </c>
      <c r="BY722" s="121">
        <f t="shared" si="1183"/>
        <v>3.15E-2</v>
      </c>
      <c r="BZ722" s="120">
        <f t="shared" si="1127"/>
        <v>126.875</v>
      </c>
      <c r="CA722" s="120">
        <f t="shared" si="1128"/>
        <v>0</v>
      </c>
    </row>
    <row r="723" spans="2:79" x14ac:dyDescent="0.25">
      <c r="B723" s="123" t="str">
        <f t="shared" si="1116"/>
        <v>12 2026</v>
      </c>
      <c r="C723" s="122">
        <f t="shared" si="1117"/>
        <v>46372</v>
      </c>
      <c r="D723" s="122">
        <f t="shared" si="1184"/>
        <v>46373</v>
      </c>
      <c r="E723" s="123">
        <f t="shared" si="1118"/>
        <v>1</v>
      </c>
      <c r="F723" s="123" t="s">
        <v>7</v>
      </c>
      <c r="G723" s="124">
        <f t="shared" ref="G723:H723" si="1213">G722</f>
        <v>1450000</v>
      </c>
      <c r="H723" s="125">
        <f t="shared" si="1213"/>
        <v>3.15E-2</v>
      </c>
      <c r="I723" s="124">
        <f t="shared" si="1120"/>
        <v>126.875</v>
      </c>
      <c r="J723" s="124">
        <f t="shared" si="1121"/>
        <v>43124.375</v>
      </c>
      <c r="K723" s="9"/>
      <c r="L723" s="11"/>
      <c r="M723" s="306"/>
      <c r="N723" s="97"/>
      <c r="O723" s="421"/>
      <c r="P723" s="304"/>
      <c r="Q723" s="307"/>
      <c r="S723" s="11"/>
      <c r="T723" s="306"/>
      <c r="U723" s="97"/>
      <c r="V723" s="421"/>
      <c r="W723" s="304"/>
      <c r="X723" s="307"/>
      <c r="Z723" s="11"/>
      <c r="AA723" s="306"/>
      <c r="AB723" s="97"/>
      <c r="AC723" s="421"/>
      <c r="AD723" s="304"/>
      <c r="AE723" s="307"/>
      <c r="AG723" s="11"/>
      <c r="AH723" s="306"/>
      <c r="AI723" s="97"/>
      <c r="AJ723" s="421"/>
      <c r="AK723" s="304"/>
      <c r="AL723" s="307"/>
      <c r="AN723" s="304">
        <f>'codeis $'!AB723</f>
        <v>0</v>
      </c>
      <c r="AO723" s="340">
        <f>'codeis $'!AH723</f>
        <v>0</v>
      </c>
      <c r="AP723" s="304">
        <f>'codeis $'!AE723</f>
        <v>0</v>
      </c>
      <c r="AQ723" s="304">
        <f>'codeis $'!AK723</f>
        <v>0</v>
      </c>
      <c r="AR723" s="9"/>
      <c r="AS723" s="9"/>
      <c r="AT723" s="123"/>
      <c r="AU723" s="123"/>
      <c r="AV723" s="123"/>
      <c r="AW723" s="123"/>
      <c r="AX723" s="123"/>
      <c r="AY723" s="123"/>
      <c r="AZ723" s="123"/>
      <c r="BA723" s="123"/>
      <c r="BC723" s="122"/>
      <c r="BD723" s="122"/>
      <c r="BE723" s="122"/>
      <c r="BF723" s="122"/>
      <c r="BH723" s="122"/>
      <c r="BI723" s="122"/>
      <c r="BJ723" s="122"/>
      <c r="BK723" s="122"/>
      <c r="BM723" s="122"/>
      <c r="BN723" s="122"/>
      <c r="BO723" s="122"/>
      <c r="BP723" s="122"/>
      <c r="BR723" s="122"/>
      <c r="BS723" s="122"/>
      <c r="BT723" s="122"/>
      <c r="BU723" s="122"/>
      <c r="BV723" s="439"/>
      <c r="BW723" s="120">
        <f t="shared" si="1126"/>
        <v>1450000</v>
      </c>
      <c r="BX723" s="121">
        <f t="shared" si="1181"/>
        <v>3.5000000000000003E-2</v>
      </c>
      <c r="BY723" s="121">
        <f t="shared" si="1183"/>
        <v>3.15E-2</v>
      </c>
      <c r="BZ723" s="120">
        <f t="shared" si="1127"/>
        <v>126.875</v>
      </c>
      <c r="CA723" s="120">
        <f t="shared" si="1128"/>
        <v>0</v>
      </c>
    </row>
    <row r="724" spans="2:79" x14ac:dyDescent="0.25">
      <c r="B724" s="123" t="str">
        <f t="shared" si="1116"/>
        <v>12 2026</v>
      </c>
      <c r="C724" s="122">
        <f t="shared" si="1117"/>
        <v>46373</v>
      </c>
      <c r="D724" s="122">
        <f t="shared" si="1184"/>
        <v>46374</v>
      </c>
      <c r="E724" s="123">
        <f t="shared" si="1118"/>
        <v>1</v>
      </c>
      <c r="F724" s="123" t="s">
        <v>7</v>
      </c>
      <c r="G724" s="124">
        <f t="shared" ref="G724:H724" si="1214">G723</f>
        <v>1450000</v>
      </c>
      <c r="H724" s="125">
        <f t="shared" si="1214"/>
        <v>3.15E-2</v>
      </c>
      <c r="I724" s="124">
        <f t="shared" si="1120"/>
        <v>126.875</v>
      </c>
      <c r="J724" s="124">
        <f t="shared" si="1121"/>
        <v>43251.25</v>
      </c>
      <c r="K724" s="9"/>
      <c r="L724" s="11"/>
      <c r="M724" s="306"/>
      <c r="N724" s="97"/>
      <c r="O724" s="421"/>
      <c r="P724" s="304"/>
      <c r="Q724" s="307"/>
      <c r="S724" s="11"/>
      <c r="T724" s="306"/>
      <c r="U724" s="97"/>
      <c r="V724" s="421"/>
      <c r="W724" s="304"/>
      <c r="X724" s="307"/>
      <c r="Z724" s="11"/>
      <c r="AA724" s="306"/>
      <c r="AB724" s="97"/>
      <c r="AC724" s="421"/>
      <c r="AD724" s="304"/>
      <c r="AE724" s="307"/>
      <c r="AG724" s="11"/>
      <c r="AH724" s="306"/>
      <c r="AI724" s="97"/>
      <c r="AJ724" s="421"/>
      <c r="AK724" s="304"/>
      <c r="AL724" s="307"/>
      <c r="AN724" s="304">
        <f>'codeis $'!AB724</f>
        <v>0</v>
      </c>
      <c r="AO724" s="340">
        <f>'codeis $'!AH724</f>
        <v>0</v>
      </c>
      <c r="AP724" s="304">
        <f>'codeis $'!AE724</f>
        <v>0</v>
      </c>
      <c r="AQ724" s="304">
        <f>'codeis $'!AK724</f>
        <v>0</v>
      </c>
      <c r="AR724" s="9"/>
      <c r="AS724" s="9"/>
      <c r="AT724" s="123"/>
      <c r="AU724" s="123"/>
      <c r="AV724" s="123"/>
      <c r="AW724" s="123"/>
      <c r="AX724" s="123"/>
      <c r="AY724" s="123"/>
      <c r="AZ724" s="123"/>
      <c r="BA724" s="123"/>
      <c r="BC724" s="122"/>
      <c r="BD724" s="122"/>
      <c r="BE724" s="122"/>
      <c r="BF724" s="122"/>
      <c r="BH724" s="122"/>
      <c r="BI724" s="122"/>
      <c r="BJ724" s="122"/>
      <c r="BK724" s="122"/>
      <c r="BM724" s="122"/>
      <c r="BN724" s="122"/>
      <c r="BO724" s="122"/>
      <c r="BP724" s="122"/>
      <c r="BR724" s="122"/>
      <c r="BS724" s="122"/>
      <c r="BT724" s="122"/>
      <c r="BU724" s="122"/>
      <c r="BV724" s="439"/>
      <c r="BW724" s="120">
        <f t="shared" si="1126"/>
        <v>1450000</v>
      </c>
      <c r="BX724" s="121">
        <f t="shared" si="1181"/>
        <v>3.5000000000000003E-2</v>
      </c>
      <c r="BY724" s="121">
        <f t="shared" si="1183"/>
        <v>3.15E-2</v>
      </c>
      <c r="BZ724" s="120">
        <f t="shared" si="1127"/>
        <v>126.875</v>
      </c>
      <c r="CA724" s="120">
        <f t="shared" si="1128"/>
        <v>0</v>
      </c>
    </row>
    <row r="725" spans="2:79" x14ac:dyDescent="0.25">
      <c r="B725" s="123" t="str">
        <f t="shared" ref="B725:B753" si="1215">CONCATENATE(MONTH(D725)," ",YEAR(D725))</f>
        <v>12 2026</v>
      </c>
      <c r="C725" s="122">
        <f t="shared" ref="C725:C753" si="1216">D724</f>
        <v>46374</v>
      </c>
      <c r="D725" s="122">
        <f t="shared" si="1184"/>
        <v>46375</v>
      </c>
      <c r="E725" s="123">
        <f t="shared" ref="E725:E753" si="1217">D725-C725</f>
        <v>1</v>
      </c>
      <c r="F725" s="123" t="s">
        <v>7</v>
      </c>
      <c r="G725" s="124">
        <f t="shared" ref="G725:H725" si="1218">G724</f>
        <v>1450000</v>
      </c>
      <c r="H725" s="125">
        <f t="shared" si="1218"/>
        <v>3.15E-2</v>
      </c>
      <c r="I725" s="124">
        <f t="shared" ref="I725:I753" si="1219">G725*H725*E725/360</f>
        <v>126.875</v>
      </c>
      <c r="J725" s="124">
        <f t="shared" ref="J725:J753" si="1220">J724+I725</f>
        <v>43378.125</v>
      </c>
      <c r="K725" s="9"/>
      <c r="L725" s="11"/>
      <c r="M725" s="306"/>
      <c r="N725" s="97"/>
      <c r="O725" s="421"/>
      <c r="P725" s="304"/>
      <c r="Q725" s="307"/>
      <c r="S725" s="11"/>
      <c r="T725" s="306"/>
      <c r="U725" s="97"/>
      <c r="V725" s="421"/>
      <c r="W725" s="304"/>
      <c r="X725" s="307"/>
      <c r="Z725" s="11"/>
      <c r="AA725" s="306"/>
      <c r="AB725" s="97"/>
      <c r="AC725" s="421"/>
      <c r="AD725" s="304"/>
      <c r="AE725" s="307"/>
      <c r="AG725" s="11"/>
      <c r="AH725" s="306"/>
      <c r="AI725" s="97"/>
      <c r="AJ725" s="421"/>
      <c r="AK725" s="304"/>
      <c r="AL725" s="307"/>
      <c r="AN725" s="304">
        <f>'codeis $'!AB725</f>
        <v>0</v>
      </c>
      <c r="AO725" s="340">
        <f>'codeis $'!AH725</f>
        <v>0</v>
      </c>
      <c r="AP725" s="304">
        <f>'codeis $'!AE725</f>
        <v>0</v>
      </c>
      <c r="AQ725" s="304">
        <f>'codeis $'!AK725</f>
        <v>0</v>
      </c>
      <c r="AR725" s="9"/>
      <c r="AS725" s="9"/>
      <c r="AT725" s="123"/>
      <c r="AU725" s="123"/>
      <c r="AV725" s="123"/>
      <c r="AW725" s="123"/>
      <c r="AX725" s="123"/>
      <c r="AY725" s="123"/>
      <c r="AZ725" s="123"/>
      <c r="BA725" s="123"/>
      <c r="BC725" s="122"/>
      <c r="BD725" s="122"/>
      <c r="BE725" s="122"/>
      <c r="BF725" s="122"/>
      <c r="BH725" s="122"/>
      <c r="BI725" s="122"/>
      <c r="BJ725" s="122"/>
      <c r="BK725" s="122"/>
      <c r="BM725" s="122"/>
      <c r="BN725" s="122"/>
      <c r="BO725" s="122"/>
      <c r="BP725" s="122"/>
      <c r="BR725" s="122"/>
      <c r="BS725" s="122"/>
      <c r="BT725" s="122"/>
      <c r="BU725" s="122"/>
      <c r="BV725" s="439"/>
      <c r="BW725" s="120">
        <f t="shared" ref="BW725:BW753" si="1221">AV725+G725+M725+T725+AA725+AH725+AN725+BC725+BH725+BM725+BR725</f>
        <v>1450000</v>
      </c>
      <c r="BX725" s="121">
        <f t="shared" si="1181"/>
        <v>3.5000000000000003E-2</v>
      </c>
      <c r="BY725" s="121">
        <f t="shared" si="1183"/>
        <v>3.15E-2</v>
      </c>
      <c r="BZ725" s="120">
        <f t="shared" ref="BZ725:BZ753" si="1222">AY725+I725+O725+V725+AC725+AJ725+AP725+BE725+BJ725+BO725+BT725</f>
        <v>126.875</v>
      </c>
      <c r="CA725" s="120">
        <f t="shared" ref="CA725:CA753" si="1223">BA725+Q725+X725+AE725+AL725+AQ725+BF725+BK725+BP725+BU725</f>
        <v>0</v>
      </c>
    </row>
    <row r="726" spans="2:79" x14ac:dyDescent="0.25">
      <c r="B726" s="123" t="str">
        <f t="shared" si="1215"/>
        <v>12 2026</v>
      </c>
      <c r="C726" s="122">
        <f t="shared" si="1216"/>
        <v>46375</v>
      </c>
      <c r="D726" s="122">
        <f t="shared" si="1184"/>
        <v>46376</v>
      </c>
      <c r="E726" s="123">
        <f t="shared" si="1217"/>
        <v>1</v>
      </c>
      <c r="F726" s="123" t="s">
        <v>7</v>
      </c>
      <c r="G726" s="124">
        <f t="shared" ref="G726:H726" si="1224">G725</f>
        <v>1450000</v>
      </c>
      <c r="H726" s="125">
        <f t="shared" si="1224"/>
        <v>3.15E-2</v>
      </c>
      <c r="I726" s="124">
        <f t="shared" si="1219"/>
        <v>126.875</v>
      </c>
      <c r="J726" s="124">
        <f t="shared" si="1220"/>
        <v>43505</v>
      </c>
      <c r="K726" s="9"/>
      <c r="L726" s="11"/>
      <c r="M726" s="306"/>
      <c r="N726" s="97"/>
      <c r="O726" s="421"/>
      <c r="P726" s="304"/>
      <c r="Q726" s="307"/>
      <c r="S726" s="11"/>
      <c r="T726" s="306"/>
      <c r="U726" s="97"/>
      <c r="V726" s="421"/>
      <c r="W726" s="304"/>
      <c r="X726" s="307"/>
      <c r="Z726" s="11"/>
      <c r="AA726" s="306"/>
      <c r="AB726" s="97"/>
      <c r="AC726" s="421"/>
      <c r="AD726" s="304"/>
      <c r="AE726" s="307"/>
      <c r="AG726" s="11"/>
      <c r="AH726" s="306"/>
      <c r="AI726" s="97"/>
      <c r="AJ726" s="421"/>
      <c r="AK726" s="304"/>
      <c r="AL726" s="307"/>
      <c r="AN726" s="304">
        <f>'codeis $'!AB726</f>
        <v>0</v>
      </c>
      <c r="AO726" s="340">
        <f>'codeis $'!AH726</f>
        <v>0</v>
      </c>
      <c r="AP726" s="304">
        <f>'codeis $'!AE726</f>
        <v>0</v>
      </c>
      <c r="AQ726" s="304">
        <f>'codeis $'!AK726</f>
        <v>0</v>
      </c>
      <c r="AR726" s="9"/>
      <c r="AS726" s="9"/>
      <c r="AT726" s="123"/>
      <c r="AU726" s="123"/>
      <c r="AV726" s="123"/>
      <c r="AW726" s="123"/>
      <c r="AX726" s="123"/>
      <c r="AY726" s="123"/>
      <c r="AZ726" s="123"/>
      <c r="BA726" s="123"/>
      <c r="BC726" s="122"/>
      <c r="BD726" s="122"/>
      <c r="BE726" s="122"/>
      <c r="BF726" s="122"/>
      <c r="BH726" s="122"/>
      <c r="BI726" s="122"/>
      <c r="BJ726" s="122"/>
      <c r="BK726" s="122"/>
      <c r="BM726" s="122"/>
      <c r="BN726" s="122"/>
      <c r="BO726" s="122"/>
      <c r="BP726" s="122"/>
      <c r="BR726" s="122"/>
      <c r="BS726" s="122"/>
      <c r="BT726" s="122"/>
      <c r="BU726" s="122"/>
      <c r="BV726" s="439"/>
      <c r="BW726" s="120">
        <f t="shared" si="1221"/>
        <v>1450000</v>
      </c>
      <c r="BX726" s="121">
        <f t="shared" si="1181"/>
        <v>3.5000000000000003E-2</v>
      </c>
      <c r="BY726" s="121">
        <f t="shared" si="1183"/>
        <v>3.15E-2</v>
      </c>
      <c r="BZ726" s="120">
        <f t="shared" si="1222"/>
        <v>126.875</v>
      </c>
      <c r="CA726" s="120">
        <f t="shared" si="1223"/>
        <v>0</v>
      </c>
    </row>
    <row r="727" spans="2:79" x14ac:dyDescent="0.25">
      <c r="B727" s="123" t="str">
        <f t="shared" si="1215"/>
        <v>12 2026</v>
      </c>
      <c r="C727" s="122">
        <f t="shared" si="1216"/>
        <v>46376</v>
      </c>
      <c r="D727" s="122">
        <f t="shared" si="1184"/>
        <v>46377</v>
      </c>
      <c r="E727" s="123">
        <f t="shared" si="1217"/>
        <v>1</v>
      </c>
      <c r="F727" s="123" t="s">
        <v>7</v>
      </c>
      <c r="G727" s="124">
        <f t="shared" ref="G727:H727" si="1225">G726</f>
        <v>1450000</v>
      </c>
      <c r="H727" s="125">
        <f t="shared" si="1225"/>
        <v>3.15E-2</v>
      </c>
      <c r="I727" s="124">
        <f t="shared" si="1219"/>
        <v>126.875</v>
      </c>
      <c r="J727" s="124">
        <f t="shared" si="1220"/>
        <v>43631.875</v>
      </c>
      <c r="K727" s="9"/>
      <c r="L727" s="11"/>
      <c r="M727" s="306"/>
      <c r="N727" s="97"/>
      <c r="O727" s="421"/>
      <c r="P727" s="304"/>
      <c r="Q727" s="307"/>
      <c r="S727" s="11"/>
      <c r="T727" s="306"/>
      <c r="U727" s="97"/>
      <c r="V727" s="421"/>
      <c r="W727" s="304"/>
      <c r="X727" s="307"/>
      <c r="Z727" s="11"/>
      <c r="AA727" s="306"/>
      <c r="AB727" s="97"/>
      <c r="AC727" s="421"/>
      <c r="AD727" s="304"/>
      <c r="AE727" s="307"/>
      <c r="AG727" s="11"/>
      <c r="AH727" s="306"/>
      <c r="AI727" s="97"/>
      <c r="AJ727" s="421"/>
      <c r="AK727" s="304"/>
      <c r="AL727" s="307"/>
      <c r="AN727" s="304">
        <f>'codeis $'!AB727</f>
        <v>0</v>
      </c>
      <c r="AO727" s="340">
        <f>'codeis $'!AH727</f>
        <v>0</v>
      </c>
      <c r="AP727" s="304">
        <f>'codeis $'!AE727</f>
        <v>0</v>
      </c>
      <c r="AQ727" s="304">
        <f>'codeis $'!AK727</f>
        <v>0</v>
      </c>
      <c r="AR727" s="9"/>
      <c r="AS727" s="9"/>
      <c r="AT727" s="123"/>
      <c r="AU727" s="123"/>
      <c r="AV727" s="123"/>
      <c r="AW727" s="123"/>
      <c r="AX727" s="123"/>
      <c r="AY727" s="123"/>
      <c r="AZ727" s="123"/>
      <c r="BA727" s="123"/>
      <c r="BC727" s="122"/>
      <c r="BD727" s="122"/>
      <c r="BE727" s="122"/>
      <c r="BF727" s="122"/>
      <c r="BH727" s="122"/>
      <c r="BI727" s="122"/>
      <c r="BJ727" s="122"/>
      <c r="BK727" s="122"/>
      <c r="BM727" s="122"/>
      <c r="BN727" s="122"/>
      <c r="BO727" s="122"/>
      <c r="BP727" s="122"/>
      <c r="BR727" s="122"/>
      <c r="BS727" s="122"/>
      <c r="BT727" s="122"/>
      <c r="BU727" s="122"/>
      <c r="BV727" s="439"/>
      <c r="BW727" s="120">
        <f t="shared" si="1221"/>
        <v>1450000</v>
      </c>
      <c r="BX727" s="121">
        <f t="shared" si="1181"/>
        <v>3.5000000000000003E-2</v>
      </c>
      <c r="BY727" s="121">
        <f t="shared" si="1183"/>
        <v>3.15E-2</v>
      </c>
      <c r="BZ727" s="120">
        <f t="shared" si="1222"/>
        <v>126.875</v>
      </c>
      <c r="CA727" s="120">
        <f t="shared" si="1223"/>
        <v>0</v>
      </c>
    </row>
    <row r="728" spans="2:79" x14ac:dyDescent="0.25">
      <c r="B728" s="123" t="str">
        <f t="shared" si="1215"/>
        <v>12 2026</v>
      </c>
      <c r="C728" s="122">
        <f t="shared" si="1216"/>
        <v>46377</v>
      </c>
      <c r="D728" s="122">
        <f t="shared" si="1184"/>
        <v>46378</v>
      </c>
      <c r="E728" s="123">
        <f t="shared" si="1217"/>
        <v>1</v>
      </c>
      <c r="F728" s="123" t="s">
        <v>7</v>
      </c>
      <c r="G728" s="124">
        <f t="shared" ref="G728:H728" si="1226">G727</f>
        <v>1450000</v>
      </c>
      <c r="H728" s="125">
        <f t="shared" si="1226"/>
        <v>3.15E-2</v>
      </c>
      <c r="I728" s="124">
        <f t="shared" si="1219"/>
        <v>126.875</v>
      </c>
      <c r="J728" s="124">
        <f t="shared" si="1220"/>
        <v>43758.75</v>
      </c>
      <c r="K728" s="9"/>
      <c r="L728" s="11"/>
      <c r="M728" s="306"/>
      <c r="N728" s="97"/>
      <c r="O728" s="421"/>
      <c r="P728" s="304"/>
      <c r="Q728" s="307"/>
      <c r="S728" s="11"/>
      <c r="T728" s="306"/>
      <c r="U728" s="97"/>
      <c r="V728" s="421"/>
      <c r="W728" s="304"/>
      <c r="X728" s="307"/>
      <c r="Z728" s="11"/>
      <c r="AA728" s="306"/>
      <c r="AB728" s="97"/>
      <c r="AC728" s="421"/>
      <c r="AD728" s="304"/>
      <c r="AE728" s="307"/>
      <c r="AG728" s="11"/>
      <c r="AH728" s="306"/>
      <c r="AI728" s="97"/>
      <c r="AJ728" s="421"/>
      <c r="AK728" s="304"/>
      <c r="AL728" s="307"/>
      <c r="AN728" s="304">
        <f>'codeis $'!AB728</f>
        <v>0</v>
      </c>
      <c r="AO728" s="340">
        <f>'codeis $'!AH728</f>
        <v>0</v>
      </c>
      <c r="AP728" s="304">
        <f>'codeis $'!AE728</f>
        <v>0</v>
      </c>
      <c r="AQ728" s="304">
        <f>'codeis $'!AK728</f>
        <v>0</v>
      </c>
      <c r="AR728" s="9"/>
      <c r="AS728" s="9"/>
      <c r="AT728" s="123"/>
      <c r="AU728" s="123"/>
      <c r="AV728" s="123"/>
      <c r="AW728" s="123"/>
      <c r="AX728" s="123"/>
      <c r="AY728" s="123"/>
      <c r="AZ728" s="123"/>
      <c r="BA728" s="123"/>
      <c r="BC728" s="122"/>
      <c r="BD728" s="122"/>
      <c r="BE728" s="122"/>
      <c r="BF728" s="122"/>
      <c r="BH728" s="122"/>
      <c r="BI728" s="122"/>
      <c r="BJ728" s="122"/>
      <c r="BK728" s="122"/>
      <c r="BM728" s="122"/>
      <c r="BN728" s="122"/>
      <c r="BO728" s="122"/>
      <c r="BP728" s="122"/>
      <c r="BR728" s="122"/>
      <c r="BS728" s="122"/>
      <c r="BT728" s="122"/>
      <c r="BU728" s="122"/>
      <c r="BV728" s="439"/>
      <c r="BW728" s="120">
        <f t="shared" si="1221"/>
        <v>1450000</v>
      </c>
      <c r="BX728" s="121">
        <f t="shared" si="1181"/>
        <v>3.5000000000000003E-2</v>
      </c>
      <c r="BY728" s="121">
        <f t="shared" si="1183"/>
        <v>3.15E-2</v>
      </c>
      <c r="BZ728" s="120">
        <f t="shared" si="1222"/>
        <v>126.875</v>
      </c>
      <c r="CA728" s="120">
        <f t="shared" si="1223"/>
        <v>0</v>
      </c>
    </row>
    <row r="729" spans="2:79" x14ac:dyDescent="0.25">
      <c r="B729" s="123" t="str">
        <f t="shared" si="1215"/>
        <v>12 2026</v>
      </c>
      <c r="C729" s="122">
        <f t="shared" si="1216"/>
        <v>46378</v>
      </c>
      <c r="D729" s="122">
        <f t="shared" si="1184"/>
        <v>46379</v>
      </c>
      <c r="E729" s="123">
        <f t="shared" si="1217"/>
        <v>1</v>
      </c>
      <c r="F729" s="123" t="s">
        <v>7</v>
      </c>
      <c r="G729" s="124">
        <f t="shared" ref="G729:H729" si="1227">G728</f>
        <v>1450000</v>
      </c>
      <c r="H729" s="125">
        <f t="shared" si="1227"/>
        <v>3.15E-2</v>
      </c>
      <c r="I729" s="124">
        <f t="shared" si="1219"/>
        <v>126.875</v>
      </c>
      <c r="J729" s="124">
        <f t="shared" si="1220"/>
        <v>43885.625</v>
      </c>
      <c r="K729" s="9"/>
      <c r="L729" s="11"/>
      <c r="M729" s="306"/>
      <c r="N729" s="97"/>
      <c r="O729" s="421"/>
      <c r="P729" s="304"/>
      <c r="Q729" s="307"/>
      <c r="S729" s="11"/>
      <c r="T729" s="306"/>
      <c r="U729" s="97"/>
      <c r="V729" s="421"/>
      <c r="W729" s="304"/>
      <c r="X729" s="307"/>
      <c r="Z729" s="11"/>
      <c r="AA729" s="306"/>
      <c r="AB729" s="97"/>
      <c r="AC729" s="421"/>
      <c r="AD729" s="304"/>
      <c r="AE729" s="307"/>
      <c r="AG729" s="11"/>
      <c r="AH729" s="306"/>
      <c r="AI729" s="97"/>
      <c r="AJ729" s="421"/>
      <c r="AK729" s="304"/>
      <c r="AL729" s="307"/>
      <c r="AN729" s="304">
        <f>'codeis $'!AB729</f>
        <v>0</v>
      </c>
      <c r="AO729" s="340">
        <f>'codeis $'!AH729</f>
        <v>0</v>
      </c>
      <c r="AP729" s="304">
        <f>'codeis $'!AE729</f>
        <v>0</v>
      </c>
      <c r="AQ729" s="304">
        <f>'codeis $'!AK729</f>
        <v>0</v>
      </c>
      <c r="AR729" s="9"/>
      <c r="AS729" s="9"/>
      <c r="AT729" s="123"/>
      <c r="AU729" s="123"/>
      <c r="AV729" s="123"/>
      <c r="AW729" s="123"/>
      <c r="AX729" s="123"/>
      <c r="AY729" s="123"/>
      <c r="AZ729" s="123"/>
      <c r="BA729" s="123"/>
      <c r="BC729" s="122"/>
      <c r="BD729" s="122"/>
      <c r="BE729" s="122"/>
      <c r="BF729" s="122"/>
      <c r="BH729" s="122"/>
      <c r="BI729" s="122"/>
      <c r="BJ729" s="122"/>
      <c r="BK729" s="122"/>
      <c r="BM729" s="122"/>
      <c r="BN729" s="122"/>
      <c r="BO729" s="122"/>
      <c r="BP729" s="122"/>
      <c r="BR729" s="122"/>
      <c r="BS729" s="122"/>
      <c r="BT729" s="122"/>
      <c r="BU729" s="122"/>
      <c r="BV729" s="439"/>
      <c r="BW729" s="120">
        <f t="shared" si="1221"/>
        <v>1450000</v>
      </c>
      <c r="BX729" s="121">
        <f t="shared" si="1181"/>
        <v>3.5000000000000003E-2</v>
      </c>
      <c r="BY729" s="121">
        <f t="shared" si="1183"/>
        <v>3.15E-2</v>
      </c>
      <c r="BZ729" s="120">
        <f t="shared" si="1222"/>
        <v>126.875</v>
      </c>
      <c r="CA729" s="120">
        <f t="shared" si="1223"/>
        <v>0</v>
      </c>
    </row>
    <row r="730" spans="2:79" x14ac:dyDescent="0.25">
      <c r="B730" s="123" t="str">
        <f t="shared" si="1215"/>
        <v>12 2026</v>
      </c>
      <c r="C730" s="122">
        <f t="shared" si="1216"/>
        <v>46379</v>
      </c>
      <c r="D730" s="122">
        <f t="shared" si="1184"/>
        <v>46380</v>
      </c>
      <c r="E730" s="123">
        <f t="shared" si="1217"/>
        <v>1</v>
      </c>
      <c r="F730" s="123" t="s">
        <v>7</v>
      </c>
      <c r="G730" s="124">
        <f t="shared" ref="G730:H730" si="1228">G729</f>
        <v>1450000</v>
      </c>
      <c r="H730" s="125">
        <f t="shared" si="1228"/>
        <v>3.15E-2</v>
      </c>
      <c r="I730" s="124">
        <f t="shared" si="1219"/>
        <v>126.875</v>
      </c>
      <c r="J730" s="124">
        <f t="shared" si="1220"/>
        <v>44012.5</v>
      </c>
      <c r="K730" s="9"/>
      <c r="L730" s="11"/>
      <c r="M730" s="306"/>
      <c r="N730" s="97"/>
      <c r="O730" s="421"/>
      <c r="P730" s="304"/>
      <c r="Q730" s="307"/>
      <c r="S730" s="11"/>
      <c r="T730" s="306"/>
      <c r="U730" s="97"/>
      <c r="V730" s="421"/>
      <c r="W730" s="304"/>
      <c r="X730" s="307"/>
      <c r="Z730" s="11"/>
      <c r="AA730" s="306"/>
      <c r="AB730" s="97"/>
      <c r="AC730" s="421"/>
      <c r="AD730" s="304"/>
      <c r="AE730" s="307"/>
      <c r="AG730" s="11"/>
      <c r="AH730" s="306"/>
      <c r="AI730" s="97"/>
      <c r="AJ730" s="421"/>
      <c r="AK730" s="304"/>
      <c r="AL730" s="307"/>
      <c r="AN730" s="304">
        <f>'codeis $'!AB730</f>
        <v>0</v>
      </c>
      <c r="AO730" s="340">
        <f>'codeis $'!AH730</f>
        <v>0</v>
      </c>
      <c r="AP730" s="304">
        <f>'codeis $'!AE730</f>
        <v>0</v>
      </c>
      <c r="AQ730" s="304">
        <f>'codeis $'!AK730</f>
        <v>0</v>
      </c>
      <c r="AR730" s="9"/>
      <c r="AS730" s="9"/>
      <c r="AT730" s="123"/>
      <c r="AU730" s="123"/>
      <c r="AV730" s="123"/>
      <c r="AW730" s="123"/>
      <c r="AX730" s="123"/>
      <c r="AY730" s="123"/>
      <c r="AZ730" s="123"/>
      <c r="BA730" s="123"/>
      <c r="BC730" s="122"/>
      <c r="BD730" s="122"/>
      <c r="BE730" s="122"/>
      <c r="BF730" s="122"/>
      <c r="BH730" s="122"/>
      <c r="BI730" s="122"/>
      <c r="BJ730" s="122"/>
      <c r="BK730" s="122"/>
      <c r="BM730" s="122"/>
      <c r="BN730" s="122"/>
      <c r="BO730" s="122"/>
      <c r="BP730" s="122"/>
      <c r="BR730" s="122"/>
      <c r="BS730" s="122"/>
      <c r="BT730" s="122"/>
      <c r="BU730" s="122"/>
      <c r="BV730" s="439"/>
      <c r="BW730" s="120">
        <f t="shared" si="1221"/>
        <v>1450000</v>
      </c>
      <c r="BX730" s="121">
        <f t="shared" si="1181"/>
        <v>3.5000000000000003E-2</v>
      </c>
      <c r="BY730" s="121">
        <f t="shared" si="1183"/>
        <v>3.15E-2</v>
      </c>
      <c r="BZ730" s="120">
        <f t="shared" si="1222"/>
        <v>126.875</v>
      </c>
      <c r="CA730" s="120">
        <f t="shared" si="1223"/>
        <v>0</v>
      </c>
    </row>
    <row r="731" spans="2:79" x14ac:dyDescent="0.25">
      <c r="B731" s="123" t="str">
        <f t="shared" si="1215"/>
        <v>12 2026</v>
      </c>
      <c r="C731" s="122">
        <f t="shared" si="1216"/>
        <v>46380</v>
      </c>
      <c r="D731" s="122">
        <f t="shared" si="1184"/>
        <v>46381</v>
      </c>
      <c r="E731" s="123">
        <f t="shared" si="1217"/>
        <v>1</v>
      </c>
      <c r="F731" s="123" t="s">
        <v>7</v>
      </c>
      <c r="G731" s="124">
        <f t="shared" ref="G731:H731" si="1229">G730</f>
        <v>1450000</v>
      </c>
      <c r="H731" s="125">
        <f t="shared" si="1229"/>
        <v>3.15E-2</v>
      </c>
      <c r="I731" s="124">
        <f t="shared" si="1219"/>
        <v>126.875</v>
      </c>
      <c r="J731" s="124">
        <f t="shared" si="1220"/>
        <v>44139.375</v>
      </c>
      <c r="K731" s="9"/>
      <c r="L731" s="11"/>
      <c r="M731" s="306"/>
      <c r="N731" s="97"/>
      <c r="O731" s="421"/>
      <c r="P731" s="304"/>
      <c r="Q731" s="307"/>
      <c r="S731" s="11"/>
      <c r="T731" s="306"/>
      <c r="U731" s="97"/>
      <c r="V731" s="421"/>
      <c r="W731" s="304"/>
      <c r="X731" s="307"/>
      <c r="Z731" s="11"/>
      <c r="AA731" s="306"/>
      <c r="AB731" s="97"/>
      <c r="AC731" s="421"/>
      <c r="AD731" s="304"/>
      <c r="AE731" s="307"/>
      <c r="AG731" s="11"/>
      <c r="AH731" s="306"/>
      <c r="AI731" s="97"/>
      <c r="AJ731" s="421"/>
      <c r="AK731" s="304"/>
      <c r="AL731" s="307"/>
      <c r="AN731" s="304">
        <f>'codeis $'!AB731</f>
        <v>0</v>
      </c>
      <c r="AO731" s="340">
        <f>'codeis $'!AH731</f>
        <v>0</v>
      </c>
      <c r="AP731" s="304">
        <f>'codeis $'!AE731</f>
        <v>0</v>
      </c>
      <c r="AQ731" s="304">
        <f>'codeis $'!AK731</f>
        <v>0</v>
      </c>
      <c r="AR731" s="9"/>
      <c r="AS731" s="9"/>
      <c r="AT731" s="123"/>
      <c r="AU731" s="123"/>
      <c r="AV731" s="123"/>
      <c r="AW731" s="123"/>
      <c r="AX731" s="123"/>
      <c r="AY731" s="123"/>
      <c r="AZ731" s="123"/>
      <c r="BA731" s="123"/>
      <c r="BC731" s="122"/>
      <c r="BD731" s="122"/>
      <c r="BE731" s="122"/>
      <c r="BF731" s="122"/>
      <c r="BH731" s="122"/>
      <c r="BI731" s="122"/>
      <c r="BJ731" s="122"/>
      <c r="BK731" s="122"/>
      <c r="BM731" s="122"/>
      <c r="BN731" s="122"/>
      <c r="BO731" s="122"/>
      <c r="BP731" s="122"/>
      <c r="BR731" s="122"/>
      <c r="BS731" s="122"/>
      <c r="BT731" s="122"/>
      <c r="BU731" s="122"/>
      <c r="BV731" s="439"/>
      <c r="BW731" s="120">
        <f t="shared" si="1221"/>
        <v>1450000</v>
      </c>
      <c r="BX731" s="121">
        <f t="shared" si="1181"/>
        <v>3.5000000000000003E-2</v>
      </c>
      <c r="BY731" s="121">
        <f t="shared" si="1183"/>
        <v>3.15E-2</v>
      </c>
      <c r="BZ731" s="120">
        <f t="shared" si="1222"/>
        <v>126.875</v>
      </c>
      <c r="CA731" s="120">
        <f t="shared" si="1223"/>
        <v>0</v>
      </c>
    </row>
    <row r="732" spans="2:79" x14ac:dyDescent="0.25">
      <c r="B732" s="123" t="str">
        <f t="shared" si="1215"/>
        <v>12 2026</v>
      </c>
      <c r="C732" s="122">
        <f t="shared" si="1216"/>
        <v>46381</v>
      </c>
      <c r="D732" s="122">
        <f t="shared" si="1184"/>
        <v>46382</v>
      </c>
      <c r="E732" s="123">
        <f t="shared" si="1217"/>
        <v>1</v>
      </c>
      <c r="F732" s="123" t="s">
        <v>7</v>
      </c>
      <c r="G732" s="124">
        <f t="shared" ref="G732:H732" si="1230">G731</f>
        <v>1450000</v>
      </c>
      <c r="H732" s="125">
        <f t="shared" si="1230"/>
        <v>3.15E-2</v>
      </c>
      <c r="I732" s="124">
        <f t="shared" si="1219"/>
        <v>126.875</v>
      </c>
      <c r="J732" s="124">
        <f t="shared" si="1220"/>
        <v>44266.25</v>
      </c>
      <c r="K732" s="9"/>
      <c r="L732" s="11"/>
      <c r="M732" s="306"/>
      <c r="N732" s="97"/>
      <c r="O732" s="421"/>
      <c r="P732" s="304"/>
      <c r="Q732" s="307"/>
      <c r="S732" s="11"/>
      <c r="T732" s="306"/>
      <c r="U732" s="97"/>
      <c r="V732" s="421"/>
      <c r="W732" s="304"/>
      <c r="X732" s="307"/>
      <c r="Z732" s="11"/>
      <c r="AA732" s="306"/>
      <c r="AB732" s="97"/>
      <c r="AC732" s="421"/>
      <c r="AD732" s="304"/>
      <c r="AE732" s="307"/>
      <c r="AG732" s="11"/>
      <c r="AH732" s="306"/>
      <c r="AI732" s="97"/>
      <c r="AJ732" s="421"/>
      <c r="AK732" s="304"/>
      <c r="AL732" s="307"/>
      <c r="AN732" s="304">
        <f>'codeis $'!AB732</f>
        <v>0</v>
      </c>
      <c r="AO732" s="340">
        <f>'codeis $'!AH732</f>
        <v>0</v>
      </c>
      <c r="AP732" s="304">
        <f>'codeis $'!AE732</f>
        <v>0</v>
      </c>
      <c r="AQ732" s="304">
        <f>'codeis $'!AK732</f>
        <v>0</v>
      </c>
      <c r="AR732" s="9"/>
      <c r="AS732" s="9"/>
      <c r="AT732" s="123"/>
      <c r="AU732" s="123"/>
      <c r="AV732" s="123"/>
      <c r="AW732" s="123"/>
      <c r="AX732" s="123"/>
      <c r="AY732" s="123"/>
      <c r="AZ732" s="123"/>
      <c r="BA732" s="123"/>
      <c r="BC732" s="122"/>
      <c r="BD732" s="122"/>
      <c r="BE732" s="122"/>
      <c r="BF732" s="122"/>
      <c r="BH732" s="122"/>
      <c r="BI732" s="122"/>
      <c r="BJ732" s="122"/>
      <c r="BK732" s="122"/>
      <c r="BM732" s="122"/>
      <c r="BN732" s="122"/>
      <c r="BO732" s="122"/>
      <c r="BP732" s="122"/>
      <c r="BR732" s="122"/>
      <c r="BS732" s="122"/>
      <c r="BT732" s="122"/>
      <c r="BU732" s="122"/>
      <c r="BV732" s="439"/>
      <c r="BW732" s="120">
        <f t="shared" si="1221"/>
        <v>1450000</v>
      </c>
      <c r="BX732" s="121">
        <f t="shared" si="1181"/>
        <v>3.5000000000000003E-2</v>
      </c>
      <c r="BY732" s="121">
        <f t="shared" si="1183"/>
        <v>3.15E-2</v>
      </c>
      <c r="BZ732" s="120">
        <f t="shared" si="1222"/>
        <v>126.875</v>
      </c>
      <c r="CA732" s="120">
        <f t="shared" si="1223"/>
        <v>0</v>
      </c>
    </row>
    <row r="733" spans="2:79" x14ac:dyDescent="0.25">
      <c r="B733" s="123" t="str">
        <f t="shared" si="1215"/>
        <v>12 2026</v>
      </c>
      <c r="C733" s="122">
        <f t="shared" si="1216"/>
        <v>46382</v>
      </c>
      <c r="D733" s="122">
        <f t="shared" si="1184"/>
        <v>46383</v>
      </c>
      <c r="E733" s="123">
        <f t="shared" si="1217"/>
        <v>1</v>
      </c>
      <c r="F733" s="123" t="s">
        <v>7</v>
      </c>
      <c r="G733" s="124">
        <f t="shared" ref="G733:H733" si="1231">G732</f>
        <v>1450000</v>
      </c>
      <c r="H733" s="125">
        <f t="shared" si="1231"/>
        <v>3.15E-2</v>
      </c>
      <c r="I733" s="124">
        <f t="shared" si="1219"/>
        <v>126.875</v>
      </c>
      <c r="J733" s="124">
        <f t="shared" si="1220"/>
        <v>44393.125</v>
      </c>
      <c r="K733" s="9"/>
      <c r="L733" s="11"/>
      <c r="M733" s="306"/>
      <c r="N733" s="97"/>
      <c r="O733" s="421"/>
      <c r="P733" s="304"/>
      <c r="Q733" s="307"/>
      <c r="S733" s="11"/>
      <c r="T733" s="306"/>
      <c r="U733" s="97"/>
      <c r="V733" s="421"/>
      <c r="W733" s="304"/>
      <c r="X733" s="307"/>
      <c r="Z733" s="11"/>
      <c r="AA733" s="306"/>
      <c r="AB733" s="97"/>
      <c r="AC733" s="421"/>
      <c r="AD733" s="304"/>
      <c r="AE733" s="307"/>
      <c r="AG733" s="11"/>
      <c r="AH733" s="306"/>
      <c r="AI733" s="97"/>
      <c r="AJ733" s="421"/>
      <c r="AK733" s="304"/>
      <c r="AL733" s="307"/>
      <c r="AN733" s="304">
        <f>'codeis $'!AB733</f>
        <v>0</v>
      </c>
      <c r="AO733" s="340">
        <f>'codeis $'!AH733</f>
        <v>0</v>
      </c>
      <c r="AP733" s="304">
        <f>'codeis $'!AE733</f>
        <v>0</v>
      </c>
      <c r="AQ733" s="304">
        <f>'codeis $'!AK733</f>
        <v>0</v>
      </c>
      <c r="AR733" s="9"/>
      <c r="AS733" s="9"/>
      <c r="AT733" s="123"/>
      <c r="AU733" s="123"/>
      <c r="AV733" s="123"/>
      <c r="AW733" s="123"/>
      <c r="AX733" s="123"/>
      <c r="AY733" s="123"/>
      <c r="AZ733" s="123"/>
      <c r="BA733" s="123"/>
      <c r="BC733" s="122"/>
      <c r="BD733" s="122"/>
      <c r="BE733" s="122"/>
      <c r="BF733" s="122"/>
      <c r="BH733" s="122"/>
      <c r="BI733" s="122"/>
      <c r="BJ733" s="122"/>
      <c r="BK733" s="122"/>
      <c r="BM733" s="122"/>
      <c r="BN733" s="122"/>
      <c r="BO733" s="122"/>
      <c r="BP733" s="122"/>
      <c r="BR733" s="122"/>
      <c r="BS733" s="122"/>
      <c r="BT733" s="122"/>
      <c r="BU733" s="122"/>
      <c r="BV733" s="439"/>
      <c r="BW733" s="120">
        <f t="shared" si="1221"/>
        <v>1450000</v>
      </c>
      <c r="BX733" s="121">
        <f t="shared" si="1181"/>
        <v>3.5000000000000003E-2</v>
      </c>
      <c r="BY733" s="121">
        <f t="shared" si="1183"/>
        <v>3.15E-2</v>
      </c>
      <c r="BZ733" s="120">
        <f t="shared" si="1222"/>
        <v>126.875</v>
      </c>
      <c r="CA733" s="120">
        <f t="shared" si="1223"/>
        <v>0</v>
      </c>
    </row>
    <row r="734" spans="2:79" x14ac:dyDescent="0.25">
      <c r="B734" s="123" t="str">
        <f t="shared" si="1215"/>
        <v>12 2026</v>
      </c>
      <c r="C734" s="122">
        <f t="shared" si="1216"/>
        <v>46383</v>
      </c>
      <c r="D734" s="122">
        <f t="shared" si="1184"/>
        <v>46384</v>
      </c>
      <c r="E734" s="123">
        <f t="shared" si="1217"/>
        <v>1</v>
      </c>
      <c r="F734" s="123" t="s">
        <v>7</v>
      </c>
      <c r="G734" s="124">
        <f t="shared" ref="G734:H734" si="1232">G733</f>
        <v>1450000</v>
      </c>
      <c r="H734" s="125">
        <f t="shared" si="1232"/>
        <v>3.15E-2</v>
      </c>
      <c r="I734" s="124">
        <f t="shared" si="1219"/>
        <v>126.875</v>
      </c>
      <c r="J734" s="124">
        <f t="shared" si="1220"/>
        <v>44520</v>
      </c>
      <c r="K734" s="9"/>
      <c r="L734" s="11"/>
      <c r="M734" s="306"/>
      <c r="N734" s="97"/>
      <c r="O734" s="421"/>
      <c r="P734" s="304"/>
      <c r="Q734" s="307"/>
      <c r="S734" s="11"/>
      <c r="T734" s="306"/>
      <c r="U734" s="97"/>
      <c r="V734" s="421"/>
      <c r="W734" s="304"/>
      <c r="X734" s="307"/>
      <c r="Z734" s="11"/>
      <c r="AA734" s="306"/>
      <c r="AB734" s="97"/>
      <c r="AC734" s="421"/>
      <c r="AD734" s="304"/>
      <c r="AE734" s="307"/>
      <c r="AG734" s="11"/>
      <c r="AH734" s="306"/>
      <c r="AI734" s="97"/>
      <c r="AJ734" s="421"/>
      <c r="AK734" s="304"/>
      <c r="AL734" s="307"/>
      <c r="AN734" s="304">
        <f>'codeis $'!AB734</f>
        <v>0</v>
      </c>
      <c r="AO734" s="340">
        <f>'codeis $'!AH734</f>
        <v>0</v>
      </c>
      <c r="AP734" s="304">
        <f>'codeis $'!AE734</f>
        <v>0</v>
      </c>
      <c r="AQ734" s="304">
        <f>'codeis $'!AK734</f>
        <v>0</v>
      </c>
      <c r="AR734" s="9"/>
      <c r="AS734" s="9"/>
      <c r="AT734" s="123"/>
      <c r="AU734" s="123"/>
      <c r="AV734" s="123"/>
      <c r="AW734" s="123"/>
      <c r="AX734" s="123"/>
      <c r="AY734" s="123"/>
      <c r="AZ734" s="123"/>
      <c r="BA734" s="123"/>
      <c r="BC734" s="122"/>
      <c r="BD734" s="122"/>
      <c r="BE734" s="122"/>
      <c r="BF734" s="122"/>
      <c r="BH734" s="122"/>
      <c r="BI734" s="122"/>
      <c r="BJ734" s="122"/>
      <c r="BK734" s="122"/>
      <c r="BM734" s="122"/>
      <c r="BN734" s="122"/>
      <c r="BO734" s="122"/>
      <c r="BP734" s="122"/>
      <c r="BR734" s="122"/>
      <c r="BS734" s="122"/>
      <c r="BT734" s="122"/>
      <c r="BU734" s="122"/>
      <c r="BV734" s="439"/>
      <c r="BW734" s="120">
        <f t="shared" si="1221"/>
        <v>1450000</v>
      </c>
      <c r="BX734" s="121">
        <f t="shared" si="1181"/>
        <v>3.5000000000000003E-2</v>
      </c>
      <c r="BY734" s="121">
        <f t="shared" si="1183"/>
        <v>3.15E-2</v>
      </c>
      <c r="BZ734" s="120">
        <f t="shared" si="1222"/>
        <v>126.875</v>
      </c>
      <c r="CA734" s="120">
        <f t="shared" si="1223"/>
        <v>0</v>
      </c>
    </row>
    <row r="735" spans="2:79" x14ac:dyDescent="0.25">
      <c r="B735" s="123" t="str">
        <f t="shared" si="1215"/>
        <v>12 2026</v>
      </c>
      <c r="C735" s="122">
        <f t="shared" si="1216"/>
        <v>46384</v>
      </c>
      <c r="D735" s="122">
        <f t="shared" si="1184"/>
        <v>46385</v>
      </c>
      <c r="E735" s="123">
        <f t="shared" si="1217"/>
        <v>1</v>
      </c>
      <c r="F735" s="123" t="s">
        <v>7</v>
      </c>
      <c r="G735" s="124">
        <f t="shared" ref="G735:H735" si="1233">G734</f>
        <v>1450000</v>
      </c>
      <c r="H735" s="125">
        <f t="shared" si="1233"/>
        <v>3.15E-2</v>
      </c>
      <c r="I735" s="124">
        <f t="shared" si="1219"/>
        <v>126.875</v>
      </c>
      <c r="J735" s="124">
        <f t="shared" si="1220"/>
        <v>44646.875</v>
      </c>
      <c r="K735" s="9"/>
      <c r="L735" s="11"/>
      <c r="M735" s="306"/>
      <c r="N735" s="97"/>
      <c r="O735" s="421"/>
      <c r="P735" s="304"/>
      <c r="Q735" s="307"/>
      <c r="S735" s="11"/>
      <c r="T735" s="306"/>
      <c r="U735" s="97"/>
      <c r="V735" s="421"/>
      <c r="W735" s="304"/>
      <c r="X735" s="307"/>
      <c r="Z735" s="11"/>
      <c r="AA735" s="306"/>
      <c r="AB735" s="97"/>
      <c r="AC735" s="421"/>
      <c r="AD735" s="304"/>
      <c r="AE735" s="307"/>
      <c r="AG735" s="11"/>
      <c r="AH735" s="306"/>
      <c r="AI735" s="97"/>
      <c r="AJ735" s="421"/>
      <c r="AK735" s="304"/>
      <c r="AL735" s="307"/>
      <c r="AN735" s="304">
        <f>'codeis $'!AB735</f>
        <v>0</v>
      </c>
      <c r="AO735" s="340">
        <f>'codeis $'!AH735</f>
        <v>0</v>
      </c>
      <c r="AP735" s="304">
        <f>'codeis $'!AE735</f>
        <v>0</v>
      </c>
      <c r="AQ735" s="304">
        <f>'codeis $'!AK735</f>
        <v>0</v>
      </c>
      <c r="AR735" s="9"/>
      <c r="AS735" s="9"/>
      <c r="AT735" s="123"/>
      <c r="AU735" s="123"/>
      <c r="AV735" s="123"/>
      <c r="AW735" s="123"/>
      <c r="AX735" s="123"/>
      <c r="AY735" s="123"/>
      <c r="AZ735" s="123"/>
      <c r="BA735" s="123"/>
      <c r="BC735" s="122"/>
      <c r="BD735" s="122"/>
      <c r="BE735" s="122"/>
      <c r="BF735" s="122"/>
      <c r="BH735" s="122"/>
      <c r="BI735" s="122"/>
      <c r="BJ735" s="122"/>
      <c r="BK735" s="122"/>
      <c r="BM735" s="122"/>
      <c r="BN735" s="122"/>
      <c r="BO735" s="122"/>
      <c r="BP735" s="122"/>
      <c r="BR735" s="122"/>
      <c r="BS735" s="122"/>
      <c r="BT735" s="122"/>
      <c r="BU735" s="122"/>
      <c r="BV735" s="439"/>
      <c r="BW735" s="120">
        <f t="shared" si="1221"/>
        <v>1450000</v>
      </c>
      <c r="BX735" s="121">
        <f t="shared" si="1181"/>
        <v>3.5000000000000003E-2</v>
      </c>
      <c r="BY735" s="121">
        <f t="shared" si="1183"/>
        <v>3.15E-2</v>
      </c>
      <c r="BZ735" s="120">
        <f t="shared" si="1222"/>
        <v>126.875</v>
      </c>
      <c r="CA735" s="120">
        <f t="shared" si="1223"/>
        <v>0</v>
      </c>
    </row>
    <row r="736" spans="2:79" x14ac:dyDescent="0.25">
      <c r="B736" s="123" t="str">
        <f t="shared" si="1215"/>
        <v>12 2026</v>
      </c>
      <c r="C736" s="122">
        <f t="shared" si="1216"/>
        <v>46385</v>
      </c>
      <c r="D736" s="122">
        <f t="shared" si="1184"/>
        <v>46386</v>
      </c>
      <c r="E736" s="123">
        <f t="shared" si="1217"/>
        <v>1</v>
      </c>
      <c r="F736" s="123" t="s">
        <v>7</v>
      </c>
      <c r="G736" s="124">
        <f t="shared" ref="G736:H736" si="1234">G735</f>
        <v>1450000</v>
      </c>
      <c r="H736" s="125">
        <f t="shared" si="1234"/>
        <v>3.15E-2</v>
      </c>
      <c r="I736" s="124">
        <f t="shared" si="1219"/>
        <v>126.875</v>
      </c>
      <c r="J736" s="124">
        <f t="shared" si="1220"/>
        <v>44773.75</v>
      </c>
      <c r="K736" s="9"/>
      <c r="L736" s="11"/>
      <c r="M736" s="306"/>
      <c r="N736" s="97"/>
      <c r="O736" s="421"/>
      <c r="P736" s="304"/>
      <c r="Q736" s="307"/>
      <c r="S736" s="11"/>
      <c r="T736" s="306"/>
      <c r="U736" s="97"/>
      <c r="V736" s="421"/>
      <c r="W736" s="304"/>
      <c r="X736" s="307"/>
      <c r="Z736" s="11"/>
      <c r="AA736" s="306"/>
      <c r="AB736" s="97"/>
      <c r="AC736" s="421"/>
      <c r="AD736" s="304"/>
      <c r="AE736" s="307"/>
      <c r="AG736" s="11"/>
      <c r="AH736" s="306"/>
      <c r="AI736" s="97"/>
      <c r="AJ736" s="421"/>
      <c r="AK736" s="304"/>
      <c r="AL736" s="307"/>
      <c r="AN736" s="304">
        <f>'codeis $'!AB736</f>
        <v>0</v>
      </c>
      <c r="AO736" s="340">
        <f>'codeis $'!AH736</f>
        <v>0</v>
      </c>
      <c r="AP736" s="304">
        <f>'codeis $'!AE736</f>
        <v>0</v>
      </c>
      <c r="AQ736" s="304">
        <f>'codeis $'!AK736</f>
        <v>0</v>
      </c>
      <c r="AR736" s="9"/>
      <c r="AS736" s="9"/>
      <c r="AT736" s="123"/>
      <c r="AU736" s="123"/>
      <c r="AV736" s="123"/>
      <c r="AW736" s="123"/>
      <c r="AX736" s="123"/>
      <c r="AY736" s="123"/>
      <c r="AZ736" s="123"/>
      <c r="BA736" s="123"/>
      <c r="BC736" s="122"/>
      <c r="BD736" s="122"/>
      <c r="BE736" s="122"/>
      <c r="BF736" s="122"/>
      <c r="BH736" s="122"/>
      <c r="BI736" s="122"/>
      <c r="BJ736" s="122"/>
      <c r="BK736" s="122"/>
      <c r="BM736" s="122"/>
      <c r="BN736" s="122"/>
      <c r="BO736" s="122"/>
      <c r="BP736" s="122"/>
      <c r="BR736" s="122"/>
      <c r="BS736" s="122"/>
      <c r="BT736" s="122"/>
      <c r="BU736" s="122"/>
      <c r="BV736" s="439"/>
      <c r="BW736" s="120">
        <f t="shared" si="1221"/>
        <v>1450000</v>
      </c>
      <c r="BX736" s="121">
        <f t="shared" si="1181"/>
        <v>3.5000000000000003E-2</v>
      </c>
      <c r="BY736" s="121">
        <f t="shared" si="1183"/>
        <v>3.15E-2</v>
      </c>
      <c r="BZ736" s="120">
        <f t="shared" si="1222"/>
        <v>126.875</v>
      </c>
      <c r="CA736" s="120">
        <f t="shared" si="1223"/>
        <v>0</v>
      </c>
    </row>
    <row r="737" spans="1:85" x14ac:dyDescent="0.25">
      <c r="B737" s="123" t="str">
        <f t="shared" si="1215"/>
        <v>12 2026</v>
      </c>
      <c r="C737" s="122">
        <f t="shared" si="1216"/>
        <v>46386</v>
      </c>
      <c r="D737" s="122">
        <f t="shared" si="1184"/>
        <v>46387</v>
      </c>
      <c r="E737" s="123">
        <f t="shared" si="1217"/>
        <v>1</v>
      </c>
      <c r="F737" s="123" t="s">
        <v>7</v>
      </c>
      <c r="G737" s="124">
        <f t="shared" ref="G737:H737" si="1235">G736</f>
        <v>1450000</v>
      </c>
      <c r="H737" s="125">
        <f t="shared" si="1235"/>
        <v>3.15E-2</v>
      </c>
      <c r="I737" s="124">
        <f t="shared" si="1219"/>
        <v>126.875</v>
      </c>
      <c r="J737" s="124">
        <f t="shared" si="1220"/>
        <v>44900.625</v>
      </c>
      <c r="K737" s="9"/>
      <c r="L737" s="11"/>
      <c r="M737" s="306"/>
      <c r="N737" s="97"/>
      <c r="O737" s="421"/>
      <c r="P737" s="304"/>
      <c r="Q737" s="307"/>
      <c r="S737" s="11"/>
      <c r="T737" s="306"/>
      <c r="U737" s="97"/>
      <c r="V737" s="421"/>
      <c r="W737" s="304"/>
      <c r="X737" s="307"/>
      <c r="Z737" s="11"/>
      <c r="AA737" s="306"/>
      <c r="AB737" s="97"/>
      <c r="AC737" s="421"/>
      <c r="AD737" s="304"/>
      <c r="AE737" s="307"/>
      <c r="AG737" s="11"/>
      <c r="AH737" s="306"/>
      <c r="AI737" s="97"/>
      <c r="AJ737" s="421"/>
      <c r="AK737" s="304"/>
      <c r="AL737" s="307"/>
      <c r="AN737" s="304">
        <f>'codeis $'!AB737</f>
        <v>0</v>
      </c>
      <c r="AO737" s="340">
        <f>'codeis $'!AH737</f>
        <v>0</v>
      </c>
      <c r="AP737" s="304">
        <f>'codeis $'!AE737</f>
        <v>0</v>
      </c>
      <c r="AQ737" s="304">
        <f>'codeis $'!AK737</f>
        <v>0</v>
      </c>
      <c r="AR737" s="9"/>
      <c r="AS737" s="9"/>
      <c r="AT737" s="123"/>
      <c r="AU737" s="123"/>
      <c r="AV737" s="123"/>
      <c r="AW737" s="123"/>
      <c r="AX737" s="123"/>
      <c r="AY737" s="123"/>
      <c r="AZ737" s="123"/>
      <c r="BA737" s="123"/>
      <c r="BC737" s="122"/>
      <c r="BD737" s="122"/>
      <c r="BE737" s="122"/>
      <c r="BF737" s="122"/>
      <c r="BH737" s="122"/>
      <c r="BI737" s="122"/>
      <c r="BJ737" s="122"/>
      <c r="BK737" s="122"/>
      <c r="BM737" s="122"/>
      <c r="BN737" s="122"/>
      <c r="BO737" s="122"/>
      <c r="BP737" s="122"/>
      <c r="BR737" s="122"/>
      <c r="BS737" s="122"/>
      <c r="BT737" s="122"/>
      <c r="BU737" s="122"/>
      <c r="BV737" s="439"/>
      <c r="BW737" s="120">
        <f t="shared" si="1221"/>
        <v>1450000</v>
      </c>
      <c r="BX737" s="121">
        <f t="shared" si="1181"/>
        <v>3.5000000000000003E-2</v>
      </c>
      <c r="BY737" s="121">
        <f t="shared" si="1183"/>
        <v>3.15E-2</v>
      </c>
      <c r="BZ737" s="120">
        <f t="shared" si="1222"/>
        <v>126.875</v>
      </c>
      <c r="CA737" s="120">
        <f t="shared" si="1223"/>
        <v>0</v>
      </c>
    </row>
    <row r="738" spans="1:85" x14ac:dyDescent="0.25"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G738" s="26"/>
      <c r="AH738" s="26"/>
      <c r="AI738" s="26"/>
      <c r="AJ738" s="26"/>
      <c r="AK738" s="26"/>
      <c r="AL738" s="26"/>
      <c r="AN738" s="26"/>
      <c r="AO738" s="26"/>
      <c r="AP738" s="26"/>
      <c r="AQ738" s="26"/>
      <c r="AR738" s="9"/>
      <c r="AS738" s="9"/>
      <c r="AT738" s="26"/>
      <c r="AU738" s="26"/>
      <c r="AV738" s="26"/>
      <c r="AY738" s="26"/>
      <c r="AZ738" s="26"/>
      <c r="BV738" s="439"/>
      <c r="BX738" s="33">
        <f>AVERAGE(BX373:BX737)</f>
        <v>3.5000000000000114E-2</v>
      </c>
      <c r="BY738" s="33">
        <f>AVERAGE(BY373:BY737)</f>
        <v>3.5548056677558684E-2</v>
      </c>
      <c r="BZ738" s="15">
        <f>SUM(BZ373:BZ737)</f>
        <v>1739353.5916760825</v>
      </c>
      <c r="CA738" s="15">
        <f>SUM(CA373:CA737)</f>
        <v>267312.07033342466</v>
      </c>
    </row>
    <row r="739" spans="1:8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V739"/>
      <c r="BW739"/>
      <c r="BX739"/>
      <c r="BY739"/>
      <c r="BZ739"/>
      <c r="CA739"/>
      <c r="CB739"/>
      <c r="CC739"/>
      <c r="CD739"/>
      <c r="CE739"/>
      <c r="CF739"/>
      <c r="CG739"/>
    </row>
    <row r="740" spans="1:8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V740"/>
      <c r="BW740"/>
      <c r="BX740"/>
      <c r="BY740"/>
      <c r="BZ740"/>
      <c r="CA740"/>
      <c r="CB740"/>
      <c r="CC740"/>
      <c r="CD740"/>
      <c r="CE740"/>
      <c r="CF740"/>
      <c r="CG740"/>
    </row>
    <row r="741" spans="1:85" x14ac:dyDescent="0.25">
      <c r="B741" s="123" t="str">
        <f t="shared" si="1215"/>
        <v>1 2027</v>
      </c>
      <c r="C741" s="122">
        <f>D737</f>
        <v>46387</v>
      </c>
      <c r="D741" s="122">
        <f>D737+1</f>
        <v>46388</v>
      </c>
      <c r="E741" s="123">
        <f t="shared" si="1217"/>
        <v>1</v>
      </c>
      <c r="F741" s="123" t="s">
        <v>7</v>
      </c>
      <c r="G741" s="124">
        <f t="shared" ref="G741:H741" si="1236">G737</f>
        <v>1450000</v>
      </c>
      <c r="H741" s="125">
        <f t="shared" si="1236"/>
        <v>3.15E-2</v>
      </c>
      <c r="I741" s="124">
        <f t="shared" si="1219"/>
        <v>126.875</v>
      </c>
      <c r="J741" s="124">
        <f>J737+I741</f>
        <v>45027.5</v>
      </c>
      <c r="K741" s="9"/>
      <c r="L741" s="11" t="s">
        <v>192</v>
      </c>
      <c r="M741" s="306">
        <f t="shared" ref="M741:N741" si="1237">M737</f>
        <v>0</v>
      </c>
      <c r="N741" s="97">
        <f t="shared" si="1237"/>
        <v>0</v>
      </c>
      <c r="O741" s="421">
        <f t="shared" ref="O741:O753" si="1238">M741*N741*$E741/360</f>
        <v>0</v>
      </c>
      <c r="P741" s="304">
        <f>P737+O741</f>
        <v>0</v>
      </c>
      <c r="Q741" s="307">
        <f t="shared" ref="Q741:Q753" si="1239">O741-M741*$H741*$E741/360</f>
        <v>0</v>
      </c>
      <c r="S741" s="11" t="s">
        <v>192</v>
      </c>
      <c r="T741" s="306">
        <f t="shared" ref="T741:U741" si="1240">T737</f>
        <v>0</v>
      </c>
      <c r="U741" s="97">
        <f t="shared" si="1240"/>
        <v>0</v>
      </c>
      <c r="V741" s="421">
        <f t="shared" ref="V741:V753" si="1241">T741*U741*$E741/360</f>
        <v>0</v>
      </c>
      <c r="W741" s="304">
        <f>W737+V741</f>
        <v>0</v>
      </c>
      <c r="X741" s="307">
        <f t="shared" ref="X741:X753" si="1242">V741-T741*$H741*$E741/360</f>
        <v>0</v>
      </c>
      <c r="Z741" s="11" t="s">
        <v>192</v>
      </c>
      <c r="AA741" s="306">
        <f t="shared" ref="AA741:AB741" si="1243">AA737</f>
        <v>0</v>
      </c>
      <c r="AB741" s="97">
        <f t="shared" si="1243"/>
        <v>0</v>
      </c>
      <c r="AC741" s="421">
        <f t="shared" ref="AC741:AC753" si="1244">AA741*AB741*$E741/360</f>
        <v>0</v>
      </c>
      <c r="AD741" s="304">
        <f>AD737+AC741</f>
        <v>0</v>
      </c>
      <c r="AE741" s="307">
        <f t="shared" ref="AE741:AE753" si="1245">AC741-AA741*$H741*$E741/360</f>
        <v>0</v>
      </c>
      <c r="AG741" s="11" t="s">
        <v>192</v>
      </c>
      <c r="AH741" s="306">
        <f t="shared" ref="AH741:AI741" si="1246">AH737</f>
        <v>0</v>
      </c>
      <c r="AI741" s="97">
        <f t="shared" si="1246"/>
        <v>0</v>
      </c>
      <c r="AJ741" s="421">
        <f t="shared" ref="AJ741:AJ753" si="1247">AH741*AI741*$E741/360</f>
        <v>0</v>
      </c>
      <c r="AK741" s="304">
        <f>AJ741+AJ737</f>
        <v>0</v>
      </c>
      <c r="AL741" s="307">
        <f t="shared" ref="AL741:AL753" si="1248">AJ741-AH741*$H741*$E741/360</f>
        <v>0</v>
      </c>
      <c r="AN741" s="304">
        <f>'codeis $'!AB739</f>
        <v>0</v>
      </c>
      <c r="AO741" s="340">
        <f>'codeis $'!AH739</f>
        <v>0</v>
      </c>
      <c r="AP741" s="304">
        <f>'codeis $'!AE739</f>
        <v>0</v>
      </c>
      <c r="AQ741" s="304">
        <f>'codeis $'!AK739</f>
        <v>0</v>
      </c>
      <c r="AR741" s="9"/>
      <c r="AS741" s="9"/>
      <c r="AT741" s="123"/>
      <c r="AU741" s="123"/>
      <c r="AV741" s="123"/>
      <c r="AW741" s="123"/>
      <c r="AX741" s="123"/>
      <c r="AY741" s="123"/>
      <c r="AZ741" s="123"/>
      <c r="BA741" s="123"/>
      <c r="BC741" s="122"/>
      <c r="BD741" s="122"/>
      <c r="BE741" s="122"/>
      <c r="BF741" s="122"/>
      <c r="BH741" s="122"/>
      <c r="BI741" s="122"/>
      <c r="BJ741" s="122"/>
      <c r="BK741" s="122"/>
      <c r="BM741" s="122"/>
      <c r="BN741" s="122"/>
      <c r="BO741" s="122"/>
      <c r="BP741" s="122"/>
      <c r="BR741" s="122"/>
      <c r="BS741" s="122"/>
      <c r="BT741" s="122"/>
      <c r="BU741" s="122"/>
      <c r="BV741" s="439"/>
      <c r="BW741" s="120">
        <f t="shared" si="1221"/>
        <v>1450000</v>
      </c>
      <c r="BX741" s="121">
        <f>BX737</f>
        <v>3.5000000000000003E-2</v>
      </c>
      <c r="BY741" s="121">
        <f t="shared" ref="BY741:BY753" si="1249">(SUM((AW741*AV741),(H741*G741),(M741*N741),(T741*U741),(AA741*AB741),(AH741*AI741),(AN741*AO741),(BC741*BD741),(BH741*BI741),(BM741*BN741),(BR741*BS741))/BW741)</f>
        <v>3.15E-2</v>
      </c>
      <c r="BZ741" s="120">
        <f t="shared" si="1222"/>
        <v>126.875</v>
      </c>
      <c r="CA741" s="120">
        <f t="shared" si="1223"/>
        <v>0</v>
      </c>
    </row>
    <row r="742" spans="1:85" x14ac:dyDescent="0.25">
      <c r="B742" s="123" t="str">
        <f t="shared" si="1215"/>
        <v>1 2027</v>
      </c>
      <c r="C742" s="122">
        <f t="shared" si="1216"/>
        <v>46388</v>
      </c>
      <c r="D742" s="122">
        <f t="shared" si="1184"/>
        <v>46389</v>
      </c>
      <c r="E742" s="123">
        <f t="shared" si="1217"/>
        <v>1</v>
      </c>
      <c r="F742" s="123" t="s">
        <v>7</v>
      </c>
      <c r="G742" s="124">
        <f t="shared" ref="G742:H742" si="1250">G741</f>
        <v>1450000</v>
      </c>
      <c r="H742" s="125">
        <f t="shared" si="1250"/>
        <v>3.15E-2</v>
      </c>
      <c r="I742" s="124">
        <f t="shared" si="1219"/>
        <v>126.875</v>
      </c>
      <c r="J742" s="124">
        <f t="shared" si="1220"/>
        <v>45154.375</v>
      </c>
      <c r="K742" s="9"/>
      <c r="L742" s="11" t="s">
        <v>192</v>
      </c>
      <c r="M742" s="306">
        <f t="shared" ref="M742:N742" si="1251">M741</f>
        <v>0</v>
      </c>
      <c r="N742" s="97">
        <f t="shared" si="1251"/>
        <v>0</v>
      </c>
      <c r="O742" s="421">
        <f t="shared" si="1238"/>
        <v>0</v>
      </c>
      <c r="P742" s="304">
        <f t="shared" ref="P742:P753" si="1252">P741+O742</f>
        <v>0</v>
      </c>
      <c r="Q742" s="307">
        <f t="shared" si="1239"/>
        <v>0</v>
      </c>
      <c r="S742" s="11" t="s">
        <v>192</v>
      </c>
      <c r="T742" s="306">
        <f t="shared" ref="T742:U742" si="1253">T741</f>
        <v>0</v>
      </c>
      <c r="U742" s="97">
        <f t="shared" si="1253"/>
        <v>0</v>
      </c>
      <c r="V742" s="421">
        <f t="shared" si="1241"/>
        <v>0</v>
      </c>
      <c r="W742" s="304">
        <f t="shared" ref="W742:W753" si="1254">W741+V742</f>
        <v>0</v>
      </c>
      <c r="X742" s="307">
        <f t="shared" si="1242"/>
        <v>0</v>
      </c>
      <c r="Z742" s="11" t="s">
        <v>192</v>
      </c>
      <c r="AA742" s="306">
        <f t="shared" ref="AA742:AB742" si="1255">AA741</f>
        <v>0</v>
      </c>
      <c r="AB742" s="97">
        <f t="shared" si="1255"/>
        <v>0</v>
      </c>
      <c r="AC742" s="421">
        <f t="shared" si="1244"/>
        <v>0</v>
      </c>
      <c r="AD742" s="304">
        <f t="shared" ref="AD742:AD753" si="1256">AD741+AC742</f>
        <v>0</v>
      </c>
      <c r="AE742" s="307">
        <f t="shared" si="1245"/>
        <v>0</v>
      </c>
      <c r="AG742" s="11" t="s">
        <v>192</v>
      </c>
      <c r="AH742" s="306">
        <f t="shared" ref="AH742:AI742" si="1257">AH741</f>
        <v>0</v>
      </c>
      <c r="AI742" s="97">
        <f t="shared" si="1257"/>
        <v>0</v>
      </c>
      <c r="AJ742" s="421">
        <f t="shared" si="1247"/>
        <v>0</v>
      </c>
      <c r="AK742" s="304">
        <f t="shared" ref="AK742:AK753" si="1258">AJ742+AJ741</f>
        <v>0</v>
      </c>
      <c r="AL742" s="307">
        <f t="shared" si="1248"/>
        <v>0</v>
      </c>
      <c r="AN742" s="304">
        <f>'codeis $'!AB740</f>
        <v>0</v>
      </c>
      <c r="AO742" s="340">
        <f>'codeis $'!AH740</f>
        <v>0</v>
      </c>
      <c r="AP742" s="304">
        <f>'codeis $'!AE740</f>
        <v>0</v>
      </c>
      <c r="AQ742" s="304">
        <f>'codeis $'!AK740</f>
        <v>0</v>
      </c>
      <c r="AR742" s="9"/>
      <c r="AS742" s="9"/>
      <c r="AT742" s="123"/>
      <c r="AU742" s="123"/>
      <c r="AV742" s="123"/>
      <c r="AW742" s="123"/>
      <c r="AX742" s="123"/>
      <c r="AY742" s="123"/>
      <c r="AZ742" s="123"/>
      <c r="BA742" s="123"/>
      <c r="BC742" s="122"/>
      <c r="BD742" s="122"/>
      <c r="BE742" s="122"/>
      <c r="BF742" s="122"/>
      <c r="BH742" s="122"/>
      <c r="BI742" s="122"/>
      <c r="BJ742" s="122"/>
      <c r="BK742" s="122"/>
      <c r="BM742" s="122"/>
      <c r="BN742" s="122"/>
      <c r="BO742" s="122"/>
      <c r="BP742" s="122"/>
      <c r="BR742" s="122"/>
      <c r="BS742" s="122"/>
      <c r="BT742" s="122"/>
      <c r="BU742" s="122"/>
      <c r="BV742" s="439"/>
      <c r="BW742" s="120">
        <f t="shared" si="1221"/>
        <v>1450000</v>
      </c>
      <c r="BX742" s="121">
        <f t="shared" si="1181"/>
        <v>3.5000000000000003E-2</v>
      </c>
      <c r="BY742" s="121">
        <f t="shared" si="1249"/>
        <v>3.15E-2</v>
      </c>
      <c r="BZ742" s="120">
        <f t="shared" si="1222"/>
        <v>126.875</v>
      </c>
      <c r="CA742" s="120">
        <f t="shared" si="1223"/>
        <v>0</v>
      </c>
    </row>
    <row r="743" spans="1:85" x14ac:dyDescent="0.25">
      <c r="B743" s="123" t="str">
        <f t="shared" si="1215"/>
        <v>1 2027</v>
      </c>
      <c r="C743" s="122">
        <f t="shared" si="1216"/>
        <v>46389</v>
      </c>
      <c r="D743" s="122">
        <f t="shared" si="1184"/>
        <v>46390</v>
      </c>
      <c r="E743" s="123">
        <f t="shared" si="1217"/>
        <v>1</v>
      </c>
      <c r="F743" s="123" t="s">
        <v>7</v>
      </c>
      <c r="G743" s="124">
        <f t="shared" ref="G743:H743" si="1259">G742</f>
        <v>1450000</v>
      </c>
      <c r="H743" s="125">
        <f t="shared" si="1259"/>
        <v>3.15E-2</v>
      </c>
      <c r="I743" s="124">
        <f t="shared" si="1219"/>
        <v>126.875</v>
      </c>
      <c r="J743" s="124">
        <f t="shared" si="1220"/>
        <v>45281.25</v>
      </c>
      <c r="K743" s="9"/>
      <c r="L743" s="11" t="s">
        <v>192</v>
      </c>
      <c r="M743" s="306">
        <f t="shared" ref="M743:N743" si="1260">M742</f>
        <v>0</v>
      </c>
      <c r="N743" s="97">
        <f t="shared" si="1260"/>
        <v>0</v>
      </c>
      <c r="O743" s="421">
        <f t="shared" si="1238"/>
        <v>0</v>
      </c>
      <c r="P743" s="304">
        <f t="shared" si="1252"/>
        <v>0</v>
      </c>
      <c r="Q743" s="307">
        <f t="shared" si="1239"/>
        <v>0</v>
      </c>
      <c r="S743" s="11" t="s">
        <v>192</v>
      </c>
      <c r="T743" s="306">
        <f t="shared" ref="T743:U743" si="1261">T742</f>
        <v>0</v>
      </c>
      <c r="U743" s="97">
        <f t="shared" si="1261"/>
        <v>0</v>
      </c>
      <c r="V743" s="421">
        <f t="shared" si="1241"/>
        <v>0</v>
      </c>
      <c r="W743" s="304">
        <f t="shared" si="1254"/>
        <v>0</v>
      </c>
      <c r="X743" s="307">
        <f t="shared" si="1242"/>
        <v>0</v>
      </c>
      <c r="Z743" s="11" t="s">
        <v>192</v>
      </c>
      <c r="AA743" s="306">
        <f t="shared" ref="AA743:AB743" si="1262">AA742</f>
        <v>0</v>
      </c>
      <c r="AB743" s="97">
        <f t="shared" si="1262"/>
        <v>0</v>
      </c>
      <c r="AC743" s="421">
        <f t="shared" si="1244"/>
        <v>0</v>
      </c>
      <c r="AD743" s="304">
        <f t="shared" si="1256"/>
        <v>0</v>
      </c>
      <c r="AE743" s="307">
        <f t="shared" si="1245"/>
        <v>0</v>
      </c>
      <c r="AG743" s="11" t="s">
        <v>192</v>
      </c>
      <c r="AH743" s="306">
        <f t="shared" ref="AH743:AI743" si="1263">AH742</f>
        <v>0</v>
      </c>
      <c r="AI743" s="97">
        <f t="shared" si="1263"/>
        <v>0</v>
      </c>
      <c r="AJ743" s="421">
        <f t="shared" si="1247"/>
        <v>0</v>
      </c>
      <c r="AK743" s="304">
        <f t="shared" si="1258"/>
        <v>0</v>
      </c>
      <c r="AL743" s="307">
        <f t="shared" si="1248"/>
        <v>0</v>
      </c>
      <c r="AN743" s="304">
        <f>'codeis $'!AB741</f>
        <v>0</v>
      </c>
      <c r="AO743" s="340">
        <f>'codeis $'!AH741</f>
        <v>0</v>
      </c>
      <c r="AP743" s="304">
        <f>'codeis $'!AE741</f>
        <v>0</v>
      </c>
      <c r="AQ743" s="304">
        <f>'codeis $'!AK741</f>
        <v>0</v>
      </c>
      <c r="AR743" s="9"/>
      <c r="AS743" s="9"/>
      <c r="AT743" s="123"/>
      <c r="AU743" s="123"/>
      <c r="AV743" s="123"/>
      <c r="AW743" s="123"/>
      <c r="AX743" s="123"/>
      <c r="AY743" s="123"/>
      <c r="AZ743" s="123"/>
      <c r="BA743" s="123"/>
      <c r="BC743" s="122"/>
      <c r="BD743" s="122"/>
      <c r="BE743" s="122"/>
      <c r="BF743" s="122"/>
      <c r="BH743" s="122"/>
      <c r="BI743" s="122"/>
      <c r="BJ743" s="122"/>
      <c r="BK743" s="122"/>
      <c r="BM743" s="122"/>
      <c r="BN743" s="122"/>
      <c r="BO743" s="122"/>
      <c r="BP743" s="122"/>
      <c r="BR743" s="122"/>
      <c r="BS743" s="122"/>
      <c r="BT743" s="122"/>
      <c r="BU743" s="122"/>
      <c r="BV743" s="439"/>
      <c r="BW743" s="120">
        <f t="shared" si="1221"/>
        <v>1450000</v>
      </c>
      <c r="BX743" s="121">
        <f t="shared" si="1181"/>
        <v>3.5000000000000003E-2</v>
      </c>
      <c r="BY743" s="121">
        <f t="shared" si="1249"/>
        <v>3.15E-2</v>
      </c>
      <c r="BZ743" s="120">
        <f t="shared" si="1222"/>
        <v>126.875</v>
      </c>
      <c r="CA743" s="120">
        <f t="shared" si="1223"/>
        <v>0</v>
      </c>
    </row>
    <row r="744" spans="1:85" x14ac:dyDescent="0.25">
      <c r="B744" s="123" t="str">
        <f t="shared" si="1215"/>
        <v>1 2027</v>
      </c>
      <c r="C744" s="122">
        <f t="shared" si="1216"/>
        <v>46390</v>
      </c>
      <c r="D744" s="122">
        <f t="shared" si="1184"/>
        <v>46391</v>
      </c>
      <c r="E744" s="123">
        <f t="shared" si="1217"/>
        <v>1</v>
      </c>
      <c r="F744" s="123" t="s">
        <v>7</v>
      </c>
      <c r="G744" s="124">
        <f t="shared" ref="G744:H744" si="1264">G743</f>
        <v>1450000</v>
      </c>
      <c r="H744" s="125">
        <f t="shared" si="1264"/>
        <v>3.15E-2</v>
      </c>
      <c r="I744" s="124">
        <f t="shared" si="1219"/>
        <v>126.875</v>
      </c>
      <c r="J744" s="124">
        <f t="shared" si="1220"/>
        <v>45408.125</v>
      </c>
      <c r="K744" s="9"/>
      <c r="L744" s="11" t="s">
        <v>192</v>
      </c>
      <c r="M744" s="306">
        <f t="shared" ref="M744:N744" si="1265">M743</f>
        <v>0</v>
      </c>
      <c r="N744" s="97">
        <f t="shared" si="1265"/>
        <v>0</v>
      </c>
      <c r="O744" s="421">
        <f t="shared" si="1238"/>
        <v>0</v>
      </c>
      <c r="P744" s="304">
        <f t="shared" si="1252"/>
        <v>0</v>
      </c>
      <c r="Q744" s="307">
        <f t="shared" si="1239"/>
        <v>0</v>
      </c>
      <c r="S744" s="11" t="s">
        <v>192</v>
      </c>
      <c r="T744" s="306">
        <f t="shared" ref="T744:U744" si="1266">T743</f>
        <v>0</v>
      </c>
      <c r="U744" s="97">
        <f t="shared" si="1266"/>
        <v>0</v>
      </c>
      <c r="V744" s="421">
        <f t="shared" si="1241"/>
        <v>0</v>
      </c>
      <c r="W744" s="304">
        <f t="shared" si="1254"/>
        <v>0</v>
      </c>
      <c r="X744" s="307">
        <f t="shared" si="1242"/>
        <v>0</v>
      </c>
      <c r="Z744" s="11" t="s">
        <v>192</v>
      </c>
      <c r="AA744" s="306">
        <f t="shared" ref="AA744:AB744" si="1267">AA743</f>
        <v>0</v>
      </c>
      <c r="AB744" s="97">
        <f t="shared" si="1267"/>
        <v>0</v>
      </c>
      <c r="AC744" s="421">
        <f t="shared" si="1244"/>
        <v>0</v>
      </c>
      <c r="AD744" s="304">
        <f t="shared" si="1256"/>
        <v>0</v>
      </c>
      <c r="AE744" s="307">
        <f t="shared" si="1245"/>
        <v>0</v>
      </c>
      <c r="AG744" s="11" t="s">
        <v>192</v>
      </c>
      <c r="AH744" s="306">
        <f t="shared" ref="AH744:AI744" si="1268">AH743</f>
        <v>0</v>
      </c>
      <c r="AI744" s="97">
        <f t="shared" si="1268"/>
        <v>0</v>
      </c>
      <c r="AJ744" s="421">
        <f t="shared" si="1247"/>
        <v>0</v>
      </c>
      <c r="AK744" s="304">
        <f t="shared" si="1258"/>
        <v>0</v>
      </c>
      <c r="AL744" s="307">
        <f t="shared" si="1248"/>
        <v>0</v>
      </c>
      <c r="AN744" s="304">
        <f>'codeis $'!AB742</f>
        <v>0</v>
      </c>
      <c r="AO744" s="340">
        <f>'codeis $'!AH742</f>
        <v>0</v>
      </c>
      <c r="AP744" s="304">
        <f>'codeis $'!AE742</f>
        <v>0</v>
      </c>
      <c r="AQ744" s="304">
        <f>'codeis $'!AK742</f>
        <v>0</v>
      </c>
      <c r="AR744" s="9"/>
      <c r="AS744" s="9"/>
      <c r="AT744" s="123"/>
      <c r="AU744" s="123"/>
      <c r="AV744" s="123"/>
      <c r="AW744" s="123"/>
      <c r="AX744" s="123"/>
      <c r="AY744" s="123"/>
      <c r="AZ744" s="123"/>
      <c r="BA744" s="123"/>
      <c r="BC744" s="122"/>
      <c r="BD744" s="122"/>
      <c r="BE744" s="122"/>
      <c r="BF744" s="122"/>
      <c r="BH744" s="122"/>
      <c r="BI744" s="122"/>
      <c r="BJ744" s="122"/>
      <c r="BK744" s="122"/>
      <c r="BM744" s="122"/>
      <c r="BN744" s="122"/>
      <c r="BO744" s="122"/>
      <c r="BP744" s="122"/>
      <c r="BR744" s="122"/>
      <c r="BS744" s="122"/>
      <c r="BT744" s="122"/>
      <c r="BU744" s="122"/>
      <c r="BV744" s="439"/>
      <c r="BW744" s="120">
        <f t="shared" si="1221"/>
        <v>1450000</v>
      </c>
      <c r="BX744" s="121">
        <f t="shared" si="1181"/>
        <v>3.5000000000000003E-2</v>
      </c>
      <c r="BY744" s="121">
        <f t="shared" si="1249"/>
        <v>3.15E-2</v>
      </c>
      <c r="BZ744" s="120">
        <f t="shared" si="1222"/>
        <v>126.875</v>
      </c>
      <c r="CA744" s="120">
        <f t="shared" si="1223"/>
        <v>0</v>
      </c>
    </row>
    <row r="745" spans="1:85" x14ac:dyDescent="0.25">
      <c r="B745" s="123" t="str">
        <f t="shared" si="1215"/>
        <v>1 2027</v>
      </c>
      <c r="C745" s="122">
        <f t="shared" si="1216"/>
        <v>46391</v>
      </c>
      <c r="D745" s="122">
        <f t="shared" si="1184"/>
        <v>46392</v>
      </c>
      <c r="E745" s="123">
        <f t="shared" si="1217"/>
        <v>1</v>
      </c>
      <c r="F745" s="123" t="s">
        <v>7</v>
      </c>
      <c r="G745" s="124">
        <f t="shared" ref="G745:H745" si="1269">G744</f>
        <v>1450000</v>
      </c>
      <c r="H745" s="125">
        <f t="shared" si="1269"/>
        <v>3.15E-2</v>
      </c>
      <c r="I745" s="124">
        <f t="shared" si="1219"/>
        <v>126.875</v>
      </c>
      <c r="J745" s="124">
        <f t="shared" si="1220"/>
        <v>45535</v>
      </c>
      <c r="K745" s="9"/>
      <c r="L745" s="11" t="s">
        <v>192</v>
      </c>
      <c r="M745" s="306">
        <f t="shared" ref="M745:N745" si="1270">M744</f>
        <v>0</v>
      </c>
      <c r="N745" s="97">
        <f t="shared" si="1270"/>
        <v>0</v>
      </c>
      <c r="O745" s="421">
        <f t="shared" si="1238"/>
        <v>0</v>
      </c>
      <c r="P745" s="304">
        <f t="shared" si="1252"/>
        <v>0</v>
      </c>
      <c r="Q745" s="307">
        <f t="shared" si="1239"/>
        <v>0</v>
      </c>
      <c r="S745" s="11" t="s">
        <v>192</v>
      </c>
      <c r="T745" s="306">
        <f t="shared" ref="T745:U745" si="1271">T744</f>
        <v>0</v>
      </c>
      <c r="U745" s="97">
        <f t="shared" si="1271"/>
        <v>0</v>
      </c>
      <c r="V745" s="421">
        <f t="shared" si="1241"/>
        <v>0</v>
      </c>
      <c r="W745" s="304">
        <f t="shared" si="1254"/>
        <v>0</v>
      </c>
      <c r="X745" s="307">
        <f t="shared" si="1242"/>
        <v>0</v>
      </c>
      <c r="Z745" s="11" t="s">
        <v>192</v>
      </c>
      <c r="AA745" s="306">
        <f t="shared" ref="AA745:AB745" si="1272">AA744</f>
        <v>0</v>
      </c>
      <c r="AB745" s="97">
        <f t="shared" si="1272"/>
        <v>0</v>
      </c>
      <c r="AC745" s="421">
        <f t="shared" si="1244"/>
        <v>0</v>
      </c>
      <c r="AD745" s="304">
        <f t="shared" si="1256"/>
        <v>0</v>
      </c>
      <c r="AE745" s="307">
        <f t="shared" si="1245"/>
        <v>0</v>
      </c>
      <c r="AG745" s="11" t="s">
        <v>192</v>
      </c>
      <c r="AH745" s="306">
        <f t="shared" ref="AH745:AI745" si="1273">AH744</f>
        <v>0</v>
      </c>
      <c r="AI745" s="97">
        <f t="shared" si="1273"/>
        <v>0</v>
      </c>
      <c r="AJ745" s="421">
        <f t="shared" si="1247"/>
        <v>0</v>
      </c>
      <c r="AK745" s="304">
        <f t="shared" si="1258"/>
        <v>0</v>
      </c>
      <c r="AL745" s="307">
        <f t="shared" si="1248"/>
        <v>0</v>
      </c>
      <c r="AN745" s="304">
        <f>'codeis $'!AB743</f>
        <v>0</v>
      </c>
      <c r="AO745" s="340">
        <f>'codeis $'!AH743</f>
        <v>0</v>
      </c>
      <c r="AP745" s="304">
        <f>'codeis $'!AE743</f>
        <v>0</v>
      </c>
      <c r="AQ745" s="304">
        <f>'codeis $'!AK743</f>
        <v>0</v>
      </c>
      <c r="AR745" s="9"/>
      <c r="AS745" s="9"/>
      <c r="AT745" s="123"/>
      <c r="AU745" s="123"/>
      <c r="AV745" s="123"/>
      <c r="AW745" s="123"/>
      <c r="AX745" s="123"/>
      <c r="AY745" s="123"/>
      <c r="AZ745" s="123"/>
      <c r="BA745" s="123"/>
      <c r="BC745" s="122"/>
      <c r="BD745" s="122"/>
      <c r="BE745" s="122"/>
      <c r="BF745" s="122"/>
      <c r="BH745" s="122"/>
      <c r="BI745" s="122"/>
      <c r="BJ745" s="122"/>
      <c r="BK745" s="122"/>
      <c r="BM745" s="122"/>
      <c r="BN745" s="122"/>
      <c r="BO745" s="122"/>
      <c r="BP745" s="122"/>
      <c r="BR745" s="122"/>
      <c r="BS745" s="122"/>
      <c r="BT745" s="122"/>
      <c r="BU745" s="122"/>
      <c r="BV745" s="439"/>
      <c r="BW745" s="120">
        <f t="shared" si="1221"/>
        <v>1450000</v>
      </c>
      <c r="BX745" s="121">
        <f t="shared" si="1181"/>
        <v>3.5000000000000003E-2</v>
      </c>
      <c r="BY745" s="121">
        <f t="shared" si="1249"/>
        <v>3.15E-2</v>
      </c>
      <c r="BZ745" s="120">
        <f t="shared" si="1222"/>
        <v>126.875</v>
      </c>
      <c r="CA745" s="120">
        <f t="shared" si="1223"/>
        <v>0</v>
      </c>
    </row>
    <row r="746" spans="1:85" x14ac:dyDescent="0.25">
      <c r="B746" s="123" t="str">
        <f t="shared" si="1215"/>
        <v>1 2027</v>
      </c>
      <c r="C746" s="122">
        <f t="shared" si="1216"/>
        <v>46392</v>
      </c>
      <c r="D746" s="122">
        <f t="shared" si="1184"/>
        <v>46393</v>
      </c>
      <c r="E746" s="123">
        <f t="shared" si="1217"/>
        <v>1</v>
      </c>
      <c r="F746" s="123" t="s">
        <v>7</v>
      </c>
      <c r="G746" s="124">
        <f t="shared" ref="G746:H746" si="1274">G745</f>
        <v>1450000</v>
      </c>
      <c r="H746" s="125">
        <f t="shared" si="1274"/>
        <v>3.15E-2</v>
      </c>
      <c r="I746" s="124">
        <f t="shared" si="1219"/>
        <v>126.875</v>
      </c>
      <c r="J746" s="124">
        <f t="shared" si="1220"/>
        <v>45661.875</v>
      </c>
      <c r="K746" s="9"/>
      <c r="L746" s="11" t="s">
        <v>192</v>
      </c>
      <c r="M746" s="306">
        <f t="shared" ref="M746:N746" si="1275">M745</f>
        <v>0</v>
      </c>
      <c r="N746" s="97">
        <f t="shared" si="1275"/>
        <v>0</v>
      </c>
      <c r="O746" s="421">
        <f t="shared" si="1238"/>
        <v>0</v>
      </c>
      <c r="P746" s="304">
        <f t="shared" si="1252"/>
        <v>0</v>
      </c>
      <c r="Q746" s="307">
        <f t="shared" si="1239"/>
        <v>0</v>
      </c>
      <c r="S746" s="11" t="s">
        <v>192</v>
      </c>
      <c r="T746" s="306">
        <f t="shared" ref="T746:U746" si="1276">T745</f>
        <v>0</v>
      </c>
      <c r="U746" s="97">
        <f t="shared" si="1276"/>
        <v>0</v>
      </c>
      <c r="V746" s="421">
        <f t="shared" si="1241"/>
        <v>0</v>
      </c>
      <c r="W746" s="304">
        <f t="shared" si="1254"/>
        <v>0</v>
      </c>
      <c r="X746" s="307">
        <f t="shared" si="1242"/>
        <v>0</v>
      </c>
      <c r="Z746" s="11" t="s">
        <v>192</v>
      </c>
      <c r="AA746" s="306">
        <f t="shared" ref="AA746:AB746" si="1277">AA745</f>
        <v>0</v>
      </c>
      <c r="AB746" s="97">
        <f t="shared" si="1277"/>
        <v>0</v>
      </c>
      <c r="AC746" s="421">
        <f t="shared" si="1244"/>
        <v>0</v>
      </c>
      <c r="AD746" s="304">
        <f t="shared" si="1256"/>
        <v>0</v>
      </c>
      <c r="AE746" s="307">
        <f t="shared" si="1245"/>
        <v>0</v>
      </c>
      <c r="AG746" s="11" t="s">
        <v>192</v>
      </c>
      <c r="AH746" s="306">
        <f t="shared" ref="AH746:AI746" si="1278">AH745</f>
        <v>0</v>
      </c>
      <c r="AI746" s="97">
        <f t="shared" si="1278"/>
        <v>0</v>
      </c>
      <c r="AJ746" s="421">
        <f t="shared" si="1247"/>
        <v>0</v>
      </c>
      <c r="AK746" s="304">
        <f t="shared" si="1258"/>
        <v>0</v>
      </c>
      <c r="AL746" s="307">
        <f t="shared" si="1248"/>
        <v>0</v>
      </c>
      <c r="AN746" s="304">
        <f>'codeis $'!AB744</f>
        <v>0</v>
      </c>
      <c r="AO746" s="340">
        <f>'codeis $'!AH744</f>
        <v>0</v>
      </c>
      <c r="AP746" s="304">
        <f>'codeis $'!AE744</f>
        <v>0</v>
      </c>
      <c r="AQ746" s="304">
        <f>'codeis $'!AK744</f>
        <v>0</v>
      </c>
      <c r="AR746" s="9"/>
      <c r="AS746" s="9"/>
      <c r="AT746" s="123"/>
      <c r="AU746" s="123"/>
      <c r="AV746" s="123"/>
      <c r="AW746" s="123"/>
      <c r="AX746" s="123"/>
      <c r="AY746" s="123"/>
      <c r="AZ746" s="123"/>
      <c r="BA746" s="123"/>
      <c r="BC746" s="122"/>
      <c r="BD746" s="122"/>
      <c r="BE746" s="122"/>
      <c r="BF746" s="122"/>
      <c r="BH746" s="122"/>
      <c r="BI746" s="122"/>
      <c r="BJ746" s="122"/>
      <c r="BK746" s="122"/>
      <c r="BM746" s="122"/>
      <c r="BN746" s="122"/>
      <c r="BO746" s="122"/>
      <c r="BP746" s="122"/>
      <c r="BR746" s="122"/>
      <c r="BS746" s="122"/>
      <c r="BT746" s="122"/>
      <c r="BU746" s="122"/>
      <c r="BV746" s="439"/>
      <c r="BW746" s="120">
        <f t="shared" si="1221"/>
        <v>1450000</v>
      </c>
      <c r="BX746" s="121">
        <f t="shared" si="1181"/>
        <v>3.5000000000000003E-2</v>
      </c>
      <c r="BY746" s="121">
        <f t="shared" si="1249"/>
        <v>3.15E-2</v>
      </c>
      <c r="BZ746" s="120">
        <f t="shared" si="1222"/>
        <v>126.875</v>
      </c>
      <c r="CA746" s="120">
        <f t="shared" si="1223"/>
        <v>0</v>
      </c>
    </row>
    <row r="747" spans="1:85" x14ac:dyDescent="0.25">
      <c r="B747" s="123" t="str">
        <f t="shared" si="1215"/>
        <v>1 2027</v>
      </c>
      <c r="C747" s="122">
        <f t="shared" si="1216"/>
        <v>46393</v>
      </c>
      <c r="D747" s="122">
        <f t="shared" si="1184"/>
        <v>46394</v>
      </c>
      <c r="E747" s="123">
        <f t="shared" si="1217"/>
        <v>1</v>
      </c>
      <c r="F747" s="123" t="s">
        <v>7</v>
      </c>
      <c r="G747" s="124">
        <f t="shared" ref="G747:H747" si="1279">G746</f>
        <v>1450000</v>
      </c>
      <c r="H747" s="125">
        <f t="shared" si="1279"/>
        <v>3.15E-2</v>
      </c>
      <c r="I747" s="124">
        <f t="shared" si="1219"/>
        <v>126.875</v>
      </c>
      <c r="J747" s="124">
        <f t="shared" si="1220"/>
        <v>45788.75</v>
      </c>
      <c r="K747" s="9"/>
      <c r="L747" s="11" t="s">
        <v>192</v>
      </c>
      <c r="M747" s="306">
        <f t="shared" ref="M747:N747" si="1280">M746</f>
        <v>0</v>
      </c>
      <c r="N747" s="97">
        <f t="shared" si="1280"/>
        <v>0</v>
      </c>
      <c r="O747" s="421">
        <f t="shared" si="1238"/>
        <v>0</v>
      </c>
      <c r="P747" s="304">
        <f t="shared" si="1252"/>
        <v>0</v>
      </c>
      <c r="Q747" s="307">
        <f t="shared" si="1239"/>
        <v>0</v>
      </c>
      <c r="S747" s="11" t="s">
        <v>192</v>
      </c>
      <c r="T747" s="306">
        <f t="shared" ref="T747:U747" si="1281">T746</f>
        <v>0</v>
      </c>
      <c r="U747" s="97">
        <f t="shared" si="1281"/>
        <v>0</v>
      </c>
      <c r="V747" s="421">
        <f t="shared" si="1241"/>
        <v>0</v>
      </c>
      <c r="W747" s="304">
        <f t="shared" si="1254"/>
        <v>0</v>
      </c>
      <c r="X747" s="307">
        <f t="shared" si="1242"/>
        <v>0</v>
      </c>
      <c r="Z747" s="11" t="s">
        <v>192</v>
      </c>
      <c r="AA747" s="306">
        <f t="shared" ref="AA747:AB747" si="1282">AA746</f>
        <v>0</v>
      </c>
      <c r="AB747" s="97">
        <f t="shared" si="1282"/>
        <v>0</v>
      </c>
      <c r="AC747" s="421">
        <f t="shared" si="1244"/>
        <v>0</v>
      </c>
      <c r="AD747" s="304">
        <f t="shared" si="1256"/>
        <v>0</v>
      </c>
      <c r="AE747" s="307">
        <f t="shared" si="1245"/>
        <v>0</v>
      </c>
      <c r="AG747" s="11" t="s">
        <v>192</v>
      </c>
      <c r="AH747" s="306">
        <f t="shared" ref="AH747:AI747" si="1283">AH746</f>
        <v>0</v>
      </c>
      <c r="AI747" s="97">
        <f t="shared" si="1283"/>
        <v>0</v>
      </c>
      <c r="AJ747" s="421">
        <f t="shared" si="1247"/>
        <v>0</v>
      </c>
      <c r="AK747" s="304">
        <f t="shared" si="1258"/>
        <v>0</v>
      </c>
      <c r="AL747" s="307">
        <f t="shared" si="1248"/>
        <v>0</v>
      </c>
      <c r="AN747" s="304">
        <f>'codeis $'!AB745</f>
        <v>0</v>
      </c>
      <c r="AO747" s="340">
        <f>'codeis $'!AH745</f>
        <v>0</v>
      </c>
      <c r="AP747" s="304">
        <f>'codeis $'!AE745</f>
        <v>0</v>
      </c>
      <c r="AQ747" s="304">
        <f>'codeis $'!AK745</f>
        <v>0</v>
      </c>
      <c r="AR747" s="9"/>
      <c r="AS747" s="9"/>
      <c r="AT747" s="123"/>
      <c r="AU747" s="123"/>
      <c r="AV747" s="123"/>
      <c r="AW747" s="123"/>
      <c r="AX747" s="123"/>
      <c r="AY747" s="123"/>
      <c r="AZ747" s="123"/>
      <c r="BA747" s="123"/>
      <c r="BC747" s="122"/>
      <c r="BD747" s="122"/>
      <c r="BE747" s="122"/>
      <c r="BF747" s="122"/>
      <c r="BH747" s="122"/>
      <c r="BI747" s="122"/>
      <c r="BJ747" s="122"/>
      <c r="BK747" s="122"/>
      <c r="BM747" s="122"/>
      <c r="BN747" s="122"/>
      <c r="BO747" s="122"/>
      <c r="BP747" s="122"/>
      <c r="BR747" s="122"/>
      <c r="BS747" s="122"/>
      <c r="BT747" s="122"/>
      <c r="BU747" s="122"/>
      <c r="BV747" s="439"/>
      <c r="BW747" s="120">
        <f t="shared" si="1221"/>
        <v>1450000</v>
      </c>
      <c r="BX747" s="121">
        <f t="shared" si="1181"/>
        <v>3.5000000000000003E-2</v>
      </c>
      <c r="BY747" s="121">
        <f t="shared" si="1249"/>
        <v>3.15E-2</v>
      </c>
      <c r="BZ747" s="120">
        <f t="shared" si="1222"/>
        <v>126.875</v>
      </c>
      <c r="CA747" s="120">
        <f t="shared" si="1223"/>
        <v>0</v>
      </c>
    </row>
    <row r="748" spans="1:85" x14ac:dyDescent="0.25">
      <c r="B748" s="123" t="str">
        <f t="shared" si="1215"/>
        <v>1 2027</v>
      </c>
      <c r="C748" s="122">
        <f t="shared" si="1216"/>
        <v>46394</v>
      </c>
      <c r="D748" s="122">
        <f t="shared" si="1184"/>
        <v>46395</v>
      </c>
      <c r="E748" s="123">
        <f t="shared" si="1217"/>
        <v>1</v>
      </c>
      <c r="F748" s="123" t="s">
        <v>7</v>
      </c>
      <c r="G748" s="124">
        <f t="shared" ref="G748:H748" si="1284">G747</f>
        <v>1450000</v>
      </c>
      <c r="H748" s="125">
        <f t="shared" si="1284"/>
        <v>3.15E-2</v>
      </c>
      <c r="I748" s="124">
        <f t="shared" si="1219"/>
        <v>126.875</v>
      </c>
      <c r="J748" s="124">
        <f t="shared" si="1220"/>
        <v>45915.625</v>
      </c>
      <c r="K748" s="9"/>
      <c r="L748" s="11" t="s">
        <v>192</v>
      </c>
      <c r="M748" s="306">
        <f t="shared" ref="M748:N748" si="1285">M747</f>
        <v>0</v>
      </c>
      <c r="N748" s="97">
        <f t="shared" si="1285"/>
        <v>0</v>
      </c>
      <c r="O748" s="421">
        <f t="shared" si="1238"/>
        <v>0</v>
      </c>
      <c r="P748" s="304">
        <f t="shared" si="1252"/>
        <v>0</v>
      </c>
      <c r="Q748" s="307">
        <f t="shared" si="1239"/>
        <v>0</v>
      </c>
      <c r="S748" s="11" t="s">
        <v>192</v>
      </c>
      <c r="T748" s="306">
        <f t="shared" ref="T748:U748" si="1286">T747</f>
        <v>0</v>
      </c>
      <c r="U748" s="97">
        <f t="shared" si="1286"/>
        <v>0</v>
      </c>
      <c r="V748" s="421">
        <f t="shared" si="1241"/>
        <v>0</v>
      </c>
      <c r="W748" s="304">
        <f t="shared" si="1254"/>
        <v>0</v>
      </c>
      <c r="X748" s="307">
        <f t="shared" si="1242"/>
        <v>0</v>
      </c>
      <c r="Z748" s="11" t="s">
        <v>192</v>
      </c>
      <c r="AA748" s="306">
        <f t="shared" ref="AA748:AB748" si="1287">AA747</f>
        <v>0</v>
      </c>
      <c r="AB748" s="97">
        <f t="shared" si="1287"/>
        <v>0</v>
      </c>
      <c r="AC748" s="421">
        <f t="shared" si="1244"/>
        <v>0</v>
      </c>
      <c r="AD748" s="304">
        <f t="shared" si="1256"/>
        <v>0</v>
      </c>
      <c r="AE748" s="307">
        <f t="shared" si="1245"/>
        <v>0</v>
      </c>
      <c r="AG748" s="11" t="s">
        <v>192</v>
      </c>
      <c r="AH748" s="306">
        <f t="shared" ref="AH748:AI748" si="1288">AH747</f>
        <v>0</v>
      </c>
      <c r="AI748" s="97">
        <f t="shared" si="1288"/>
        <v>0</v>
      </c>
      <c r="AJ748" s="421">
        <f t="shared" si="1247"/>
        <v>0</v>
      </c>
      <c r="AK748" s="304">
        <f t="shared" si="1258"/>
        <v>0</v>
      </c>
      <c r="AL748" s="307">
        <f t="shared" si="1248"/>
        <v>0</v>
      </c>
      <c r="AN748" s="304">
        <f>'codeis $'!AB746</f>
        <v>0</v>
      </c>
      <c r="AO748" s="340">
        <f>'codeis $'!AH746</f>
        <v>0</v>
      </c>
      <c r="AP748" s="304">
        <f>'codeis $'!AE746</f>
        <v>0</v>
      </c>
      <c r="AQ748" s="304">
        <f>'codeis $'!AK746</f>
        <v>0</v>
      </c>
      <c r="AR748" s="9"/>
      <c r="AS748" s="9"/>
      <c r="AT748" s="123"/>
      <c r="AU748" s="123"/>
      <c r="AV748" s="123"/>
      <c r="AW748" s="123"/>
      <c r="AX748" s="123"/>
      <c r="AY748" s="123"/>
      <c r="AZ748" s="123"/>
      <c r="BA748" s="123"/>
      <c r="BC748" s="122"/>
      <c r="BD748" s="122"/>
      <c r="BE748" s="122"/>
      <c r="BF748" s="122"/>
      <c r="BH748" s="122"/>
      <c r="BI748" s="122"/>
      <c r="BJ748" s="122"/>
      <c r="BK748" s="122"/>
      <c r="BM748" s="122"/>
      <c r="BN748" s="122"/>
      <c r="BO748" s="122"/>
      <c r="BP748" s="122"/>
      <c r="BR748" s="122"/>
      <c r="BS748" s="122"/>
      <c r="BT748" s="122"/>
      <c r="BU748" s="122"/>
      <c r="BV748" s="439"/>
      <c r="BW748" s="120">
        <f t="shared" si="1221"/>
        <v>1450000</v>
      </c>
      <c r="BX748" s="121">
        <f t="shared" si="1181"/>
        <v>3.5000000000000003E-2</v>
      </c>
      <c r="BY748" s="121">
        <f t="shared" si="1249"/>
        <v>3.15E-2</v>
      </c>
      <c r="BZ748" s="120">
        <f t="shared" si="1222"/>
        <v>126.875</v>
      </c>
      <c r="CA748" s="120">
        <f t="shared" si="1223"/>
        <v>0</v>
      </c>
    </row>
    <row r="749" spans="1:85" x14ac:dyDescent="0.25">
      <c r="B749" s="123" t="str">
        <f t="shared" si="1215"/>
        <v>1 2027</v>
      </c>
      <c r="C749" s="122">
        <f t="shared" si="1216"/>
        <v>46395</v>
      </c>
      <c r="D749" s="122">
        <f t="shared" si="1184"/>
        <v>46396</v>
      </c>
      <c r="E749" s="123">
        <f t="shared" si="1217"/>
        <v>1</v>
      </c>
      <c r="F749" s="123" t="s">
        <v>7</v>
      </c>
      <c r="G749" s="124">
        <f t="shared" ref="G749:H749" si="1289">G748</f>
        <v>1450000</v>
      </c>
      <c r="H749" s="125">
        <f t="shared" si="1289"/>
        <v>3.15E-2</v>
      </c>
      <c r="I749" s="124">
        <f t="shared" si="1219"/>
        <v>126.875</v>
      </c>
      <c r="J749" s="124">
        <f t="shared" si="1220"/>
        <v>46042.5</v>
      </c>
      <c r="K749" s="9"/>
      <c r="L749" s="11" t="s">
        <v>192</v>
      </c>
      <c r="M749" s="306">
        <f t="shared" ref="M749:N749" si="1290">M748</f>
        <v>0</v>
      </c>
      <c r="N749" s="97">
        <f t="shared" si="1290"/>
        <v>0</v>
      </c>
      <c r="O749" s="421">
        <f t="shared" si="1238"/>
        <v>0</v>
      </c>
      <c r="P749" s="304">
        <f t="shared" si="1252"/>
        <v>0</v>
      </c>
      <c r="Q749" s="307">
        <f t="shared" si="1239"/>
        <v>0</v>
      </c>
      <c r="S749" s="11" t="s">
        <v>192</v>
      </c>
      <c r="T749" s="306">
        <f t="shared" ref="T749:U749" si="1291">T748</f>
        <v>0</v>
      </c>
      <c r="U749" s="97">
        <f t="shared" si="1291"/>
        <v>0</v>
      </c>
      <c r="V749" s="421">
        <f t="shared" si="1241"/>
        <v>0</v>
      </c>
      <c r="W749" s="304">
        <f t="shared" si="1254"/>
        <v>0</v>
      </c>
      <c r="X749" s="307">
        <f t="shared" si="1242"/>
        <v>0</v>
      </c>
      <c r="Z749" s="11" t="s">
        <v>192</v>
      </c>
      <c r="AA749" s="306">
        <f t="shared" ref="AA749:AB749" si="1292">AA748</f>
        <v>0</v>
      </c>
      <c r="AB749" s="97">
        <f t="shared" si="1292"/>
        <v>0</v>
      </c>
      <c r="AC749" s="421">
        <f t="shared" si="1244"/>
        <v>0</v>
      </c>
      <c r="AD749" s="304">
        <f t="shared" si="1256"/>
        <v>0</v>
      </c>
      <c r="AE749" s="307">
        <f t="shared" si="1245"/>
        <v>0</v>
      </c>
      <c r="AG749" s="11" t="s">
        <v>192</v>
      </c>
      <c r="AH749" s="306">
        <f t="shared" ref="AH749:AI749" si="1293">AH748</f>
        <v>0</v>
      </c>
      <c r="AI749" s="97">
        <f t="shared" si="1293"/>
        <v>0</v>
      </c>
      <c r="AJ749" s="421">
        <f t="shared" si="1247"/>
        <v>0</v>
      </c>
      <c r="AK749" s="304">
        <f t="shared" si="1258"/>
        <v>0</v>
      </c>
      <c r="AL749" s="307">
        <f t="shared" si="1248"/>
        <v>0</v>
      </c>
      <c r="AN749" s="304">
        <f>'codeis $'!AB747</f>
        <v>0</v>
      </c>
      <c r="AO749" s="340">
        <f>'codeis $'!AH747</f>
        <v>0</v>
      </c>
      <c r="AP749" s="304">
        <f>'codeis $'!AE747</f>
        <v>0</v>
      </c>
      <c r="AQ749" s="304">
        <f>'codeis $'!AK747</f>
        <v>0</v>
      </c>
      <c r="AR749" s="9"/>
      <c r="AS749" s="9"/>
      <c r="AT749" s="123"/>
      <c r="AU749" s="123"/>
      <c r="AV749" s="123"/>
      <c r="AW749" s="123"/>
      <c r="AX749" s="123"/>
      <c r="AY749" s="123"/>
      <c r="AZ749" s="123"/>
      <c r="BA749" s="123"/>
      <c r="BC749" s="122"/>
      <c r="BD749" s="122"/>
      <c r="BE749" s="122"/>
      <c r="BF749" s="122"/>
      <c r="BH749" s="122"/>
      <c r="BI749" s="122"/>
      <c r="BJ749" s="122"/>
      <c r="BK749" s="122"/>
      <c r="BM749" s="122"/>
      <c r="BN749" s="122"/>
      <c r="BO749" s="122"/>
      <c r="BP749" s="122"/>
      <c r="BR749" s="122"/>
      <c r="BS749" s="122"/>
      <c r="BT749" s="122"/>
      <c r="BU749" s="122"/>
      <c r="BV749" s="439"/>
      <c r="BW749" s="120">
        <f t="shared" si="1221"/>
        <v>1450000</v>
      </c>
      <c r="BX749" s="121">
        <f t="shared" si="1181"/>
        <v>3.5000000000000003E-2</v>
      </c>
      <c r="BY749" s="121">
        <f t="shared" si="1249"/>
        <v>3.15E-2</v>
      </c>
      <c r="BZ749" s="120">
        <f t="shared" si="1222"/>
        <v>126.875</v>
      </c>
      <c r="CA749" s="120">
        <f t="shared" si="1223"/>
        <v>0</v>
      </c>
    </row>
    <row r="750" spans="1:85" x14ac:dyDescent="0.25">
      <c r="B750" s="123" t="str">
        <f t="shared" si="1215"/>
        <v>1 2027</v>
      </c>
      <c r="C750" s="122">
        <f t="shared" si="1216"/>
        <v>46396</v>
      </c>
      <c r="D750" s="122">
        <f t="shared" si="1184"/>
        <v>46397</v>
      </c>
      <c r="E750" s="123">
        <f t="shared" si="1217"/>
        <v>1</v>
      </c>
      <c r="F750" s="123" t="s">
        <v>7</v>
      </c>
      <c r="G750" s="124">
        <f t="shared" ref="G750:H750" si="1294">G749</f>
        <v>1450000</v>
      </c>
      <c r="H750" s="125">
        <f t="shared" si="1294"/>
        <v>3.15E-2</v>
      </c>
      <c r="I750" s="124">
        <f t="shared" si="1219"/>
        <v>126.875</v>
      </c>
      <c r="J750" s="124">
        <f t="shared" si="1220"/>
        <v>46169.375</v>
      </c>
      <c r="K750" s="9"/>
      <c r="L750" s="11" t="s">
        <v>192</v>
      </c>
      <c r="M750" s="306">
        <f t="shared" ref="M750:N750" si="1295">M749</f>
        <v>0</v>
      </c>
      <c r="N750" s="97">
        <f t="shared" si="1295"/>
        <v>0</v>
      </c>
      <c r="O750" s="421">
        <f t="shared" si="1238"/>
        <v>0</v>
      </c>
      <c r="P750" s="304">
        <f t="shared" si="1252"/>
        <v>0</v>
      </c>
      <c r="Q750" s="307">
        <f t="shared" si="1239"/>
        <v>0</v>
      </c>
      <c r="S750" s="11" t="s">
        <v>192</v>
      </c>
      <c r="T750" s="306">
        <f t="shared" ref="T750:U750" si="1296">T749</f>
        <v>0</v>
      </c>
      <c r="U750" s="97">
        <f t="shared" si="1296"/>
        <v>0</v>
      </c>
      <c r="V750" s="421">
        <f t="shared" si="1241"/>
        <v>0</v>
      </c>
      <c r="W750" s="304">
        <f t="shared" si="1254"/>
        <v>0</v>
      </c>
      <c r="X750" s="307">
        <f t="shared" si="1242"/>
        <v>0</v>
      </c>
      <c r="Z750" s="11" t="s">
        <v>192</v>
      </c>
      <c r="AA750" s="306">
        <f t="shared" ref="AA750:AB750" si="1297">AA749</f>
        <v>0</v>
      </c>
      <c r="AB750" s="97">
        <f t="shared" si="1297"/>
        <v>0</v>
      </c>
      <c r="AC750" s="421">
        <f t="shared" si="1244"/>
        <v>0</v>
      </c>
      <c r="AD750" s="304">
        <f t="shared" si="1256"/>
        <v>0</v>
      </c>
      <c r="AE750" s="307">
        <f t="shared" si="1245"/>
        <v>0</v>
      </c>
      <c r="AG750" s="11" t="s">
        <v>192</v>
      </c>
      <c r="AH750" s="306">
        <f t="shared" ref="AH750:AI750" si="1298">AH749</f>
        <v>0</v>
      </c>
      <c r="AI750" s="97">
        <f t="shared" si="1298"/>
        <v>0</v>
      </c>
      <c r="AJ750" s="421">
        <f t="shared" si="1247"/>
        <v>0</v>
      </c>
      <c r="AK750" s="304">
        <f t="shared" si="1258"/>
        <v>0</v>
      </c>
      <c r="AL750" s="307">
        <f t="shared" si="1248"/>
        <v>0</v>
      </c>
      <c r="AN750" s="304">
        <f>'codeis $'!AB748</f>
        <v>0</v>
      </c>
      <c r="AO750" s="340">
        <f>'codeis $'!AH748</f>
        <v>0</v>
      </c>
      <c r="AP750" s="304">
        <f>'codeis $'!AE748</f>
        <v>0</v>
      </c>
      <c r="AQ750" s="304">
        <f>'codeis $'!AK748</f>
        <v>0</v>
      </c>
      <c r="AR750" s="9"/>
      <c r="AS750" s="9"/>
      <c r="AT750" s="123"/>
      <c r="AU750" s="123"/>
      <c r="AV750" s="123"/>
      <c r="AW750" s="123"/>
      <c r="AX750" s="123"/>
      <c r="AY750" s="123"/>
      <c r="AZ750" s="123"/>
      <c r="BA750" s="123"/>
      <c r="BC750" s="122"/>
      <c r="BD750" s="122"/>
      <c r="BE750" s="122"/>
      <c r="BF750" s="122"/>
      <c r="BH750" s="122"/>
      <c r="BI750" s="122"/>
      <c r="BJ750" s="122"/>
      <c r="BK750" s="122"/>
      <c r="BM750" s="122"/>
      <c r="BN750" s="122"/>
      <c r="BO750" s="122"/>
      <c r="BP750" s="122"/>
      <c r="BR750" s="122"/>
      <c r="BS750" s="122"/>
      <c r="BT750" s="122"/>
      <c r="BU750" s="122"/>
      <c r="BV750" s="439"/>
      <c r="BW750" s="120">
        <f t="shared" si="1221"/>
        <v>1450000</v>
      </c>
      <c r="BX750" s="121">
        <f t="shared" si="1181"/>
        <v>3.5000000000000003E-2</v>
      </c>
      <c r="BY750" s="121">
        <f t="shared" si="1249"/>
        <v>3.15E-2</v>
      </c>
      <c r="BZ750" s="120">
        <f t="shared" si="1222"/>
        <v>126.875</v>
      </c>
      <c r="CA750" s="120">
        <f t="shared" si="1223"/>
        <v>0</v>
      </c>
    </row>
    <row r="751" spans="1:85" x14ac:dyDescent="0.25">
      <c r="B751" s="123" t="str">
        <f t="shared" si="1215"/>
        <v>1 2027</v>
      </c>
      <c r="C751" s="122">
        <f t="shared" si="1216"/>
        <v>46397</v>
      </c>
      <c r="D751" s="122">
        <f t="shared" si="1184"/>
        <v>46398</v>
      </c>
      <c r="E751" s="123">
        <f t="shared" si="1217"/>
        <v>1</v>
      </c>
      <c r="F751" s="123" t="s">
        <v>7</v>
      </c>
      <c r="G751" s="124">
        <f t="shared" ref="G751:H751" si="1299">G750</f>
        <v>1450000</v>
      </c>
      <c r="H751" s="125">
        <f t="shared" si="1299"/>
        <v>3.15E-2</v>
      </c>
      <c r="I751" s="124">
        <f t="shared" si="1219"/>
        <v>126.875</v>
      </c>
      <c r="J751" s="124">
        <f t="shared" si="1220"/>
        <v>46296.25</v>
      </c>
      <c r="K751" s="9"/>
      <c r="L751" s="11" t="s">
        <v>192</v>
      </c>
      <c r="M751" s="306">
        <f t="shared" ref="M751:N751" si="1300">M750</f>
        <v>0</v>
      </c>
      <c r="N751" s="97">
        <f t="shared" si="1300"/>
        <v>0</v>
      </c>
      <c r="O751" s="421">
        <f t="shared" si="1238"/>
        <v>0</v>
      </c>
      <c r="P751" s="304">
        <f t="shared" si="1252"/>
        <v>0</v>
      </c>
      <c r="Q751" s="307">
        <f t="shared" si="1239"/>
        <v>0</v>
      </c>
      <c r="S751" s="11" t="s">
        <v>192</v>
      </c>
      <c r="T751" s="306">
        <f t="shared" ref="T751:U751" si="1301">T750</f>
        <v>0</v>
      </c>
      <c r="U751" s="97">
        <f t="shared" si="1301"/>
        <v>0</v>
      </c>
      <c r="V751" s="421">
        <f t="shared" si="1241"/>
        <v>0</v>
      </c>
      <c r="W751" s="304">
        <f t="shared" si="1254"/>
        <v>0</v>
      </c>
      <c r="X751" s="307">
        <f t="shared" si="1242"/>
        <v>0</v>
      </c>
      <c r="Z751" s="11" t="s">
        <v>192</v>
      </c>
      <c r="AA751" s="306">
        <f t="shared" ref="AA751:AB751" si="1302">AA750</f>
        <v>0</v>
      </c>
      <c r="AB751" s="97">
        <f t="shared" si="1302"/>
        <v>0</v>
      </c>
      <c r="AC751" s="421">
        <f t="shared" si="1244"/>
        <v>0</v>
      </c>
      <c r="AD751" s="304">
        <f t="shared" si="1256"/>
        <v>0</v>
      </c>
      <c r="AE751" s="307">
        <f t="shared" si="1245"/>
        <v>0</v>
      </c>
      <c r="AG751" s="11" t="s">
        <v>192</v>
      </c>
      <c r="AH751" s="306">
        <f t="shared" ref="AH751:AI751" si="1303">AH750</f>
        <v>0</v>
      </c>
      <c r="AI751" s="97">
        <f t="shared" si="1303"/>
        <v>0</v>
      </c>
      <c r="AJ751" s="421">
        <f t="shared" si="1247"/>
        <v>0</v>
      </c>
      <c r="AK751" s="304">
        <f t="shared" si="1258"/>
        <v>0</v>
      </c>
      <c r="AL751" s="307">
        <f t="shared" si="1248"/>
        <v>0</v>
      </c>
      <c r="AN751" s="304">
        <f>'codeis $'!AB749</f>
        <v>0</v>
      </c>
      <c r="AO751" s="340">
        <f>'codeis $'!AH749</f>
        <v>0</v>
      </c>
      <c r="AP751" s="304">
        <f>'codeis $'!AE749</f>
        <v>0</v>
      </c>
      <c r="AQ751" s="304">
        <f>'codeis $'!AK749</f>
        <v>0</v>
      </c>
      <c r="AR751" s="9"/>
      <c r="AS751" s="9"/>
      <c r="AT751" s="123"/>
      <c r="AU751" s="123"/>
      <c r="AV751" s="123"/>
      <c r="AW751" s="123"/>
      <c r="AX751" s="123"/>
      <c r="AY751" s="123"/>
      <c r="AZ751" s="123"/>
      <c r="BA751" s="123"/>
      <c r="BC751" s="122"/>
      <c r="BD751" s="122"/>
      <c r="BE751" s="122"/>
      <c r="BF751" s="122"/>
      <c r="BH751" s="122"/>
      <c r="BI751" s="122"/>
      <c r="BJ751" s="122"/>
      <c r="BK751" s="122"/>
      <c r="BM751" s="122"/>
      <c r="BN751" s="122"/>
      <c r="BO751" s="122"/>
      <c r="BP751" s="122"/>
      <c r="BR751" s="122"/>
      <c r="BS751" s="122"/>
      <c r="BT751" s="122"/>
      <c r="BU751" s="122"/>
      <c r="BV751" s="439"/>
      <c r="BW751" s="120">
        <f t="shared" si="1221"/>
        <v>1450000</v>
      </c>
      <c r="BX751" s="121">
        <f t="shared" si="1181"/>
        <v>3.5000000000000003E-2</v>
      </c>
      <c r="BY751" s="121">
        <f t="shared" si="1249"/>
        <v>3.15E-2</v>
      </c>
      <c r="BZ751" s="120">
        <f t="shared" si="1222"/>
        <v>126.875</v>
      </c>
      <c r="CA751" s="120">
        <f t="shared" si="1223"/>
        <v>0</v>
      </c>
    </row>
    <row r="752" spans="1:85" x14ac:dyDescent="0.25">
      <c r="B752" s="123" t="str">
        <f t="shared" si="1215"/>
        <v>1 2027</v>
      </c>
      <c r="C752" s="122">
        <f t="shared" si="1216"/>
        <v>46398</v>
      </c>
      <c r="D752" s="122">
        <f t="shared" si="1184"/>
        <v>46399</v>
      </c>
      <c r="E752" s="123">
        <f t="shared" si="1217"/>
        <v>1</v>
      </c>
      <c r="F752" s="123" t="s">
        <v>7</v>
      </c>
      <c r="G752" s="124">
        <f t="shared" ref="G752:H752" si="1304">G751</f>
        <v>1450000</v>
      </c>
      <c r="H752" s="125">
        <f t="shared" si="1304"/>
        <v>3.15E-2</v>
      </c>
      <c r="I752" s="124">
        <f t="shared" si="1219"/>
        <v>126.875</v>
      </c>
      <c r="J752" s="124">
        <f t="shared" si="1220"/>
        <v>46423.125</v>
      </c>
      <c r="K752" s="9"/>
      <c r="L752" s="11" t="s">
        <v>192</v>
      </c>
      <c r="M752" s="306">
        <f t="shared" ref="M752:N752" si="1305">M751</f>
        <v>0</v>
      </c>
      <c r="N752" s="97">
        <f t="shared" si="1305"/>
        <v>0</v>
      </c>
      <c r="O752" s="421">
        <f t="shared" si="1238"/>
        <v>0</v>
      </c>
      <c r="P752" s="304">
        <f t="shared" si="1252"/>
        <v>0</v>
      </c>
      <c r="Q752" s="307">
        <f t="shared" si="1239"/>
        <v>0</v>
      </c>
      <c r="S752" s="11" t="s">
        <v>192</v>
      </c>
      <c r="T752" s="306">
        <f t="shared" ref="T752:U752" si="1306">T751</f>
        <v>0</v>
      </c>
      <c r="U752" s="97">
        <f t="shared" si="1306"/>
        <v>0</v>
      </c>
      <c r="V752" s="421">
        <f t="shared" si="1241"/>
        <v>0</v>
      </c>
      <c r="W752" s="304">
        <f t="shared" si="1254"/>
        <v>0</v>
      </c>
      <c r="X752" s="307">
        <f t="shared" si="1242"/>
        <v>0</v>
      </c>
      <c r="Z752" s="11" t="s">
        <v>192</v>
      </c>
      <c r="AA752" s="306">
        <f t="shared" ref="AA752:AB752" si="1307">AA751</f>
        <v>0</v>
      </c>
      <c r="AB752" s="97">
        <f t="shared" si="1307"/>
        <v>0</v>
      </c>
      <c r="AC752" s="421">
        <f t="shared" si="1244"/>
        <v>0</v>
      </c>
      <c r="AD752" s="304">
        <f t="shared" si="1256"/>
        <v>0</v>
      </c>
      <c r="AE752" s="307">
        <f t="shared" si="1245"/>
        <v>0</v>
      </c>
      <c r="AG752" s="11" t="s">
        <v>192</v>
      </c>
      <c r="AH752" s="306">
        <f t="shared" ref="AH752:AI752" si="1308">AH751</f>
        <v>0</v>
      </c>
      <c r="AI752" s="97">
        <f t="shared" si="1308"/>
        <v>0</v>
      </c>
      <c r="AJ752" s="421">
        <f t="shared" si="1247"/>
        <v>0</v>
      </c>
      <c r="AK752" s="304">
        <f t="shared" si="1258"/>
        <v>0</v>
      </c>
      <c r="AL752" s="307">
        <f t="shared" si="1248"/>
        <v>0</v>
      </c>
      <c r="AN752" s="304">
        <f>'codeis $'!AB750</f>
        <v>0</v>
      </c>
      <c r="AO752" s="340">
        <f>'codeis $'!AH750</f>
        <v>0</v>
      </c>
      <c r="AP752" s="304">
        <f>'codeis $'!AE750</f>
        <v>0</v>
      </c>
      <c r="AQ752" s="304">
        <f>'codeis $'!AK750</f>
        <v>0</v>
      </c>
      <c r="AR752" s="9"/>
      <c r="AS752" s="9"/>
      <c r="AT752" s="123"/>
      <c r="AU752" s="123"/>
      <c r="AV752" s="123"/>
      <c r="AW752" s="123"/>
      <c r="AX752" s="123"/>
      <c r="AY752" s="123"/>
      <c r="AZ752" s="123"/>
      <c r="BA752" s="123"/>
      <c r="BC752" s="122"/>
      <c r="BD752" s="122"/>
      <c r="BE752" s="122"/>
      <c r="BF752" s="122"/>
      <c r="BH752" s="122"/>
      <c r="BI752" s="122"/>
      <c r="BJ752" s="122"/>
      <c r="BK752" s="122"/>
      <c r="BM752" s="122"/>
      <c r="BN752" s="122"/>
      <c r="BO752" s="122"/>
      <c r="BP752" s="122"/>
      <c r="BR752" s="122"/>
      <c r="BS752" s="122"/>
      <c r="BT752" s="122"/>
      <c r="BU752" s="122"/>
      <c r="BV752" s="439"/>
      <c r="BW752" s="120">
        <f t="shared" si="1221"/>
        <v>1450000</v>
      </c>
      <c r="BX752" s="121">
        <f t="shared" si="1181"/>
        <v>3.5000000000000003E-2</v>
      </c>
      <c r="BY752" s="121">
        <f t="shared" si="1249"/>
        <v>3.15E-2</v>
      </c>
      <c r="BZ752" s="120">
        <f t="shared" si="1222"/>
        <v>126.875</v>
      </c>
      <c r="CA752" s="120">
        <f t="shared" si="1223"/>
        <v>0</v>
      </c>
    </row>
    <row r="753" spans="2:79" x14ac:dyDescent="0.25">
      <c r="B753" s="123" t="str">
        <f t="shared" si="1215"/>
        <v>1 2027</v>
      </c>
      <c r="C753" s="122">
        <f t="shared" si="1216"/>
        <v>46399</v>
      </c>
      <c r="D753" s="122">
        <f t="shared" si="1184"/>
        <v>46400</v>
      </c>
      <c r="E753" s="123">
        <f t="shared" si="1217"/>
        <v>1</v>
      </c>
      <c r="F753" s="123" t="s">
        <v>7</v>
      </c>
      <c r="G753" s="124">
        <f t="shared" ref="G753:H753" si="1309">G752</f>
        <v>1450000</v>
      </c>
      <c r="H753" s="125">
        <f t="shared" si="1309"/>
        <v>3.15E-2</v>
      </c>
      <c r="I753" s="124">
        <f t="shared" si="1219"/>
        <v>126.875</v>
      </c>
      <c r="J753" s="124">
        <f t="shared" si="1220"/>
        <v>46550</v>
      </c>
      <c r="K753" s="9"/>
      <c r="L753" s="11" t="s">
        <v>192</v>
      </c>
      <c r="M753" s="306">
        <f t="shared" ref="M753:N753" si="1310">M752</f>
        <v>0</v>
      </c>
      <c r="N753" s="97">
        <f t="shared" si="1310"/>
        <v>0</v>
      </c>
      <c r="O753" s="421">
        <f t="shared" si="1238"/>
        <v>0</v>
      </c>
      <c r="P753" s="304">
        <f t="shared" si="1252"/>
        <v>0</v>
      </c>
      <c r="Q753" s="307">
        <f t="shared" si="1239"/>
        <v>0</v>
      </c>
      <c r="S753" s="11" t="s">
        <v>192</v>
      </c>
      <c r="T753" s="306">
        <f t="shared" ref="T753:U753" si="1311">T752</f>
        <v>0</v>
      </c>
      <c r="U753" s="97">
        <f t="shared" si="1311"/>
        <v>0</v>
      </c>
      <c r="V753" s="421">
        <f t="shared" si="1241"/>
        <v>0</v>
      </c>
      <c r="W753" s="304">
        <f t="shared" si="1254"/>
        <v>0</v>
      </c>
      <c r="X753" s="307">
        <f t="shared" si="1242"/>
        <v>0</v>
      </c>
      <c r="Z753" s="11" t="s">
        <v>192</v>
      </c>
      <c r="AA753" s="306">
        <f t="shared" ref="AA753:AB753" si="1312">AA752</f>
        <v>0</v>
      </c>
      <c r="AB753" s="97">
        <f t="shared" si="1312"/>
        <v>0</v>
      </c>
      <c r="AC753" s="421">
        <f t="shared" si="1244"/>
        <v>0</v>
      </c>
      <c r="AD753" s="304">
        <f t="shared" si="1256"/>
        <v>0</v>
      </c>
      <c r="AE753" s="307">
        <f t="shared" si="1245"/>
        <v>0</v>
      </c>
      <c r="AG753" s="11" t="s">
        <v>192</v>
      </c>
      <c r="AH753" s="306">
        <f t="shared" ref="AH753:AI753" si="1313">AH752</f>
        <v>0</v>
      </c>
      <c r="AI753" s="97">
        <f t="shared" si="1313"/>
        <v>0</v>
      </c>
      <c r="AJ753" s="421">
        <f t="shared" si="1247"/>
        <v>0</v>
      </c>
      <c r="AK753" s="304">
        <f t="shared" si="1258"/>
        <v>0</v>
      </c>
      <c r="AL753" s="307">
        <f t="shared" si="1248"/>
        <v>0</v>
      </c>
      <c r="AN753" s="304">
        <f>'codeis $'!AB751</f>
        <v>0</v>
      </c>
      <c r="AO753" s="340">
        <f>'codeis $'!AH751</f>
        <v>0</v>
      </c>
      <c r="AP753" s="304">
        <f>'codeis $'!AE751</f>
        <v>0</v>
      </c>
      <c r="AQ753" s="304">
        <f>'codeis $'!AK751</f>
        <v>0</v>
      </c>
      <c r="AR753" s="9"/>
      <c r="AS753" s="9"/>
      <c r="AT753" s="123"/>
      <c r="AU753" s="123"/>
      <c r="AV753" s="123"/>
      <c r="AW753" s="123"/>
      <c r="AX753" s="123"/>
      <c r="AY753" s="123"/>
      <c r="AZ753" s="123"/>
      <c r="BA753" s="123"/>
      <c r="BC753" s="122"/>
      <c r="BD753" s="122"/>
      <c r="BE753" s="122"/>
      <c r="BF753" s="122"/>
      <c r="BH753" s="122"/>
      <c r="BI753" s="122"/>
      <c r="BJ753" s="122"/>
      <c r="BK753" s="122"/>
      <c r="BM753" s="122"/>
      <c r="BN753" s="122"/>
      <c r="BO753" s="122"/>
      <c r="BP753" s="122"/>
      <c r="BR753" s="122"/>
      <c r="BS753" s="122"/>
      <c r="BT753" s="122"/>
      <c r="BU753" s="122"/>
      <c r="BV753" s="439"/>
      <c r="BW753" s="120">
        <f t="shared" si="1221"/>
        <v>1450000</v>
      </c>
      <c r="BX753" s="121">
        <f t="shared" si="1181"/>
        <v>3.5000000000000003E-2</v>
      </c>
      <c r="BY753" s="121">
        <f t="shared" si="1249"/>
        <v>3.15E-2</v>
      </c>
      <c r="BZ753" s="120">
        <f t="shared" si="1222"/>
        <v>126.875</v>
      </c>
      <c r="CA753" s="120">
        <f t="shared" si="1223"/>
        <v>0</v>
      </c>
    </row>
  </sheetData>
  <mergeCells count="7">
    <mergeCell ref="C1:J1"/>
    <mergeCell ref="F2:J2"/>
    <mergeCell ref="AT2:BA2"/>
    <mergeCell ref="L2:Q2"/>
    <mergeCell ref="S2:X2"/>
    <mergeCell ref="Z2:AE2"/>
    <mergeCell ref="AG2:A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6B56-8221-425E-88CB-A7FB71D12AA9}">
  <sheetPr>
    <tabColor theme="9" tint="0.39997558519241921"/>
  </sheetPr>
  <dimension ref="A1:AS747"/>
  <sheetViews>
    <sheetView showGridLines="0" zoomScale="90" zoomScaleNormal="90" workbookViewId="0">
      <pane xSplit="2" ySplit="3" topLeftCell="J384" activePane="bottomRight" state="frozen"/>
      <selection activeCell="BN423" sqref="BN423"/>
      <selection pane="topRight" activeCell="BN423" sqref="BN423"/>
      <selection pane="bottomLeft" activeCell="BN423" sqref="BN423"/>
      <selection pane="bottomRight" activeCell="AB414" sqref="AB414"/>
    </sheetView>
  </sheetViews>
  <sheetFormatPr baseColWidth="10" defaultColWidth="10.85546875" defaultRowHeight="15" x14ac:dyDescent="0.25"/>
  <cols>
    <col min="1" max="1" width="1.85546875" style="24" customWidth="1"/>
    <col min="2" max="2" width="11" style="24" customWidth="1"/>
    <col min="3" max="3" width="35" style="25" bestFit="1" customWidth="1"/>
    <col min="4" max="4" width="34.5703125" style="25" bestFit="1" customWidth="1"/>
    <col min="5" max="5" width="4" style="24" customWidth="1"/>
    <col min="6" max="6" width="9.5703125" style="24" bestFit="1" customWidth="1"/>
    <col min="7" max="7" width="1.42578125" customWidth="1"/>
    <col min="8" max="8" width="15.28515625" bestFit="1" customWidth="1"/>
    <col min="9" max="9" width="19.140625" bestFit="1" customWidth="1"/>
    <col min="10" max="10" width="8.5703125" bestFit="1" customWidth="1"/>
    <col min="11" max="11" width="1.5703125" customWidth="1"/>
    <col min="13" max="13" width="8.140625" customWidth="1"/>
    <col min="14" max="14" width="13.42578125" bestFit="1" customWidth="1"/>
    <col min="15" max="16" width="7.42578125" bestFit="1" customWidth="1"/>
    <col min="17" max="21" width="12.42578125" customWidth="1"/>
    <col min="22" max="24" width="13.42578125" bestFit="1" customWidth="1"/>
    <col min="25" max="25" width="1.85546875" customWidth="1"/>
    <col min="26" max="26" width="10.5703125" bestFit="1" customWidth="1"/>
    <col min="27" max="27" width="13.42578125" bestFit="1" customWidth="1"/>
    <col min="28" max="28" width="16.28515625" bestFit="1" customWidth="1"/>
    <col min="29" max="29" width="1.5703125" customWidth="1"/>
    <col min="30" max="30" width="13.85546875" bestFit="1" customWidth="1"/>
    <col min="31" max="32" width="13.42578125" customWidth="1"/>
    <col min="33" max="33" width="4.42578125" customWidth="1"/>
    <col min="34" max="35" width="13.42578125" customWidth="1"/>
    <col min="36" max="36" width="1.42578125" customWidth="1"/>
  </cols>
  <sheetData>
    <row r="1" spans="2:38" x14ac:dyDescent="0.25">
      <c r="C1"/>
      <c r="D1"/>
      <c r="E1"/>
      <c r="F1"/>
    </row>
    <row r="2" spans="2:38" ht="26.25" x14ac:dyDescent="0.25">
      <c r="B2" s="127"/>
      <c r="C2" s="176" t="s">
        <v>70</v>
      </c>
      <c r="D2" s="176" t="s">
        <v>71</v>
      </c>
      <c r="E2" s="127"/>
      <c r="F2"/>
      <c r="L2" s="397"/>
    </row>
    <row r="3" spans="2:38" ht="38.25" x14ac:dyDescent="0.25">
      <c r="B3" s="343" t="s">
        <v>24</v>
      </c>
      <c r="C3" s="343" t="s">
        <v>1</v>
      </c>
      <c r="D3" s="343" t="s">
        <v>2</v>
      </c>
      <c r="E3" s="344" t="s">
        <v>3</v>
      </c>
      <c r="F3" s="344" t="s">
        <v>4</v>
      </c>
      <c r="G3" s="342"/>
      <c r="H3" s="345" t="s">
        <v>133</v>
      </c>
      <c r="I3" s="346" t="s">
        <v>157</v>
      </c>
      <c r="K3" s="342"/>
      <c r="L3" s="346" t="s">
        <v>145</v>
      </c>
      <c r="M3" s="346" t="s">
        <v>144</v>
      </c>
      <c r="N3" s="346" t="s">
        <v>134</v>
      </c>
      <c r="O3" s="346" t="s">
        <v>225</v>
      </c>
      <c r="P3" s="346" t="s">
        <v>174</v>
      </c>
      <c r="Q3" s="346" t="s">
        <v>175</v>
      </c>
      <c r="R3" s="346" t="s">
        <v>176</v>
      </c>
      <c r="S3" s="346" t="s">
        <v>177</v>
      </c>
      <c r="T3" s="346" t="s">
        <v>226</v>
      </c>
      <c r="U3" s="346" t="s">
        <v>227</v>
      </c>
      <c r="V3" s="346" t="s">
        <v>142</v>
      </c>
      <c r="W3" s="346" t="s">
        <v>143</v>
      </c>
      <c r="X3" s="346" t="s">
        <v>178</v>
      </c>
      <c r="Z3" s="346" t="s">
        <v>146</v>
      </c>
      <c r="AA3" s="346" t="s">
        <v>179</v>
      </c>
      <c r="AB3" s="346" t="s">
        <v>138</v>
      </c>
      <c r="AD3" s="346" t="s">
        <v>201</v>
      </c>
      <c r="AE3" s="346" t="s">
        <v>135</v>
      </c>
      <c r="AF3" s="346" t="s">
        <v>164</v>
      </c>
      <c r="AG3" s="342"/>
      <c r="AH3" s="346" t="s">
        <v>165</v>
      </c>
      <c r="AI3" s="346" t="s">
        <v>140</v>
      </c>
      <c r="AK3" s="347" t="s">
        <v>60</v>
      </c>
    </row>
    <row r="4" spans="2:38" x14ac:dyDescent="0.25"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</row>
    <row r="5" spans="2:38" x14ac:dyDescent="0.25">
      <c r="B5" s="122" t="s">
        <v>24</v>
      </c>
      <c r="C5" s="122" t="s">
        <v>1</v>
      </c>
      <c r="D5" s="122" t="s">
        <v>2</v>
      </c>
      <c r="E5" s="123" t="s">
        <v>3</v>
      </c>
      <c r="F5" s="123" t="s">
        <v>4</v>
      </c>
      <c r="H5" s="325"/>
      <c r="I5" s="325"/>
      <c r="J5" s="399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Z5" s="331"/>
      <c r="AA5" s="331"/>
      <c r="AB5" s="331"/>
      <c r="AD5" s="331"/>
      <c r="AE5" s="331"/>
      <c r="AF5" s="331"/>
      <c r="AH5" s="331"/>
      <c r="AI5" s="331"/>
      <c r="AK5" s="331"/>
    </row>
    <row r="6" spans="2:38" x14ac:dyDescent="0.25">
      <c r="B6" s="137" t="str">
        <f t="shared" ref="B6:B69" si="0">CONCATENATE(MONTH(D6)," ",YEAR(D6))</f>
        <v>1 2025</v>
      </c>
      <c r="C6" s="138">
        <f>'OverNight $'!C5</f>
        <v>45657</v>
      </c>
      <c r="D6" s="138">
        <f>'OverNight $'!D5</f>
        <v>45658</v>
      </c>
      <c r="E6" s="137">
        <f t="shared" ref="E6:E69" si="1">D6-C6</f>
        <v>1</v>
      </c>
      <c r="F6" s="137" t="s">
        <v>7</v>
      </c>
      <c r="H6" s="326">
        <f>C6</f>
        <v>45657</v>
      </c>
      <c r="I6" s="325"/>
      <c r="J6" s="399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Z6" s="331"/>
      <c r="AA6" s="331"/>
      <c r="AB6" s="331"/>
      <c r="AD6" s="331"/>
      <c r="AE6" s="331"/>
      <c r="AF6" s="331"/>
      <c r="AH6" s="331"/>
      <c r="AI6" s="331"/>
      <c r="AK6" s="331"/>
    </row>
    <row r="7" spans="2:38" x14ac:dyDescent="0.25">
      <c r="B7" s="137" t="str">
        <f t="shared" si="0"/>
        <v>1 2025</v>
      </c>
      <c r="C7" s="138">
        <f t="shared" ref="C7:C70" si="2">D6</f>
        <v>45658</v>
      </c>
      <c r="D7" s="138">
        <f t="shared" ref="D7:D70" si="3">D6+1</f>
        <v>45659</v>
      </c>
      <c r="E7" s="137">
        <f t="shared" si="1"/>
        <v>1</v>
      </c>
      <c r="F7" s="137" t="s">
        <v>7</v>
      </c>
      <c r="H7" s="326">
        <f t="shared" ref="H7:H70" si="4">H6+1</f>
        <v>45658</v>
      </c>
      <c r="I7" s="325"/>
      <c r="J7" s="399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Z7" s="331"/>
      <c r="AA7" s="331"/>
      <c r="AB7" s="331"/>
      <c r="AD7" s="331"/>
      <c r="AE7" s="331"/>
      <c r="AF7" s="331"/>
      <c r="AH7" s="331"/>
      <c r="AI7" s="331"/>
      <c r="AK7" s="331"/>
    </row>
    <row r="8" spans="2:38" x14ac:dyDescent="0.25">
      <c r="B8" s="137" t="str">
        <f t="shared" si="0"/>
        <v>1 2025</v>
      </c>
      <c r="C8" s="138">
        <f t="shared" si="2"/>
        <v>45659</v>
      </c>
      <c r="D8" s="138">
        <f t="shared" si="3"/>
        <v>45660</v>
      </c>
      <c r="E8" s="137">
        <f t="shared" si="1"/>
        <v>1</v>
      </c>
      <c r="F8" s="137" t="s">
        <v>7</v>
      </c>
      <c r="H8" s="326">
        <f t="shared" si="4"/>
        <v>45659</v>
      </c>
      <c r="I8" s="325"/>
      <c r="J8" s="399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Z8" s="331"/>
      <c r="AA8" s="331"/>
      <c r="AB8" s="331"/>
      <c r="AD8" s="331"/>
      <c r="AE8" s="331"/>
      <c r="AF8" s="331"/>
      <c r="AH8" s="331"/>
      <c r="AI8" s="331"/>
      <c r="AK8" s="331"/>
    </row>
    <row r="9" spans="2:38" x14ac:dyDescent="0.25">
      <c r="B9" s="137" t="str">
        <f t="shared" si="0"/>
        <v>1 2025</v>
      </c>
      <c r="C9" s="138">
        <f t="shared" si="2"/>
        <v>45660</v>
      </c>
      <c r="D9" s="138">
        <f t="shared" si="3"/>
        <v>45661</v>
      </c>
      <c r="E9" s="137">
        <f t="shared" si="1"/>
        <v>1</v>
      </c>
      <c r="F9" s="137" t="s">
        <v>7</v>
      </c>
      <c r="H9" s="326">
        <f t="shared" si="4"/>
        <v>45660</v>
      </c>
      <c r="I9" s="325"/>
      <c r="J9" s="399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Z9" s="331"/>
      <c r="AA9" s="331"/>
      <c r="AB9" s="331"/>
      <c r="AD9" s="331"/>
      <c r="AE9" s="331"/>
      <c r="AF9" s="331"/>
      <c r="AH9" s="331"/>
      <c r="AI9" s="331"/>
      <c r="AK9" s="331"/>
    </row>
    <row r="10" spans="2:38" x14ac:dyDescent="0.25">
      <c r="B10" s="137" t="str">
        <f t="shared" si="0"/>
        <v>1 2025</v>
      </c>
      <c r="C10" s="138">
        <f t="shared" si="2"/>
        <v>45661</v>
      </c>
      <c r="D10" s="138">
        <f t="shared" si="3"/>
        <v>45662</v>
      </c>
      <c r="E10" s="137">
        <f t="shared" si="1"/>
        <v>1</v>
      </c>
      <c r="F10" s="137" t="s">
        <v>7</v>
      </c>
      <c r="H10" s="326">
        <f t="shared" si="4"/>
        <v>45661</v>
      </c>
      <c r="I10" s="325"/>
      <c r="J10" s="399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Z10" s="331"/>
      <c r="AA10" s="331"/>
      <c r="AB10" s="331"/>
      <c r="AD10" s="331"/>
      <c r="AE10" s="331"/>
      <c r="AF10" s="331"/>
      <c r="AH10" s="331"/>
      <c r="AI10" s="331"/>
      <c r="AK10" s="331"/>
    </row>
    <row r="11" spans="2:38" x14ac:dyDescent="0.25">
      <c r="B11" s="137" t="str">
        <f t="shared" si="0"/>
        <v>1 2025</v>
      </c>
      <c r="C11" s="138">
        <f t="shared" si="2"/>
        <v>45662</v>
      </c>
      <c r="D11" s="138">
        <f t="shared" si="3"/>
        <v>45663</v>
      </c>
      <c r="E11" s="137">
        <f t="shared" si="1"/>
        <v>1</v>
      </c>
      <c r="F11" s="137" t="s">
        <v>7</v>
      </c>
      <c r="H11" s="326">
        <f t="shared" si="4"/>
        <v>45662</v>
      </c>
      <c r="I11" s="325"/>
      <c r="J11" s="399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  <c r="Z11" s="331"/>
      <c r="AA11" s="331"/>
      <c r="AB11" s="331"/>
      <c r="AD11" s="331"/>
      <c r="AE11" s="331"/>
      <c r="AF11" s="331"/>
      <c r="AH11" s="331"/>
      <c r="AI11" s="331"/>
      <c r="AK11" s="331"/>
    </row>
    <row r="12" spans="2:38" x14ac:dyDescent="0.25">
      <c r="B12" s="137" t="str">
        <f t="shared" si="0"/>
        <v>1 2025</v>
      </c>
      <c r="C12" s="138">
        <f t="shared" si="2"/>
        <v>45663</v>
      </c>
      <c r="D12" s="138">
        <f t="shared" si="3"/>
        <v>45664</v>
      </c>
      <c r="E12" s="137">
        <f t="shared" si="1"/>
        <v>1</v>
      </c>
      <c r="F12" s="137" t="s">
        <v>7</v>
      </c>
      <c r="H12" s="326">
        <f t="shared" si="4"/>
        <v>45663</v>
      </c>
      <c r="I12" s="325"/>
      <c r="J12" s="399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Z12" s="331"/>
      <c r="AA12" s="331"/>
      <c r="AB12" s="331"/>
      <c r="AD12" s="331"/>
      <c r="AE12" s="331"/>
      <c r="AF12" s="331"/>
      <c r="AH12" s="331"/>
      <c r="AI12" s="331"/>
      <c r="AK12" s="331"/>
    </row>
    <row r="13" spans="2:38" x14ac:dyDescent="0.25">
      <c r="B13" s="137" t="str">
        <f t="shared" si="0"/>
        <v>1 2025</v>
      </c>
      <c r="C13" s="138">
        <f t="shared" si="2"/>
        <v>45664</v>
      </c>
      <c r="D13" s="138">
        <f t="shared" si="3"/>
        <v>45665</v>
      </c>
      <c r="E13" s="137">
        <f t="shared" si="1"/>
        <v>1</v>
      </c>
      <c r="F13" s="137" t="s">
        <v>7</v>
      </c>
      <c r="H13" s="326">
        <f t="shared" si="4"/>
        <v>45664</v>
      </c>
      <c r="I13" s="325"/>
      <c r="J13" s="399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Z13" s="331"/>
      <c r="AA13" s="331"/>
      <c r="AB13" s="331"/>
      <c r="AD13" s="331"/>
      <c r="AE13" s="331"/>
      <c r="AF13" s="331"/>
      <c r="AH13" s="331"/>
      <c r="AI13" s="331"/>
      <c r="AK13" s="331"/>
    </row>
    <row r="14" spans="2:38" x14ac:dyDescent="0.25">
      <c r="B14" s="137" t="str">
        <f t="shared" si="0"/>
        <v>1 2025</v>
      </c>
      <c r="C14" s="138">
        <f t="shared" si="2"/>
        <v>45665</v>
      </c>
      <c r="D14" s="138">
        <f t="shared" si="3"/>
        <v>45666</v>
      </c>
      <c r="E14" s="137">
        <f t="shared" si="1"/>
        <v>1</v>
      </c>
      <c r="F14" s="137" t="s">
        <v>7</v>
      </c>
      <c r="H14" s="326">
        <f t="shared" si="4"/>
        <v>45665</v>
      </c>
      <c r="I14" s="325"/>
      <c r="J14" s="399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Z14" s="331"/>
      <c r="AA14" s="331"/>
      <c r="AB14" s="331"/>
      <c r="AD14" s="331"/>
      <c r="AE14" s="331"/>
      <c r="AF14" s="331"/>
      <c r="AH14" s="331"/>
      <c r="AI14" s="331"/>
      <c r="AK14" s="331"/>
    </row>
    <row r="15" spans="2:38" x14ac:dyDescent="0.25">
      <c r="B15" s="137" t="str">
        <f t="shared" si="0"/>
        <v>1 2025</v>
      </c>
      <c r="C15" s="138">
        <f t="shared" si="2"/>
        <v>45666</v>
      </c>
      <c r="D15" s="138">
        <f t="shared" si="3"/>
        <v>45667</v>
      </c>
      <c r="E15" s="137">
        <f t="shared" si="1"/>
        <v>1</v>
      </c>
      <c r="F15" s="137" t="s">
        <v>7</v>
      </c>
      <c r="H15" s="326">
        <f t="shared" si="4"/>
        <v>45666</v>
      </c>
      <c r="I15" s="325"/>
      <c r="J15" s="399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Z15" s="331"/>
      <c r="AA15" s="331"/>
      <c r="AB15" s="331"/>
      <c r="AD15" s="331"/>
      <c r="AE15" s="331"/>
      <c r="AF15" s="331"/>
      <c r="AH15" s="331"/>
      <c r="AI15" s="331"/>
      <c r="AK15" s="331"/>
    </row>
    <row r="16" spans="2:38" x14ac:dyDescent="0.25">
      <c r="B16" s="137" t="str">
        <f t="shared" si="0"/>
        <v>1 2025</v>
      </c>
      <c r="C16" s="138">
        <f t="shared" si="2"/>
        <v>45667</v>
      </c>
      <c r="D16" s="138">
        <f t="shared" si="3"/>
        <v>45668</v>
      </c>
      <c r="E16" s="137">
        <f t="shared" si="1"/>
        <v>1</v>
      </c>
      <c r="F16" s="137" t="s">
        <v>7</v>
      </c>
      <c r="H16" s="326">
        <f t="shared" si="4"/>
        <v>45667</v>
      </c>
      <c r="I16" s="325"/>
      <c r="J16" s="399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Z16" s="331"/>
      <c r="AA16" s="331"/>
      <c r="AB16" s="331"/>
      <c r="AD16" s="331"/>
      <c r="AE16" s="331"/>
      <c r="AF16" s="331"/>
      <c r="AH16" s="331"/>
      <c r="AI16" s="331"/>
      <c r="AK16" s="331"/>
    </row>
    <row r="17" spans="2:37" x14ac:dyDescent="0.25">
      <c r="B17" s="137" t="str">
        <f t="shared" si="0"/>
        <v>1 2025</v>
      </c>
      <c r="C17" s="138">
        <f t="shared" si="2"/>
        <v>45668</v>
      </c>
      <c r="D17" s="138">
        <f t="shared" si="3"/>
        <v>45669</v>
      </c>
      <c r="E17" s="137">
        <f t="shared" si="1"/>
        <v>1</v>
      </c>
      <c r="F17" s="137" t="s">
        <v>7</v>
      </c>
      <c r="H17" s="326">
        <f t="shared" si="4"/>
        <v>45668</v>
      </c>
      <c r="I17" s="325"/>
      <c r="J17" s="399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Z17" s="331"/>
      <c r="AA17" s="331"/>
      <c r="AB17" s="331"/>
      <c r="AD17" s="331"/>
      <c r="AE17" s="331"/>
      <c r="AF17" s="331"/>
      <c r="AH17" s="331"/>
      <c r="AI17" s="331"/>
      <c r="AK17" s="331"/>
    </row>
    <row r="18" spans="2:37" x14ac:dyDescent="0.25">
      <c r="B18" s="137" t="str">
        <f t="shared" si="0"/>
        <v>1 2025</v>
      </c>
      <c r="C18" s="138">
        <f t="shared" si="2"/>
        <v>45669</v>
      </c>
      <c r="D18" s="138">
        <f t="shared" si="3"/>
        <v>45670</v>
      </c>
      <c r="E18" s="137">
        <f t="shared" si="1"/>
        <v>1</v>
      </c>
      <c r="F18" s="137" t="s">
        <v>7</v>
      </c>
      <c r="H18" s="326">
        <f t="shared" si="4"/>
        <v>45669</v>
      </c>
      <c r="I18" s="325"/>
      <c r="J18" s="399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Z18" s="331"/>
      <c r="AA18" s="331"/>
      <c r="AB18" s="331"/>
      <c r="AD18" s="331"/>
      <c r="AE18" s="331"/>
      <c r="AF18" s="331"/>
      <c r="AH18" s="331"/>
      <c r="AI18" s="331"/>
      <c r="AK18" s="331"/>
    </row>
    <row r="19" spans="2:37" x14ac:dyDescent="0.25">
      <c r="B19" s="137" t="str">
        <f t="shared" si="0"/>
        <v>1 2025</v>
      </c>
      <c r="C19" s="138">
        <f t="shared" si="2"/>
        <v>45670</v>
      </c>
      <c r="D19" s="138">
        <f t="shared" si="3"/>
        <v>45671</v>
      </c>
      <c r="E19" s="137">
        <f t="shared" si="1"/>
        <v>1</v>
      </c>
      <c r="F19" s="137" t="s">
        <v>7</v>
      </c>
      <c r="H19" s="326">
        <f t="shared" si="4"/>
        <v>45670</v>
      </c>
      <c r="I19" s="325"/>
      <c r="J19" s="399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Z19" s="331"/>
      <c r="AA19" s="331"/>
      <c r="AB19" s="331"/>
      <c r="AD19" s="331"/>
      <c r="AE19" s="331"/>
      <c r="AF19" s="331"/>
      <c r="AH19" s="331"/>
      <c r="AI19" s="331"/>
      <c r="AK19" s="331"/>
    </row>
    <row r="20" spans="2:37" x14ac:dyDescent="0.25">
      <c r="B20" s="137" t="str">
        <f t="shared" si="0"/>
        <v>1 2025</v>
      </c>
      <c r="C20" s="138">
        <f t="shared" si="2"/>
        <v>45671</v>
      </c>
      <c r="D20" s="138">
        <f t="shared" si="3"/>
        <v>45672</v>
      </c>
      <c r="E20" s="137">
        <f t="shared" si="1"/>
        <v>1</v>
      </c>
      <c r="F20" s="137" t="s">
        <v>7</v>
      </c>
      <c r="H20" s="326">
        <f t="shared" si="4"/>
        <v>45671</v>
      </c>
      <c r="I20" s="325"/>
      <c r="J20" s="399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Z20" s="331"/>
      <c r="AA20" s="331"/>
      <c r="AB20" s="331"/>
      <c r="AD20" s="331"/>
      <c r="AE20" s="331"/>
      <c r="AF20" s="331"/>
      <c r="AH20" s="331"/>
      <c r="AI20" s="331"/>
      <c r="AK20" s="331"/>
    </row>
    <row r="21" spans="2:37" x14ac:dyDescent="0.25">
      <c r="B21" s="137" t="str">
        <f t="shared" si="0"/>
        <v>1 2025</v>
      </c>
      <c r="C21" s="138">
        <f t="shared" si="2"/>
        <v>45672</v>
      </c>
      <c r="D21" s="138">
        <f t="shared" si="3"/>
        <v>45673</v>
      </c>
      <c r="E21" s="137">
        <f t="shared" si="1"/>
        <v>1</v>
      </c>
      <c r="F21" s="137" t="s">
        <v>7</v>
      </c>
      <c r="H21" s="326">
        <f t="shared" si="4"/>
        <v>45672</v>
      </c>
      <c r="I21" s="325"/>
      <c r="J21" s="399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Z21" s="331"/>
      <c r="AA21" s="331"/>
      <c r="AB21" s="331"/>
      <c r="AD21" s="331"/>
      <c r="AE21" s="331"/>
      <c r="AF21" s="331"/>
      <c r="AH21" s="331"/>
      <c r="AI21" s="331"/>
      <c r="AK21" s="331"/>
    </row>
    <row r="22" spans="2:37" x14ac:dyDescent="0.25">
      <c r="B22" s="137" t="str">
        <f t="shared" si="0"/>
        <v>1 2025</v>
      </c>
      <c r="C22" s="138">
        <f t="shared" si="2"/>
        <v>45673</v>
      </c>
      <c r="D22" s="138">
        <f t="shared" si="3"/>
        <v>45674</v>
      </c>
      <c r="E22" s="137">
        <f t="shared" si="1"/>
        <v>1</v>
      </c>
      <c r="F22" s="137" t="s">
        <v>7</v>
      </c>
      <c r="H22" s="326">
        <f t="shared" si="4"/>
        <v>45673</v>
      </c>
      <c r="I22" s="325"/>
      <c r="J22" s="399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Z22" s="331"/>
      <c r="AA22" s="331"/>
      <c r="AB22" s="331"/>
      <c r="AD22" s="331"/>
      <c r="AE22" s="331"/>
      <c r="AF22" s="331"/>
      <c r="AH22" s="331"/>
      <c r="AI22" s="331"/>
      <c r="AK22" s="331"/>
    </row>
    <row r="23" spans="2:37" x14ac:dyDescent="0.25">
      <c r="B23" s="137" t="str">
        <f t="shared" si="0"/>
        <v>1 2025</v>
      </c>
      <c r="C23" s="138">
        <f t="shared" si="2"/>
        <v>45674</v>
      </c>
      <c r="D23" s="138">
        <f t="shared" si="3"/>
        <v>45675</v>
      </c>
      <c r="E23" s="137">
        <f t="shared" si="1"/>
        <v>1</v>
      </c>
      <c r="F23" s="137" t="s">
        <v>7</v>
      </c>
      <c r="H23" s="326">
        <f t="shared" si="4"/>
        <v>45674</v>
      </c>
      <c r="I23" s="325"/>
      <c r="J23" s="399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Z23" s="331"/>
      <c r="AA23" s="331"/>
      <c r="AB23" s="331"/>
      <c r="AD23" s="331"/>
      <c r="AE23" s="331"/>
      <c r="AF23" s="331"/>
      <c r="AH23" s="331"/>
      <c r="AI23" s="331"/>
      <c r="AK23" s="331"/>
    </row>
    <row r="24" spans="2:37" x14ac:dyDescent="0.25">
      <c r="B24" s="137" t="str">
        <f t="shared" si="0"/>
        <v>1 2025</v>
      </c>
      <c r="C24" s="138">
        <f t="shared" si="2"/>
        <v>45675</v>
      </c>
      <c r="D24" s="138">
        <f t="shared" si="3"/>
        <v>45676</v>
      </c>
      <c r="E24" s="137">
        <f t="shared" si="1"/>
        <v>1</v>
      </c>
      <c r="F24" s="137" t="s">
        <v>7</v>
      </c>
      <c r="H24" s="326">
        <f t="shared" si="4"/>
        <v>45675</v>
      </c>
      <c r="I24" s="325"/>
      <c r="J24" s="399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Z24" s="331"/>
      <c r="AA24" s="331"/>
      <c r="AB24" s="331"/>
      <c r="AD24" s="331"/>
      <c r="AE24" s="331"/>
      <c r="AF24" s="331"/>
      <c r="AH24" s="331"/>
      <c r="AI24" s="331"/>
      <c r="AK24" s="331"/>
    </row>
    <row r="25" spans="2:37" x14ac:dyDescent="0.25">
      <c r="B25" s="137" t="str">
        <f t="shared" si="0"/>
        <v>1 2025</v>
      </c>
      <c r="C25" s="138">
        <f t="shared" si="2"/>
        <v>45676</v>
      </c>
      <c r="D25" s="138">
        <f t="shared" si="3"/>
        <v>45677</v>
      </c>
      <c r="E25" s="137">
        <f t="shared" si="1"/>
        <v>1</v>
      </c>
      <c r="F25" s="137" t="s">
        <v>7</v>
      </c>
      <c r="H25" s="326">
        <f t="shared" si="4"/>
        <v>45676</v>
      </c>
      <c r="I25" s="325"/>
      <c r="J25" s="399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Z25" s="331"/>
      <c r="AA25" s="331"/>
      <c r="AB25" s="331"/>
      <c r="AD25" s="331"/>
      <c r="AE25" s="331"/>
      <c r="AF25" s="331"/>
      <c r="AH25" s="331"/>
      <c r="AI25" s="331"/>
      <c r="AK25" s="331"/>
    </row>
    <row r="26" spans="2:37" x14ac:dyDescent="0.25">
      <c r="B26" s="137" t="str">
        <f t="shared" si="0"/>
        <v>1 2025</v>
      </c>
      <c r="C26" s="138">
        <f t="shared" si="2"/>
        <v>45677</v>
      </c>
      <c r="D26" s="138">
        <f t="shared" si="3"/>
        <v>45678</v>
      </c>
      <c r="E26" s="137">
        <f t="shared" si="1"/>
        <v>1</v>
      </c>
      <c r="F26" s="137" t="s">
        <v>7</v>
      </c>
      <c r="H26" s="326">
        <f t="shared" si="4"/>
        <v>45677</v>
      </c>
      <c r="I26" s="325"/>
      <c r="J26" s="399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Z26" s="331"/>
      <c r="AA26" s="331"/>
      <c r="AB26" s="331"/>
      <c r="AD26" s="331"/>
      <c r="AE26" s="331"/>
      <c r="AF26" s="331"/>
      <c r="AH26" s="331"/>
      <c r="AI26" s="331"/>
      <c r="AK26" s="331"/>
    </row>
    <row r="27" spans="2:37" x14ac:dyDescent="0.25">
      <c r="B27" s="137" t="str">
        <f t="shared" si="0"/>
        <v>1 2025</v>
      </c>
      <c r="C27" s="138">
        <f t="shared" si="2"/>
        <v>45678</v>
      </c>
      <c r="D27" s="138">
        <f t="shared" si="3"/>
        <v>45679</v>
      </c>
      <c r="E27" s="137">
        <f t="shared" si="1"/>
        <v>1</v>
      </c>
      <c r="F27" s="137" t="s">
        <v>7</v>
      </c>
      <c r="H27" s="326">
        <f t="shared" si="4"/>
        <v>45678</v>
      </c>
      <c r="I27" s="325"/>
      <c r="J27" s="399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Z27" s="331"/>
      <c r="AA27" s="331"/>
      <c r="AB27" s="331"/>
      <c r="AD27" s="331"/>
      <c r="AE27" s="331"/>
      <c r="AF27" s="331"/>
      <c r="AH27" s="331"/>
      <c r="AI27" s="331"/>
      <c r="AK27" s="331"/>
    </row>
    <row r="28" spans="2:37" x14ac:dyDescent="0.25">
      <c r="B28" s="137" t="str">
        <f t="shared" si="0"/>
        <v>1 2025</v>
      </c>
      <c r="C28" s="138">
        <f t="shared" si="2"/>
        <v>45679</v>
      </c>
      <c r="D28" s="138">
        <f t="shared" si="3"/>
        <v>45680</v>
      </c>
      <c r="E28" s="137">
        <f t="shared" si="1"/>
        <v>1</v>
      </c>
      <c r="F28" s="137" t="s">
        <v>7</v>
      </c>
      <c r="H28" s="326">
        <f t="shared" si="4"/>
        <v>45679</v>
      </c>
      <c r="I28" s="325"/>
      <c r="J28" s="399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Z28" s="331"/>
      <c r="AA28" s="331"/>
      <c r="AB28" s="331"/>
      <c r="AD28" s="331"/>
      <c r="AE28" s="331"/>
      <c r="AF28" s="331"/>
      <c r="AH28" s="331"/>
      <c r="AI28" s="331"/>
      <c r="AK28" s="331"/>
    </row>
    <row r="29" spans="2:37" x14ac:dyDescent="0.25">
      <c r="B29" s="137" t="str">
        <f t="shared" si="0"/>
        <v>1 2025</v>
      </c>
      <c r="C29" s="138">
        <f t="shared" si="2"/>
        <v>45680</v>
      </c>
      <c r="D29" s="138">
        <f t="shared" si="3"/>
        <v>45681</v>
      </c>
      <c r="E29" s="137">
        <f t="shared" si="1"/>
        <v>1</v>
      </c>
      <c r="F29" s="137" t="s">
        <v>7</v>
      </c>
      <c r="H29" s="326">
        <f t="shared" si="4"/>
        <v>45680</v>
      </c>
      <c r="I29" s="325"/>
      <c r="J29" s="399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Z29" s="331"/>
      <c r="AA29" s="331"/>
      <c r="AB29" s="331"/>
      <c r="AD29" s="331"/>
      <c r="AE29" s="331"/>
      <c r="AF29" s="331"/>
      <c r="AH29" s="331"/>
      <c r="AI29" s="331"/>
      <c r="AK29" s="331"/>
    </row>
    <row r="30" spans="2:37" x14ac:dyDescent="0.25">
      <c r="B30" s="137" t="str">
        <f t="shared" si="0"/>
        <v>1 2025</v>
      </c>
      <c r="C30" s="138">
        <f t="shared" si="2"/>
        <v>45681</v>
      </c>
      <c r="D30" s="138">
        <f t="shared" si="3"/>
        <v>45682</v>
      </c>
      <c r="E30" s="137">
        <f t="shared" si="1"/>
        <v>1</v>
      </c>
      <c r="F30" s="137" t="s">
        <v>7</v>
      </c>
      <c r="H30" s="326">
        <f t="shared" si="4"/>
        <v>45681</v>
      </c>
      <c r="I30" s="325"/>
      <c r="J30" s="399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Z30" s="331"/>
      <c r="AA30" s="331"/>
      <c r="AB30" s="331"/>
      <c r="AD30" s="331"/>
      <c r="AE30" s="331"/>
      <c r="AF30" s="331"/>
      <c r="AH30" s="331"/>
      <c r="AI30" s="331"/>
      <c r="AK30" s="331"/>
    </row>
    <row r="31" spans="2:37" x14ac:dyDescent="0.25">
      <c r="B31" s="137" t="str">
        <f t="shared" si="0"/>
        <v>1 2025</v>
      </c>
      <c r="C31" s="138">
        <f t="shared" si="2"/>
        <v>45682</v>
      </c>
      <c r="D31" s="138">
        <f t="shared" si="3"/>
        <v>45683</v>
      </c>
      <c r="E31" s="137">
        <f t="shared" si="1"/>
        <v>1</v>
      </c>
      <c r="F31" s="137" t="s">
        <v>7</v>
      </c>
      <c r="H31" s="326">
        <f t="shared" si="4"/>
        <v>45682</v>
      </c>
      <c r="I31" s="325"/>
      <c r="J31" s="399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Z31" s="331"/>
      <c r="AA31" s="331"/>
      <c r="AB31" s="331"/>
      <c r="AD31" s="331"/>
      <c r="AE31" s="331"/>
      <c r="AF31" s="331"/>
      <c r="AH31" s="331"/>
      <c r="AI31" s="331"/>
      <c r="AK31" s="331"/>
    </row>
    <row r="32" spans="2:37" x14ac:dyDescent="0.25">
      <c r="B32" s="137" t="str">
        <f t="shared" si="0"/>
        <v>1 2025</v>
      </c>
      <c r="C32" s="138">
        <f t="shared" si="2"/>
        <v>45683</v>
      </c>
      <c r="D32" s="138">
        <f t="shared" si="3"/>
        <v>45684</v>
      </c>
      <c r="E32" s="137">
        <f t="shared" si="1"/>
        <v>1</v>
      </c>
      <c r="F32" s="137" t="s">
        <v>7</v>
      </c>
      <c r="H32" s="326">
        <f t="shared" si="4"/>
        <v>45683</v>
      </c>
      <c r="I32" s="325"/>
      <c r="J32" s="399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Z32" s="331"/>
      <c r="AA32" s="331"/>
      <c r="AB32" s="331"/>
      <c r="AD32" s="331"/>
      <c r="AE32" s="331"/>
      <c r="AF32" s="331"/>
      <c r="AH32" s="331"/>
      <c r="AI32" s="331"/>
      <c r="AK32" s="331"/>
    </row>
    <row r="33" spans="2:37" x14ac:dyDescent="0.25">
      <c r="B33" s="137" t="str">
        <f t="shared" si="0"/>
        <v>1 2025</v>
      </c>
      <c r="C33" s="138">
        <f t="shared" si="2"/>
        <v>45684</v>
      </c>
      <c r="D33" s="138">
        <f t="shared" si="3"/>
        <v>45685</v>
      </c>
      <c r="E33" s="137">
        <f t="shared" si="1"/>
        <v>1</v>
      </c>
      <c r="F33" s="137" t="s">
        <v>7</v>
      </c>
      <c r="H33" s="326">
        <f t="shared" si="4"/>
        <v>45684</v>
      </c>
      <c r="I33" s="325"/>
      <c r="J33" s="399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Z33" s="331"/>
      <c r="AA33" s="331"/>
      <c r="AB33" s="331"/>
      <c r="AD33" s="331"/>
      <c r="AE33" s="331"/>
      <c r="AF33" s="331"/>
      <c r="AH33" s="331"/>
      <c r="AI33" s="331"/>
      <c r="AK33" s="331"/>
    </row>
    <row r="34" spans="2:37" x14ac:dyDescent="0.25">
      <c r="B34" s="137" t="str">
        <f t="shared" si="0"/>
        <v>1 2025</v>
      </c>
      <c r="C34" s="138">
        <f t="shared" si="2"/>
        <v>45685</v>
      </c>
      <c r="D34" s="138">
        <f t="shared" si="3"/>
        <v>45686</v>
      </c>
      <c r="E34" s="137">
        <f t="shared" si="1"/>
        <v>1</v>
      </c>
      <c r="F34" s="137" t="s">
        <v>7</v>
      </c>
      <c r="H34" s="326">
        <f t="shared" si="4"/>
        <v>45685</v>
      </c>
      <c r="I34" s="325"/>
      <c r="J34" s="399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Z34" s="331"/>
      <c r="AA34" s="331"/>
      <c r="AB34" s="331"/>
      <c r="AD34" s="331"/>
      <c r="AE34" s="331"/>
      <c r="AF34" s="331"/>
      <c r="AH34" s="331"/>
      <c r="AI34" s="331"/>
      <c r="AK34" s="331"/>
    </row>
    <row r="35" spans="2:37" x14ac:dyDescent="0.25">
      <c r="B35" s="137" t="str">
        <f t="shared" si="0"/>
        <v>1 2025</v>
      </c>
      <c r="C35" s="138">
        <f t="shared" si="2"/>
        <v>45686</v>
      </c>
      <c r="D35" s="138">
        <f t="shared" si="3"/>
        <v>45687</v>
      </c>
      <c r="E35" s="137">
        <f t="shared" si="1"/>
        <v>1</v>
      </c>
      <c r="F35" s="137" t="s">
        <v>7</v>
      </c>
      <c r="H35" s="326">
        <f t="shared" si="4"/>
        <v>45686</v>
      </c>
      <c r="I35" s="325"/>
      <c r="J35" s="399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Z35" s="331"/>
      <c r="AA35" s="331"/>
      <c r="AB35" s="331"/>
      <c r="AD35" s="331"/>
      <c r="AE35" s="331"/>
      <c r="AF35" s="331"/>
      <c r="AH35" s="331"/>
      <c r="AI35" s="331"/>
      <c r="AK35" s="331"/>
    </row>
    <row r="36" spans="2:37" x14ac:dyDescent="0.25">
      <c r="B36" s="148" t="str">
        <f t="shared" si="0"/>
        <v>1 2025</v>
      </c>
      <c r="C36" s="149">
        <f t="shared" si="2"/>
        <v>45687</v>
      </c>
      <c r="D36" s="149">
        <f t="shared" si="3"/>
        <v>45688</v>
      </c>
      <c r="E36" s="148">
        <f t="shared" si="1"/>
        <v>1</v>
      </c>
      <c r="F36" s="148" t="s">
        <v>7</v>
      </c>
      <c r="H36" s="327">
        <f t="shared" si="4"/>
        <v>45687</v>
      </c>
      <c r="I36" s="325"/>
      <c r="J36" s="399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Z36" s="331"/>
      <c r="AA36" s="331"/>
      <c r="AB36" s="331"/>
      <c r="AD36" s="331"/>
      <c r="AE36" s="331"/>
      <c r="AF36" s="331"/>
      <c r="AH36" s="331"/>
      <c r="AI36" s="331"/>
      <c r="AK36" s="331"/>
    </row>
    <row r="37" spans="2:37" x14ac:dyDescent="0.25">
      <c r="B37" s="123" t="str">
        <f t="shared" si="0"/>
        <v>2 2025</v>
      </c>
      <c r="C37" s="122">
        <f t="shared" si="2"/>
        <v>45688</v>
      </c>
      <c r="D37" s="122">
        <f t="shared" si="3"/>
        <v>45689</v>
      </c>
      <c r="E37" s="123">
        <f t="shared" si="1"/>
        <v>1</v>
      </c>
      <c r="F37" s="123" t="s">
        <v>7</v>
      </c>
      <c r="H37" s="328">
        <f t="shared" si="4"/>
        <v>45688</v>
      </c>
      <c r="I37" s="325"/>
      <c r="J37" s="399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Z37" s="331"/>
      <c r="AA37" s="331"/>
      <c r="AB37" s="331"/>
      <c r="AD37" s="331"/>
      <c r="AE37" s="331"/>
      <c r="AF37" s="331"/>
      <c r="AH37" s="331"/>
      <c r="AI37" s="331"/>
      <c r="AK37" s="331"/>
    </row>
    <row r="38" spans="2:37" x14ac:dyDescent="0.25">
      <c r="B38" s="123" t="str">
        <f t="shared" si="0"/>
        <v>2 2025</v>
      </c>
      <c r="C38" s="122">
        <f t="shared" si="2"/>
        <v>45689</v>
      </c>
      <c r="D38" s="122">
        <f t="shared" si="3"/>
        <v>45690</v>
      </c>
      <c r="E38" s="123">
        <f t="shared" si="1"/>
        <v>1</v>
      </c>
      <c r="F38" s="123" t="s">
        <v>7</v>
      </c>
      <c r="H38" s="328">
        <f t="shared" si="4"/>
        <v>45689</v>
      </c>
      <c r="I38" s="325"/>
      <c r="J38" s="399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Z38" s="331"/>
      <c r="AA38" s="331"/>
      <c r="AB38" s="331"/>
      <c r="AD38" s="331"/>
      <c r="AE38" s="331"/>
      <c r="AF38" s="331"/>
      <c r="AH38" s="331"/>
      <c r="AI38" s="331"/>
      <c r="AK38" s="331"/>
    </row>
    <row r="39" spans="2:37" x14ac:dyDescent="0.25">
      <c r="B39" s="123" t="str">
        <f t="shared" si="0"/>
        <v>2 2025</v>
      </c>
      <c r="C39" s="122">
        <f t="shared" si="2"/>
        <v>45690</v>
      </c>
      <c r="D39" s="122">
        <f t="shared" si="3"/>
        <v>45691</v>
      </c>
      <c r="E39" s="123">
        <f t="shared" si="1"/>
        <v>1</v>
      </c>
      <c r="F39" s="123" t="s">
        <v>7</v>
      </c>
      <c r="H39" s="328">
        <f t="shared" si="4"/>
        <v>45690</v>
      </c>
      <c r="I39" s="325"/>
      <c r="J39" s="399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Z39" s="331"/>
      <c r="AA39" s="331"/>
      <c r="AB39" s="331"/>
      <c r="AD39" s="331"/>
      <c r="AE39" s="331"/>
      <c r="AF39" s="331"/>
      <c r="AH39" s="331"/>
      <c r="AI39" s="331"/>
      <c r="AK39" s="331"/>
    </row>
    <row r="40" spans="2:37" x14ac:dyDescent="0.25">
      <c r="B40" s="123" t="str">
        <f t="shared" si="0"/>
        <v>2 2025</v>
      </c>
      <c r="C40" s="122">
        <f t="shared" si="2"/>
        <v>45691</v>
      </c>
      <c r="D40" s="122">
        <f t="shared" si="3"/>
        <v>45692</v>
      </c>
      <c r="E40" s="123">
        <f t="shared" si="1"/>
        <v>1</v>
      </c>
      <c r="F40" s="123" t="s">
        <v>7</v>
      </c>
      <c r="H40" s="328">
        <f t="shared" si="4"/>
        <v>45691</v>
      </c>
      <c r="I40" s="325"/>
      <c r="J40" s="399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Z40" s="331"/>
      <c r="AA40" s="331"/>
      <c r="AB40" s="331"/>
      <c r="AD40" s="331"/>
      <c r="AE40" s="331"/>
      <c r="AF40" s="331"/>
      <c r="AH40" s="331"/>
      <c r="AI40" s="331"/>
      <c r="AK40" s="331"/>
    </row>
    <row r="41" spans="2:37" x14ac:dyDescent="0.25">
      <c r="B41" s="123" t="str">
        <f t="shared" si="0"/>
        <v>2 2025</v>
      </c>
      <c r="C41" s="122">
        <f t="shared" si="2"/>
        <v>45692</v>
      </c>
      <c r="D41" s="122">
        <f t="shared" si="3"/>
        <v>45693</v>
      </c>
      <c r="E41" s="123">
        <f t="shared" si="1"/>
        <v>1</v>
      </c>
      <c r="F41" s="123" t="s">
        <v>7</v>
      </c>
      <c r="H41" s="328">
        <f t="shared" si="4"/>
        <v>45692</v>
      </c>
      <c r="I41" s="325"/>
      <c r="J41" s="399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Z41" s="331"/>
      <c r="AA41" s="331"/>
      <c r="AB41" s="331"/>
      <c r="AD41" s="331"/>
      <c r="AE41" s="331"/>
      <c r="AF41" s="331"/>
      <c r="AH41" s="331"/>
      <c r="AI41" s="331"/>
      <c r="AK41" s="331"/>
    </row>
    <row r="42" spans="2:37" x14ac:dyDescent="0.25">
      <c r="B42" s="123" t="str">
        <f t="shared" si="0"/>
        <v>2 2025</v>
      </c>
      <c r="C42" s="122">
        <f t="shared" si="2"/>
        <v>45693</v>
      </c>
      <c r="D42" s="122">
        <f t="shared" si="3"/>
        <v>45694</v>
      </c>
      <c r="E42" s="123">
        <f t="shared" si="1"/>
        <v>1</v>
      </c>
      <c r="F42" s="123" t="s">
        <v>7</v>
      </c>
      <c r="H42" s="328">
        <f t="shared" si="4"/>
        <v>45693</v>
      </c>
      <c r="I42" s="325"/>
      <c r="J42" s="399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Z42" s="331"/>
      <c r="AA42" s="331"/>
      <c r="AB42" s="331"/>
      <c r="AD42" s="331"/>
      <c r="AE42" s="331"/>
      <c r="AF42" s="331"/>
      <c r="AH42" s="331"/>
      <c r="AI42" s="331"/>
      <c r="AK42" s="331"/>
    </row>
    <row r="43" spans="2:37" x14ac:dyDescent="0.25">
      <c r="B43" s="123" t="str">
        <f t="shared" si="0"/>
        <v>2 2025</v>
      </c>
      <c r="C43" s="122">
        <f t="shared" si="2"/>
        <v>45694</v>
      </c>
      <c r="D43" s="122">
        <f t="shared" si="3"/>
        <v>45695</v>
      </c>
      <c r="E43" s="123">
        <f t="shared" si="1"/>
        <v>1</v>
      </c>
      <c r="F43" s="123" t="s">
        <v>7</v>
      </c>
      <c r="H43" s="328">
        <f t="shared" si="4"/>
        <v>45694</v>
      </c>
      <c r="I43" s="325"/>
      <c r="J43" s="399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Z43" s="331"/>
      <c r="AA43" s="331"/>
      <c r="AB43" s="331"/>
      <c r="AD43" s="331"/>
      <c r="AE43" s="331"/>
      <c r="AF43" s="331"/>
      <c r="AH43" s="331"/>
      <c r="AI43" s="331"/>
      <c r="AK43" s="331"/>
    </row>
    <row r="44" spans="2:37" x14ac:dyDescent="0.25">
      <c r="B44" s="123" t="str">
        <f t="shared" si="0"/>
        <v>2 2025</v>
      </c>
      <c r="C44" s="122">
        <f t="shared" si="2"/>
        <v>45695</v>
      </c>
      <c r="D44" s="122">
        <f t="shared" si="3"/>
        <v>45696</v>
      </c>
      <c r="E44" s="123">
        <f t="shared" si="1"/>
        <v>1</v>
      </c>
      <c r="F44" s="123" t="s">
        <v>7</v>
      </c>
      <c r="H44" s="328">
        <f t="shared" si="4"/>
        <v>45695</v>
      </c>
      <c r="I44" s="325"/>
      <c r="J44" s="399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Z44" s="331"/>
      <c r="AA44" s="331"/>
      <c r="AB44" s="331"/>
      <c r="AD44" s="331"/>
      <c r="AE44" s="331"/>
      <c r="AF44" s="331"/>
      <c r="AH44" s="331"/>
      <c r="AI44" s="331"/>
      <c r="AK44" s="331"/>
    </row>
    <row r="45" spans="2:37" x14ac:dyDescent="0.25">
      <c r="B45" s="123" t="str">
        <f t="shared" si="0"/>
        <v>2 2025</v>
      </c>
      <c r="C45" s="122">
        <f t="shared" si="2"/>
        <v>45696</v>
      </c>
      <c r="D45" s="122">
        <f t="shared" si="3"/>
        <v>45697</v>
      </c>
      <c r="E45" s="123">
        <f t="shared" si="1"/>
        <v>1</v>
      </c>
      <c r="F45" s="123" t="s">
        <v>7</v>
      </c>
      <c r="H45" s="328">
        <f t="shared" si="4"/>
        <v>45696</v>
      </c>
      <c r="I45" s="325"/>
      <c r="J45" s="399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Z45" s="331"/>
      <c r="AA45" s="331"/>
      <c r="AB45" s="331"/>
      <c r="AD45" s="331"/>
      <c r="AE45" s="331"/>
      <c r="AF45" s="331"/>
      <c r="AH45" s="331"/>
      <c r="AI45" s="331"/>
      <c r="AK45" s="331"/>
    </row>
    <row r="46" spans="2:37" x14ac:dyDescent="0.25">
      <c r="B46" s="123" t="str">
        <f t="shared" si="0"/>
        <v>2 2025</v>
      </c>
      <c r="C46" s="122">
        <f t="shared" si="2"/>
        <v>45697</v>
      </c>
      <c r="D46" s="122">
        <f t="shared" si="3"/>
        <v>45698</v>
      </c>
      <c r="E46" s="123">
        <f t="shared" si="1"/>
        <v>1</v>
      </c>
      <c r="F46" s="123" t="s">
        <v>7</v>
      </c>
      <c r="H46" s="328">
        <f t="shared" si="4"/>
        <v>45697</v>
      </c>
      <c r="I46" s="325"/>
      <c r="J46" s="399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Z46" s="331"/>
      <c r="AA46" s="331"/>
      <c r="AB46" s="331"/>
      <c r="AD46" s="331"/>
      <c r="AE46" s="331"/>
      <c r="AF46" s="331"/>
      <c r="AH46" s="331"/>
      <c r="AI46" s="331"/>
      <c r="AK46" s="331"/>
    </row>
    <row r="47" spans="2:37" x14ac:dyDescent="0.25">
      <c r="B47" s="123" t="str">
        <f t="shared" si="0"/>
        <v>2 2025</v>
      </c>
      <c r="C47" s="122">
        <f t="shared" si="2"/>
        <v>45698</v>
      </c>
      <c r="D47" s="122">
        <f t="shared" si="3"/>
        <v>45699</v>
      </c>
      <c r="E47" s="123">
        <f t="shared" si="1"/>
        <v>1</v>
      </c>
      <c r="F47" s="123" t="s">
        <v>7</v>
      </c>
      <c r="H47" s="328">
        <f t="shared" si="4"/>
        <v>45698</v>
      </c>
      <c r="I47" s="325"/>
      <c r="J47" s="399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Z47" s="331"/>
      <c r="AA47" s="331"/>
      <c r="AB47" s="331"/>
      <c r="AD47" s="331"/>
      <c r="AE47" s="331"/>
      <c r="AF47" s="331"/>
      <c r="AH47" s="331"/>
      <c r="AI47" s="331"/>
      <c r="AK47" s="331"/>
    </row>
    <row r="48" spans="2:37" x14ac:dyDescent="0.25">
      <c r="B48" s="123" t="str">
        <f t="shared" si="0"/>
        <v>2 2025</v>
      </c>
      <c r="C48" s="122">
        <f t="shared" si="2"/>
        <v>45699</v>
      </c>
      <c r="D48" s="122">
        <f t="shared" si="3"/>
        <v>45700</v>
      </c>
      <c r="E48" s="123">
        <f t="shared" si="1"/>
        <v>1</v>
      </c>
      <c r="F48" s="123" t="s">
        <v>7</v>
      </c>
      <c r="H48" s="328">
        <f t="shared" si="4"/>
        <v>45699</v>
      </c>
      <c r="I48" s="325"/>
      <c r="J48" s="399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  <c r="Z48" s="331"/>
      <c r="AA48" s="331"/>
      <c r="AB48" s="331"/>
      <c r="AD48" s="331"/>
      <c r="AE48" s="331"/>
      <c r="AF48" s="331"/>
      <c r="AH48" s="331"/>
      <c r="AI48" s="331"/>
      <c r="AK48" s="331"/>
    </row>
    <row r="49" spans="2:37" x14ac:dyDescent="0.25">
      <c r="B49" s="123" t="str">
        <f t="shared" si="0"/>
        <v>2 2025</v>
      </c>
      <c r="C49" s="122">
        <f t="shared" si="2"/>
        <v>45700</v>
      </c>
      <c r="D49" s="122">
        <f t="shared" si="3"/>
        <v>45701</v>
      </c>
      <c r="E49" s="123">
        <f t="shared" si="1"/>
        <v>1</v>
      </c>
      <c r="F49" s="123" t="s">
        <v>7</v>
      </c>
      <c r="H49" s="328">
        <f t="shared" si="4"/>
        <v>45700</v>
      </c>
      <c r="I49" s="325"/>
      <c r="J49" s="399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Z49" s="331"/>
      <c r="AA49" s="331"/>
      <c r="AB49" s="331"/>
      <c r="AD49" s="331"/>
      <c r="AE49" s="331"/>
      <c r="AF49" s="331"/>
      <c r="AH49" s="331"/>
      <c r="AI49" s="331"/>
      <c r="AK49" s="331"/>
    </row>
    <row r="50" spans="2:37" x14ac:dyDescent="0.25">
      <c r="B50" s="123" t="str">
        <f t="shared" si="0"/>
        <v>2 2025</v>
      </c>
      <c r="C50" s="122">
        <f t="shared" si="2"/>
        <v>45701</v>
      </c>
      <c r="D50" s="122">
        <f t="shared" si="3"/>
        <v>45702</v>
      </c>
      <c r="E50" s="123">
        <f t="shared" si="1"/>
        <v>1</v>
      </c>
      <c r="F50" s="123" t="s">
        <v>7</v>
      </c>
      <c r="H50" s="328">
        <f t="shared" si="4"/>
        <v>45701</v>
      </c>
      <c r="I50" s="325"/>
      <c r="J50" s="399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  <c r="Z50" s="331"/>
      <c r="AA50" s="331"/>
      <c r="AB50" s="331"/>
      <c r="AD50" s="331"/>
      <c r="AE50" s="331"/>
      <c r="AF50" s="331"/>
      <c r="AH50" s="331"/>
      <c r="AI50" s="331"/>
      <c r="AK50" s="331"/>
    </row>
    <row r="51" spans="2:37" x14ac:dyDescent="0.25">
      <c r="B51" s="123" t="str">
        <f t="shared" si="0"/>
        <v>2 2025</v>
      </c>
      <c r="C51" s="122">
        <f t="shared" si="2"/>
        <v>45702</v>
      </c>
      <c r="D51" s="122">
        <f t="shared" si="3"/>
        <v>45703</v>
      </c>
      <c r="E51" s="123">
        <f t="shared" si="1"/>
        <v>1</v>
      </c>
      <c r="F51" s="123" t="s">
        <v>7</v>
      </c>
      <c r="H51" s="328">
        <f t="shared" si="4"/>
        <v>45702</v>
      </c>
      <c r="I51" s="325"/>
      <c r="J51" s="399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Z51" s="331"/>
      <c r="AA51" s="331"/>
      <c r="AB51" s="331"/>
      <c r="AD51" s="331"/>
      <c r="AE51" s="331"/>
      <c r="AF51" s="331"/>
      <c r="AH51" s="331"/>
      <c r="AI51" s="331"/>
      <c r="AK51" s="331"/>
    </row>
    <row r="52" spans="2:37" x14ac:dyDescent="0.25">
      <c r="B52" s="123" t="str">
        <f t="shared" si="0"/>
        <v>2 2025</v>
      </c>
      <c r="C52" s="122">
        <f t="shared" si="2"/>
        <v>45703</v>
      </c>
      <c r="D52" s="122">
        <f t="shared" si="3"/>
        <v>45704</v>
      </c>
      <c r="E52" s="123">
        <f t="shared" si="1"/>
        <v>1</v>
      </c>
      <c r="F52" s="123" t="s">
        <v>7</v>
      </c>
      <c r="H52" s="328">
        <f t="shared" si="4"/>
        <v>45703</v>
      </c>
      <c r="I52" s="325"/>
      <c r="J52" s="399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Z52" s="331"/>
      <c r="AA52" s="331"/>
      <c r="AB52" s="331"/>
      <c r="AD52" s="331"/>
      <c r="AE52" s="331"/>
      <c r="AF52" s="331"/>
      <c r="AH52" s="331"/>
      <c r="AI52" s="331"/>
      <c r="AK52" s="331"/>
    </row>
    <row r="53" spans="2:37" x14ac:dyDescent="0.25">
      <c r="B53" s="123" t="str">
        <f t="shared" si="0"/>
        <v>2 2025</v>
      </c>
      <c r="C53" s="122">
        <f t="shared" si="2"/>
        <v>45704</v>
      </c>
      <c r="D53" s="122">
        <f t="shared" si="3"/>
        <v>45705</v>
      </c>
      <c r="E53" s="123">
        <f t="shared" si="1"/>
        <v>1</v>
      </c>
      <c r="F53" s="123" t="s">
        <v>7</v>
      </c>
      <c r="H53" s="328">
        <f t="shared" si="4"/>
        <v>45704</v>
      </c>
      <c r="I53" s="325"/>
      <c r="J53" s="399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Z53" s="331"/>
      <c r="AA53" s="331"/>
      <c r="AB53" s="331"/>
      <c r="AD53" s="331"/>
      <c r="AE53" s="331"/>
      <c r="AF53" s="331"/>
      <c r="AH53" s="331"/>
      <c r="AI53" s="331"/>
      <c r="AK53" s="331"/>
    </row>
    <row r="54" spans="2:37" x14ac:dyDescent="0.25">
      <c r="B54" s="123" t="str">
        <f t="shared" si="0"/>
        <v>2 2025</v>
      </c>
      <c r="C54" s="122">
        <f t="shared" si="2"/>
        <v>45705</v>
      </c>
      <c r="D54" s="122">
        <f t="shared" si="3"/>
        <v>45706</v>
      </c>
      <c r="E54" s="123">
        <f t="shared" si="1"/>
        <v>1</v>
      </c>
      <c r="F54" s="123" t="s">
        <v>7</v>
      </c>
      <c r="H54" s="328">
        <f t="shared" si="4"/>
        <v>45705</v>
      </c>
      <c r="I54" s="325"/>
      <c r="J54" s="399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Z54" s="331"/>
      <c r="AA54" s="331"/>
      <c r="AB54" s="331"/>
      <c r="AD54" s="331"/>
      <c r="AE54" s="331"/>
      <c r="AF54" s="331"/>
      <c r="AH54" s="331"/>
      <c r="AI54" s="331"/>
      <c r="AK54" s="331"/>
    </row>
    <row r="55" spans="2:37" x14ac:dyDescent="0.25">
      <c r="B55" s="123" t="str">
        <f t="shared" si="0"/>
        <v>2 2025</v>
      </c>
      <c r="C55" s="122">
        <f t="shared" si="2"/>
        <v>45706</v>
      </c>
      <c r="D55" s="122">
        <f t="shared" si="3"/>
        <v>45707</v>
      </c>
      <c r="E55" s="123">
        <f t="shared" si="1"/>
        <v>1</v>
      </c>
      <c r="F55" s="123" t="s">
        <v>7</v>
      </c>
      <c r="H55" s="328">
        <f t="shared" si="4"/>
        <v>45706</v>
      </c>
      <c r="I55" s="325"/>
      <c r="J55" s="399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Z55" s="331"/>
      <c r="AA55" s="331"/>
      <c r="AB55" s="331"/>
      <c r="AD55" s="331"/>
      <c r="AE55" s="331"/>
      <c r="AF55" s="331"/>
      <c r="AH55" s="331"/>
      <c r="AI55" s="331"/>
      <c r="AK55" s="331"/>
    </row>
    <row r="56" spans="2:37" x14ac:dyDescent="0.25">
      <c r="B56" s="123" t="str">
        <f t="shared" si="0"/>
        <v>2 2025</v>
      </c>
      <c r="C56" s="122">
        <f t="shared" si="2"/>
        <v>45707</v>
      </c>
      <c r="D56" s="122">
        <f t="shared" si="3"/>
        <v>45708</v>
      </c>
      <c r="E56" s="123">
        <f t="shared" si="1"/>
        <v>1</v>
      </c>
      <c r="F56" s="123" t="s">
        <v>7</v>
      </c>
      <c r="H56" s="328">
        <f t="shared" si="4"/>
        <v>45707</v>
      </c>
      <c r="I56" s="325"/>
      <c r="J56" s="399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Z56" s="331"/>
      <c r="AA56" s="331"/>
      <c r="AB56" s="331"/>
      <c r="AD56" s="331"/>
      <c r="AE56" s="331"/>
      <c r="AF56" s="331"/>
      <c r="AH56" s="331"/>
      <c r="AI56" s="331"/>
      <c r="AK56" s="331"/>
    </row>
    <row r="57" spans="2:37" x14ac:dyDescent="0.25">
      <c r="B57" s="123" t="str">
        <f t="shared" si="0"/>
        <v>2 2025</v>
      </c>
      <c r="C57" s="122">
        <f t="shared" si="2"/>
        <v>45708</v>
      </c>
      <c r="D57" s="122">
        <f t="shared" si="3"/>
        <v>45709</v>
      </c>
      <c r="E57" s="123">
        <f t="shared" si="1"/>
        <v>1</v>
      </c>
      <c r="F57" s="123" t="s">
        <v>7</v>
      </c>
      <c r="H57" s="328">
        <f t="shared" si="4"/>
        <v>45708</v>
      </c>
      <c r="I57" s="325"/>
      <c r="J57" s="399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Z57" s="331"/>
      <c r="AA57" s="331"/>
      <c r="AB57" s="331"/>
      <c r="AD57" s="331"/>
      <c r="AE57" s="331"/>
      <c r="AF57" s="331"/>
      <c r="AH57" s="331"/>
      <c r="AI57" s="331"/>
      <c r="AK57" s="331"/>
    </row>
    <row r="58" spans="2:37" x14ac:dyDescent="0.25">
      <c r="B58" s="123" t="str">
        <f t="shared" si="0"/>
        <v>2 2025</v>
      </c>
      <c r="C58" s="122">
        <f t="shared" si="2"/>
        <v>45709</v>
      </c>
      <c r="D58" s="122">
        <f t="shared" si="3"/>
        <v>45710</v>
      </c>
      <c r="E58" s="123">
        <f t="shared" si="1"/>
        <v>1</v>
      </c>
      <c r="F58" s="123" t="s">
        <v>7</v>
      </c>
      <c r="H58" s="328">
        <f t="shared" si="4"/>
        <v>45709</v>
      </c>
      <c r="I58" s="325"/>
      <c r="J58" s="399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Z58" s="331"/>
      <c r="AA58" s="331"/>
      <c r="AB58" s="331"/>
      <c r="AD58" s="331"/>
      <c r="AE58" s="331"/>
      <c r="AF58" s="331"/>
      <c r="AH58" s="331"/>
      <c r="AI58" s="331"/>
      <c r="AK58" s="331"/>
    </row>
    <row r="59" spans="2:37" x14ac:dyDescent="0.25">
      <c r="B59" s="123" t="str">
        <f t="shared" si="0"/>
        <v>2 2025</v>
      </c>
      <c r="C59" s="122">
        <f t="shared" si="2"/>
        <v>45710</v>
      </c>
      <c r="D59" s="122">
        <f t="shared" si="3"/>
        <v>45711</v>
      </c>
      <c r="E59" s="123">
        <f t="shared" si="1"/>
        <v>1</v>
      </c>
      <c r="F59" s="123" t="s">
        <v>7</v>
      </c>
      <c r="H59" s="328">
        <f t="shared" si="4"/>
        <v>45710</v>
      </c>
      <c r="I59" s="325"/>
      <c r="J59" s="399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Z59" s="331"/>
      <c r="AA59" s="331"/>
      <c r="AB59" s="331"/>
      <c r="AD59" s="331"/>
      <c r="AE59" s="331"/>
      <c r="AF59" s="331"/>
      <c r="AH59" s="331"/>
      <c r="AI59" s="331"/>
      <c r="AK59" s="331"/>
    </row>
    <row r="60" spans="2:37" x14ac:dyDescent="0.25">
      <c r="B60" s="123" t="str">
        <f t="shared" si="0"/>
        <v>2 2025</v>
      </c>
      <c r="C60" s="122">
        <f t="shared" si="2"/>
        <v>45711</v>
      </c>
      <c r="D60" s="122">
        <f t="shared" si="3"/>
        <v>45712</v>
      </c>
      <c r="E60" s="123">
        <f t="shared" si="1"/>
        <v>1</v>
      </c>
      <c r="F60" s="123" t="s">
        <v>7</v>
      </c>
      <c r="H60" s="328">
        <f t="shared" si="4"/>
        <v>45711</v>
      </c>
      <c r="I60" s="325"/>
      <c r="J60" s="399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Z60" s="331"/>
      <c r="AA60" s="331"/>
      <c r="AB60" s="331"/>
      <c r="AD60" s="331"/>
      <c r="AE60" s="331"/>
      <c r="AF60" s="331"/>
      <c r="AH60" s="331"/>
      <c r="AI60" s="331"/>
      <c r="AK60" s="331"/>
    </row>
    <row r="61" spans="2:37" x14ac:dyDescent="0.25">
      <c r="B61" s="123" t="str">
        <f t="shared" si="0"/>
        <v>2 2025</v>
      </c>
      <c r="C61" s="122">
        <f t="shared" si="2"/>
        <v>45712</v>
      </c>
      <c r="D61" s="122">
        <f t="shared" si="3"/>
        <v>45713</v>
      </c>
      <c r="E61" s="123">
        <f t="shared" si="1"/>
        <v>1</v>
      </c>
      <c r="F61" s="123" t="s">
        <v>7</v>
      </c>
      <c r="H61" s="328">
        <f t="shared" si="4"/>
        <v>45712</v>
      </c>
      <c r="I61" s="325"/>
      <c r="J61" s="399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Z61" s="331"/>
      <c r="AA61" s="331"/>
      <c r="AB61" s="331"/>
      <c r="AD61" s="331"/>
      <c r="AE61" s="331"/>
      <c r="AF61" s="331"/>
      <c r="AH61" s="331"/>
      <c r="AI61" s="331"/>
      <c r="AK61" s="331"/>
    </row>
    <row r="62" spans="2:37" x14ac:dyDescent="0.25">
      <c r="B62" s="123" t="str">
        <f t="shared" si="0"/>
        <v>2 2025</v>
      </c>
      <c r="C62" s="122">
        <f t="shared" si="2"/>
        <v>45713</v>
      </c>
      <c r="D62" s="122">
        <f t="shared" si="3"/>
        <v>45714</v>
      </c>
      <c r="E62" s="123">
        <f t="shared" si="1"/>
        <v>1</v>
      </c>
      <c r="F62" s="123" t="s">
        <v>7</v>
      </c>
      <c r="H62" s="328">
        <f t="shared" si="4"/>
        <v>45713</v>
      </c>
      <c r="I62" s="325"/>
      <c r="J62" s="399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Z62" s="331"/>
      <c r="AA62" s="331"/>
      <c r="AB62" s="331"/>
      <c r="AD62" s="331"/>
      <c r="AE62" s="331"/>
      <c r="AF62" s="331"/>
      <c r="AH62" s="331"/>
      <c r="AI62" s="331"/>
      <c r="AK62" s="331"/>
    </row>
    <row r="63" spans="2:37" x14ac:dyDescent="0.25">
      <c r="B63" s="123" t="str">
        <f t="shared" si="0"/>
        <v>2 2025</v>
      </c>
      <c r="C63" s="122">
        <f t="shared" si="2"/>
        <v>45714</v>
      </c>
      <c r="D63" s="122">
        <f t="shared" si="3"/>
        <v>45715</v>
      </c>
      <c r="E63" s="123">
        <f t="shared" si="1"/>
        <v>1</v>
      </c>
      <c r="F63" s="123" t="s">
        <v>7</v>
      </c>
      <c r="H63" s="328">
        <f t="shared" si="4"/>
        <v>45714</v>
      </c>
      <c r="I63" s="325"/>
      <c r="J63" s="399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Z63" s="331"/>
      <c r="AA63" s="331"/>
      <c r="AB63" s="331"/>
      <c r="AD63" s="331"/>
      <c r="AE63" s="331"/>
      <c r="AF63" s="331"/>
      <c r="AH63" s="331"/>
      <c r="AI63" s="331"/>
      <c r="AK63" s="331"/>
    </row>
    <row r="64" spans="2:37" x14ac:dyDescent="0.25">
      <c r="B64" s="148" t="str">
        <f t="shared" si="0"/>
        <v>2 2025</v>
      </c>
      <c r="C64" s="149">
        <f t="shared" si="2"/>
        <v>45715</v>
      </c>
      <c r="D64" s="149">
        <f t="shared" si="3"/>
        <v>45716</v>
      </c>
      <c r="E64" s="148">
        <f t="shared" si="1"/>
        <v>1</v>
      </c>
      <c r="F64" s="148" t="s">
        <v>7</v>
      </c>
      <c r="H64" s="327">
        <f t="shared" si="4"/>
        <v>45715</v>
      </c>
      <c r="I64" s="325"/>
      <c r="J64" s="399"/>
      <c r="L64" s="331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Z64" s="331"/>
      <c r="AA64" s="331"/>
      <c r="AB64" s="331"/>
      <c r="AD64" s="331"/>
      <c r="AE64" s="331"/>
      <c r="AF64" s="331"/>
      <c r="AH64" s="331"/>
      <c r="AI64" s="331"/>
      <c r="AK64" s="331"/>
    </row>
    <row r="65" spans="2:37" x14ac:dyDescent="0.25">
      <c r="B65" s="123" t="str">
        <f t="shared" si="0"/>
        <v>3 2025</v>
      </c>
      <c r="C65" s="122">
        <f t="shared" si="2"/>
        <v>45716</v>
      </c>
      <c r="D65" s="122">
        <f t="shared" si="3"/>
        <v>45717</v>
      </c>
      <c r="E65" s="123">
        <f t="shared" si="1"/>
        <v>1</v>
      </c>
      <c r="F65" s="123" t="s">
        <v>7</v>
      </c>
      <c r="H65" s="328">
        <f t="shared" si="4"/>
        <v>45716</v>
      </c>
      <c r="I65" s="325"/>
      <c r="J65" s="399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Z65" s="331"/>
      <c r="AA65" s="331"/>
      <c r="AB65" s="331"/>
      <c r="AD65" s="331"/>
      <c r="AE65" s="331"/>
      <c r="AF65" s="331"/>
      <c r="AH65" s="331"/>
      <c r="AI65" s="331"/>
      <c r="AK65" s="331"/>
    </row>
    <row r="66" spans="2:37" x14ac:dyDescent="0.25">
      <c r="B66" s="123" t="str">
        <f t="shared" si="0"/>
        <v>3 2025</v>
      </c>
      <c r="C66" s="122">
        <f t="shared" si="2"/>
        <v>45717</v>
      </c>
      <c r="D66" s="122">
        <f t="shared" si="3"/>
        <v>45718</v>
      </c>
      <c r="E66" s="123">
        <f t="shared" si="1"/>
        <v>1</v>
      </c>
      <c r="F66" s="123" t="s">
        <v>7</v>
      </c>
      <c r="H66" s="328">
        <f t="shared" si="4"/>
        <v>45717</v>
      </c>
      <c r="I66" s="325"/>
      <c r="J66" s="399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Z66" s="331"/>
      <c r="AA66" s="331"/>
      <c r="AB66" s="331"/>
      <c r="AD66" s="331"/>
      <c r="AE66" s="331"/>
      <c r="AF66" s="331"/>
      <c r="AH66" s="331"/>
      <c r="AI66" s="331"/>
      <c r="AK66" s="331"/>
    </row>
    <row r="67" spans="2:37" x14ac:dyDescent="0.25">
      <c r="B67" s="123" t="str">
        <f t="shared" si="0"/>
        <v>3 2025</v>
      </c>
      <c r="C67" s="122">
        <f t="shared" si="2"/>
        <v>45718</v>
      </c>
      <c r="D67" s="122">
        <f t="shared" si="3"/>
        <v>45719</v>
      </c>
      <c r="E67" s="123">
        <f t="shared" si="1"/>
        <v>1</v>
      </c>
      <c r="F67" s="123" t="s">
        <v>7</v>
      </c>
      <c r="H67" s="328">
        <f t="shared" si="4"/>
        <v>45718</v>
      </c>
      <c r="I67" s="325"/>
      <c r="J67" s="399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Z67" s="331"/>
      <c r="AA67" s="331"/>
      <c r="AB67" s="331"/>
      <c r="AD67" s="331"/>
      <c r="AE67" s="331"/>
      <c r="AF67" s="331"/>
      <c r="AH67" s="331"/>
      <c r="AI67" s="331"/>
      <c r="AK67" s="331"/>
    </row>
    <row r="68" spans="2:37" x14ac:dyDescent="0.25">
      <c r="B68" s="123" t="str">
        <f t="shared" si="0"/>
        <v>3 2025</v>
      </c>
      <c r="C68" s="122">
        <f t="shared" si="2"/>
        <v>45719</v>
      </c>
      <c r="D68" s="122">
        <f t="shared" si="3"/>
        <v>45720</v>
      </c>
      <c r="E68" s="123">
        <f t="shared" si="1"/>
        <v>1</v>
      </c>
      <c r="F68" s="123" t="s">
        <v>7</v>
      </c>
      <c r="H68" s="328">
        <f t="shared" si="4"/>
        <v>45719</v>
      </c>
      <c r="I68" s="325"/>
      <c r="J68" s="399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W68" s="331"/>
      <c r="X68" s="331"/>
      <c r="Z68" s="331"/>
      <c r="AA68" s="331"/>
      <c r="AB68" s="331"/>
      <c r="AD68" s="331"/>
      <c r="AE68" s="331"/>
      <c r="AF68" s="331"/>
      <c r="AH68" s="331"/>
      <c r="AI68" s="331"/>
      <c r="AK68" s="331"/>
    </row>
    <row r="69" spans="2:37" x14ac:dyDescent="0.25">
      <c r="B69" s="123" t="str">
        <f t="shared" si="0"/>
        <v>3 2025</v>
      </c>
      <c r="C69" s="122">
        <f t="shared" si="2"/>
        <v>45720</v>
      </c>
      <c r="D69" s="122">
        <f t="shared" si="3"/>
        <v>45721</v>
      </c>
      <c r="E69" s="123">
        <f t="shared" si="1"/>
        <v>1</v>
      </c>
      <c r="F69" s="123" t="s">
        <v>7</v>
      </c>
      <c r="H69" s="328">
        <f t="shared" si="4"/>
        <v>45720</v>
      </c>
      <c r="I69" s="325"/>
      <c r="J69" s="399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/>
      <c r="X69" s="331"/>
      <c r="Z69" s="331"/>
      <c r="AA69" s="331"/>
      <c r="AB69" s="331"/>
      <c r="AD69" s="331"/>
      <c r="AE69" s="331"/>
      <c r="AF69" s="331"/>
      <c r="AH69" s="331"/>
      <c r="AI69" s="331"/>
      <c r="AK69" s="331"/>
    </row>
    <row r="70" spans="2:37" x14ac:dyDescent="0.25">
      <c r="B70" s="123" t="str">
        <f t="shared" ref="B70:B133" si="5">CONCATENATE(MONTH(D70)," ",YEAR(D70))</f>
        <v>3 2025</v>
      </c>
      <c r="C70" s="122">
        <f t="shared" si="2"/>
        <v>45721</v>
      </c>
      <c r="D70" s="122">
        <f t="shared" si="3"/>
        <v>45722</v>
      </c>
      <c r="E70" s="123">
        <f t="shared" ref="E70:E133" si="6">D70-C70</f>
        <v>1</v>
      </c>
      <c r="F70" s="123" t="s">
        <v>7</v>
      </c>
      <c r="H70" s="328">
        <f t="shared" si="4"/>
        <v>45721</v>
      </c>
      <c r="I70" s="325"/>
      <c r="J70" s="399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Z70" s="331"/>
      <c r="AA70" s="331"/>
      <c r="AB70" s="331"/>
      <c r="AD70" s="331"/>
      <c r="AE70" s="331"/>
      <c r="AF70" s="331"/>
      <c r="AH70" s="331"/>
      <c r="AI70" s="331"/>
      <c r="AK70" s="331"/>
    </row>
    <row r="71" spans="2:37" x14ac:dyDescent="0.25">
      <c r="B71" s="123" t="str">
        <f t="shared" si="5"/>
        <v>3 2025</v>
      </c>
      <c r="C71" s="122">
        <f t="shared" ref="C71:C134" si="7">D70</f>
        <v>45722</v>
      </c>
      <c r="D71" s="122">
        <f t="shared" ref="D71:D134" si="8">D70+1</f>
        <v>45723</v>
      </c>
      <c r="E71" s="123">
        <f t="shared" si="6"/>
        <v>1</v>
      </c>
      <c r="F71" s="123" t="s">
        <v>7</v>
      </c>
      <c r="H71" s="328">
        <f t="shared" ref="H71:H134" si="9">H70+1</f>
        <v>45722</v>
      </c>
      <c r="I71" s="325"/>
      <c r="J71" s="399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Z71" s="331"/>
      <c r="AA71" s="331"/>
      <c r="AB71" s="331"/>
      <c r="AD71" s="331"/>
      <c r="AE71" s="331"/>
      <c r="AF71" s="331"/>
      <c r="AH71" s="331"/>
      <c r="AI71" s="331"/>
      <c r="AK71" s="331"/>
    </row>
    <row r="72" spans="2:37" x14ac:dyDescent="0.25">
      <c r="B72" s="123" t="str">
        <f t="shared" si="5"/>
        <v>3 2025</v>
      </c>
      <c r="C72" s="122">
        <f t="shared" si="7"/>
        <v>45723</v>
      </c>
      <c r="D72" s="122">
        <f t="shared" si="8"/>
        <v>45724</v>
      </c>
      <c r="E72" s="123">
        <f t="shared" si="6"/>
        <v>1</v>
      </c>
      <c r="F72" s="123" t="s">
        <v>7</v>
      </c>
      <c r="H72" s="328">
        <f t="shared" si="9"/>
        <v>45723</v>
      </c>
      <c r="I72" s="325"/>
      <c r="J72" s="399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Z72" s="331"/>
      <c r="AA72" s="331"/>
      <c r="AB72" s="331"/>
      <c r="AD72" s="331"/>
      <c r="AE72" s="331"/>
      <c r="AF72" s="331"/>
      <c r="AH72" s="331"/>
      <c r="AI72" s="331"/>
      <c r="AK72" s="331"/>
    </row>
    <row r="73" spans="2:37" x14ac:dyDescent="0.25">
      <c r="B73" s="123" t="str">
        <f t="shared" si="5"/>
        <v>3 2025</v>
      </c>
      <c r="C73" s="122">
        <f t="shared" si="7"/>
        <v>45724</v>
      </c>
      <c r="D73" s="122">
        <f t="shared" si="8"/>
        <v>45725</v>
      </c>
      <c r="E73" s="123">
        <f t="shared" si="6"/>
        <v>1</v>
      </c>
      <c r="F73" s="123" t="s">
        <v>7</v>
      </c>
      <c r="H73" s="328">
        <f t="shared" si="9"/>
        <v>45724</v>
      </c>
      <c r="I73" s="325"/>
      <c r="J73" s="399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Z73" s="331"/>
      <c r="AA73" s="331"/>
      <c r="AB73" s="331"/>
      <c r="AD73" s="331"/>
      <c r="AE73" s="331"/>
      <c r="AF73" s="331"/>
      <c r="AH73" s="331"/>
      <c r="AI73" s="331"/>
      <c r="AK73" s="331"/>
    </row>
    <row r="74" spans="2:37" x14ac:dyDescent="0.25">
      <c r="B74" s="123" t="str">
        <f t="shared" si="5"/>
        <v>3 2025</v>
      </c>
      <c r="C74" s="122">
        <f t="shared" si="7"/>
        <v>45725</v>
      </c>
      <c r="D74" s="122">
        <f t="shared" si="8"/>
        <v>45726</v>
      </c>
      <c r="E74" s="123">
        <f t="shared" si="6"/>
        <v>1</v>
      </c>
      <c r="F74" s="123" t="s">
        <v>7</v>
      </c>
      <c r="H74" s="328">
        <f t="shared" si="9"/>
        <v>45725</v>
      </c>
      <c r="I74" s="325"/>
      <c r="J74" s="399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Z74" s="331"/>
      <c r="AA74" s="331"/>
      <c r="AB74" s="331"/>
      <c r="AD74" s="331"/>
      <c r="AE74" s="331"/>
      <c r="AF74" s="331"/>
      <c r="AH74" s="331"/>
      <c r="AI74" s="331"/>
      <c r="AK74" s="331"/>
    </row>
    <row r="75" spans="2:37" x14ac:dyDescent="0.25">
      <c r="B75" s="123" t="str">
        <f t="shared" si="5"/>
        <v>3 2025</v>
      </c>
      <c r="C75" s="122">
        <f t="shared" si="7"/>
        <v>45726</v>
      </c>
      <c r="D75" s="122">
        <f t="shared" si="8"/>
        <v>45727</v>
      </c>
      <c r="E75" s="123">
        <f t="shared" si="6"/>
        <v>1</v>
      </c>
      <c r="F75" s="123" t="s">
        <v>7</v>
      </c>
      <c r="H75" s="328">
        <f t="shared" si="9"/>
        <v>45726</v>
      </c>
      <c r="I75" s="325"/>
      <c r="J75" s="399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Z75" s="331"/>
      <c r="AA75" s="331"/>
      <c r="AB75" s="331"/>
      <c r="AD75" s="331"/>
      <c r="AE75" s="331"/>
      <c r="AF75" s="331"/>
      <c r="AH75" s="331"/>
      <c r="AI75" s="331"/>
      <c r="AK75" s="331"/>
    </row>
    <row r="76" spans="2:37" x14ac:dyDescent="0.25">
      <c r="B76" s="123" t="str">
        <f t="shared" si="5"/>
        <v>3 2025</v>
      </c>
      <c r="C76" s="122">
        <f t="shared" si="7"/>
        <v>45727</v>
      </c>
      <c r="D76" s="122">
        <f t="shared" si="8"/>
        <v>45728</v>
      </c>
      <c r="E76" s="123">
        <f t="shared" si="6"/>
        <v>1</v>
      </c>
      <c r="F76" s="123" t="s">
        <v>7</v>
      </c>
      <c r="H76" s="328">
        <f t="shared" si="9"/>
        <v>45727</v>
      </c>
      <c r="I76" s="325"/>
      <c r="J76" s="399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Z76" s="331"/>
      <c r="AA76" s="331"/>
      <c r="AB76" s="331"/>
      <c r="AD76" s="331"/>
      <c r="AE76" s="331"/>
      <c r="AF76" s="331"/>
      <c r="AH76" s="331"/>
      <c r="AI76" s="331"/>
      <c r="AK76" s="331"/>
    </row>
    <row r="77" spans="2:37" x14ac:dyDescent="0.25">
      <c r="B77" s="123" t="str">
        <f t="shared" si="5"/>
        <v>3 2025</v>
      </c>
      <c r="C77" s="122">
        <f t="shared" si="7"/>
        <v>45728</v>
      </c>
      <c r="D77" s="122">
        <f t="shared" si="8"/>
        <v>45729</v>
      </c>
      <c r="E77" s="123">
        <f t="shared" si="6"/>
        <v>1</v>
      </c>
      <c r="F77" s="123" t="s">
        <v>7</v>
      </c>
      <c r="H77" s="328">
        <f t="shared" si="9"/>
        <v>45728</v>
      </c>
      <c r="I77" s="325"/>
      <c r="J77" s="399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Z77" s="331"/>
      <c r="AA77" s="331"/>
      <c r="AB77" s="331"/>
      <c r="AD77" s="331"/>
      <c r="AE77" s="331"/>
      <c r="AF77" s="331"/>
      <c r="AH77" s="331"/>
      <c r="AI77" s="331"/>
      <c r="AK77" s="331"/>
    </row>
    <row r="78" spans="2:37" x14ac:dyDescent="0.25">
      <c r="B78" s="123" t="str">
        <f t="shared" si="5"/>
        <v>3 2025</v>
      </c>
      <c r="C78" s="122">
        <f t="shared" si="7"/>
        <v>45729</v>
      </c>
      <c r="D78" s="122">
        <f t="shared" si="8"/>
        <v>45730</v>
      </c>
      <c r="E78" s="123">
        <f t="shared" si="6"/>
        <v>1</v>
      </c>
      <c r="F78" s="123" t="s">
        <v>7</v>
      </c>
      <c r="H78" s="328">
        <f t="shared" si="9"/>
        <v>45729</v>
      </c>
      <c r="I78" s="325"/>
      <c r="J78" s="399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Z78" s="331"/>
      <c r="AA78" s="331"/>
      <c r="AB78" s="331"/>
      <c r="AD78" s="331"/>
      <c r="AE78" s="331"/>
      <c r="AF78" s="331"/>
      <c r="AH78" s="331"/>
      <c r="AI78" s="331"/>
      <c r="AK78" s="331"/>
    </row>
    <row r="79" spans="2:37" x14ac:dyDescent="0.25">
      <c r="B79" s="123" t="str">
        <f t="shared" si="5"/>
        <v>3 2025</v>
      </c>
      <c r="C79" s="122">
        <f t="shared" si="7"/>
        <v>45730</v>
      </c>
      <c r="D79" s="122">
        <f t="shared" si="8"/>
        <v>45731</v>
      </c>
      <c r="E79" s="123">
        <f t="shared" si="6"/>
        <v>1</v>
      </c>
      <c r="F79" s="123" t="s">
        <v>7</v>
      </c>
      <c r="H79" s="328">
        <f t="shared" si="9"/>
        <v>45730</v>
      </c>
      <c r="I79" s="325"/>
      <c r="J79" s="399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Z79" s="331"/>
      <c r="AA79" s="331"/>
      <c r="AB79" s="331"/>
      <c r="AD79" s="331"/>
      <c r="AE79" s="331"/>
      <c r="AF79" s="331"/>
      <c r="AH79" s="331"/>
      <c r="AI79" s="331"/>
      <c r="AK79" s="331"/>
    </row>
    <row r="80" spans="2:37" x14ac:dyDescent="0.25">
      <c r="B80" s="123" t="str">
        <f t="shared" si="5"/>
        <v>3 2025</v>
      </c>
      <c r="C80" s="122">
        <f t="shared" si="7"/>
        <v>45731</v>
      </c>
      <c r="D80" s="122">
        <f t="shared" si="8"/>
        <v>45732</v>
      </c>
      <c r="E80" s="123">
        <f t="shared" si="6"/>
        <v>1</v>
      </c>
      <c r="F80" s="123" t="s">
        <v>7</v>
      </c>
      <c r="H80" s="328">
        <f t="shared" si="9"/>
        <v>45731</v>
      </c>
      <c r="I80" s="325"/>
      <c r="J80" s="399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Z80" s="331"/>
      <c r="AA80" s="331"/>
      <c r="AB80" s="331"/>
      <c r="AD80" s="331"/>
      <c r="AE80" s="331"/>
      <c r="AF80" s="331"/>
      <c r="AH80" s="331"/>
      <c r="AI80" s="331"/>
      <c r="AK80" s="331"/>
    </row>
    <row r="81" spans="2:37" x14ac:dyDescent="0.25">
      <c r="B81" s="123" t="str">
        <f t="shared" si="5"/>
        <v>3 2025</v>
      </c>
      <c r="C81" s="122">
        <f t="shared" si="7"/>
        <v>45732</v>
      </c>
      <c r="D81" s="122">
        <f t="shared" si="8"/>
        <v>45733</v>
      </c>
      <c r="E81" s="123">
        <f t="shared" si="6"/>
        <v>1</v>
      </c>
      <c r="F81" s="123" t="s">
        <v>7</v>
      </c>
      <c r="H81" s="328">
        <f t="shared" si="9"/>
        <v>45732</v>
      </c>
      <c r="I81" s="325"/>
      <c r="J81" s="399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Z81" s="331"/>
      <c r="AA81" s="331"/>
      <c r="AB81" s="331"/>
      <c r="AD81" s="331"/>
      <c r="AE81" s="331"/>
      <c r="AF81" s="331"/>
      <c r="AH81" s="331"/>
      <c r="AI81" s="331"/>
      <c r="AK81" s="331"/>
    </row>
    <row r="82" spans="2:37" x14ac:dyDescent="0.25">
      <c r="B82" s="123" t="str">
        <f t="shared" si="5"/>
        <v>3 2025</v>
      </c>
      <c r="C82" s="122">
        <f t="shared" si="7"/>
        <v>45733</v>
      </c>
      <c r="D82" s="122">
        <f t="shared" si="8"/>
        <v>45734</v>
      </c>
      <c r="E82" s="123">
        <f t="shared" si="6"/>
        <v>1</v>
      </c>
      <c r="F82" s="123" t="s">
        <v>7</v>
      </c>
      <c r="H82" s="328">
        <f t="shared" si="9"/>
        <v>45733</v>
      </c>
      <c r="I82" s="325"/>
      <c r="J82" s="399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Z82" s="331"/>
      <c r="AA82" s="331"/>
      <c r="AB82" s="331"/>
      <c r="AD82" s="331"/>
      <c r="AE82" s="331"/>
      <c r="AF82" s="331"/>
      <c r="AH82" s="331"/>
      <c r="AI82" s="331"/>
      <c r="AK82" s="331"/>
    </row>
    <row r="83" spans="2:37" x14ac:dyDescent="0.25">
      <c r="B83" s="123" t="str">
        <f t="shared" si="5"/>
        <v>3 2025</v>
      </c>
      <c r="C83" s="122">
        <f t="shared" si="7"/>
        <v>45734</v>
      </c>
      <c r="D83" s="122">
        <f t="shared" si="8"/>
        <v>45735</v>
      </c>
      <c r="E83" s="123">
        <f t="shared" si="6"/>
        <v>1</v>
      </c>
      <c r="F83" s="123" t="s">
        <v>7</v>
      </c>
      <c r="H83" s="328">
        <f t="shared" si="9"/>
        <v>45734</v>
      </c>
      <c r="I83" s="325"/>
      <c r="J83" s="399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Z83" s="331"/>
      <c r="AA83" s="331"/>
      <c r="AB83" s="331"/>
      <c r="AD83" s="331"/>
      <c r="AE83" s="331"/>
      <c r="AF83" s="331"/>
      <c r="AH83" s="331"/>
      <c r="AI83" s="331"/>
      <c r="AK83" s="331"/>
    </row>
    <row r="84" spans="2:37" x14ac:dyDescent="0.25">
      <c r="B84" s="123" t="str">
        <f t="shared" si="5"/>
        <v>3 2025</v>
      </c>
      <c r="C84" s="122">
        <f t="shared" si="7"/>
        <v>45735</v>
      </c>
      <c r="D84" s="122">
        <f t="shared" si="8"/>
        <v>45736</v>
      </c>
      <c r="E84" s="123">
        <f t="shared" si="6"/>
        <v>1</v>
      </c>
      <c r="F84" s="123" t="s">
        <v>7</v>
      </c>
      <c r="H84" s="328">
        <f t="shared" si="9"/>
        <v>45735</v>
      </c>
      <c r="I84" s="325"/>
      <c r="J84" s="399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Z84" s="331"/>
      <c r="AA84" s="331"/>
      <c r="AB84" s="331"/>
      <c r="AD84" s="331"/>
      <c r="AE84" s="331"/>
      <c r="AF84" s="331"/>
      <c r="AH84" s="331"/>
      <c r="AI84" s="331"/>
      <c r="AK84" s="331"/>
    </row>
    <row r="85" spans="2:37" x14ac:dyDescent="0.25">
      <c r="B85" s="123" t="str">
        <f t="shared" si="5"/>
        <v>3 2025</v>
      </c>
      <c r="C85" s="122">
        <f t="shared" si="7"/>
        <v>45736</v>
      </c>
      <c r="D85" s="122">
        <f t="shared" si="8"/>
        <v>45737</v>
      </c>
      <c r="E85" s="123">
        <f t="shared" si="6"/>
        <v>1</v>
      </c>
      <c r="F85" s="123" t="s">
        <v>7</v>
      </c>
      <c r="H85" s="328">
        <f t="shared" si="9"/>
        <v>45736</v>
      </c>
      <c r="I85" s="325"/>
      <c r="J85" s="399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Z85" s="331"/>
      <c r="AA85" s="331"/>
      <c r="AB85" s="331"/>
      <c r="AD85" s="331"/>
      <c r="AE85" s="331"/>
      <c r="AF85" s="331"/>
      <c r="AH85" s="331"/>
      <c r="AI85" s="331"/>
      <c r="AK85" s="331"/>
    </row>
    <row r="86" spans="2:37" x14ac:dyDescent="0.25">
      <c r="B86" s="123" t="str">
        <f t="shared" si="5"/>
        <v>3 2025</v>
      </c>
      <c r="C86" s="122">
        <f t="shared" si="7"/>
        <v>45737</v>
      </c>
      <c r="D86" s="122">
        <f t="shared" si="8"/>
        <v>45738</v>
      </c>
      <c r="E86" s="123">
        <f t="shared" si="6"/>
        <v>1</v>
      </c>
      <c r="F86" s="123" t="s">
        <v>7</v>
      </c>
      <c r="H86" s="328">
        <f t="shared" si="9"/>
        <v>45737</v>
      </c>
      <c r="I86" s="325"/>
      <c r="J86" s="399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Z86" s="331"/>
      <c r="AA86" s="331"/>
      <c r="AB86" s="331"/>
      <c r="AD86" s="331"/>
      <c r="AE86" s="331"/>
      <c r="AF86" s="331"/>
      <c r="AH86" s="331"/>
      <c r="AI86" s="331"/>
      <c r="AK86" s="331"/>
    </row>
    <row r="87" spans="2:37" x14ac:dyDescent="0.25">
      <c r="B87" s="123" t="str">
        <f t="shared" si="5"/>
        <v>3 2025</v>
      </c>
      <c r="C87" s="122">
        <f t="shared" si="7"/>
        <v>45738</v>
      </c>
      <c r="D87" s="122">
        <f t="shared" si="8"/>
        <v>45739</v>
      </c>
      <c r="E87" s="123">
        <f t="shared" si="6"/>
        <v>1</v>
      </c>
      <c r="F87" s="123" t="s">
        <v>7</v>
      </c>
      <c r="H87" s="328">
        <f t="shared" si="9"/>
        <v>45738</v>
      </c>
      <c r="I87" s="325"/>
      <c r="J87" s="399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Z87" s="331"/>
      <c r="AA87" s="331"/>
      <c r="AB87" s="331"/>
      <c r="AD87" s="331"/>
      <c r="AE87" s="331"/>
      <c r="AF87" s="331"/>
      <c r="AH87" s="331"/>
      <c r="AI87" s="331"/>
      <c r="AK87" s="331"/>
    </row>
    <row r="88" spans="2:37" x14ac:dyDescent="0.25">
      <c r="B88" s="123" t="str">
        <f t="shared" si="5"/>
        <v>3 2025</v>
      </c>
      <c r="C88" s="122">
        <f t="shared" si="7"/>
        <v>45739</v>
      </c>
      <c r="D88" s="122">
        <f t="shared" si="8"/>
        <v>45740</v>
      </c>
      <c r="E88" s="123">
        <f t="shared" si="6"/>
        <v>1</v>
      </c>
      <c r="F88" s="123" t="s">
        <v>7</v>
      </c>
      <c r="H88" s="328">
        <f t="shared" si="9"/>
        <v>45739</v>
      </c>
      <c r="I88" s="325"/>
      <c r="J88" s="399"/>
      <c r="L88" s="331"/>
      <c r="M88" s="331"/>
      <c r="N88" s="331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Z88" s="331"/>
      <c r="AA88" s="331"/>
      <c r="AB88" s="331"/>
      <c r="AD88" s="331"/>
      <c r="AE88" s="331"/>
      <c r="AF88" s="331"/>
      <c r="AH88" s="331"/>
      <c r="AI88" s="331"/>
      <c r="AK88" s="331"/>
    </row>
    <row r="89" spans="2:37" x14ac:dyDescent="0.25">
      <c r="B89" s="123" t="str">
        <f t="shared" si="5"/>
        <v>3 2025</v>
      </c>
      <c r="C89" s="122">
        <f t="shared" si="7"/>
        <v>45740</v>
      </c>
      <c r="D89" s="122">
        <f t="shared" si="8"/>
        <v>45741</v>
      </c>
      <c r="E89" s="123">
        <f t="shared" si="6"/>
        <v>1</v>
      </c>
      <c r="F89" s="123" t="s">
        <v>7</v>
      </c>
      <c r="H89" s="328">
        <f t="shared" si="9"/>
        <v>45740</v>
      </c>
      <c r="I89" s="325"/>
      <c r="J89" s="399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/>
      <c r="X89" s="331"/>
      <c r="Z89" s="331"/>
      <c r="AA89" s="331"/>
      <c r="AB89" s="331"/>
      <c r="AD89" s="331"/>
      <c r="AE89" s="331"/>
      <c r="AF89" s="331"/>
      <c r="AH89" s="331"/>
      <c r="AI89" s="331"/>
      <c r="AK89" s="331"/>
    </row>
    <row r="90" spans="2:37" x14ac:dyDescent="0.25">
      <c r="B90" s="123" t="str">
        <f t="shared" si="5"/>
        <v>3 2025</v>
      </c>
      <c r="C90" s="122">
        <f t="shared" si="7"/>
        <v>45741</v>
      </c>
      <c r="D90" s="122">
        <f t="shared" si="8"/>
        <v>45742</v>
      </c>
      <c r="E90" s="123">
        <f t="shared" si="6"/>
        <v>1</v>
      </c>
      <c r="F90" s="123" t="s">
        <v>7</v>
      </c>
      <c r="H90" s="328">
        <f t="shared" si="9"/>
        <v>45741</v>
      </c>
      <c r="I90" s="325"/>
      <c r="J90" s="399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Z90" s="331"/>
      <c r="AA90" s="331"/>
      <c r="AB90" s="331"/>
      <c r="AD90" s="331"/>
      <c r="AE90" s="331"/>
      <c r="AF90" s="331"/>
      <c r="AH90" s="331"/>
      <c r="AI90" s="331"/>
      <c r="AK90" s="331"/>
    </row>
    <row r="91" spans="2:37" x14ac:dyDescent="0.25">
      <c r="B91" s="123" t="str">
        <f t="shared" si="5"/>
        <v>3 2025</v>
      </c>
      <c r="C91" s="122">
        <f t="shared" si="7"/>
        <v>45742</v>
      </c>
      <c r="D91" s="122">
        <f t="shared" si="8"/>
        <v>45743</v>
      </c>
      <c r="E91" s="123">
        <f t="shared" si="6"/>
        <v>1</v>
      </c>
      <c r="F91" s="123" t="s">
        <v>7</v>
      </c>
      <c r="H91" s="328">
        <f t="shared" si="9"/>
        <v>45742</v>
      </c>
      <c r="I91" s="325"/>
      <c r="J91" s="399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Z91" s="331"/>
      <c r="AA91" s="331"/>
      <c r="AB91" s="331"/>
      <c r="AD91" s="331"/>
      <c r="AE91" s="331"/>
      <c r="AF91" s="331"/>
      <c r="AH91" s="331"/>
      <c r="AI91" s="331"/>
      <c r="AK91" s="331"/>
    </row>
    <row r="92" spans="2:37" x14ac:dyDescent="0.25">
      <c r="B92" s="123" t="str">
        <f t="shared" si="5"/>
        <v>3 2025</v>
      </c>
      <c r="C92" s="122">
        <f t="shared" si="7"/>
        <v>45743</v>
      </c>
      <c r="D92" s="122">
        <f t="shared" si="8"/>
        <v>45744</v>
      </c>
      <c r="E92" s="123">
        <f t="shared" si="6"/>
        <v>1</v>
      </c>
      <c r="F92" s="123" t="s">
        <v>7</v>
      </c>
      <c r="H92" s="328">
        <f t="shared" si="9"/>
        <v>45743</v>
      </c>
      <c r="I92" s="325"/>
      <c r="J92" s="399"/>
      <c r="L92" s="331"/>
      <c r="M92" s="331"/>
      <c r="N92" s="331"/>
      <c r="O92" s="331"/>
      <c r="P92" s="331"/>
      <c r="Q92" s="331"/>
      <c r="R92" s="331"/>
      <c r="S92" s="331"/>
      <c r="T92" s="331"/>
      <c r="U92" s="331"/>
      <c r="V92" s="331"/>
      <c r="W92" s="331"/>
      <c r="X92" s="331"/>
      <c r="Z92" s="331"/>
      <c r="AA92" s="331"/>
      <c r="AB92" s="331"/>
      <c r="AD92" s="331"/>
      <c r="AE92" s="331"/>
      <c r="AF92" s="331"/>
      <c r="AH92" s="331"/>
      <c r="AI92" s="331"/>
      <c r="AK92" s="331"/>
    </row>
    <row r="93" spans="2:37" x14ac:dyDescent="0.25">
      <c r="B93" s="123" t="str">
        <f t="shared" si="5"/>
        <v>3 2025</v>
      </c>
      <c r="C93" s="122">
        <f t="shared" si="7"/>
        <v>45744</v>
      </c>
      <c r="D93" s="122">
        <f t="shared" si="8"/>
        <v>45745</v>
      </c>
      <c r="E93" s="123">
        <f t="shared" si="6"/>
        <v>1</v>
      </c>
      <c r="F93" s="123" t="s">
        <v>7</v>
      </c>
      <c r="H93" s="328">
        <f t="shared" si="9"/>
        <v>45744</v>
      </c>
      <c r="I93" s="325"/>
      <c r="J93" s="399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/>
      <c r="X93" s="331"/>
      <c r="Z93" s="331"/>
      <c r="AA93" s="331"/>
      <c r="AB93" s="331"/>
      <c r="AD93" s="331"/>
      <c r="AE93" s="331"/>
      <c r="AF93" s="331"/>
      <c r="AH93" s="331"/>
      <c r="AI93" s="331"/>
      <c r="AK93" s="331"/>
    </row>
    <row r="94" spans="2:37" x14ac:dyDescent="0.25">
      <c r="B94" s="123" t="str">
        <f t="shared" si="5"/>
        <v>3 2025</v>
      </c>
      <c r="C94" s="122">
        <f t="shared" si="7"/>
        <v>45745</v>
      </c>
      <c r="D94" s="122">
        <f t="shared" si="8"/>
        <v>45746</v>
      </c>
      <c r="E94" s="123">
        <f t="shared" si="6"/>
        <v>1</v>
      </c>
      <c r="F94" s="123" t="s">
        <v>7</v>
      </c>
      <c r="H94" s="328">
        <f t="shared" si="9"/>
        <v>45745</v>
      </c>
      <c r="I94" s="325"/>
      <c r="J94" s="399"/>
      <c r="L94" s="331"/>
      <c r="M94" s="331"/>
      <c r="N94" s="331"/>
      <c r="O94" s="331"/>
      <c r="P94" s="331"/>
      <c r="Q94" s="331"/>
      <c r="R94" s="331"/>
      <c r="S94" s="331"/>
      <c r="T94" s="331"/>
      <c r="U94" s="331"/>
      <c r="V94" s="331"/>
      <c r="W94" s="331"/>
      <c r="X94" s="331"/>
      <c r="Z94" s="331"/>
      <c r="AA94" s="331"/>
      <c r="AB94" s="331"/>
      <c r="AD94" s="331"/>
      <c r="AE94" s="331"/>
      <c r="AF94" s="331"/>
      <c r="AH94" s="331"/>
      <c r="AI94" s="331"/>
      <c r="AK94" s="331"/>
    </row>
    <row r="95" spans="2:37" x14ac:dyDescent="0.25">
      <c r="B95" s="148" t="str">
        <f t="shared" si="5"/>
        <v>3 2025</v>
      </c>
      <c r="C95" s="149">
        <f t="shared" si="7"/>
        <v>45746</v>
      </c>
      <c r="D95" s="149">
        <f t="shared" si="8"/>
        <v>45747</v>
      </c>
      <c r="E95" s="148">
        <f t="shared" si="6"/>
        <v>1</v>
      </c>
      <c r="F95" s="148" t="s">
        <v>7</v>
      </c>
      <c r="H95" s="327">
        <f t="shared" si="9"/>
        <v>45746</v>
      </c>
      <c r="I95" s="325"/>
      <c r="J95" s="399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/>
      <c r="X95" s="331"/>
      <c r="Z95" s="331"/>
      <c r="AA95" s="331"/>
      <c r="AB95" s="331"/>
      <c r="AD95" s="331"/>
      <c r="AE95" s="331"/>
      <c r="AF95" s="331"/>
      <c r="AH95" s="331"/>
      <c r="AI95" s="331"/>
      <c r="AK95" s="331"/>
    </row>
    <row r="96" spans="2:37" x14ac:dyDescent="0.25">
      <c r="B96" s="123" t="str">
        <f t="shared" si="5"/>
        <v>4 2025</v>
      </c>
      <c r="C96" s="122">
        <f t="shared" si="7"/>
        <v>45747</v>
      </c>
      <c r="D96" s="122">
        <f t="shared" si="8"/>
        <v>45748</v>
      </c>
      <c r="E96" s="123">
        <f t="shared" si="6"/>
        <v>1</v>
      </c>
      <c r="F96" s="123" t="s">
        <v>7</v>
      </c>
      <c r="H96" s="328">
        <f t="shared" si="9"/>
        <v>45747</v>
      </c>
      <c r="I96" s="325"/>
      <c r="J96" s="399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Z96" s="331"/>
      <c r="AA96" s="331"/>
      <c r="AB96" s="331"/>
      <c r="AD96" s="331"/>
      <c r="AE96" s="331"/>
      <c r="AF96" s="331"/>
      <c r="AH96" s="331"/>
      <c r="AI96" s="331"/>
      <c r="AK96" s="331"/>
    </row>
    <row r="97" spans="2:37" x14ac:dyDescent="0.25">
      <c r="B97" s="123" t="str">
        <f t="shared" si="5"/>
        <v>4 2025</v>
      </c>
      <c r="C97" s="122">
        <f t="shared" si="7"/>
        <v>45748</v>
      </c>
      <c r="D97" s="122">
        <f t="shared" si="8"/>
        <v>45749</v>
      </c>
      <c r="E97" s="123">
        <f t="shared" si="6"/>
        <v>1</v>
      </c>
      <c r="F97" s="123" t="s">
        <v>7</v>
      </c>
      <c r="H97" s="328">
        <f t="shared" si="9"/>
        <v>45748</v>
      </c>
      <c r="I97" s="325"/>
      <c r="J97" s="399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Z97" s="331"/>
      <c r="AA97" s="331"/>
      <c r="AB97" s="331"/>
      <c r="AD97" s="331"/>
      <c r="AE97" s="331"/>
      <c r="AF97" s="331"/>
      <c r="AH97" s="331"/>
      <c r="AI97" s="331"/>
      <c r="AK97" s="331"/>
    </row>
    <row r="98" spans="2:37" x14ac:dyDescent="0.25">
      <c r="B98" s="123" t="str">
        <f t="shared" si="5"/>
        <v>4 2025</v>
      </c>
      <c r="C98" s="122">
        <f t="shared" si="7"/>
        <v>45749</v>
      </c>
      <c r="D98" s="122">
        <f t="shared" si="8"/>
        <v>45750</v>
      </c>
      <c r="E98" s="123">
        <f t="shared" si="6"/>
        <v>1</v>
      </c>
      <c r="F98" s="123" t="s">
        <v>7</v>
      </c>
      <c r="H98" s="328">
        <f t="shared" si="9"/>
        <v>45749</v>
      </c>
      <c r="I98" s="325"/>
      <c r="J98" s="399"/>
      <c r="L98" s="331"/>
      <c r="M98" s="331"/>
      <c r="N98" s="331"/>
      <c r="O98" s="331"/>
      <c r="P98" s="331"/>
      <c r="Q98" s="331"/>
      <c r="R98" s="331"/>
      <c r="S98" s="331"/>
      <c r="T98" s="331"/>
      <c r="U98" s="331"/>
      <c r="V98" s="331"/>
      <c r="W98" s="331"/>
      <c r="X98" s="331"/>
      <c r="Z98" s="331"/>
      <c r="AA98" s="331"/>
      <c r="AB98" s="331"/>
      <c r="AD98" s="331"/>
      <c r="AE98" s="331"/>
      <c r="AF98" s="331"/>
      <c r="AH98" s="331"/>
      <c r="AI98" s="331"/>
      <c r="AK98" s="331"/>
    </row>
    <row r="99" spans="2:37" x14ac:dyDescent="0.25">
      <c r="B99" s="123" t="str">
        <f t="shared" si="5"/>
        <v>4 2025</v>
      </c>
      <c r="C99" s="122">
        <f t="shared" si="7"/>
        <v>45750</v>
      </c>
      <c r="D99" s="122">
        <f t="shared" si="8"/>
        <v>45751</v>
      </c>
      <c r="E99" s="123">
        <f t="shared" si="6"/>
        <v>1</v>
      </c>
      <c r="F99" s="123" t="s">
        <v>7</v>
      </c>
      <c r="H99" s="328">
        <f t="shared" si="9"/>
        <v>45750</v>
      </c>
      <c r="I99" s="325"/>
      <c r="J99" s="399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Z99" s="331"/>
      <c r="AA99" s="331"/>
      <c r="AB99" s="331"/>
      <c r="AD99" s="331"/>
      <c r="AE99" s="331"/>
      <c r="AF99" s="331"/>
      <c r="AH99" s="331"/>
      <c r="AI99" s="331"/>
      <c r="AK99" s="331"/>
    </row>
    <row r="100" spans="2:37" x14ac:dyDescent="0.25">
      <c r="B100" s="123" t="str">
        <f t="shared" si="5"/>
        <v>4 2025</v>
      </c>
      <c r="C100" s="122">
        <f t="shared" si="7"/>
        <v>45751</v>
      </c>
      <c r="D100" s="122">
        <f t="shared" si="8"/>
        <v>45752</v>
      </c>
      <c r="E100" s="123">
        <f t="shared" si="6"/>
        <v>1</v>
      </c>
      <c r="F100" s="123" t="s">
        <v>7</v>
      </c>
      <c r="H100" s="328">
        <f t="shared" si="9"/>
        <v>45751</v>
      </c>
      <c r="I100" s="325"/>
      <c r="J100" s="399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Z100" s="331"/>
      <c r="AA100" s="331"/>
      <c r="AB100" s="331"/>
      <c r="AD100" s="331"/>
      <c r="AE100" s="331"/>
      <c r="AF100" s="331"/>
      <c r="AH100" s="331"/>
      <c r="AI100" s="331"/>
      <c r="AK100" s="331"/>
    </row>
    <row r="101" spans="2:37" x14ac:dyDescent="0.25">
      <c r="B101" s="123" t="str">
        <f t="shared" si="5"/>
        <v>4 2025</v>
      </c>
      <c r="C101" s="122">
        <f t="shared" si="7"/>
        <v>45752</v>
      </c>
      <c r="D101" s="122">
        <f t="shared" si="8"/>
        <v>45753</v>
      </c>
      <c r="E101" s="123">
        <f t="shared" si="6"/>
        <v>1</v>
      </c>
      <c r="F101" s="123" t="s">
        <v>7</v>
      </c>
      <c r="H101" s="328">
        <f t="shared" si="9"/>
        <v>45752</v>
      </c>
      <c r="I101" s="325"/>
      <c r="J101" s="399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Z101" s="331"/>
      <c r="AA101" s="331"/>
      <c r="AB101" s="331"/>
      <c r="AD101" s="331"/>
      <c r="AE101" s="331"/>
      <c r="AF101" s="331"/>
      <c r="AH101" s="331"/>
      <c r="AI101" s="331"/>
      <c r="AK101" s="331"/>
    </row>
    <row r="102" spans="2:37" x14ac:dyDescent="0.25">
      <c r="B102" s="123" t="str">
        <f t="shared" si="5"/>
        <v>4 2025</v>
      </c>
      <c r="C102" s="122">
        <f t="shared" si="7"/>
        <v>45753</v>
      </c>
      <c r="D102" s="122">
        <f t="shared" si="8"/>
        <v>45754</v>
      </c>
      <c r="E102" s="123">
        <f t="shared" si="6"/>
        <v>1</v>
      </c>
      <c r="F102" s="123" t="s">
        <v>7</v>
      </c>
      <c r="H102" s="328">
        <f t="shared" si="9"/>
        <v>45753</v>
      </c>
      <c r="I102" s="325"/>
      <c r="J102" s="399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Z102" s="331"/>
      <c r="AA102" s="331"/>
      <c r="AB102" s="331"/>
      <c r="AD102" s="331"/>
      <c r="AE102" s="331"/>
      <c r="AF102" s="331"/>
      <c r="AH102" s="331"/>
      <c r="AI102" s="331"/>
      <c r="AK102" s="331"/>
    </row>
    <row r="103" spans="2:37" x14ac:dyDescent="0.25">
      <c r="B103" s="123" t="str">
        <f t="shared" si="5"/>
        <v>4 2025</v>
      </c>
      <c r="C103" s="122">
        <f t="shared" si="7"/>
        <v>45754</v>
      </c>
      <c r="D103" s="122">
        <f t="shared" si="8"/>
        <v>45755</v>
      </c>
      <c r="E103" s="123">
        <f t="shared" si="6"/>
        <v>1</v>
      </c>
      <c r="F103" s="123" t="s">
        <v>7</v>
      </c>
      <c r="H103" s="328">
        <f t="shared" si="9"/>
        <v>45754</v>
      </c>
      <c r="I103" s="325"/>
      <c r="J103" s="399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Z103" s="331"/>
      <c r="AA103" s="331"/>
      <c r="AB103" s="331"/>
      <c r="AD103" s="331"/>
      <c r="AE103" s="331"/>
      <c r="AF103" s="331"/>
      <c r="AH103" s="331"/>
      <c r="AI103" s="331"/>
      <c r="AK103" s="331"/>
    </row>
    <row r="104" spans="2:37" x14ac:dyDescent="0.25">
      <c r="B104" s="123" t="str">
        <f t="shared" si="5"/>
        <v>4 2025</v>
      </c>
      <c r="C104" s="122">
        <f t="shared" si="7"/>
        <v>45755</v>
      </c>
      <c r="D104" s="122">
        <f t="shared" si="8"/>
        <v>45756</v>
      </c>
      <c r="E104" s="123">
        <f t="shared" si="6"/>
        <v>1</v>
      </c>
      <c r="F104" s="123" t="s">
        <v>7</v>
      </c>
      <c r="H104" s="328">
        <f t="shared" si="9"/>
        <v>45755</v>
      </c>
      <c r="I104" s="325"/>
      <c r="J104" s="399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Z104" s="331"/>
      <c r="AA104" s="331"/>
      <c r="AB104" s="331"/>
      <c r="AD104" s="331"/>
      <c r="AE104" s="331"/>
      <c r="AF104" s="331"/>
      <c r="AH104" s="331"/>
      <c r="AI104" s="331"/>
      <c r="AK104" s="331"/>
    </row>
    <row r="105" spans="2:37" x14ac:dyDescent="0.25">
      <c r="B105" s="123" t="str">
        <f t="shared" si="5"/>
        <v>4 2025</v>
      </c>
      <c r="C105" s="122">
        <f t="shared" si="7"/>
        <v>45756</v>
      </c>
      <c r="D105" s="122">
        <f t="shared" si="8"/>
        <v>45757</v>
      </c>
      <c r="E105" s="123">
        <f t="shared" si="6"/>
        <v>1</v>
      </c>
      <c r="F105" s="123" t="s">
        <v>7</v>
      </c>
      <c r="H105" s="328">
        <f t="shared" si="9"/>
        <v>45756</v>
      </c>
      <c r="I105" s="325"/>
      <c r="J105" s="399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Z105" s="331"/>
      <c r="AA105" s="331"/>
      <c r="AB105" s="331"/>
      <c r="AD105" s="331"/>
      <c r="AE105" s="331"/>
      <c r="AF105" s="331"/>
      <c r="AH105" s="331"/>
      <c r="AI105" s="331"/>
      <c r="AK105" s="331"/>
    </row>
    <row r="106" spans="2:37" x14ac:dyDescent="0.25">
      <c r="B106" s="123" t="str">
        <f t="shared" si="5"/>
        <v>4 2025</v>
      </c>
      <c r="C106" s="122">
        <f t="shared" si="7"/>
        <v>45757</v>
      </c>
      <c r="D106" s="122">
        <f t="shared" si="8"/>
        <v>45758</v>
      </c>
      <c r="E106" s="123">
        <f t="shared" si="6"/>
        <v>1</v>
      </c>
      <c r="F106" s="123" t="s">
        <v>7</v>
      </c>
      <c r="H106" s="328">
        <f t="shared" si="9"/>
        <v>45757</v>
      </c>
      <c r="I106" s="325"/>
      <c r="J106" s="399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Z106" s="331"/>
      <c r="AA106" s="331"/>
      <c r="AB106" s="331"/>
      <c r="AD106" s="331"/>
      <c r="AE106" s="331"/>
      <c r="AF106" s="331"/>
      <c r="AH106" s="331"/>
      <c r="AI106" s="331"/>
      <c r="AK106" s="331"/>
    </row>
    <row r="107" spans="2:37" x14ac:dyDescent="0.25">
      <c r="B107" s="123" t="str">
        <f t="shared" si="5"/>
        <v>4 2025</v>
      </c>
      <c r="C107" s="122">
        <f t="shared" si="7"/>
        <v>45758</v>
      </c>
      <c r="D107" s="122">
        <f t="shared" si="8"/>
        <v>45759</v>
      </c>
      <c r="E107" s="123">
        <f t="shared" si="6"/>
        <v>1</v>
      </c>
      <c r="F107" s="123" t="s">
        <v>7</v>
      </c>
      <c r="H107" s="328">
        <f t="shared" si="9"/>
        <v>45758</v>
      </c>
      <c r="I107" s="325"/>
      <c r="J107" s="399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Z107" s="331"/>
      <c r="AA107" s="331"/>
      <c r="AB107" s="331"/>
      <c r="AD107" s="331"/>
      <c r="AE107" s="331"/>
      <c r="AF107" s="331"/>
      <c r="AH107" s="331"/>
      <c r="AI107" s="331"/>
      <c r="AK107" s="331"/>
    </row>
    <row r="108" spans="2:37" x14ac:dyDescent="0.25">
      <c r="B108" s="123" t="str">
        <f t="shared" si="5"/>
        <v>4 2025</v>
      </c>
      <c r="C108" s="122">
        <f t="shared" si="7"/>
        <v>45759</v>
      </c>
      <c r="D108" s="122">
        <f t="shared" si="8"/>
        <v>45760</v>
      </c>
      <c r="E108" s="123">
        <f t="shared" si="6"/>
        <v>1</v>
      </c>
      <c r="F108" s="123" t="s">
        <v>7</v>
      </c>
      <c r="H108" s="328">
        <f t="shared" si="9"/>
        <v>45759</v>
      </c>
      <c r="I108" s="325"/>
      <c r="J108" s="399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Z108" s="331"/>
      <c r="AA108" s="331"/>
      <c r="AB108" s="331"/>
      <c r="AD108" s="331"/>
      <c r="AE108" s="331"/>
      <c r="AF108" s="331"/>
      <c r="AH108" s="331"/>
      <c r="AI108" s="331"/>
      <c r="AK108" s="331"/>
    </row>
    <row r="109" spans="2:37" x14ac:dyDescent="0.25">
      <c r="B109" s="123" t="str">
        <f t="shared" si="5"/>
        <v>4 2025</v>
      </c>
      <c r="C109" s="122">
        <f t="shared" si="7"/>
        <v>45760</v>
      </c>
      <c r="D109" s="122">
        <f t="shared" si="8"/>
        <v>45761</v>
      </c>
      <c r="E109" s="123">
        <f t="shared" si="6"/>
        <v>1</v>
      </c>
      <c r="F109" s="123" t="s">
        <v>7</v>
      </c>
      <c r="H109" s="328">
        <f t="shared" si="9"/>
        <v>45760</v>
      </c>
      <c r="I109" s="325"/>
      <c r="J109" s="399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Z109" s="331"/>
      <c r="AA109" s="331"/>
      <c r="AB109" s="331"/>
      <c r="AD109" s="331"/>
      <c r="AE109" s="331"/>
      <c r="AF109" s="331"/>
      <c r="AH109" s="331"/>
      <c r="AI109" s="331"/>
      <c r="AK109" s="331"/>
    </row>
    <row r="110" spans="2:37" x14ac:dyDescent="0.25">
      <c r="B110" s="123" t="str">
        <f t="shared" si="5"/>
        <v>4 2025</v>
      </c>
      <c r="C110" s="122">
        <f t="shared" si="7"/>
        <v>45761</v>
      </c>
      <c r="D110" s="122">
        <f t="shared" si="8"/>
        <v>45762</v>
      </c>
      <c r="E110" s="123">
        <f t="shared" si="6"/>
        <v>1</v>
      </c>
      <c r="F110" s="123" t="s">
        <v>7</v>
      </c>
      <c r="H110" s="328">
        <f t="shared" si="9"/>
        <v>45761</v>
      </c>
      <c r="I110" s="325"/>
      <c r="J110" s="399"/>
      <c r="L110" s="331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Z110" s="331"/>
      <c r="AA110" s="331"/>
      <c r="AB110" s="331"/>
      <c r="AD110" s="331"/>
      <c r="AE110" s="331"/>
      <c r="AF110" s="331"/>
      <c r="AH110" s="331"/>
      <c r="AI110" s="331"/>
      <c r="AK110" s="331"/>
    </row>
    <row r="111" spans="2:37" x14ac:dyDescent="0.25">
      <c r="B111" s="123" t="str">
        <f t="shared" si="5"/>
        <v>4 2025</v>
      </c>
      <c r="C111" s="122">
        <f t="shared" si="7"/>
        <v>45762</v>
      </c>
      <c r="D111" s="122">
        <f t="shared" si="8"/>
        <v>45763</v>
      </c>
      <c r="E111" s="123">
        <f t="shared" si="6"/>
        <v>1</v>
      </c>
      <c r="F111" s="123" t="s">
        <v>7</v>
      </c>
      <c r="H111" s="328">
        <f t="shared" si="9"/>
        <v>45762</v>
      </c>
      <c r="I111" s="325"/>
      <c r="J111" s="399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Z111" s="331"/>
      <c r="AA111" s="331"/>
      <c r="AB111" s="331"/>
      <c r="AD111" s="331"/>
      <c r="AE111" s="331"/>
      <c r="AF111" s="331"/>
      <c r="AH111" s="331"/>
      <c r="AI111" s="331"/>
      <c r="AK111" s="331"/>
    </row>
    <row r="112" spans="2:37" x14ac:dyDescent="0.25">
      <c r="B112" s="123" t="str">
        <f t="shared" si="5"/>
        <v>4 2025</v>
      </c>
      <c r="C112" s="122">
        <f t="shared" si="7"/>
        <v>45763</v>
      </c>
      <c r="D112" s="122">
        <f t="shared" si="8"/>
        <v>45764</v>
      </c>
      <c r="E112" s="123">
        <f t="shared" si="6"/>
        <v>1</v>
      </c>
      <c r="F112" s="123" t="s">
        <v>7</v>
      </c>
      <c r="H112" s="328">
        <f t="shared" si="9"/>
        <v>45763</v>
      </c>
      <c r="I112" s="325"/>
      <c r="J112" s="399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W112" s="331"/>
      <c r="X112" s="331"/>
      <c r="Z112" s="331"/>
      <c r="AA112" s="331"/>
      <c r="AB112" s="331"/>
      <c r="AD112" s="331"/>
      <c r="AE112" s="331"/>
      <c r="AF112" s="331"/>
      <c r="AH112" s="331"/>
      <c r="AI112" s="331"/>
      <c r="AK112" s="331"/>
    </row>
    <row r="113" spans="2:37" x14ac:dyDescent="0.25">
      <c r="B113" s="123" t="str">
        <f t="shared" si="5"/>
        <v>4 2025</v>
      </c>
      <c r="C113" s="122">
        <f t="shared" si="7"/>
        <v>45764</v>
      </c>
      <c r="D113" s="122">
        <f t="shared" si="8"/>
        <v>45765</v>
      </c>
      <c r="E113" s="123">
        <f t="shared" si="6"/>
        <v>1</v>
      </c>
      <c r="F113" s="123" t="s">
        <v>7</v>
      </c>
      <c r="H113" s="328">
        <f t="shared" si="9"/>
        <v>45764</v>
      </c>
      <c r="I113" s="325"/>
      <c r="J113" s="399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Z113" s="331"/>
      <c r="AA113" s="331"/>
      <c r="AB113" s="331"/>
      <c r="AD113" s="331"/>
      <c r="AE113" s="331"/>
      <c r="AF113" s="331"/>
      <c r="AH113" s="331"/>
      <c r="AI113" s="331"/>
      <c r="AK113" s="331"/>
    </row>
    <row r="114" spans="2:37" x14ac:dyDescent="0.25">
      <c r="B114" s="123" t="str">
        <f t="shared" si="5"/>
        <v>4 2025</v>
      </c>
      <c r="C114" s="122">
        <f t="shared" si="7"/>
        <v>45765</v>
      </c>
      <c r="D114" s="122">
        <f t="shared" si="8"/>
        <v>45766</v>
      </c>
      <c r="E114" s="123">
        <f t="shared" si="6"/>
        <v>1</v>
      </c>
      <c r="F114" s="123" t="s">
        <v>7</v>
      </c>
      <c r="H114" s="328">
        <f t="shared" si="9"/>
        <v>45765</v>
      </c>
      <c r="I114" s="325"/>
      <c r="J114" s="399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Z114" s="331"/>
      <c r="AA114" s="331"/>
      <c r="AB114" s="331"/>
      <c r="AD114" s="331"/>
      <c r="AE114" s="331"/>
      <c r="AF114" s="331"/>
      <c r="AH114" s="331"/>
      <c r="AI114" s="331"/>
      <c r="AK114" s="331"/>
    </row>
    <row r="115" spans="2:37" x14ac:dyDescent="0.25">
      <c r="B115" s="123" t="str">
        <f t="shared" si="5"/>
        <v>4 2025</v>
      </c>
      <c r="C115" s="122">
        <f t="shared" si="7"/>
        <v>45766</v>
      </c>
      <c r="D115" s="122">
        <f t="shared" si="8"/>
        <v>45767</v>
      </c>
      <c r="E115" s="123">
        <f t="shared" si="6"/>
        <v>1</v>
      </c>
      <c r="F115" s="123" t="s">
        <v>7</v>
      </c>
      <c r="H115" s="328">
        <f t="shared" si="9"/>
        <v>45766</v>
      </c>
      <c r="I115" s="325"/>
      <c r="J115" s="399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Z115" s="331"/>
      <c r="AA115" s="331"/>
      <c r="AB115" s="331"/>
      <c r="AD115" s="331"/>
      <c r="AE115" s="331"/>
      <c r="AF115" s="331"/>
      <c r="AH115" s="331"/>
      <c r="AI115" s="331"/>
      <c r="AK115" s="331"/>
    </row>
    <row r="116" spans="2:37" x14ac:dyDescent="0.25">
      <c r="B116" s="123" t="str">
        <f t="shared" si="5"/>
        <v>4 2025</v>
      </c>
      <c r="C116" s="122">
        <f t="shared" si="7"/>
        <v>45767</v>
      </c>
      <c r="D116" s="122">
        <f t="shared" si="8"/>
        <v>45768</v>
      </c>
      <c r="E116" s="123">
        <f t="shared" si="6"/>
        <v>1</v>
      </c>
      <c r="F116" s="123" t="s">
        <v>7</v>
      </c>
      <c r="H116" s="328">
        <f t="shared" si="9"/>
        <v>45767</v>
      </c>
      <c r="I116" s="325"/>
      <c r="J116" s="399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Z116" s="331"/>
      <c r="AA116" s="331"/>
      <c r="AB116" s="331"/>
      <c r="AD116" s="331"/>
      <c r="AE116" s="331"/>
      <c r="AF116" s="331"/>
      <c r="AH116" s="331"/>
      <c r="AI116" s="331"/>
      <c r="AK116" s="331"/>
    </row>
    <row r="117" spans="2:37" x14ac:dyDescent="0.25">
      <c r="B117" s="123" t="str">
        <f t="shared" si="5"/>
        <v>4 2025</v>
      </c>
      <c r="C117" s="122">
        <f t="shared" si="7"/>
        <v>45768</v>
      </c>
      <c r="D117" s="122">
        <f t="shared" si="8"/>
        <v>45769</v>
      </c>
      <c r="E117" s="123">
        <f t="shared" si="6"/>
        <v>1</v>
      </c>
      <c r="F117" s="123" t="s">
        <v>7</v>
      </c>
      <c r="H117" s="328">
        <f t="shared" si="9"/>
        <v>45768</v>
      </c>
      <c r="I117" s="325"/>
      <c r="J117" s="399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/>
      <c r="X117" s="331"/>
      <c r="Z117" s="331"/>
      <c r="AA117" s="331"/>
      <c r="AB117" s="331"/>
      <c r="AD117" s="331"/>
      <c r="AE117" s="331"/>
      <c r="AF117" s="331"/>
      <c r="AH117" s="331"/>
      <c r="AI117" s="331"/>
      <c r="AK117" s="331"/>
    </row>
    <row r="118" spans="2:37" x14ac:dyDescent="0.25">
      <c r="B118" s="123" t="str">
        <f t="shared" si="5"/>
        <v>4 2025</v>
      </c>
      <c r="C118" s="122">
        <f t="shared" si="7"/>
        <v>45769</v>
      </c>
      <c r="D118" s="122">
        <f t="shared" si="8"/>
        <v>45770</v>
      </c>
      <c r="E118" s="123">
        <f t="shared" si="6"/>
        <v>1</v>
      </c>
      <c r="F118" s="123" t="s">
        <v>7</v>
      </c>
      <c r="H118" s="328">
        <f t="shared" si="9"/>
        <v>45769</v>
      </c>
      <c r="I118" s="325"/>
      <c r="J118" s="399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W118" s="331"/>
      <c r="X118" s="331"/>
      <c r="Z118" s="331"/>
      <c r="AA118" s="331"/>
      <c r="AB118" s="331"/>
      <c r="AD118" s="331"/>
      <c r="AE118" s="331"/>
      <c r="AF118" s="331"/>
      <c r="AH118" s="331"/>
      <c r="AI118" s="331"/>
      <c r="AK118" s="331"/>
    </row>
    <row r="119" spans="2:37" x14ac:dyDescent="0.25">
      <c r="B119" s="123" t="str">
        <f t="shared" si="5"/>
        <v>4 2025</v>
      </c>
      <c r="C119" s="122">
        <f t="shared" si="7"/>
        <v>45770</v>
      </c>
      <c r="D119" s="122">
        <f t="shared" si="8"/>
        <v>45771</v>
      </c>
      <c r="E119" s="123">
        <f t="shared" si="6"/>
        <v>1</v>
      </c>
      <c r="F119" s="123" t="s">
        <v>7</v>
      </c>
      <c r="H119" s="328">
        <f t="shared" si="9"/>
        <v>45770</v>
      </c>
      <c r="I119" s="325"/>
      <c r="J119" s="399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/>
      <c r="X119" s="331"/>
      <c r="Z119" s="331"/>
      <c r="AA119" s="331"/>
      <c r="AB119" s="331"/>
      <c r="AD119" s="331"/>
      <c r="AE119" s="331"/>
      <c r="AF119" s="331"/>
      <c r="AH119" s="331"/>
      <c r="AI119" s="331"/>
      <c r="AK119" s="331"/>
    </row>
    <row r="120" spans="2:37" x14ac:dyDescent="0.25">
      <c r="B120" s="123" t="str">
        <f t="shared" si="5"/>
        <v>4 2025</v>
      </c>
      <c r="C120" s="122">
        <f t="shared" si="7"/>
        <v>45771</v>
      </c>
      <c r="D120" s="122">
        <f t="shared" si="8"/>
        <v>45772</v>
      </c>
      <c r="E120" s="123">
        <f t="shared" si="6"/>
        <v>1</v>
      </c>
      <c r="F120" s="123" t="s">
        <v>7</v>
      </c>
      <c r="H120" s="328">
        <f t="shared" si="9"/>
        <v>45771</v>
      </c>
      <c r="I120" s="325"/>
      <c r="J120" s="399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/>
      <c r="W120" s="331"/>
      <c r="X120" s="331"/>
      <c r="Z120" s="331"/>
      <c r="AA120" s="331"/>
      <c r="AB120" s="331"/>
      <c r="AD120" s="331"/>
      <c r="AE120" s="331"/>
      <c r="AF120" s="331"/>
      <c r="AH120" s="331"/>
      <c r="AI120" s="331"/>
      <c r="AK120" s="331"/>
    </row>
    <row r="121" spans="2:37" x14ac:dyDescent="0.25">
      <c r="B121" s="123" t="str">
        <f t="shared" si="5"/>
        <v>4 2025</v>
      </c>
      <c r="C121" s="122">
        <f t="shared" si="7"/>
        <v>45772</v>
      </c>
      <c r="D121" s="122">
        <f t="shared" si="8"/>
        <v>45773</v>
      </c>
      <c r="E121" s="123">
        <f t="shared" si="6"/>
        <v>1</v>
      </c>
      <c r="F121" s="123" t="s">
        <v>7</v>
      </c>
      <c r="H121" s="328">
        <f t="shared" si="9"/>
        <v>45772</v>
      </c>
      <c r="I121" s="325"/>
      <c r="J121" s="399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/>
      <c r="X121" s="331"/>
      <c r="Z121" s="331"/>
      <c r="AA121" s="331"/>
      <c r="AB121" s="331"/>
      <c r="AD121" s="331"/>
      <c r="AE121" s="331"/>
      <c r="AF121" s="331"/>
      <c r="AH121" s="331"/>
      <c r="AI121" s="331"/>
      <c r="AK121" s="331"/>
    </row>
    <row r="122" spans="2:37" x14ac:dyDescent="0.25">
      <c r="B122" s="123" t="str">
        <f t="shared" si="5"/>
        <v>4 2025</v>
      </c>
      <c r="C122" s="122">
        <f t="shared" si="7"/>
        <v>45773</v>
      </c>
      <c r="D122" s="122">
        <f t="shared" si="8"/>
        <v>45774</v>
      </c>
      <c r="E122" s="123">
        <f t="shared" si="6"/>
        <v>1</v>
      </c>
      <c r="F122" s="123" t="s">
        <v>7</v>
      </c>
      <c r="H122" s="328">
        <f t="shared" si="9"/>
        <v>45773</v>
      </c>
      <c r="I122" s="325"/>
      <c r="J122" s="399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Z122" s="331"/>
      <c r="AA122" s="331"/>
      <c r="AB122" s="331"/>
      <c r="AD122" s="331"/>
      <c r="AE122" s="331"/>
      <c r="AF122" s="331"/>
      <c r="AH122" s="331"/>
      <c r="AI122" s="331"/>
      <c r="AK122" s="331"/>
    </row>
    <row r="123" spans="2:37" x14ac:dyDescent="0.25">
      <c r="B123" s="123" t="str">
        <f t="shared" si="5"/>
        <v>4 2025</v>
      </c>
      <c r="C123" s="122">
        <f t="shared" si="7"/>
        <v>45774</v>
      </c>
      <c r="D123" s="122">
        <f t="shared" si="8"/>
        <v>45775</v>
      </c>
      <c r="E123" s="123">
        <f t="shared" si="6"/>
        <v>1</v>
      </c>
      <c r="F123" s="123" t="s">
        <v>7</v>
      </c>
      <c r="H123" s="328">
        <f t="shared" si="9"/>
        <v>45774</v>
      </c>
      <c r="I123" s="325"/>
      <c r="J123" s="399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Z123" s="331"/>
      <c r="AA123" s="331"/>
      <c r="AB123" s="331"/>
      <c r="AD123" s="331"/>
      <c r="AE123" s="331"/>
      <c r="AF123" s="331"/>
      <c r="AH123" s="331"/>
      <c r="AI123" s="331"/>
      <c r="AK123" s="331"/>
    </row>
    <row r="124" spans="2:37" x14ac:dyDescent="0.25">
      <c r="B124" s="123" t="str">
        <f t="shared" si="5"/>
        <v>4 2025</v>
      </c>
      <c r="C124" s="122">
        <f t="shared" si="7"/>
        <v>45775</v>
      </c>
      <c r="D124" s="122">
        <f t="shared" si="8"/>
        <v>45776</v>
      </c>
      <c r="E124" s="123">
        <f t="shared" si="6"/>
        <v>1</v>
      </c>
      <c r="F124" s="123" t="s">
        <v>7</v>
      </c>
      <c r="H124" s="328">
        <f t="shared" si="9"/>
        <v>45775</v>
      </c>
      <c r="I124" s="325"/>
      <c r="J124" s="399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Z124" s="331"/>
      <c r="AA124" s="331"/>
      <c r="AB124" s="331"/>
      <c r="AD124" s="331"/>
      <c r="AE124" s="331"/>
      <c r="AF124" s="331"/>
      <c r="AH124" s="331"/>
      <c r="AI124" s="331"/>
      <c r="AK124" s="331"/>
    </row>
    <row r="125" spans="2:37" x14ac:dyDescent="0.25">
      <c r="B125" s="148" t="str">
        <f t="shared" si="5"/>
        <v>4 2025</v>
      </c>
      <c r="C125" s="149">
        <f t="shared" si="7"/>
        <v>45776</v>
      </c>
      <c r="D125" s="149">
        <f t="shared" si="8"/>
        <v>45777</v>
      </c>
      <c r="E125" s="148">
        <f t="shared" si="6"/>
        <v>1</v>
      </c>
      <c r="F125" s="148" t="s">
        <v>7</v>
      </c>
      <c r="H125" s="327">
        <f t="shared" si="9"/>
        <v>45776</v>
      </c>
      <c r="I125" s="325"/>
      <c r="J125" s="399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/>
      <c r="X125" s="331"/>
      <c r="Z125" s="331"/>
      <c r="AA125" s="331"/>
      <c r="AB125" s="331"/>
      <c r="AD125" s="331"/>
      <c r="AE125" s="331"/>
      <c r="AF125" s="331"/>
      <c r="AH125" s="331"/>
      <c r="AI125" s="331"/>
      <c r="AK125" s="331"/>
    </row>
    <row r="126" spans="2:37" x14ac:dyDescent="0.25">
      <c r="B126" s="123" t="str">
        <f t="shared" si="5"/>
        <v>5 2025</v>
      </c>
      <c r="C126" s="122">
        <f t="shared" si="7"/>
        <v>45777</v>
      </c>
      <c r="D126" s="122">
        <f t="shared" si="8"/>
        <v>45778</v>
      </c>
      <c r="E126" s="123">
        <f t="shared" si="6"/>
        <v>1</v>
      </c>
      <c r="F126" s="123" t="s">
        <v>7</v>
      </c>
      <c r="H126" s="328">
        <f t="shared" si="9"/>
        <v>45777</v>
      </c>
      <c r="I126" s="325"/>
      <c r="J126" s="399"/>
      <c r="L126" s="331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W126" s="331"/>
      <c r="X126" s="331"/>
      <c r="Z126" s="331"/>
      <c r="AA126" s="331"/>
      <c r="AB126" s="331"/>
      <c r="AD126" s="331"/>
      <c r="AE126" s="331"/>
      <c r="AF126" s="331"/>
      <c r="AH126" s="331"/>
      <c r="AI126" s="331"/>
      <c r="AK126" s="331"/>
    </row>
    <row r="127" spans="2:37" x14ac:dyDescent="0.25">
      <c r="B127" s="123" t="str">
        <f t="shared" si="5"/>
        <v>5 2025</v>
      </c>
      <c r="C127" s="122">
        <f t="shared" si="7"/>
        <v>45778</v>
      </c>
      <c r="D127" s="122">
        <f t="shared" si="8"/>
        <v>45779</v>
      </c>
      <c r="E127" s="123">
        <f t="shared" si="6"/>
        <v>1</v>
      </c>
      <c r="F127" s="123" t="s">
        <v>7</v>
      </c>
      <c r="H127" s="328">
        <f t="shared" si="9"/>
        <v>45778</v>
      </c>
      <c r="I127" s="325"/>
      <c r="J127" s="399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/>
      <c r="X127" s="331"/>
      <c r="Z127" s="331"/>
      <c r="AA127" s="331"/>
      <c r="AB127" s="331"/>
      <c r="AD127" s="331"/>
      <c r="AE127" s="331"/>
      <c r="AF127" s="331"/>
      <c r="AH127" s="331"/>
      <c r="AI127" s="331"/>
      <c r="AK127" s="331"/>
    </row>
    <row r="128" spans="2:37" x14ac:dyDescent="0.25">
      <c r="B128" s="123" t="str">
        <f t="shared" si="5"/>
        <v>5 2025</v>
      </c>
      <c r="C128" s="122">
        <f t="shared" si="7"/>
        <v>45779</v>
      </c>
      <c r="D128" s="122">
        <f t="shared" si="8"/>
        <v>45780</v>
      </c>
      <c r="E128" s="123">
        <f t="shared" si="6"/>
        <v>1</v>
      </c>
      <c r="F128" s="123" t="s">
        <v>7</v>
      </c>
      <c r="H128" s="328">
        <f t="shared" si="9"/>
        <v>45779</v>
      </c>
      <c r="I128" s="325"/>
      <c r="J128" s="399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W128" s="331"/>
      <c r="X128" s="331"/>
      <c r="Z128" s="331"/>
      <c r="AA128" s="331"/>
      <c r="AB128" s="331"/>
      <c r="AD128" s="331"/>
      <c r="AE128" s="331"/>
      <c r="AF128" s="331"/>
      <c r="AH128" s="331"/>
      <c r="AI128" s="331"/>
      <c r="AK128" s="331"/>
    </row>
    <row r="129" spans="2:37" x14ac:dyDescent="0.25">
      <c r="B129" s="123" t="str">
        <f t="shared" si="5"/>
        <v>5 2025</v>
      </c>
      <c r="C129" s="122">
        <f t="shared" si="7"/>
        <v>45780</v>
      </c>
      <c r="D129" s="122">
        <f t="shared" si="8"/>
        <v>45781</v>
      </c>
      <c r="E129" s="123">
        <f t="shared" si="6"/>
        <v>1</v>
      </c>
      <c r="F129" s="123" t="s">
        <v>7</v>
      </c>
      <c r="H129" s="328">
        <f t="shared" si="9"/>
        <v>45780</v>
      </c>
      <c r="I129" s="325"/>
      <c r="J129" s="399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/>
      <c r="X129" s="331"/>
      <c r="Z129" s="331"/>
      <c r="AA129" s="331"/>
      <c r="AB129" s="331"/>
      <c r="AD129" s="331"/>
      <c r="AE129" s="331"/>
      <c r="AF129" s="331"/>
      <c r="AH129" s="331"/>
      <c r="AI129" s="331"/>
      <c r="AK129" s="331"/>
    </row>
    <row r="130" spans="2:37" x14ac:dyDescent="0.25">
      <c r="B130" s="123" t="str">
        <f t="shared" si="5"/>
        <v>5 2025</v>
      </c>
      <c r="C130" s="122">
        <f t="shared" si="7"/>
        <v>45781</v>
      </c>
      <c r="D130" s="122">
        <f t="shared" si="8"/>
        <v>45782</v>
      </c>
      <c r="E130" s="123">
        <f t="shared" si="6"/>
        <v>1</v>
      </c>
      <c r="F130" s="123" t="s">
        <v>7</v>
      </c>
      <c r="H130" s="328">
        <f t="shared" si="9"/>
        <v>45781</v>
      </c>
      <c r="I130" s="325"/>
      <c r="J130" s="399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W130" s="331"/>
      <c r="X130" s="331"/>
      <c r="Z130" s="331"/>
      <c r="AA130" s="331"/>
      <c r="AB130" s="331"/>
      <c r="AD130" s="331"/>
      <c r="AE130" s="331"/>
      <c r="AF130" s="331"/>
      <c r="AH130" s="331"/>
      <c r="AI130" s="331"/>
      <c r="AK130" s="331"/>
    </row>
    <row r="131" spans="2:37" x14ac:dyDescent="0.25">
      <c r="B131" s="123" t="str">
        <f t="shared" si="5"/>
        <v>5 2025</v>
      </c>
      <c r="C131" s="122">
        <f t="shared" si="7"/>
        <v>45782</v>
      </c>
      <c r="D131" s="122">
        <f t="shared" si="8"/>
        <v>45783</v>
      </c>
      <c r="E131" s="123">
        <f t="shared" si="6"/>
        <v>1</v>
      </c>
      <c r="F131" s="123" t="s">
        <v>7</v>
      </c>
      <c r="H131" s="328">
        <f t="shared" si="9"/>
        <v>45782</v>
      </c>
      <c r="I131" s="325"/>
      <c r="J131" s="399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/>
      <c r="X131" s="331"/>
      <c r="Z131" s="331"/>
      <c r="AA131" s="331"/>
      <c r="AB131" s="331"/>
      <c r="AD131" s="331"/>
      <c r="AE131" s="331"/>
      <c r="AF131" s="331"/>
      <c r="AH131" s="331"/>
      <c r="AI131" s="331"/>
      <c r="AK131" s="331"/>
    </row>
    <row r="132" spans="2:37" x14ac:dyDescent="0.25">
      <c r="B132" s="123" t="str">
        <f t="shared" si="5"/>
        <v>5 2025</v>
      </c>
      <c r="C132" s="122">
        <f t="shared" si="7"/>
        <v>45783</v>
      </c>
      <c r="D132" s="122">
        <f t="shared" si="8"/>
        <v>45784</v>
      </c>
      <c r="E132" s="123">
        <f t="shared" si="6"/>
        <v>1</v>
      </c>
      <c r="F132" s="123" t="s">
        <v>7</v>
      </c>
      <c r="H132" s="328">
        <f t="shared" si="9"/>
        <v>45783</v>
      </c>
      <c r="I132" s="325"/>
      <c r="J132" s="399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Z132" s="331"/>
      <c r="AA132" s="331"/>
      <c r="AB132" s="331"/>
      <c r="AD132" s="331"/>
      <c r="AE132" s="331"/>
      <c r="AF132" s="331"/>
      <c r="AH132" s="331"/>
      <c r="AI132" s="331"/>
      <c r="AK132" s="331"/>
    </row>
    <row r="133" spans="2:37" x14ac:dyDescent="0.25">
      <c r="B133" s="123" t="str">
        <f t="shared" si="5"/>
        <v>5 2025</v>
      </c>
      <c r="C133" s="122">
        <f t="shared" si="7"/>
        <v>45784</v>
      </c>
      <c r="D133" s="122">
        <f t="shared" si="8"/>
        <v>45785</v>
      </c>
      <c r="E133" s="123">
        <f t="shared" si="6"/>
        <v>1</v>
      </c>
      <c r="F133" s="123" t="s">
        <v>7</v>
      </c>
      <c r="H133" s="328">
        <f t="shared" si="9"/>
        <v>45784</v>
      </c>
      <c r="I133" s="325"/>
      <c r="J133" s="399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Z133" s="331"/>
      <c r="AA133" s="331"/>
      <c r="AB133" s="331"/>
      <c r="AD133" s="331"/>
      <c r="AE133" s="331"/>
      <c r="AF133" s="331"/>
      <c r="AH133" s="331"/>
      <c r="AI133" s="331"/>
      <c r="AK133" s="331"/>
    </row>
    <row r="134" spans="2:37" x14ac:dyDescent="0.25">
      <c r="B134" s="123" t="str">
        <f t="shared" ref="B134:B197" si="10">CONCATENATE(MONTH(D134)," ",YEAR(D134))</f>
        <v>5 2025</v>
      </c>
      <c r="C134" s="122">
        <f t="shared" si="7"/>
        <v>45785</v>
      </c>
      <c r="D134" s="122">
        <f t="shared" si="8"/>
        <v>45786</v>
      </c>
      <c r="E134" s="123">
        <f t="shared" ref="E134:E197" si="11">D134-C134</f>
        <v>1</v>
      </c>
      <c r="F134" s="123" t="s">
        <v>7</v>
      </c>
      <c r="H134" s="328">
        <f t="shared" si="9"/>
        <v>45785</v>
      </c>
      <c r="I134" s="325"/>
      <c r="J134" s="399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Z134" s="331"/>
      <c r="AA134" s="331"/>
      <c r="AB134" s="331"/>
      <c r="AD134" s="331"/>
      <c r="AE134" s="331"/>
      <c r="AF134" s="331"/>
      <c r="AH134" s="331"/>
      <c r="AI134" s="331"/>
      <c r="AK134" s="331"/>
    </row>
    <row r="135" spans="2:37" x14ac:dyDescent="0.25">
      <c r="B135" s="123" t="str">
        <f t="shared" si="10"/>
        <v>5 2025</v>
      </c>
      <c r="C135" s="122">
        <f t="shared" ref="C135:C198" si="12">D134</f>
        <v>45786</v>
      </c>
      <c r="D135" s="122">
        <f t="shared" ref="D135:D198" si="13">D134+1</f>
        <v>45787</v>
      </c>
      <c r="E135" s="123">
        <f t="shared" si="11"/>
        <v>1</v>
      </c>
      <c r="F135" s="123" t="s">
        <v>7</v>
      </c>
      <c r="H135" s="328">
        <f t="shared" ref="H135:H198" si="14">H134+1</f>
        <v>45786</v>
      </c>
      <c r="I135" s="325"/>
      <c r="J135" s="399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Z135" s="331"/>
      <c r="AA135" s="331"/>
      <c r="AB135" s="331"/>
      <c r="AD135" s="331"/>
      <c r="AE135" s="331"/>
      <c r="AF135" s="331"/>
      <c r="AH135" s="331"/>
      <c r="AI135" s="331"/>
      <c r="AK135" s="331"/>
    </row>
    <row r="136" spans="2:37" x14ac:dyDescent="0.25">
      <c r="B136" s="123" t="str">
        <f t="shared" si="10"/>
        <v>5 2025</v>
      </c>
      <c r="C136" s="122">
        <f t="shared" si="12"/>
        <v>45787</v>
      </c>
      <c r="D136" s="122">
        <f t="shared" si="13"/>
        <v>45788</v>
      </c>
      <c r="E136" s="123">
        <f t="shared" si="11"/>
        <v>1</v>
      </c>
      <c r="F136" s="123" t="s">
        <v>7</v>
      </c>
      <c r="H136" s="328">
        <f t="shared" si="14"/>
        <v>45787</v>
      </c>
      <c r="I136" s="325"/>
      <c r="J136" s="399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Z136" s="331"/>
      <c r="AA136" s="331"/>
      <c r="AB136" s="331"/>
      <c r="AD136" s="331"/>
      <c r="AE136" s="331"/>
      <c r="AF136" s="331"/>
      <c r="AH136" s="331"/>
      <c r="AI136" s="331"/>
      <c r="AK136" s="331"/>
    </row>
    <row r="137" spans="2:37" x14ac:dyDescent="0.25">
      <c r="B137" s="123" t="str">
        <f t="shared" si="10"/>
        <v>5 2025</v>
      </c>
      <c r="C137" s="122">
        <f t="shared" si="12"/>
        <v>45788</v>
      </c>
      <c r="D137" s="122">
        <f t="shared" si="13"/>
        <v>45789</v>
      </c>
      <c r="E137" s="123">
        <f t="shared" si="11"/>
        <v>1</v>
      </c>
      <c r="F137" s="123" t="s">
        <v>7</v>
      </c>
      <c r="H137" s="328">
        <f t="shared" si="14"/>
        <v>45788</v>
      </c>
      <c r="I137" s="325"/>
      <c r="J137" s="399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Z137" s="331"/>
      <c r="AA137" s="331"/>
      <c r="AB137" s="331"/>
      <c r="AD137" s="331"/>
      <c r="AE137" s="331"/>
      <c r="AF137" s="331"/>
      <c r="AH137" s="331"/>
      <c r="AI137" s="331"/>
      <c r="AK137" s="331"/>
    </row>
    <row r="138" spans="2:37" x14ac:dyDescent="0.25">
      <c r="B138" s="123" t="str">
        <f t="shared" si="10"/>
        <v>5 2025</v>
      </c>
      <c r="C138" s="122">
        <f t="shared" si="12"/>
        <v>45789</v>
      </c>
      <c r="D138" s="122">
        <f t="shared" si="13"/>
        <v>45790</v>
      </c>
      <c r="E138" s="123">
        <f t="shared" si="11"/>
        <v>1</v>
      </c>
      <c r="F138" s="123" t="s">
        <v>7</v>
      </c>
      <c r="H138" s="328">
        <f t="shared" si="14"/>
        <v>45789</v>
      </c>
      <c r="I138" s="325"/>
      <c r="J138" s="399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Z138" s="331"/>
      <c r="AA138" s="331"/>
      <c r="AB138" s="331"/>
      <c r="AD138" s="331"/>
      <c r="AE138" s="331"/>
      <c r="AF138" s="331"/>
      <c r="AH138" s="331"/>
      <c r="AI138" s="331"/>
      <c r="AK138" s="331"/>
    </row>
    <row r="139" spans="2:37" x14ac:dyDescent="0.25">
      <c r="B139" s="123" t="str">
        <f t="shared" si="10"/>
        <v>5 2025</v>
      </c>
      <c r="C139" s="122">
        <f t="shared" si="12"/>
        <v>45790</v>
      </c>
      <c r="D139" s="122">
        <f t="shared" si="13"/>
        <v>45791</v>
      </c>
      <c r="E139" s="123">
        <f t="shared" si="11"/>
        <v>1</v>
      </c>
      <c r="F139" s="123" t="s">
        <v>7</v>
      </c>
      <c r="H139" s="328">
        <f t="shared" si="14"/>
        <v>45790</v>
      </c>
      <c r="I139" s="325"/>
      <c r="J139" s="399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Z139" s="331"/>
      <c r="AA139" s="331"/>
      <c r="AB139" s="331"/>
      <c r="AD139" s="331"/>
      <c r="AE139" s="331"/>
      <c r="AF139" s="331"/>
      <c r="AH139" s="331"/>
      <c r="AI139" s="331"/>
      <c r="AK139" s="331"/>
    </row>
    <row r="140" spans="2:37" x14ac:dyDescent="0.25">
      <c r="B140" s="123" t="str">
        <f t="shared" si="10"/>
        <v>5 2025</v>
      </c>
      <c r="C140" s="122">
        <f t="shared" si="12"/>
        <v>45791</v>
      </c>
      <c r="D140" s="122">
        <f t="shared" si="13"/>
        <v>45792</v>
      </c>
      <c r="E140" s="123">
        <f t="shared" si="11"/>
        <v>1</v>
      </c>
      <c r="F140" s="123" t="s">
        <v>7</v>
      </c>
      <c r="H140" s="328">
        <f t="shared" si="14"/>
        <v>45791</v>
      </c>
      <c r="I140" s="325"/>
      <c r="J140" s="399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Z140" s="331"/>
      <c r="AA140" s="331"/>
      <c r="AB140" s="331"/>
      <c r="AD140" s="331"/>
      <c r="AE140" s="331"/>
      <c r="AF140" s="331"/>
      <c r="AH140" s="331"/>
      <c r="AI140" s="331"/>
      <c r="AK140" s="331"/>
    </row>
    <row r="141" spans="2:37" x14ac:dyDescent="0.25">
      <c r="B141" s="123" t="str">
        <f t="shared" si="10"/>
        <v>5 2025</v>
      </c>
      <c r="C141" s="122">
        <f t="shared" si="12"/>
        <v>45792</v>
      </c>
      <c r="D141" s="122">
        <f t="shared" si="13"/>
        <v>45793</v>
      </c>
      <c r="E141" s="123">
        <f t="shared" si="11"/>
        <v>1</v>
      </c>
      <c r="F141" s="123" t="s">
        <v>7</v>
      </c>
      <c r="H141" s="328">
        <f t="shared" si="14"/>
        <v>45792</v>
      </c>
      <c r="I141" s="325"/>
      <c r="J141" s="399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Z141" s="331"/>
      <c r="AA141" s="331"/>
      <c r="AB141" s="331"/>
      <c r="AD141" s="331"/>
      <c r="AE141" s="331"/>
      <c r="AF141" s="331"/>
      <c r="AH141" s="331"/>
      <c r="AI141" s="331"/>
      <c r="AK141" s="331"/>
    </row>
    <row r="142" spans="2:37" x14ac:dyDescent="0.25">
      <c r="B142" s="123" t="str">
        <f t="shared" si="10"/>
        <v>5 2025</v>
      </c>
      <c r="C142" s="122">
        <f t="shared" si="12"/>
        <v>45793</v>
      </c>
      <c r="D142" s="122">
        <f t="shared" si="13"/>
        <v>45794</v>
      </c>
      <c r="E142" s="123">
        <f t="shared" si="11"/>
        <v>1</v>
      </c>
      <c r="F142" s="123" t="s">
        <v>7</v>
      </c>
      <c r="H142" s="328">
        <f t="shared" si="14"/>
        <v>45793</v>
      </c>
      <c r="I142" s="325"/>
      <c r="J142" s="399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Z142" s="331"/>
      <c r="AA142" s="331"/>
      <c r="AB142" s="331"/>
      <c r="AD142" s="331"/>
      <c r="AE142" s="331"/>
      <c r="AF142" s="331"/>
      <c r="AH142" s="331"/>
      <c r="AI142" s="331"/>
      <c r="AK142" s="331"/>
    </row>
    <row r="143" spans="2:37" x14ac:dyDescent="0.25">
      <c r="B143" s="123" t="str">
        <f t="shared" si="10"/>
        <v>5 2025</v>
      </c>
      <c r="C143" s="122">
        <f t="shared" si="12"/>
        <v>45794</v>
      </c>
      <c r="D143" s="122">
        <f t="shared" si="13"/>
        <v>45795</v>
      </c>
      <c r="E143" s="123">
        <f t="shared" si="11"/>
        <v>1</v>
      </c>
      <c r="F143" s="123" t="s">
        <v>7</v>
      </c>
      <c r="H143" s="328">
        <f t="shared" si="14"/>
        <v>45794</v>
      </c>
      <c r="I143" s="325"/>
      <c r="J143" s="399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Z143" s="331"/>
      <c r="AA143" s="331"/>
      <c r="AB143" s="331"/>
      <c r="AD143" s="331"/>
      <c r="AE143" s="331"/>
      <c r="AF143" s="331"/>
      <c r="AH143" s="331"/>
      <c r="AI143" s="331"/>
      <c r="AK143" s="331"/>
    </row>
    <row r="144" spans="2:37" x14ac:dyDescent="0.25">
      <c r="B144" s="123" t="str">
        <f t="shared" si="10"/>
        <v>5 2025</v>
      </c>
      <c r="C144" s="122">
        <f t="shared" si="12"/>
        <v>45795</v>
      </c>
      <c r="D144" s="122">
        <f t="shared" si="13"/>
        <v>45796</v>
      </c>
      <c r="E144" s="123">
        <f t="shared" si="11"/>
        <v>1</v>
      </c>
      <c r="F144" s="123" t="s">
        <v>7</v>
      </c>
      <c r="H144" s="328">
        <f t="shared" si="14"/>
        <v>45795</v>
      </c>
      <c r="I144" s="325"/>
      <c r="J144" s="399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Z144" s="331"/>
      <c r="AA144" s="331"/>
      <c r="AB144" s="331"/>
      <c r="AD144" s="331"/>
      <c r="AE144" s="331"/>
      <c r="AF144" s="331"/>
      <c r="AH144" s="331"/>
      <c r="AI144" s="331"/>
      <c r="AK144" s="331"/>
    </row>
    <row r="145" spans="2:37" x14ac:dyDescent="0.25">
      <c r="B145" s="123" t="str">
        <f t="shared" si="10"/>
        <v>5 2025</v>
      </c>
      <c r="C145" s="122">
        <f t="shared" si="12"/>
        <v>45796</v>
      </c>
      <c r="D145" s="122">
        <f t="shared" si="13"/>
        <v>45797</v>
      </c>
      <c r="E145" s="123">
        <f t="shared" si="11"/>
        <v>1</v>
      </c>
      <c r="F145" s="123" t="s">
        <v>7</v>
      </c>
      <c r="H145" s="328">
        <f t="shared" si="14"/>
        <v>45796</v>
      </c>
      <c r="I145" s="325"/>
      <c r="J145" s="399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Z145" s="331"/>
      <c r="AA145" s="331"/>
      <c r="AB145" s="331"/>
      <c r="AD145" s="331"/>
      <c r="AE145" s="331"/>
      <c r="AF145" s="331"/>
      <c r="AH145" s="331"/>
      <c r="AI145" s="331"/>
      <c r="AK145" s="331"/>
    </row>
    <row r="146" spans="2:37" x14ac:dyDescent="0.25">
      <c r="B146" s="123" t="str">
        <f t="shared" si="10"/>
        <v>5 2025</v>
      </c>
      <c r="C146" s="122">
        <f t="shared" si="12"/>
        <v>45797</v>
      </c>
      <c r="D146" s="122">
        <f t="shared" si="13"/>
        <v>45798</v>
      </c>
      <c r="E146" s="123">
        <f t="shared" si="11"/>
        <v>1</v>
      </c>
      <c r="F146" s="123" t="s">
        <v>7</v>
      </c>
      <c r="H146" s="328">
        <f t="shared" si="14"/>
        <v>45797</v>
      </c>
      <c r="I146" s="325"/>
      <c r="J146" s="399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Z146" s="331"/>
      <c r="AA146" s="331"/>
      <c r="AB146" s="331"/>
      <c r="AD146" s="331"/>
      <c r="AE146" s="331"/>
      <c r="AF146" s="331"/>
      <c r="AH146" s="331"/>
      <c r="AI146" s="331"/>
      <c r="AK146" s="331"/>
    </row>
    <row r="147" spans="2:37" x14ac:dyDescent="0.25">
      <c r="B147" s="123" t="str">
        <f t="shared" si="10"/>
        <v>5 2025</v>
      </c>
      <c r="C147" s="122">
        <f t="shared" si="12"/>
        <v>45798</v>
      </c>
      <c r="D147" s="122">
        <f t="shared" si="13"/>
        <v>45799</v>
      </c>
      <c r="E147" s="123">
        <f t="shared" si="11"/>
        <v>1</v>
      </c>
      <c r="F147" s="123" t="s">
        <v>7</v>
      </c>
      <c r="H147" s="328">
        <f t="shared" si="14"/>
        <v>45798</v>
      </c>
      <c r="I147" s="325"/>
      <c r="J147" s="399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Z147" s="331"/>
      <c r="AA147" s="331"/>
      <c r="AB147" s="331"/>
      <c r="AD147" s="331"/>
      <c r="AE147" s="331"/>
      <c r="AF147" s="331"/>
      <c r="AH147" s="331"/>
      <c r="AI147" s="331"/>
      <c r="AK147" s="331"/>
    </row>
    <row r="148" spans="2:37" x14ac:dyDescent="0.25">
      <c r="B148" s="123" t="str">
        <f t="shared" si="10"/>
        <v>5 2025</v>
      </c>
      <c r="C148" s="122">
        <f t="shared" si="12"/>
        <v>45799</v>
      </c>
      <c r="D148" s="122">
        <f t="shared" si="13"/>
        <v>45800</v>
      </c>
      <c r="E148" s="123">
        <f t="shared" si="11"/>
        <v>1</v>
      </c>
      <c r="F148" s="123" t="s">
        <v>7</v>
      </c>
      <c r="H148" s="328">
        <f t="shared" si="14"/>
        <v>45799</v>
      </c>
      <c r="I148" s="325"/>
      <c r="J148" s="399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Z148" s="331"/>
      <c r="AA148" s="331"/>
      <c r="AB148" s="331"/>
      <c r="AD148" s="331"/>
      <c r="AE148" s="331"/>
      <c r="AF148" s="331"/>
      <c r="AH148" s="331"/>
      <c r="AI148" s="331"/>
      <c r="AK148" s="331"/>
    </row>
    <row r="149" spans="2:37" x14ac:dyDescent="0.25">
      <c r="B149" s="123" t="str">
        <f t="shared" si="10"/>
        <v>5 2025</v>
      </c>
      <c r="C149" s="122">
        <f t="shared" si="12"/>
        <v>45800</v>
      </c>
      <c r="D149" s="122">
        <f t="shared" si="13"/>
        <v>45801</v>
      </c>
      <c r="E149" s="123">
        <f t="shared" si="11"/>
        <v>1</v>
      </c>
      <c r="F149" s="123" t="s">
        <v>7</v>
      </c>
      <c r="H149" s="328">
        <f t="shared" si="14"/>
        <v>45800</v>
      </c>
      <c r="I149" s="329"/>
      <c r="J149" s="400"/>
      <c r="L149" s="330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Z149" s="331"/>
      <c r="AA149" s="331"/>
      <c r="AB149" s="331"/>
      <c r="AD149" s="331"/>
      <c r="AE149" s="331"/>
      <c r="AF149" s="331"/>
      <c r="AH149" s="331"/>
      <c r="AI149" s="331"/>
      <c r="AK149" s="331"/>
    </row>
    <row r="150" spans="2:37" x14ac:dyDescent="0.25">
      <c r="B150" s="123" t="str">
        <f t="shared" si="10"/>
        <v>5 2025</v>
      </c>
      <c r="C150" s="122">
        <f t="shared" si="12"/>
        <v>45801</v>
      </c>
      <c r="D150" s="122">
        <f t="shared" si="13"/>
        <v>45802</v>
      </c>
      <c r="E150" s="123">
        <f t="shared" si="11"/>
        <v>1</v>
      </c>
      <c r="F150" s="123" t="s">
        <v>7</v>
      </c>
      <c r="H150" s="328">
        <f t="shared" si="14"/>
        <v>45801</v>
      </c>
      <c r="I150" s="329"/>
      <c r="J150" s="400"/>
      <c r="L150" s="330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Z150" s="331"/>
      <c r="AA150" s="331"/>
      <c r="AB150" s="331"/>
      <c r="AD150" s="331"/>
      <c r="AE150" s="331"/>
      <c r="AF150" s="331"/>
      <c r="AH150" s="331"/>
      <c r="AI150" s="331"/>
      <c r="AK150" s="331"/>
    </row>
    <row r="151" spans="2:37" x14ac:dyDescent="0.25">
      <c r="B151" s="123" t="str">
        <f t="shared" si="10"/>
        <v>5 2025</v>
      </c>
      <c r="C151" s="122">
        <f t="shared" si="12"/>
        <v>45802</v>
      </c>
      <c r="D151" s="122">
        <f t="shared" si="13"/>
        <v>45803</v>
      </c>
      <c r="E151" s="123">
        <f t="shared" si="11"/>
        <v>1</v>
      </c>
      <c r="F151" s="123" t="s">
        <v>7</v>
      </c>
      <c r="H151" s="328">
        <f t="shared" si="14"/>
        <v>45802</v>
      </c>
      <c r="I151" s="329"/>
      <c r="J151" s="400"/>
      <c r="L151" s="330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Z151" s="331"/>
      <c r="AA151" s="331"/>
      <c r="AB151" s="331"/>
      <c r="AD151" s="331"/>
      <c r="AE151" s="331"/>
      <c r="AF151" s="331"/>
      <c r="AH151" s="331"/>
      <c r="AI151" s="331"/>
      <c r="AK151" s="331"/>
    </row>
    <row r="152" spans="2:37" x14ac:dyDescent="0.25">
      <c r="B152" s="123" t="str">
        <f t="shared" si="10"/>
        <v>5 2025</v>
      </c>
      <c r="C152" s="122">
        <f t="shared" si="12"/>
        <v>45803</v>
      </c>
      <c r="D152" s="122">
        <f t="shared" si="13"/>
        <v>45804</v>
      </c>
      <c r="E152" s="123">
        <f t="shared" si="11"/>
        <v>1</v>
      </c>
      <c r="F152" s="123" t="s">
        <v>7</v>
      </c>
      <c r="H152" s="328">
        <f t="shared" si="14"/>
        <v>45803</v>
      </c>
      <c r="I152" s="329"/>
      <c r="J152" s="400"/>
      <c r="L152" s="330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Z152" s="331"/>
      <c r="AA152" s="331"/>
      <c r="AB152" s="331"/>
      <c r="AD152" s="331"/>
      <c r="AE152" s="331"/>
      <c r="AF152" s="331"/>
      <c r="AH152" s="331"/>
      <c r="AI152" s="331"/>
      <c r="AK152" s="331"/>
    </row>
    <row r="153" spans="2:37" x14ac:dyDescent="0.25">
      <c r="B153" s="123" t="str">
        <f t="shared" si="10"/>
        <v>5 2025</v>
      </c>
      <c r="C153" s="122">
        <f t="shared" si="12"/>
        <v>45804</v>
      </c>
      <c r="D153" s="122">
        <f t="shared" si="13"/>
        <v>45805</v>
      </c>
      <c r="E153" s="123">
        <f t="shared" si="11"/>
        <v>1</v>
      </c>
      <c r="F153" s="123" t="s">
        <v>7</v>
      </c>
      <c r="H153" s="328">
        <f t="shared" si="14"/>
        <v>45804</v>
      </c>
      <c r="I153" s="329"/>
      <c r="J153" s="400"/>
      <c r="L153" s="330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Z153" s="331"/>
      <c r="AA153" s="331"/>
      <c r="AB153" s="331"/>
      <c r="AD153" s="331"/>
      <c r="AE153" s="331"/>
      <c r="AF153" s="331"/>
      <c r="AH153" s="331"/>
      <c r="AI153" s="331"/>
      <c r="AK153" s="331"/>
    </row>
    <row r="154" spans="2:37" x14ac:dyDescent="0.25">
      <c r="B154" s="123" t="str">
        <f t="shared" si="10"/>
        <v>5 2025</v>
      </c>
      <c r="C154" s="122">
        <f t="shared" si="12"/>
        <v>45805</v>
      </c>
      <c r="D154" s="122">
        <f t="shared" si="13"/>
        <v>45806</v>
      </c>
      <c r="E154" s="123">
        <f t="shared" si="11"/>
        <v>1</v>
      </c>
      <c r="F154" s="123" t="s">
        <v>7</v>
      </c>
      <c r="H154" s="328">
        <f t="shared" si="14"/>
        <v>45805</v>
      </c>
      <c r="I154" s="329"/>
      <c r="J154" s="400"/>
      <c r="L154" s="330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Z154" s="331"/>
      <c r="AA154" s="331"/>
      <c r="AB154" s="331"/>
      <c r="AD154" s="331"/>
      <c r="AE154" s="331"/>
      <c r="AF154" s="331"/>
      <c r="AH154" s="331"/>
      <c r="AI154" s="331"/>
      <c r="AK154" s="331"/>
    </row>
    <row r="155" spans="2:37" x14ac:dyDescent="0.25">
      <c r="B155" s="123" t="str">
        <f t="shared" si="10"/>
        <v>5 2025</v>
      </c>
      <c r="C155" s="122">
        <f t="shared" si="12"/>
        <v>45806</v>
      </c>
      <c r="D155" s="122">
        <f t="shared" si="13"/>
        <v>45807</v>
      </c>
      <c r="E155" s="123">
        <f t="shared" si="11"/>
        <v>1</v>
      </c>
      <c r="F155" s="123" t="s">
        <v>7</v>
      </c>
      <c r="H155" s="328">
        <f t="shared" si="14"/>
        <v>45806</v>
      </c>
      <c r="I155" s="329"/>
      <c r="J155" s="400"/>
      <c r="L155" s="330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Z155" s="331"/>
      <c r="AA155" s="331"/>
      <c r="AB155" s="331"/>
      <c r="AD155" s="331"/>
      <c r="AE155" s="331"/>
      <c r="AF155" s="331"/>
      <c r="AH155" s="331"/>
      <c r="AI155" s="331"/>
      <c r="AK155" s="331"/>
    </row>
    <row r="156" spans="2:37" x14ac:dyDescent="0.25">
      <c r="B156" s="148" t="str">
        <f t="shared" si="10"/>
        <v>5 2025</v>
      </c>
      <c r="C156" s="149">
        <f t="shared" si="12"/>
        <v>45807</v>
      </c>
      <c r="D156" s="149">
        <f t="shared" si="13"/>
        <v>45808</v>
      </c>
      <c r="E156" s="148">
        <f t="shared" si="11"/>
        <v>1</v>
      </c>
      <c r="F156" s="148" t="s">
        <v>7</v>
      </c>
      <c r="H156" s="327">
        <f t="shared" si="14"/>
        <v>45807</v>
      </c>
      <c r="I156" s="329"/>
      <c r="J156" s="400"/>
      <c r="L156" s="330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Z156" s="331"/>
      <c r="AA156" s="331"/>
      <c r="AB156" s="331"/>
      <c r="AD156" s="331"/>
      <c r="AE156" s="331"/>
      <c r="AF156" s="331"/>
      <c r="AH156" s="331"/>
      <c r="AI156" s="331"/>
      <c r="AK156" s="331"/>
    </row>
    <row r="157" spans="2:37" x14ac:dyDescent="0.25">
      <c r="B157" s="123" t="str">
        <f t="shared" si="10"/>
        <v>6 2025</v>
      </c>
      <c r="C157" s="122">
        <f t="shared" si="12"/>
        <v>45808</v>
      </c>
      <c r="D157" s="122">
        <f t="shared" si="13"/>
        <v>45809</v>
      </c>
      <c r="E157" s="123">
        <f t="shared" si="11"/>
        <v>1</v>
      </c>
      <c r="F157" s="123" t="s">
        <v>7</v>
      </c>
      <c r="H157" s="328">
        <f t="shared" si="14"/>
        <v>45808</v>
      </c>
      <c r="I157" s="329"/>
      <c r="J157" s="400"/>
      <c r="L157" s="330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Z157" s="331"/>
      <c r="AA157" s="331"/>
      <c r="AB157" s="331"/>
      <c r="AD157" s="331"/>
      <c r="AE157" s="331"/>
      <c r="AF157" s="331"/>
      <c r="AH157" s="331"/>
      <c r="AI157" s="331"/>
      <c r="AK157" s="331"/>
    </row>
    <row r="158" spans="2:37" x14ac:dyDescent="0.25">
      <c r="B158" s="123" t="str">
        <f t="shared" si="10"/>
        <v>6 2025</v>
      </c>
      <c r="C158" s="122">
        <f t="shared" si="12"/>
        <v>45809</v>
      </c>
      <c r="D158" s="122">
        <f t="shared" si="13"/>
        <v>45810</v>
      </c>
      <c r="E158" s="123">
        <f t="shared" si="11"/>
        <v>1</v>
      </c>
      <c r="F158" s="123" t="s">
        <v>7</v>
      </c>
      <c r="H158" s="328">
        <f t="shared" si="14"/>
        <v>45809</v>
      </c>
      <c r="I158" s="329"/>
      <c r="J158" s="400"/>
      <c r="L158" s="330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Z158" s="331"/>
      <c r="AA158" s="331"/>
      <c r="AB158" s="331"/>
      <c r="AD158" s="331"/>
      <c r="AE158" s="331"/>
      <c r="AF158" s="331"/>
      <c r="AH158" s="331"/>
      <c r="AI158" s="331"/>
      <c r="AK158" s="331"/>
    </row>
    <row r="159" spans="2:37" x14ac:dyDescent="0.25">
      <c r="B159" s="123" t="str">
        <f t="shared" si="10"/>
        <v>6 2025</v>
      </c>
      <c r="C159" s="122">
        <f t="shared" si="12"/>
        <v>45810</v>
      </c>
      <c r="D159" s="122">
        <f t="shared" si="13"/>
        <v>45811</v>
      </c>
      <c r="E159" s="123">
        <f t="shared" si="11"/>
        <v>1</v>
      </c>
      <c r="F159" s="123" t="s">
        <v>7</v>
      </c>
      <c r="H159" s="328">
        <f t="shared" si="14"/>
        <v>45810</v>
      </c>
      <c r="I159" s="329"/>
      <c r="J159" s="400"/>
      <c r="L159" s="330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Z159" s="331"/>
      <c r="AA159" s="331"/>
      <c r="AB159" s="331"/>
      <c r="AD159" s="331"/>
      <c r="AE159" s="331"/>
      <c r="AF159" s="331"/>
      <c r="AH159" s="331"/>
      <c r="AI159" s="331"/>
      <c r="AK159" s="331"/>
    </row>
    <row r="160" spans="2:37" x14ac:dyDescent="0.25">
      <c r="B160" s="123" t="str">
        <f t="shared" si="10"/>
        <v>6 2025</v>
      </c>
      <c r="C160" s="122">
        <f t="shared" si="12"/>
        <v>45811</v>
      </c>
      <c r="D160" s="122">
        <f t="shared" si="13"/>
        <v>45812</v>
      </c>
      <c r="E160" s="123">
        <f t="shared" si="11"/>
        <v>1</v>
      </c>
      <c r="F160" s="123" t="s">
        <v>7</v>
      </c>
      <c r="H160" s="328">
        <f t="shared" si="14"/>
        <v>45811</v>
      </c>
      <c r="I160" s="329"/>
      <c r="J160" s="400"/>
      <c r="L160" s="330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Z160" s="331"/>
      <c r="AA160" s="331"/>
      <c r="AB160" s="331"/>
      <c r="AD160" s="331"/>
      <c r="AE160" s="331"/>
      <c r="AF160" s="331"/>
      <c r="AH160" s="331"/>
      <c r="AI160" s="331"/>
      <c r="AK160" s="331"/>
    </row>
    <row r="161" spans="2:37" x14ac:dyDescent="0.25">
      <c r="B161" s="123" t="str">
        <f t="shared" si="10"/>
        <v>6 2025</v>
      </c>
      <c r="C161" s="122">
        <f t="shared" si="12"/>
        <v>45812</v>
      </c>
      <c r="D161" s="122">
        <f t="shared" si="13"/>
        <v>45813</v>
      </c>
      <c r="E161" s="123">
        <f t="shared" si="11"/>
        <v>1</v>
      </c>
      <c r="F161" s="123" t="s">
        <v>7</v>
      </c>
      <c r="H161" s="328">
        <f t="shared" si="14"/>
        <v>45812</v>
      </c>
      <c r="I161" s="329"/>
      <c r="J161" s="400"/>
      <c r="L161" s="330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Z161" s="331"/>
      <c r="AA161" s="331"/>
      <c r="AB161" s="331"/>
      <c r="AD161" s="331"/>
      <c r="AE161" s="331"/>
      <c r="AF161" s="331"/>
      <c r="AH161" s="331"/>
      <c r="AI161" s="331"/>
      <c r="AK161" s="331"/>
    </row>
    <row r="162" spans="2:37" x14ac:dyDescent="0.25">
      <c r="B162" s="123" t="str">
        <f t="shared" si="10"/>
        <v>6 2025</v>
      </c>
      <c r="C162" s="122">
        <f t="shared" si="12"/>
        <v>45813</v>
      </c>
      <c r="D162" s="122">
        <f t="shared" si="13"/>
        <v>45814</v>
      </c>
      <c r="E162" s="123">
        <f t="shared" si="11"/>
        <v>1</v>
      </c>
      <c r="F162" s="123" t="s">
        <v>7</v>
      </c>
      <c r="H162" s="328">
        <f t="shared" si="14"/>
        <v>45813</v>
      </c>
      <c r="I162" s="329"/>
      <c r="J162" s="400"/>
      <c r="L162" s="330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Z162" s="331"/>
      <c r="AA162" s="331"/>
      <c r="AB162" s="331"/>
      <c r="AD162" s="331"/>
      <c r="AE162" s="331"/>
      <c r="AF162" s="331"/>
      <c r="AH162" s="331"/>
      <c r="AI162" s="331"/>
      <c r="AK162" s="331"/>
    </row>
    <row r="163" spans="2:37" x14ac:dyDescent="0.25">
      <c r="B163" s="123" t="str">
        <f t="shared" si="10"/>
        <v>6 2025</v>
      </c>
      <c r="C163" s="122">
        <f t="shared" si="12"/>
        <v>45814</v>
      </c>
      <c r="D163" s="122">
        <f t="shared" si="13"/>
        <v>45815</v>
      </c>
      <c r="E163" s="123">
        <f t="shared" si="11"/>
        <v>1</v>
      </c>
      <c r="F163" s="123" t="s">
        <v>7</v>
      </c>
      <c r="H163" s="328">
        <f t="shared" si="14"/>
        <v>45814</v>
      </c>
      <c r="I163" s="329"/>
      <c r="J163" s="400"/>
      <c r="L163" s="330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Z163" s="331"/>
      <c r="AA163" s="331"/>
      <c r="AB163" s="331"/>
      <c r="AD163" s="331"/>
      <c r="AE163" s="331"/>
      <c r="AF163" s="331"/>
      <c r="AH163" s="331"/>
      <c r="AI163" s="331"/>
      <c r="AK163" s="331"/>
    </row>
    <row r="164" spans="2:37" x14ac:dyDescent="0.25">
      <c r="B164" s="123" t="str">
        <f t="shared" si="10"/>
        <v>6 2025</v>
      </c>
      <c r="C164" s="122">
        <f t="shared" si="12"/>
        <v>45815</v>
      </c>
      <c r="D164" s="122">
        <f t="shared" si="13"/>
        <v>45816</v>
      </c>
      <c r="E164" s="123">
        <f t="shared" si="11"/>
        <v>1</v>
      </c>
      <c r="F164" s="123" t="s">
        <v>7</v>
      </c>
      <c r="H164" s="328">
        <f t="shared" si="14"/>
        <v>45815</v>
      </c>
      <c r="I164" s="329"/>
      <c r="J164" s="400"/>
      <c r="L164" s="330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Z164" s="331"/>
      <c r="AA164" s="331"/>
      <c r="AB164" s="331"/>
      <c r="AD164" s="331"/>
      <c r="AE164" s="331"/>
      <c r="AF164" s="331"/>
      <c r="AH164" s="331"/>
      <c r="AI164" s="331"/>
      <c r="AK164" s="331"/>
    </row>
    <row r="165" spans="2:37" x14ac:dyDescent="0.25">
      <c r="B165" s="123" t="str">
        <f t="shared" si="10"/>
        <v>6 2025</v>
      </c>
      <c r="C165" s="122">
        <f t="shared" si="12"/>
        <v>45816</v>
      </c>
      <c r="D165" s="122">
        <f t="shared" si="13"/>
        <v>45817</v>
      </c>
      <c r="E165" s="123">
        <f t="shared" si="11"/>
        <v>1</v>
      </c>
      <c r="F165" s="123" t="s">
        <v>7</v>
      </c>
      <c r="H165" s="328">
        <f t="shared" si="14"/>
        <v>45816</v>
      </c>
      <c r="I165" s="329"/>
      <c r="J165" s="400"/>
      <c r="L165" s="330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Z165" s="331"/>
      <c r="AA165" s="331"/>
      <c r="AB165" s="331"/>
      <c r="AD165" s="331"/>
      <c r="AE165" s="331"/>
      <c r="AF165" s="331"/>
      <c r="AH165" s="331"/>
      <c r="AI165" s="331"/>
      <c r="AK165" s="331"/>
    </row>
    <row r="166" spans="2:37" x14ac:dyDescent="0.25">
      <c r="B166" s="123" t="str">
        <f t="shared" si="10"/>
        <v>6 2025</v>
      </c>
      <c r="C166" s="122">
        <f t="shared" si="12"/>
        <v>45817</v>
      </c>
      <c r="D166" s="122">
        <f t="shared" si="13"/>
        <v>45818</v>
      </c>
      <c r="E166" s="123">
        <f t="shared" si="11"/>
        <v>1</v>
      </c>
      <c r="F166" s="123" t="s">
        <v>7</v>
      </c>
      <c r="H166" s="328">
        <f t="shared" si="14"/>
        <v>45817</v>
      </c>
      <c r="I166" s="329"/>
      <c r="J166" s="400"/>
      <c r="L166" s="330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Z166" s="331"/>
      <c r="AA166" s="331"/>
      <c r="AB166" s="331"/>
      <c r="AD166" s="331"/>
      <c r="AE166" s="331"/>
      <c r="AF166" s="331"/>
      <c r="AH166" s="331"/>
      <c r="AI166" s="331"/>
      <c r="AK166" s="331"/>
    </row>
    <row r="167" spans="2:37" x14ac:dyDescent="0.25">
      <c r="B167" s="123" t="str">
        <f t="shared" si="10"/>
        <v>6 2025</v>
      </c>
      <c r="C167" s="122">
        <f t="shared" si="12"/>
        <v>45818</v>
      </c>
      <c r="D167" s="122">
        <f t="shared" si="13"/>
        <v>45819</v>
      </c>
      <c r="E167" s="123">
        <f t="shared" si="11"/>
        <v>1</v>
      </c>
      <c r="F167" s="123" t="s">
        <v>7</v>
      </c>
      <c r="H167" s="328">
        <f t="shared" si="14"/>
        <v>45818</v>
      </c>
      <c r="I167" s="329"/>
      <c r="J167" s="400"/>
      <c r="L167" s="330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Z167" s="331"/>
      <c r="AA167" s="331"/>
      <c r="AB167" s="331"/>
      <c r="AD167" s="331"/>
      <c r="AE167" s="331"/>
      <c r="AF167" s="331"/>
      <c r="AH167" s="331"/>
      <c r="AI167" s="331"/>
      <c r="AK167" s="331"/>
    </row>
    <row r="168" spans="2:37" x14ac:dyDescent="0.25">
      <c r="B168" s="123" t="str">
        <f t="shared" si="10"/>
        <v>6 2025</v>
      </c>
      <c r="C168" s="122">
        <f t="shared" si="12"/>
        <v>45819</v>
      </c>
      <c r="D168" s="122">
        <f t="shared" si="13"/>
        <v>45820</v>
      </c>
      <c r="E168" s="123">
        <f t="shared" si="11"/>
        <v>1</v>
      </c>
      <c r="F168" s="123" t="s">
        <v>7</v>
      </c>
      <c r="H168" s="328">
        <f t="shared" si="14"/>
        <v>45819</v>
      </c>
      <c r="I168" s="329"/>
      <c r="J168" s="400"/>
      <c r="L168" s="330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Z168" s="331"/>
      <c r="AA168" s="331"/>
      <c r="AB168" s="331"/>
      <c r="AD168" s="331"/>
      <c r="AE168" s="331"/>
      <c r="AF168" s="331"/>
      <c r="AH168" s="331"/>
      <c r="AI168" s="331"/>
      <c r="AK168" s="331"/>
    </row>
    <row r="169" spans="2:37" x14ac:dyDescent="0.25">
      <c r="B169" s="123" t="str">
        <f t="shared" si="10"/>
        <v>6 2025</v>
      </c>
      <c r="C169" s="122">
        <f t="shared" si="12"/>
        <v>45820</v>
      </c>
      <c r="D169" s="122">
        <f t="shared" si="13"/>
        <v>45821</v>
      </c>
      <c r="E169" s="123">
        <f t="shared" si="11"/>
        <v>1</v>
      </c>
      <c r="F169" s="123" t="s">
        <v>7</v>
      </c>
      <c r="H169" s="328">
        <f t="shared" si="14"/>
        <v>45820</v>
      </c>
      <c r="I169" s="329"/>
      <c r="J169" s="400"/>
      <c r="L169" s="330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Z169" s="331"/>
      <c r="AA169" s="331"/>
      <c r="AB169" s="331"/>
      <c r="AD169" s="331"/>
      <c r="AE169" s="331"/>
      <c r="AF169" s="331"/>
      <c r="AH169" s="331"/>
      <c r="AI169" s="331"/>
      <c r="AK169" s="331"/>
    </row>
    <row r="170" spans="2:37" x14ac:dyDescent="0.25">
      <c r="B170" s="123" t="str">
        <f t="shared" si="10"/>
        <v>6 2025</v>
      </c>
      <c r="C170" s="122">
        <f t="shared" si="12"/>
        <v>45821</v>
      </c>
      <c r="D170" s="122">
        <f t="shared" si="13"/>
        <v>45822</v>
      </c>
      <c r="E170" s="123">
        <f t="shared" si="11"/>
        <v>1</v>
      </c>
      <c r="F170" s="123" t="s">
        <v>7</v>
      </c>
      <c r="H170" s="328">
        <f t="shared" si="14"/>
        <v>45821</v>
      </c>
      <c r="I170" s="329"/>
      <c r="J170" s="400"/>
      <c r="L170" s="330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Z170" s="331"/>
      <c r="AA170" s="331"/>
      <c r="AB170" s="331"/>
      <c r="AD170" s="331"/>
      <c r="AE170" s="331"/>
      <c r="AF170" s="331"/>
      <c r="AH170" s="331"/>
      <c r="AI170" s="331"/>
      <c r="AK170" s="331"/>
    </row>
    <row r="171" spans="2:37" x14ac:dyDescent="0.25">
      <c r="B171" s="123" t="str">
        <f t="shared" si="10"/>
        <v>6 2025</v>
      </c>
      <c r="C171" s="122">
        <f t="shared" si="12"/>
        <v>45822</v>
      </c>
      <c r="D171" s="122">
        <f t="shared" si="13"/>
        <v>45823</v>
      </c>
      <c r="E171" s="123">
        <f t="shared" si="11"/>
        <v>1</v>
      </c>
      <c r="F171" s="123" t="s">
        <v>7</v>
      </c>
      <c r="H171" s="328">
        <f t="shared" si="14"/>
        <v>45822</v>
      </c>
      <c r="I171" s="329"/>
      <c r="J171" s="400"/>
      <c r="L171" s="330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Z171" s="331"/>
      <c r="AA171" s="331"/>
      <c r="AB171" s="331"/>
      <c r="AD171" s="331"/>
      <c r="AE171" s="331"/>
      <c r="AF171" s="331"/>
      <c r="AH171" s="331"/>
      <c r="AI171" s="331"/>
      <c r="AK171" s="331"/>
    </row>
    <row r="172" spans="2:37" x14ac:dyDescent="0.25">
      <c r="B172" s="123" t="str">
        <f t="shared" si="10"/>
        <v>6 2025</v>
      </c>
      <c r="C172" s="122">
        <f t="shared" si="12"/>
        <v>45823</v>
      </c>
      <c r="D172" s="122">
        <f t="shared" si="13"/>
        <v>45824</v>
      </c>
      <c r="E172" s="123">
        <f t="shared" si="11"/>
        <v>1</v>
      </c>
      <c r="F172" s="123" t="s">
        <v>7</v>
      </c>
      <c r="H172" s="328">
        <f t="shared" si="14"/>
        <v>45823</v>
      </c>
      <c r="I172" s="329"/>
      <c r="J172" s="400"/>
      <c r="L172" s="330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Z172" s="331"/>
      <c r="AA172" s="331"/>
      <c r="AB172" s="331"/>
      <c r="AD172" s="331"/>
      <c r="AE172" s="331"/>
      <c r="AF172" s="331"/>
      <c r="AH172" s="331"/>
      <c r="AI172" s="331"/>
      <c r="AK172" s="331"/>
    </row>
    <row r="173" spans="2:37" x14ac:dyDescent="0.25">
      <c r="B173" s="123" t="str">
        <f t="shared" si="10"/>
        <v>6 2025</v>
      </c>
      <c r="C173" s="122">
        <f t="shared" si="12"/>
        <v>45824</v>
      </c>
      <c r="D173" s="122">
        <f t="shared" si="13"/>
        <v>45825</v>
      </c>
      <c r="E173" s="123">
        <f t="shared" si="11"/>
        <v>1</v>
      </c>
      <c r="F173" s="123" t="s">
        <v>7</v>
      </c>
      <c r="H173" s="328">
        <f t="shared" si="14"/>
        <v>45824</v>
      </c>
      <c r="I173" s="329"/>
      <c r="J173" s="400"/>
      <c r="L173" s="330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Z173" s="331"/>
      <c r="AA173" s="331"/>
      <c r="AB173" s="331"/>
      <c r="AD173" s="331"/>
      <c r="AE173" s="331"/>
      <c r="AF173" s="331"/>
      <c r="AH173" s="331"/>
      <c r="AI173" s="331"/>
      <c r="AK173" s="331"/>
    </row>
    <row r="174" spans="2:37" x14ac:dyDescent="0.25">
      <c r="B174" s="123" t="str">
        <f t="shared" si="10"/>
        <v>6 2025</v>
      </c>
      <c r="C174" s="122">
        <f t="shared" si="12"/>
        <v>45825</v>
      </c>
      <c r="D174" s="122">
        <f t="shared" si="13"/>
        <v>45826</v>
      </c>
      <c r="E174" s="123">
        <f t="shared" si="11"/>
        <v>1</v>
      </c>
      <c r="F174" s="123" t="s">
        <v>7</v>
      </c>
      <c r="H174" s="328">
        <f t="shared" si="14"/>
        <v>45825</v>
      </c>
      <c r="I174" s="329"/>
      <c r="J174" s="400"/>
      <c r="L174" s="330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Z174" s="331"/>
      <c r="AA174" s="331"/>
      <c r="AB174" s="331"/>
      <c r="AD174" s="331"/>
      <c r="AE174" s="331"/>
      <c r="AF174" s="331"/>
      <c r="AH174" s="331"/>
      <c r="AI174" s="331"/>
      <c r="AK174" s="331"/>
    </row>
    <row r="175" spans="2:37" x14ac:dyDescent="0.25">
      <c r="B175" s="123" t="str">
        <f t="shared" si="10"/>
        <v>6 2025</v>
      </c>
      <c r="C175" s="122">
        <f t="shared" si="12"/>
        <v>45826</v>
      </c>
      <c r="D175" s="122">
        <f t="shared" si="13"/>
        <v>45827</v>
      </c>
      <c r="E175" s="123">
        <f t="shared" si="11"/>
        <v>1</v>
      </c>
      <c r="F175" s="123" t="s">
        <v>7</v>
      </c>
      <c r="H175" s="328">
        <f t="shared" si="14"/>
        <v>45826</v>
      </c>
      <c r="I175" s="329"/>
      <c r="J175" s="400"/>
      <c r="L175" s="330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Z175" s="331"/>
      <c r="AA175" s="331"/>
      <c r="AB175" s="331"/>
      <c r="AD175" s="331"/>
      <c r="AE175" s="331"/>
      <c r="AF175" s="331"/>
      <c r="AH175" s="331"/>
      <c r="AI175" s="331"/>
      <c r="AK175" s="331"/>
    </row>
    <row r="176" spans="2:37" x14ac:dyDescent="0.25">
      <c r="B176" s="123" t="str">
        <f t="shared" si="10"/>
        <v>6 2025</v>
      </c>
      <c r="C176" s="122">
        <f t="shared" si="12"/>
        <v>45827</v>
      </c>
      <c r="D176" s="122">
        <f t="shared" si="13"/>
        <v>45828</v>
      </c>
      <c r="E176" s="123">
        <f t="shared" si="11"/>
        <v>1</v>
      </c>
      <c r="F176" s="123" t="s">
        <v>7</v>
      </c>
      <c r="H176" s="328">
        <f t="shared" si="14"/>
        <v>45827</v>
      </c>
      <c r="I176" s="329"/>
      <c r="J176" s="400"/>
      <c r="L176" s="330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Z176" s="331"/>
      <c r="AA176" s="331"/>
      <c r="AB176" s="331"/>
      <c r="AD176" s="331"/>
      <c r="AE176" s="331"/>
      <c r="AF176" s="331"/>
      <c r="AH176" s="331"/>
      <c r="AI176" s="331"/>
      <c r="AK176" s="331"/>
    </row>
    <row r="177" spans="2:37" x14ac:dyDescent="0.25">
      <c r="B177" s="123" t="str">
        <f t="shared" si="10"/>
        <v>6 2025</v>
      </c>
      <c r="C177" s="122">
        <f t="shared" si="12"/>
        <v>45828</v>
      </c>
      <c r="D177" s="122">
        <f t="shared" si="13"/>
        <v>45829</v>
      </c>
      <c r="E177" s="123">
        <f t="shared" si="11"/>
        <v>1</v>
      </c>
      <c r="F177" s="123" t="s">
        <v>7</v>
      </c>
      <c r="H177" s="328">
        <f t="shared" si="14"/>
        <v>45828</v>
      </c>
      <c r="I177" s="329"/>
      <c r="J177" s="400"/>
      <c r="L177" s="330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Z177" s="331"/>
      <c r="AA177" s="331"/>
      <c r="AB177" s="331"/>
      <c r="AD177" s="331"/>
      <c r="AE177" s="331"/>
      <c r="AF177" s="331"/>
      <c r="AH177" s="331"/>
      <c r="AI177" s="331"/>
      <c r="AK177" s="331"/>
    </row>
    <row r="178" spans="2:37" x14ac:dyDescent="0.25">
      <c r="B178" s="123" t="str">
        <f t="shared" si="10"/>
        <v>6 2025</v>
      </c>
      <c r="C178" s="122">
        <f t="shared" si="12"/>
        <v>45829</v>
      </c>
      <c r="D178" s="122">
        <f t="shared" si="13"/>
        <v>45830</v>
      </c>
      <c r="E178" s="123">
        <f t="shared" si="11"/>
        <v>1</v>
      </c>
      <c r="F178" s="123" t="s">
        <v>7</v>
      </c>
      <c r="H178" s="328">
        <f t="shared" si="14"/>
        <v>45829</v>
      </c>
      <c r="I178" s="329"/>
      <c r="J178" s="400"/>
      <c r="L178" s="330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Z178" s="331"/>
      <c r="AA178" s="331"/>
      <c r="AB178" s="331"/>
      <c r="AD178" s="331"/>
      <c r="AE178" s="331"/>
      <c r="AF178" s="331"/>
      <c r="AH178" s="331"/>
      <c r="AI178" s="331"/>
      <c r="AK178" s="331"/>
    </row>
    <row r="179" spans="2:37" x14ac:dyDescent="0.25">
      <c r="B179" s="123" t="str">
        <f t="shared" si="10"/>
        <v>6 2025</v>
      </c>
      <c r="C179" s="122">
        <f t="shared" si="12"/>
        <v>45830</v>
      </c>
      <c r="D179" s="122">
        <f t="shared" si="13"/>
        <v>45831</v>
      </c>
      <c r="E179" s="123">
        <f t="shared" si="11"/>
        <v>1</v>
      </c>
      <c r="F179" s="123" t="s">
        <v>7</v>
      </c>
      <c r="H179" s="328">
        <f t="shared" si="14"/>
        <v>45830</v>
      </c>
      <c r="I179" s="329"/>
      <c r="J179" s="400"/>
      <c r="L179" s="330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Z179" s="331"/>
      <c r="AA179" s="331"/>
      <c r="AB179" s="331"/>
      <c r="AD179" s="331"/>
      <c r="AE179" s="331"/>
      <c r="AF179" s="331"/>
      <c r="AH179" s="331"/>
      <c r="AI179" s="331"/>
      <c r="AK179" s="331"/>
    </row>
    <row r="180" spans="2:37" x14ac:dyDescent="0.25">
      <c r="B180" s="123" t="str">
        <f t="shared" si="10"/>
        <v>6 2025</v>
      </c>
      <c r="C180" s="122">
        <f t="shared" si="12"/>
        <v>45831</v>
      </c>
      <c r="D180" s="122">
        <f t="shared" si="13"/>
        <v>45832</v>
      </c>
      <c r="E180" s="123">
        <f t="shared" si="11"/>
        <v>1</v>
      </c>
      <c r="F180" s="123" t="s">
        <v>7</v>
      </c>
      <c r="H180" s="328">
        <f t="shared" si="14"/>
        <v>45831</v>
      </c>
      <c r="I180" s="329"/>
      <c r="J180" s="400"/>
      <c r="L180" s="330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Z180" s="331"/>
      <c r="AA180" s="331"/>
      <c r="AB180" s="331"/>
      <c r="AD180" s="331"/>
      <c r="AE180" s="331"/>
      <c r="AF180" s="331"/>
      <c r="AH180" s="331"/>
      <c r="AI180" s="331"/>
      <c r="AK180" s="331"/>
    </row>
    <row r="181" spans="2:37" x14ac:dyDescent="0.25">
      <c r="B181" s="123" t="str">
        <f t="shared" si="10"/>
        <v>6 2025</v>
      </c>
      <c r="C181" s="122">
        <f t="shared" si="12"/>
        <v>45832</v>
      </c>
      <c r="D181" s="122">
        <f t="shared" si="13"/>
        <v>45833</v>
      </c>
      <c r="E181" s="123">
        <f t="shared" si="11"/>
        <v>1</v>
      </c>
      <c r="F181" s="123" t="s">
        <v>7</v>
      </c>
      <c r="H181" s="328">
        <f t="shared" si="14"/>
        <v>45832</v>
      </c>
      <c r="I181" s="329"/>
      <c r="J181" s="400"/>
      <c r="L181" s="330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Z181" s="331"/>
      <c r="AA181" s="331"/>
      <c r="AB181" s="331"/>
      <c r="AD181" s="331"/>
      <c r="AE181" s="331"/>
      <c r="AF181" s="331"/>
      <c r="AH181" s="331"/>
      <c r="AI181" s="331"/>
      <c r="AK181" s="331"/>
    </row>
    <row r="182" spans="2:37" x14ac:dyDescent="0.25">
      <c r="B182" s="123" t="str">
        <f t="shared" si="10"/>
        <v>6 2025</v>
      </c>
      <c r="C182" s="122">
        <f t="shared" si="12"/>
        <v>45833</v>
      </c>
      <c r="D182" s="122">
        <f t="shared" si="13"/>
        <v>45834</v>
      </c>
      <c r="E182" s="123">
        <f t="shared" si="11"/>
        <v>1</v>
      </c>
      <c r="F182" s="123" t="s">
        <v>7</v>
      </c>
      <c r="H182" s="328">
        <f t="shared" si="14"/>
        <v>45833</v>
      </c>
      <c r="I182" s="329"/>
      <c r="J182" s="400"/>
      <c r="L182" s="330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Z182" s="331"/>
      <c r="AA182" s="331"/>
      <c r="AB182" s="331"/>
      <c r="AD182" s="331"/>
      <c r="AE182" s="331"/>
      <c r="AF182" s="331"/>
      <c r="AH182" s="331"/>
      <c r="AI182" s="331"/>
      <c r="AK182" s="331"/>
    </row>
    <row r="183" spans="2:37" x14ac:dyDescent="0.25">
      <c r="B183" s="123" t="str">
        <f t="shared" si="10"/>
        <v>6 2025</v>
      </c>
      <c r="C183" s="122">
        <f t="shared" si="12"/>
        <v>45834</v>
      </c>
      <c r="D183" s="122">
        <f t="shared" si="13"/>
        <v>45835</v>
      </c>
      <c r="E183" s="123">
        <f t="shared" si="11"/>
        <v>1</v>
      </c>
      <c r="F183" s="123" t="s">
        <v>7</v>
      </c>
      <c r="H183" s="328">
        <f t="shared" si="14"/>
        <v>45834</v>
      </c>
      <c r="I183" s="329"/>
      <c r="J183" s="400"/>
      <c r="L183" s="330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Z183" s="331"/>
      <c r="AA183" s="331"/>
      <c r="AB183" s="331"/>
      <c r="AD183" s="331"/>
      <c r="AE183" s="331"/>
      <c r="AF183" s="331"/>
      <c r="AH183" s="331"/>
      <c r="AI183" s="331"/>
      <c r="AK183" s="331"/>
    </row>
    <row r="184" spans="2:37" x14ac:dyDescent="0.25">
      <c r="B184" s="123" t="str">
        <f t="shared" si="10"/>
        <v>6 2025</v>
      </c>
      <c r="C184" s="122">
        <f t="shared" si="12"/>
        <v>45835</v>
      </c>
      <c r="D184" s="122">
        <f t="shared" si="13"/>
        <v>45836</v>
      </c>
      <c r="E184" s="123">
        <f t="shared" si="11"/>
        <v>1</v>
      </c>
      <c r="F184" s="123" t="s">
        <v>7</v>
      </c>
      <c r="H184" s="328">
        <f t="shared" si="14"/>
        <v>45835</v>
      </c>
      <c r="I184" s="329"/>
      <c r="J184" s="400"/>
      <c r="L184" s="330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Z184" s="331"/>
      <c r="AA184" s="331"/>
      <c r="AB184" s="331"/>
      <c r="AD184" s="331"/>
      <c r="AE184" s="331"/>
      <c r="AF184" s="331"/>
      <c r="AH184" s="331"/>
      <c r="AI184" s="331"/>
      <c r="AK184" s="331"/>
    </row>
    <row r="185" spans="2:37" x14ac:dyDescent="0.25">
      <c r="B185" s="123" t="str">
        <f t="shared" si="10"/>
        <v>6 2025</v>
      </c>
      <c r="C185" s="122">
        <f t="shared" si="12"/>
        <v>45836</v>
      </c>
      <c r="D185" s="122">
        <f t="shared" si="13"/>
        <v>45837</v>
      </c>
      <c r="E185" s="123">
        <f t="shared" si="11"/>
        <v>1</v>
      </c>
      <c r="F185" s="123" t="s">
        <v>7</v>
      </c>
      <c r="H185" s="328">
        <f t="shared" si="14"/>
        <v>45836</v>
      </c>
      <c r="I185" s="329"/>
      <c r="J185" s="400"/>
      <c r="L185" s="330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Z185" s="331"/>
      <c r="AA185" s="331"/>
      <c r="AB185" s="331"/>
      <c r="AD185" s="331"/>
      <c r="AE185" s="331"/>
      <c r="AF185" s="331"/>
      <c r="AH185" s="331"/>
      <c r="AI185" s="331"/>
      <c r="AK185" s="331"/>
    </row>
    <row r="186" spans="2:37" x14ac:dyDescent="0.25">
      <c r="B186" s="148" t="str">
        <f t="shared" si="10"/>
        <v>6 2025</v>
      </c>
      <c r="C186" s="149">
        <f t="shared" si="12"/>
        <v>45837</v>
      </c>
      <c r="D186" s="149">
        <f t="shared" si="13"/>
        <v>45838</v>
      </c>
      <c r="E186" s="148">
        <f t="shared" si="11"/>
        <v>1</v>
      </c>
      <c r="F186" s="148" t="s">
        <v>7</v>
      </c>
      <c r="H186" s="327">
        <f t="shared" si="14"/>
        <v>45837</v>
      </c>
      <c r="I186" s="329"/>
      <c r="J186" s="400"/>
      <c r="L186" s="330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W186" s="331"/>
      <c r="X186" s="331"/>
      <c r="Z186" s="331"/>
      <c r="AA186" s="331"/>
      <c r="AB186" s="331"/>
      <c r="AD186" s="331"/>
      <c r="AE186" s="331"/>
      <c r="AF186" s="331"/>
      <c r="AH186" s="331"/>
      <c r="AI186" s="331"/>
      <c r="AK186" s="331"/>
    </row>
    <row r="187" spans="2:37" x14ac:dyDescent="0.25">
      <c r="B187" s="123" t="str">
        <f t="shared" si="10"/>
        <v>7 2025</v>
      </c>
      <c r="C187" s="122">
        <f t="shared" si="12"/>
        <v>45838</v>
      </c>
      <c r="D187" s="122">
        <f t="shared" si="13"/>
        <v>45839</v>
      </c>
      <c r="E187" s="123">
        <f t="shared" si="11"/>
        <v>1</v>
      </c>
      <c r="F187" s="123" t="s">
        <v>7</v>
      </c>
      <c r="H187" s="328">
        <f t="shared" si="14"/>
        <v>45838</v>
      </c>
      <c r="I187" s="329"/>
      <c r="J187" s="400"/>
      <c r="L187" s="330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Z187" s="331"/>
      <c r="AA187" s="331"/>
      <c r="AB187" s="331"/>
      <c r="AD187" s="331"/>
      <c r="AE187" s="331"/>
      <c r="AF187" s="331"/>
      <c r="AH187" s="331"/>
      <c r="AI187" s="331"/>
      <c r="AK187" s="331"/>
    </row>
    <row r="188" spans="2:37" x14ac:dyDescent="0.25">
      <c r="B188" s="123" t="str">
        <f t="shared" si="10"/>
        <v>7 2025</v>
      </c>
      <c r="C188" s="122">
        <f t="shared" si="12"/>
        <v>45839</v>
      </c>
      <c r="D188" s="122">
        <f t="shared" si="13"/>
        <v>45840</v>
      </c>
      <c r="E188" s="123">
        <f t="shared" si="11"/>
        <v>1</v>
      </c>
      <c r="F188" s="123" t="s">
        <v>7</v>
      </c>
      <c r="H188" s="328">
        <f t="shared" si="14"/>
        <v>45839</v>
      </c>
      <c r="I188" s="329"/>
      <c r="J188" s="400"/>
      <c r="L188" s="330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Z188" s="331"/>
      <c r="AA188" s="331"/>
      <c r="AB188" s="331"/>
      <c r="AD188" s="331"/>
      <c r="AE188" s="331"/>
      <c r="AF188" s="331"/>
      <c r="AH188" s="331"/>
      <c r="AI188" s="331"/>
      <c r="AK188" s="331"/>
    </row>
    <row r="189" spans="2:37" x14ac:dyDescent="0.25">
      <c r="B189" s="123" t="str">
        <f t="shared" si="10"/>
        <v>7 2025</v>
      </c>
      <c r="C189" s="122">
        <f t="shared" si="12"/>
        <v>45840</v>
      </c>
      <c r="D189" s="122">
        <f t="shared" si="13"/>
        <v>45841</v>
      </c>
      <c r="E189" s="123">
        <f t="shared" si="11"/>
        <v>1</v>
      </c>
      <c r="F189" s="123" t="s">
        <v>7</v>
      </c>
      <c r="H189" s="328">
        <f t="shared" si="14"/>
        <v>45840</v>
      </c>
      <c r="I189" s="329"/>
      <c r="J189" s="400"/>
      <c r="L189" s="330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Z189" s="331"/>
      <c r="AA189" s="331"/>
      <c r="AB189" s="331"/>
      <c r="AD189" s="331"/>
      <c r="AE189" s="331"/>
      <c r="AF189" s="331"/>
      <c r="AH189" s="331"/>
      <c r="AI189" s="331"/>
      <c r="AK189" s="331"/>
    </row>
    <row r="190" spans="2:37" x14ac:dyDescent="0.25">
      <c r="B190" s="123" t="str">
        <f t="shared" si="10"/>
        <v>7 2025</v>
      </c>
      <c r="C190" s="122">
        <f t="shared" si="12"/>
        <v>45841</v>
      </c>
      <c r="D190" s="122">
        <f t="shared" si="13"/>
        <v>45842</v>
      </c>
      <c r="E190" s="123">
        <f t="shared" si="11"/>
        <v>1</v>
      </c>
      <c r="F190" s="123" t="s">
        <v>7</v>
      </c>
      <c r="H190" s="328">
        <f t="shared" si="14"/>
        <v>45841</v>
      </c>
      <c r="I190" s="329"/>
      <c r="J190" s="400"/>
      <c r="L190" s="330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W190" s="331"/>
      <c r="X190" s="331"/>
      <c r="Z190" s="331"/>
      <c r="AA190" s="331"/>
      <c r="AB190" s="331"/>
      <c r="AD190" s="331"/>
      <c r="AE190" s="331"/>
      <c r="AF190" s="331"/>
      <c r="AH190" s="331"/>
      <c r="AI190" s="331"/>
      <c r="AK190" s="331"/>
    </row>
    <row r="191" spans="2:37" x14ac:dyDescent="0.25">
      <c r="B191" s="123" t="str">
        <f t="shared" si="10"/>
        <v>7 2025</v>
      </c>
      <c r="C191" s="122">
        <f t="shared" si="12"/>
        <v>45842</v>
      </c>
      <c r="D191" s="122">
        <f t="shared" si="13"/>
        <v>45843</v>
      </c>
      <c r="E191" s="123">
        <f t="shared" si="11"/>
        <v>1</v>
      </c>
      <c r="F191" s="123" t="s">
        <v>7</v>
      </c>
      <c r="H191" s="328">
        <f t="shared" si="14"/>
        <v>45842</v>
      </c>
      <c r="I191" s="329"/>
      <c r="J191" s="400"/>
      <c r="L191" s="330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Z191" s="331"/>
      <c r="AA191" s="331"/>
      <c r="AB191" s="331"/>
      <c r="AD191" s="331"/>
      <c r="AE191" s="331"/>
      <c r="AF191" s="331"/>
      <c r="AH191" s="331"/>
      <c r="AI191" s="331"/>
      <c r="AK191" s="331"/>
    </row>
    <row r="192" spans="2:37" x14ac:dyDescent="0.25">
      <c r="B192" s="123" t="str">
        <f t="shared" si="10"/>
        <v>7 2025</v>
      </c>
      <c r="C192" s="122">
        <f t="shared" si="12"/>
        <v>45843</v>
      </c>
      <c r="D192" s="122">
        <f t="shared" si="13"/>
        <v>45844</v>
      </c>
      <c r="E192" s="123">
        <f t="shared" si="11"/>
        <v>1</v>
      </c>
      <c r="F192" s="123" t="s">
        <v>7</v>
      </c>
      <c r="H192" s="328">
        <f t="shared" si="14"/>
        <v>45843</v>
      </c>
      <c r="I192" s="329"/>
      <c r="J192" s="400"/>
      <c r="L192" s="330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Z192" s="331"/>
      <c r="AA192" s="331"/>
      <c r="AB192" s="331"/>
      <c r="AD192" s="331"/>
      <c r="AE192" s="331"/>
      <c r="AF192" s="331"/>
      <c r="AH192" s="331"/>
      <c r="AI192" s="331"/>
      <c r="AK192" s="331"/>
    </row>
    <row r="193" spans="1:37" x14ac:dyDescent="0.25">
      <c r="B193" s="123" t="str">
        <f t="shared" si="10"/>
        <v>7 2025</v>
      </c>
      <c r="C193" s="122">
        <f t="shared" si="12"/>
        <v>45844</v>
      </c>
      <c r="D193" s="122">
        <f t="shared" si="13"/>
        <v>45845</v>
      </c>
      <c r="E193" s="123">
        <f t="shared" si="11"/>
        <v>1</v>
      </c>
      <c r="F193" s="123" t="s">
        <v>7</v>
      </c>
      <c r="H193" s="328">
        <f t="shared" si="14"/>
        <v>45844</v>
      </c>
      <c r="I193" s="329"/>
      <c r="J193" s="400"/>
      <c r="L193" s="330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Z193" s="331"/>
      <c r="AA193" s="331"/>
      <c r="AB193" s="331"/>
      <c r="AD193" s="331"/>
      <c r="AE193" s="331"/>
      <c r="AF193" s="331"/>
      <c r="AH193" s="331"/>
      <c r="AI193" s="331"/>
      <c r="AK193" s="331"/>
    </row>
    <row r="194" spans="1:37" x14ac:dyDescent="0.25">
      <c r="A194" s="24" t="s">
        <v>99</v>
      </c>
      <c r="B194" s="123" t="str">
        <f t="shared" si="10"/>
        <v>7 2025</v>
      </c>
      <c r="C194" s="250">
        <f t="shared" si="12"/>
        <v>45845</v>
      </c>
      <c r="D194" s="122">
        <f t="shared" si="13"/>
        <v>45846</v>
      </c>
      <c r="E194" s="123">
        <f t="shared" si="11"/>
        <v>1</v>
      </c>
      <c r="F194" s="123" t="s">
        <v>7</v>
      </c>
      <c r="H194" s="328">
        <f t="shared" si="14"/>
        <v>45845</v>
      </c>
      <c r="I194" s="329"/>
      <c r="J194" s="400"/>
      <c r="L194" s="330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Z194" s="331"/>
      <c r="AA194" s="331"/>
      <c r="AB194" s="331"/>
      <c r="AD194" s="331"/>
      <c r="AE194" s="331"/>
      <c r="AF194" s="331"/>
      <c r="AH194" s="331"/>
      <c r="AI194" s="331"/>
      <c r="AK194" s="331"/>
    </row>
    <row r="195" spans="1:37" x14ac:dyDescent="0.25">
      <c r="B195" s="123" t="str">
        <f t="shared" si="10"/>
        <v>7 2025</v>
      </c>
      <c r="C195" s="122">
        <f t="shared" si="12"/>
        <v>45846</v>
      </c>
      <c r="D195" s="122">
        <f t="shared" si="13"/>
        <v>45847</v>
      </c>
      <c r="E195" s="123">
        <f t="shared" si="11"/>
        <v>1</v>
      </c>
      <c r="F195" s="123" t="s">
        <v>7</v>
      </c>
      <c r="H195" s="328">
        <f t="shared" si="14"/>
        <v>45846</v>
      </c>
      <c r="I195" s="329"/>
      <c r="J195" s="400"/>
      <c r="L195" s="330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Z195" s="331"/>
      <c r="AA195" s="331"/>
      <c r="AB195" s="331"/>
      <c r="AD195" s="331"/>
      <c r="AE195" s="331"/>
      <c r="AF195" s="331"/>
      <c r="AH195" s="331"/>
      <c r="AI195" s="331"/>
      <c r="AK195" s="331"/>
    </row>
    <row r="196" spans="1:37" x14ac:dyDescent="0.25">
      <c r="B196" s="123" t="str">
        <f t="shared" si="10"/>
        <v>7 2025</v>
      </c>
      <c r="C196" s="122">
        <f t="shared" si="12"/>
        <v>45847</v>
      </c>
      <c r="D196" s="122">
        <f t="shared" si="13"/>
        <v>45848</v>
      </c>
      <c r="E196" s="123">
        <f t="shared" si="11"/>
        <v>1</v>
      </c>
      <c r="F196" s="123" t="s">
        <v>7</v>
      </c>
      <c r="H196" s="328">
        <f t="shared" si="14"/>
        <v>45847</v>
      </c>
      <c r="I196" s="329"/>
      <c r="J196" s="400"/>
      <c r="L196" s="330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Z196" s="331"/>
      <c r="AA196" s="331"/>
      <c r="AB196" s="331"/>
      <c r="AD196" s="331"/>
      <c r="AE196" s="331"/>
      <c r="AF196" s="331"/>
      <c r="AH196" s="331"/>
      <c r="AI196" s="331"/>
      <c r="AK196" s="331"/>
    </row>
    <row r="197" spans="1:37" x14ac:dyDescent="0.25">
      <c r="B197" s="123" t="str">
        <f t="shared" si="10"/>
        <v>7 2025</v>
      </c>
      <c r="C197" s="122">
        <f t="shared" si="12"/>
        <v>45848</v>
      </c>
      <c r="D197" s="122">
        <f t="shared" si="13"/>
        <v>45849</v>
      </c>
      <c r="E197" s="123">
        <f t="shared" si="11"/>
        <v>1</v>
      </c>
      <c r="F197" s="123" t="s">
        <v>7</v>
      </c>
      <c r="H197" s="328">
        <f t="shared" si="14"/>
        <v>45848</v>
      </c>
      <c r="I197" s="329"/>
      <c r="J197" s="400"/>
      <c r="L197" s="330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Z197" s="331"/>
      <c r="AA197" s="331"/>
      <c r="AB197" s="331"/>
      <c r="AD197" s="331"/>
      <c r="AE197" s="331"/>
      <c r="AF197" s="331"/>
      <c r="AH197" s="331"/>
      <c r="AI197" s="331"/>
      <c r="AK197" s="331"/>
    </row>
    <row r="198" spans="1:37" x14ac:dyDescent="0.25">
      <c r="B198" s="123" t="str">
        <f t="shared" ref="B198:B261" si="15">CONCATENATE(MONTH(D198)," ",YEAR(D198))</f>
        <v>7 2025</v>
      </c>
      <c r="C198" s="122">
        <f t="shared" si="12"/>
        <v>45849</v>
      </c>
      <c r="D198" s="122">
        <f t="shared" si="13"/>
        <v>45850</v>
      </c>
      <c r="E198" s="123">
        <f t="shared" ref="E198:E261" si="16">D198-C198</f>
        <v>1</v>
      </c>
      <c r="F198" s="123" t="s">
        <v>7</v>
      </c>
      <c r="H198" s="328">
        <f t="shared" si="14"/>
        <v>45849</v>
      </c>
      <c r="I198" s="329"/>
      <c r="J198" s="400"/>
      <c r="L198" s="330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Z198" s="331"/>
      <c r="AA198" s="331"/>
      <c r="AB198" s="331"/>
      <c r="AD198" s="331"/>
      <c r="AE198" s="331"/>
      <c r="AF198" s="331"/>
      <c r="AH198" s="331"/>
      <c r="AI198" s="331"/>
      <c r="AK198" s="331"/>
    </row>
    <row r="199" spans="1:37" x14ac:dyDescent="0.25">
      <c r="B199" s="123" t="str">
        <f t="shared" si="15"/>
        <v>7 2025</v>
      </c>
      <c r="C199" s="122">
        <f t="shared" ref="C199:C262" si="17">D198</f>
        <v>45850</v>
      </c>
      <c r="D199" s="122">
        <f t="shared" ref="D199:D262" si="18">D198+1</f>
        <v>45851</v>
      </c>
      <c r="E199" s="123">
        <f t="shared" si="16"/>
        <v>1</v>
      </c>
      <c r="F199" s="123" t="s">
        <v>7</v>
      </c>
      <c r="H199" s="328">
        <f t="shared" ref="H199:H262" si="19">H198+1</f>
        <v>45850</v>
      </c>
      <c r="I199" s="329"/>
      <c r="J199" s="400"/>
      <c r="L199" s="330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Z199" s="331"/>
      <c r="AA199" s="331"/>
      <c r="AB199" s="331"/>
      <c r="AD199" s="331"/>
      <c r="AE199" s="331"/>
      <c r="AF199" s="331"/>
      <c r="AH199" s="331"/>
      <c r="AI199" s="331"/>
      <c r="AK199" s="331"/>
    </row>
    <row r="200" spans="1:37" x14ac:dyDescent="0.25">
      <c r="B200" s="123" t="str">
        <f t="shared" si="15"/>
        <v>7 2025</v>
      </c>
      <c r="C200" s="122">
        <f t="shared" si="17"/>
        <v>45851</v>
      </c>
      <c r="D200" s="122">
        <f t="shared" si="18"/>
        <v>45852</v>
      </c>
      <c r="E200" s="123">
        <f t="shared" si="16"/>
        <v>1</v>
      </c>
      <c r="F200" s="123" t="s">
        <v>7</v>
      </c>
      <c r="H200" s="328">
        <f t="shared" si="19"/>
        <v>45851</v>
      </c>
      <c r="I200" s="329"/>
      <c r="J200" s="400"/>
      <c r="L200" s="330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Z200" s="331"/>
      <c r="AA200" s="331"/>
      <c r="AB200" s="331"/>
      <c r="AD200" s="331"/>
      <c r="AE200" s="331"/>
      <c r="AF200" s="331"/>
      <c r="AH200" s="331"/>
      <c r="AI200" s="331"/>
      <c r="AK200" s="331"/>
    </row>
    <row r="201" spans="1:37" x14ac:dyDescent="0.25">
      <c r="B201" s="123" t="str">
        <f t="shared" si="15"/>
        <v>7 2025</v>
      </c>
      <c r="C201" s="122">
        <f t="shared" si="17"/>
        <v>45852</v>
      </c>
      <c r="D201" s="122">
        <f t="shared" si="18"/>
        <v>45853</v>
      </c>
      <c r="E201" s="123">
        <f t="shared" si="16"/>
        <v>1</v>
      </c>
      <c r="F201" s="123" t="s">
        <v>7</v>
      </c>
      <c r="H201" s="328">
        <f t="shared" si="19"/>
        <v>45852</v>
      </c>
      <c r="I201" s="329"/>
      <c r="J201" s="400"/>
      <c r="L201" s="330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/>
      <c r="X201" s="331"/>
      <c r="Z201" s="331"/>
      <c r="AA201" s="331"/>
      <c r="AB201" s="331"/>
      <c r="AD201" s="331"/>
      <c r="AE201" s="331"/>
      <c r="AF201" s="331"/>
      <c r="AH201" s="331"/>
      <c r="AI201" s="331"/>
      <c r="AK201" s="331"/>
    </row>
    <row r="202" spans="1:37" x14ac:dyDescent="0.25">
      <c r="B202" s="123" t="str">
        <f t="shared" si="15"/>
        <v>7 2025</v>
      </c>
      <c r="C202" s="122">
        <f t="shared" si="17"/>
        <v>45853</v>
      </c>
      <c r="D202" s="122">
        <f t="shared" si="18"/>
        <v>45854</v>
      </c>
      <c r="E202" s="123">
        <f t="shared" si="16"/>
        <v>1</v>
      </c>
      <c r="F202" s="123" t="s">
        <v>7</v>
      </c>
      <c r="H202" s="328">
        <f t="shared" si="19"/>
        <v>45853</v>
      </c>
      <c r="I202" s="329"/>
      <c r="J202" s="400"/>
      <c r="L202" s="330"/>
      <c r="M202" s="331"/>
      <c r="N202" s="331"/>
      <c r="O202" s="331"/>
      <c r="P202" s="331"/>
      <c r="Q202" s="331"/>
      <c r="R202" s="331"/>
      <c r="S202" s="331"/>
      <c r="T202" s="331"/>
      <c r="U202" s="331"/>
      <c r="V202" s="331"/>
      <c r="W202" s="331"/>
      <c r="X202" s="331"/>
      <c r="Z202" s="331"/>
      <c r="AA202" s="331"/>
      <c r="AB202" s="331"/>
      <c r="AD202" s="331"/>
      <c r="AE202" s="331"/>
      <c r="AF202" s="331"/>
      <c r="AH202" s="331"/>
      <c r="AI202" s="331"/>
      <c r="AK202" s="331"/>
    </row>
    <row r="203" spans="1:37" x14ac:dyDescent="0.25">
      <c r="B203" s="123" t="str">
        <f t="shared" si="15"/>
        <v>7 2025</v>
      </c>
      <c r="C203" s="122">
        <f t="shared" si="17"/>
        <v>45854</v>
      </c>
      <c r="D203" s="122">
        <f t="shared" si="18"/>
        <v>45855</v>
      </c>
      <c r="E203" s="123">
        <f t="shared" si="16"/>
        <v>1</v>
      </c>
      <c r="F203" s="123" t="s">
        <v>7</v>
      </c>
      <c r="H203" s="328">
        <f t="shared" si="19"/>
        <v>45854</v>
      </c>
      <c r="I203" s="329"/>
      <c r="J203" s="400"/>
      <c r="L203" s="330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/>
      <c r="X203" s="331"/>
      <c r="Z203" s="331"/>
      <c r="AA203" s="331"/>
      <c r="AB203" s="331"/>
      <c r="AD203" s="331"/>
      <c r="AE203" s="331"/>
      <c r="AF203" s="331"/>
      <c r="AH203" s="331"/>
      <c r="AI203" s="331"/>
      <c r="AK203" s="331"/>
    </row>
    <row r="204" spans="1:37" x14ac:dyDescent="0.25">
      <c r="B204" s="123" t="str">
        <f t="shared" si="15"/>
        <v>7 2025</v>
      </c>
      <c r="C204" s="122">
        <f t="shared" si="17"/>
        <v>45855</v>
      </c>
      <c r="D204" s="122">
        <f t="shared" si="18"/>
        <v>45856</v>
      </c>
      <c r="E204" s="123">
        <f t="shared" si="16"/>
        <v>1</v>
      </c>
      <c r="F204" s="123" t="s">
        <v>7</v>
      </c>
      <c r="H204" s="328">
        <f t="shared" si="19"/>
        <v>45855</v>
      </c>
      <c r="I204" s="329"/>
      <c r="J204" s="400"/>
      <c r="L204" s="330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Z204" s="331"/>
      <c r="AA204" s="331"/>
      <c r="AB204" s="331"/>
      <c r="AD204" s="331"/>
      <c r="AE204" s="331"/>
      <c r="AF204" s="331"/>
      <c r="AH204" s="331"/>
      <c r="AI204" s="331"/>
      <c r="AK204" s="331"/>
    </row>
    <row r="205" spans="1:37" x14ac:dyDescent="0.25">
      <c r="B205" s="123" t="str">
        <f t="shared" si="15"/>
        <v>7 2025</v>
      </c>
      <c r="C205" s="122">
        <f t="shared" si="17"/>
        <v>45856</v>
      </c>
      <c r="D205" s="122">
        <f t="shared" si="18"/>
        <v>45857</v>
      </c>
      <c r="E205" s="123">
        <f t="shared" si="16"/>
        <v>1</v>
      </c>
      <c r="F205" s="123" t="s">
        <v>7</v>
      </c>
      <c r="H205" s="328">
        <f t="shared" si="19"/>
        <v>45856</v>
      </c>
      <c r="I205" s="329"/>
      <c r="J205" s="400"/>
      <c r="L205" s="330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/>
      <c r="X205" s="331"/>
      <c r="Z205" s="331"/>
      <c r="AA205" s="331"/>
      <c r="AB205" s="331"/>
      <c r="AD205" s="331"/>
      <c r="AE205" s="331"/>
      <c r="AF205" s="331"/>
      <c r="AH205" s="331"/>
      <c r="AI205" s="331"/>
      <c r="AK205" s="331"/>
    </row>
    <row r="206" spans="1:37" x14ac:dyDescent="0.25">
      <c r="B206" s="123" t="str">
        <f t="shared" si="15"/>
        <v>7 2025</v>
      </c>
      <c r="C206" s="122">
        <f t="shared" si="17"/>
        <v>45857</v>
      </c>
      <c r="D206" s="122">
        <f t="shared" si="18"/>
        <v>45858</v>
      </c>
      <c r="E206" s="123">
        <f t="shared" si="16"/>
        <v>1</v>
      </c>
      <c r="F206" s="123" t="s">
        <v>7</v>
      </c>
      <c r="H206" s="328">
        <f t="shared" si="19"/>
        <v>45857</v>
      </c>
      <c r="I206" s="329"/>
      <c r="J206" s="400"/>
      <c r="L206" s="330"/>
      <c r="M206" s="331"/>
      <c r="N206" s="331"/>
      <c r="O206" s="331"/>
      <c r="P206" s="331"/>
      <c r="Q206" s="331"/>
      <c r="R206" s="331"/>
      <c r="S206" s="331"/>
      <c r="T206" s="331"/>
      <c r="U206" s="331"/>
      <c r="V206" s="331"/>
      <c r="W206" s="331"/>
      <c r="X206" s="331"/>
      <c r="Z206" s="331"/>
      <c r="AA206" s="331"/>
      <c r="AB206" s="331"/>
      <c r="AD206" s="331"/>
      <c r="AE206" s="331"/>
      <c r="AF206" s="331"/>
      <c r="AH206" s="331"/>
      <c r="AI206" s="331"/>
      <c r="AK206" s="331"/>
    </row>
    <row r="207" spans="1:37" x14ac:dyDescent="0.25">
      <c r="B207" s="123" t="str">
        <f t="shared" si="15"/>
        <v>7 2025</v>
      </c>
      <c r="C207" s="122">
        <f t="shared" si="17"/>
        <v>45858</v>
      </c>
      <c r="D207" s="122">
        <f t="shared" si="18"/>
        <v>45859</v>
      </c>
      <c r="E207" s="123">
        <f t="shared" si="16"/>
        <v>1</v>
      </c>
      <c r="F207" s="123" t="s">
        <v>7</v>
      </c>
      <c r="H207" s="328">
        <f t="shared" si="19"/>
        <v>45858</v>
      </c>
      <c r="I207" s="329"/>
      <c r="J207" s="400"/>
      <c r="L207" s="330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/>
      <c r="X207" s="331"/>
      <c r="Z207" s="331"/>
      <c r="AA207" s="331"/>
      <c r="AB207" s="331"/>
      <c r="AD207" s="331"/>
      <c r="AE207" s="331"/>
      <c r="AF207" s="331"/>
      <c r="AH207" s="331"/>
      <c r="AI207" s="331"/>
      <c r="AK207" s="331"/>
    </row>
    <row r="208" spans="1:37" x14ac:dyDescent="0.25">
      <c r="B208" s="123" t="str">
        <f t="shared" si="15"/>
        <v>7 2025</v>
      </c>
      <c r="C208" s="122">
        <f t="shared" si="17"/>
        <v>45859</v>
      </c>
      <c r="D208" s="122">
        <f t="shared" si="18"/>
        <v>45860</v>
      </c>
      <c r="E208" s="123">
        <f t="shared" si="16"/>
        <v>1</v>
      </c>
      <c r="F208" s="123" t="s">
        <v>7</v>
      </c>
      <c r="H208" s="328">
        <f t="shared" si="19"/>
        <v>45859</v>
      </c>
      <c r="I208" s="329"/>
      <c r="J208" s="400"/>
      <c r="L208" s="330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W208" s="331"/>
      <c r="X208" s="331"/>
      <c r="Z208" s="331"/>
      <c r="AA208" s="331"/>
      <c r="AB208" s="331"/>
      <c r="AD208" s="331"/>
      <c r="AE208" s="331"/>
      <c r="AF208" s="331"/>
      <c r="AH208" s="331"/>
      <c r="AI208" s="331"/>
      <c r="AK208" s="331"/>
    </row>
    <row r="209" spans="2:37" x14ac:dyDescent="0.25">
      <c r="B209" s="123" t="str">
        <f t="shared" si="15"/>
        <v>7 2025</v>
      </c>
      <c r="C209" s="122">
        <f t="shared" si="17"/>
        <v>45860</v>
      </c>
      <c r="D209" s="122">
        <f t="shared" si="18"/>
        <v>45861</v>
      </c>
      <c r="E209" s="123">
        <f t="shared" si="16"/>
        <v>1</v>
      </c>
      <c r="F209" s="123" t="s">
        <v>7</v>
      </c>
      <c r="H209" s="328">
        <f t="shared" si="19"/>
        <v>45860</v>
      </c>
      <c r="I209" s="329"/>
      <c r="J209" s="400"/>
      <c r="L209" s="330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Z209" s="331"/>
      <c r="AA209" s="331"/>
      <c r="AB209" s="331"/>
      <c r="AD209" s="331"/>
      <c r="AE209" s="331"/>
      <c r="AF209" s="331"/>
      <c r="AH209" s="331"/>
      <c r="AI209" s="331"/>
      <c r="AK209" s="331"/>
    </row>
    <row r="210" spans="2:37" x14ac:dyDescent="0.25">
      <c r="B210" s="123" t="str">
        <f t="shared" si="15"/>
        <v>7 2025</v>
      </c>
      <c r="C210" s="122">
        <f t="shared" si="17"/>
        <v>45861</v>
      </c>
      <c r="D210" s="122">
        <f t="shared" si="18"/>
        <v>45862</v>
      </c>
      <c r="E210" s="123">
        <f t="shared" si="16"/>
        <v>1</v>
      </c>
      <c r="F210" s="123" t="s">
        <v>7</v>
      </c>
      <c r="H210" s="328">
        <f t="shared" si="19"/>
        <v>45861</v>
      </c>
      <c r="I210" s="329"/>
      <c r="J210" s="400"/>
      <c r="L210" s="330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W210" s="331"/>
      <c r="X210" s="331"/>
      <c r="Z210" s="331"/>
      <c r="AA210" s="331"/>
      <c r="AB210" s="331"/>
      <c r="AD210" s="331"/>
      <c r="AE210" s="331"/>
      <c r="AF210" s="331"/>
      <c r="AH210" s="331"/>
      <c r="AI210" s="331"/>
      <c r="AK210" s="331"/>
    </row>
    <row r="211" spans="2:37" x14ac:dyDescent="0.25">
      <c r="B211" s="123" t="str">
        <f t="shared" si="15"/>
        <v>7 2025</v>
      </c>
      <c r="C211" s="122">
        <f t="shared" si="17"/>
        <v>45862</v>
      </c>
      <c r="D211" s="122">
        <f t="shared" si="18"/>
        <v>45863</v>
      </c>
      <c r="E211" s="123">
        <f t="shared" si="16"/>
        <v>1</v>
      </c>
      <c r="F211" s="123" t="s">
        <v>7</v>
      </c>
      <c r="H211" s="328">
        <f t="shared" si="19"/>
        <v>45862</v>
      </c>
      <c r="I211" s="329"/>
      <c r="J211" s="400"/>
      <c r="L211" s="330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W211" s="331"/>
      <c r="X211" s="331"/>
      <c r="Z211" s="331"/>
      <c r="AA211" s="331"/>
      <c r="AB211" s="331"/>
      <c r="AD211" s="331"/>
      <c r="AE211" s="331"/>
      <c r="AF211" s="331"/>
      <c r="AH211" s="331"/>
      <c r="AI211" s="331"/>
      <c r="AK211" s="331"/>
    </row>
    <row r="212" spans="2:37" x14ac:dyDescent="0.25">
      <c r="B212" s="123" t="str">
        <f t="shared" si="15"/>
        <v>7 2025</v>
      </c>
      <c r="C212" s="122">
        <f t="shared" si="17"/>
        <v>45863</v>
      </c>
      <c r="D212" s="122">
        <f t="shared" si="18"/>
        <v>45864</v>
      </c>
      <c r="E212" s="123">
        <f t="shared" si="16"/>
        <v>1</v>
      </c>
      <c r="F212" s="123" t="s">
        <v>7</v>
      </c>
      <c r="H212" s="328">
        <f t="shared" si="19"/>
        <v>45863</v>
      </c>
      <c r="I212" s="329"/>
      <c r="J212" s="400"/>
      <c r="L212" s="330"/>
      <c r="M212" s="331"/>
      <c r="N212" s="331"/>
      <c r="O212" s="331"/>
      <c r="P212" s="331"/>
      <c r="Q212" s="331"/>
      <c r="R212" s="331"/>
      <c r="S212" s="331"/>
      <c r="T212" s="331"/>
      <c r="U212" s="331"/>
      <c r="V212" s="331"/>
      <c r="W212" s="331"/>
      <c r="X212" s="331"/>
      <c r="Z212" s="331"/>
      <c r="AA212" s="331"/>
      <c r="AB212" s="331"/>
      <c r="AD212" s="331"/>
      <c r="AE212" s="331"/>
      <c r="AF212" s="331"/>
      <c r="AH212" s="331"/>
      <c r="AI212" s="331"/>
      <c r="AK212" s="331"/>
    </row>
    <row r="213" spans="2:37" x14ac:dyDescent="0.25">
      <c r="B213" s="123" t="str">
        <f t="shared" si="15"/>
        <v>7 2025</v>
      </c>
      <c r="C213" s="122">
        <f t="shared" si="17"/>
        <v>45864</v>
      </c>
      <c r="D213" s="122">
        <f t="shared" si="18"/>
        <v>45865</v>
      </c>
      <c r="E213" s="123">
        <f t="shared" si="16"/>
        <v>1</v>
      </c>
      <c r="F213" s="123" t="s">
        <v>7</v>
      </c>
      <c r="H213" s="328">
        <f t="shared" si="19"/>
        <v>45864</v>
      </c>
      <c r="I213" s="329"/>
      <c r="J213" s="400"/>
      <c r="L213" s="330"/>
      <c r="M213" s="331"/>
      <c r="N213" s="331"/>
      <c r="O213" s="331"/>
      <c r="P213" s="331"/>
      <c r="Q213" s="331"/>
      <c r="R213" s="331"/>
      <c r="S213" s="331"/>
      <c r="T213" s="331"/>
      <c r="U213" s="331"/>
      <c r="V213" s="331"/>
      <c r="W213" s="331"/>
      <c r="X213" s="331"/>
      <c r="Z213" s="331"/>
      <c r="AA213" s="331"/>
      <c r="AB213" s="331"/>
      <c r="AD213" s="331"/>
      <c r="AE213" s="331"/>
      <c r="AF213" s="331"/>
      <c r="AH213" s="331"/>
      <c r="AI213" s="331"/>
      <c r="AK213" s="331"/>
    </row>
    <row r="214" spans="2:37" x14ac:dyDescent="0.25">
      <c r="B214" s="123" t="str">
        <f t="shared" si="15"/>
        <v>7 2025</v>
      </c>
      <c r="C214" s="122">
        <f t="shared" si="17"/>
        <v>45865</v>
      </c>
      <c r="D214" s="122">
        <f t="shared" si="18"/>
        <v>45866</v>
      </c>
      <c r="E214" s="123">
        <f t="shared" si="16"/>
        <v>1</v>
      </c>
      <c r="F214" s="123" t="s">
        <v>7</v>
      </c>
      <c r="H214" s="328">
        <f t="shared" si="19"/>
        <v>45865</v>
      </c>
      <c r="I214" s="329"/>
      <c r="J214" s="400"/>
      <c r="L214" s="330"/>
      <c r="M214" s="331"/>
      <c r="N214" s="331"/>
      <c r="O214" s="331"/>
      <c r="P214" s="331"/>
      <c r="Q214" s="331"/>
      <c r="R214" s="331"/>
      <c r="S214" s="331"/>
      <c r="T214" s="331"/>
      <c r="U214" s="331"/>
      <c r="V214" s="331"/>
      <c r="W214" s="331"/>
      <c r="X214" s="331"/>
      <c r="Z214" s="331"/>
      <c r="AA214" s="331"/>
      <c r="AB214" s="331"/>
      <c r="AD214" s="331"/>
      <c r="AE214" s="331"/>
      <c r="AF214" s="331"/>
      <c r="AH214" s="331"/>
      <c r="AI214" s="331"/>
      <c r="AK214" s="331"/>
    </row>
    <row r="215" spans="2:37" x14ac:dyDescent="0.25">
      <c r="B215" s="123" t="str">
        <f t="shared" si="15"/>
        <v>7 2025</v>
      </c>
      <c r="C215" s="122">
        <f t="shared" si="17"/>
        <v>45866</v>
      </c>
      <c r="D215" s="122">
        <f t="shared" si="18"/>
        <v>45867</v>
      </c>
      <c r="E215" s="123">
        <f t="shared" si="16"/>
        <v>1</v>
      </c>
      <c r="F215" s="123" t="s">
        <v>7</v>
      </c>
      <c r="H215" s="328">
        <f t="shared" si="19"/>
        <v>45866</v>
      </c>
      <c r="I215" s="329"/>
      <c r="J215" s="400"/>
      <c r="L215" s="330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W215" s="331"/>
      <c r="X215" s="331"/>
      <c r="Z215" s="331"/>
      <c r="AA215" s="331"/>
      <c r="AB215" s="331"/>
      <c r="AD215" s="331"/>
      <c r="AE215" s="331"/>
      <c r="AF215" s="331"/>
      <c r="AH215" s="331"/>
      <c r="AI215" s="331"/>
      <c r="AK215" s="331"/>
    </row>
    <row r="216" spans="2:37" x14ac:dyDescent="0.25">
      <c r="B216" s="123" t="str">
        <f t="shared" si="15"/>
        <v>7 2025</v>
      </c>
      <c r="C216" s="122">
        <f t="shared" si="17"/>
        <v>45867</v>
      </c>
      <c r="D216" s="122">
        <f t="shared" si="18"/>
        <v>45868</v>
      </c>
      <c r="E216" s="123">
        <f t="shared" si="16"/>
        <v>1</v>
      </c>
      <c r="F216" s="123" t="s">
        <v>7</v>
      </c>
      <c r="H216" s="328">
        <f t="shared" si="19"/>
        <v>45867</v>
      </c>
      <c r="I216" s="329"/>
      <c r="J216" s="400"/>
      <c r="L216" s="330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W216" s="331"/>
      <c r="X216" s="331"/>
      <c r="Z216" s="331"/>
      <c r="AA216" s="331"/>
      <c r="AB216" s="331"/>
      <c r="AD216" s="331"/>
      <c r="AE216" s="331"/>
      <c r="AF216" s="331"/>
      <c r="AH216" s="331"/>
      <c r="AI216" s="331"/>
      <c r="AK216" s="331"/>
    </row>
    <row r="217" spans="2:37" x14ac:dyDescent="0.25">
      <c r="B217" s="148" t="str">
        <f t="shared" si="15"/>
        <v>7 2025</v>
      </c>
      <c r="C217" s="149">
        <f t="shared" si="17"/>
        <v>45868</v>
      </c>
      <c r="D217" s="149">
        <f t="shared" si="18"/>
        <v>45869</v>
      </c>
      <c r="E217" s="148">
        <f t="shared" si="16"/>
        <v>1</v>
      </c>
      <c r="F217" s="148" t="s">
        <v>7</v>
      </c>
      <c r="H217" s="327">
        <f t="shared" si="19"/>
        <v>45868</v>
      </c>
      <c r="I217" s="329"/>
      <c r="J217" s="400"/>
      <c r="L217" s="330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Z217" s="331"/>
      <c r="AA217" s="331"/>
      <c r="AB217" s="331"/>
      <c r="AD217" s="331"/>
      <c r="AE217" s="331"/>
      <c r="AF217" s="331"/>
      <c r="AH217" s="331"/>
      <c r="AI217" s="331"/>
      <c r="AK217" s="331"/>
    </row>
    <row r="218" spans="2:37" x14ac:dyDescent="0.25">
      <c r="B218" s="123" t="str">
        <f t="shared" si="15"/>
        <v>8 2025</v>
      </c>
      <c r="C218" s="122">
        <f t="shared" si="17"/>
        <v>45869</v>
      </c>
      <c r="D218" s="122">
        <f t="shared" si="18"/>
        <v>45870</v>
      </c>
      <c r="E218" s="123">
        <f t="shared" si="16"/>
        <v>1</v>
      </c>
      <c r="F218" s="123" t="s">
        <v>7</v>
      </c>
      <c r="H218" s="328">
        <f t="shared" si="19"/>
        <v>45869</v>
      </c>
      <c r="I218" s="329"/>
      <c r="J218" s="400"/>
      <c r="L218" s="330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W218" s="331"/>
      <c r="X218" s="331"/>
      <c r="Z218" s="331"/>
      <c r="AA218" s="331"/>
      <c r="AB218" s="331"/>
      <c r="AD218" s="331"/>
      <c r="AE218" s="331"/>
      <c r="AF218" s="331"/>
      <c r="AH218" s="331"/>
      <c r="AI218" s="331"/>
      <c r="AK218" s="331"/>
    </row>
    <row r="219" spans="2:37" x14ac:dyDescent="0.25">
      <c r="B219" s="123" t="str">
        <f t="shared" si="15"/>
        <v>8 2025</v>
      </c>
      <c r="C219" s="122">
        <f t="shared" si="17"/>
        <v>45870</v>
      </c>
      <c r="D219" s="122">
        <f t="shared" si="18"/>
        <v>45871</v>
      </c>
      <c r="E219" s="123">
        <f t="shared" si="16"/>
        <v>1</v>
      </c>
      <c r="F219" s="123" t="s">
        <v>7</v>
      </c>
      <c r="H219" s="328">
        <f t="shared" si="19"/>
        <v>45870</v>
      </c>
      <c r="I219" s="329"/>
      <c r="J219" s="400"/>
      <c r="L219" s="330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W219" s="331"/>
      <c r="X219" s="331"/>
      <c r="Z219" s="331"/>
      <c r="AA219" s="331"/>
      <c r="AB219" s="331"/>
      <c r="AD219" s="331"/>
      <c r="AE219" s="331"/>
      <c r="AF219" s="331"/>
      <c r="AH219" s="331"/>
      <c r="AI219" s="331"/>
      <c r="AK219" s="331"/>
    </row>
    <row r="220" spans="2:37" x14ac:dyDescent="0.25">
      <c r="B220" s="123" t="str">
        <f t="shared" si="15"/>
        <v>8 2025</v>
      </c>
      <c r="C220" s="122">
        <f t="shared" si="17"/>
        <v>45871</v>
      </c>
      <c r="D220" s="122">
        <f t="shared" si="18"/>
        <v>45872</v>
      </c>
      <c r="E220" s="123">
        <f t="shared" si="16"/>
        <v>1</v>
      </c>
      <c r="F220" s="123" t="s">
        <v>7</v>
      </c>
      <c r="H220" s="328">
        <f t="shared" si="19"/>
        <v>45871</v>
      </c>
      <c r="I220" s="329"/>
      <c r="J220" s="400"/>
      <c r="L220" s="330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W220" s="331"/>
      <c r="X220" s="331"/>
      <c r="Z220" s="331"/>
      <c r="AA220" s="331"/>
      <c r="AB220" s="331"/>
      <c r="AD220" s="331"/>
      <c r="AE220" s="331"/>
      <c r="AF220" s="331"/>
      <c r="AH220" s="331"/>
      <c r="AI220" s="331"/>
      <c r="AK220" s="331"/>
    </row>
    <row r="221" spans="2:37" x14ac:dyDescent="0.25">
      <c r="B221" s="123" t="str">
        <f t="shared" si="15"/>
        <v>8 2025</v>
      </c>
      <c r="C221" s="122">
        <f t="shared" si="17"/>
        <v>45872</v>
      </c>
      <c r="D221" s="122">
        <f t="shared" si="18"/>
        <v>45873</v>
      </c>
      <c r="E221" s="123">
        <f t="shared" si="16"/>
        <v>1</v>
      </c>
      <c r="F221" s="123" t="s">
        <v>7</v>
      </c>
      <c r="H221" s="328">
        <f t="shared" si="19"/>
        <v>45872</v>
      </c>
      <c r="I221" s="329"/>
      <c r="J221" s="400"/>
      <c r="L221" s="330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Z221" s="331"/>
      <c r="AA221" s="331"/>
      <c r="AB221" s="331"/>
      <c r="AD221" s="331"/>
      <c r="AE221" s="331"/>
      <c r="AF221" s="331"/>
      <c r="AH221" s="331"/>
      <c r="AI221" s="331"/>
      <c r="AK221" s="331"/>
    </row>
    <row r="222" spans="2:37" x14ac:dyDescent="0.25">
      <c r="B222" s="123" t="str">
        <f t="shared" si="15"/>
        <v>8 2025</v>
      </c>
      <c r="C222" s="122">
        <f t="shared" si="17"/>
        <v>45873</v>
      </c>
      <c r="D222" s="122">
        <f t="shared" si="18"/>
        <v>45874</v>
      </c>
      <c r="E222" s="123">
        <f t="shared" si="16"/>
        <v>1</v>
      </c>
      <c r="F222" s="123" t="s">
        <v>7</v>
      </c>
      <c r="H222" s="328">
        <f t="shared" si="19"/>
        <v>45873</v>
      </c>
      <c r="I222" s="329"/>
      <c r="J222" s="400"/>
      <c r="L222" s="330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W222" s="331"/>
      <c r="X222" s="331"/>
      <c r="Z222" s="331"/>
      <c r="AA222" s="331"/>
      <c r="AB222" s="331"/>
      <c r="AD222" s="331"/>
      <c r="AE222" s="331"/>
      <c r="AF222" s="331"/>
      <c r="AH222" s="331"/>
      <c r="AI222" s="331"/>
      <c r="AK222" s="331"/>
    </row>
    <row r="223" spans="2:37" x14ac:dyDescent="0.25">
      <c r="B223" s="123" t="str">
        <f t="shared" si="15"/>
        <v>8 2025</v>
      </c>
      <c r="C223" s="122">
        <f t="shared" si="17"/>
        <v>45874</v>
      </c>
      <c r="D223" s="122">
        <f t="shared" si="18"/>
        <v>45875</v>
      </c>
      <c r="E223" s="123">
        <f t="shared" si="16"/>
        <v>1</v>
      </c>
      <c r="F223" s="123" t="s">
        <v>7</v>
      </c>
      <c r="H223" s="328">
        <f t="shared" si="19"/>
        <v>45874</v>
      </c>
      <c r="I223" s="329"/>
      <c r="J223" s="400"/>
      <c r="L223" s="330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Z223" s="331"/>
      <c r="AA223" s="331"/>
      <c r="AB223" s="331"/>
      <c r="AD223" s="331"/>
      <c r="AE223" s="331"/>
      <c r="AF223" s="331"/>
      <c r="AH223" s="331"/>
      <c r="AI223" s="331"/>
      <c r="AK223" s="331"/>
    </row>
    <row r="224" spans="2:37" x14ac:dyDescent="0.25">
      <c r="B224" s="123" t="str">
        <f t="shared" si="15"/>
        <v>8 2025</v>
      </c>
      <c r="C224" s="122">
        <f t="shared" si="17"/>
        <v>45875</v>
      </c>
      <c r="D224" s="122">
        <f t="shared" si="18"/>
        <v>45876</v>
      </c>
      <c r="E224" s="123">
        <f t="shared" si="16"/>
        <v>1</v>
      </c>
      <c r="F224" s="123" t="s">
        <v>7</v>
      </c>
      <c r="H224" s="328">
        <f t="shared" si="19"/>
        <v>45875</v>
      </c>
      <c r="I224" s="329"/>
      <c r="J224" s="400"/>
      <c r="L224" s="330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W224" s="331"/>
      <c r="X224" s="331"/>
      <c r="Z224" s="331"/>
      <c r="AA224" s="331"/>
      <c r="AB224" s="331"/>
      <c r="AD224" s="331"/>
      <c r="AE224" s="331"/>
      <c r="AF224" s="331"/>
      <c r="AH224" s="331"/>
      <c r="AI224" s="331"/>
      <c r="AK224" s="331"/>
    </row>
    <row r="225" spans="2:37" x14ac:dyDescent="0.25">
      <c r="B225" s="123" t="str">
        <f t="shared" si="15"/>
        <v>8 2025</v>
      </c>
      <c r="C225" s="122">
        <f t="shared" si="17"/>
        <v>45876</v>
      </c>
      <c r="D225" s="122">
        <f t="shared" si="18"/>
        <v>45877</v>
      </c>
      <c r="E225" s="123">
        <f t="shared" si="16"/>
        <v>1</v>
      </c>
      <c r="F225" s="123" t="s">
        <v>7</v>
      </c>
      <c r="H225" s="328">
        <f t="shared" si="19"/>
        <v>45876</v>
      </c>
      <c r="I225" s="329"/>
      <c r="J225" s="400"/>
      <c r="L225" s="330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/>
      <c r="X225" s="331"/>
      <c r="Z225" s="331"/>
      <c r="AA225" s="331"/>
      <c r="AB225" s="331"/>
      <c r="AD225" s="331"/>
      <c r="AE225" s="331"/>
      <c r="AF225" s="331"/>
      <c r="AH225" s="331"/>
      <c r="AI225" s="331"/>
      <c r="AK225" s="331"/>
    </row>
    <row r="226" spans="2:37" x14ac:dyDescent="0.25">
      <c r="B226" s="123" t="str">
        <f t="shared" si="15"/>
        <v>8 2025</v>
      </c>
      <c r="C226" s="122">
        <f t="shared" si="17"/>
        <v>45877</v>
      </c>
      <c r="D226" s="122">
        <f t="shared" si="18"/>
        <v>45878</v>
      </c>
      <c r="E226" s="123">
        <f t="shared" si="16"/>
        <v>1</v>
      </c>
      <c r="F226" s="123" t="s">
        <v>7</v>
      </c>
      <c r="H226" s="328">
        <f t="shared" si="19"/>
        <v>45877</v>
      </c>
      <c r="I226" s="329"/>
      <c r="J226" s="400"/>
      <c r="L226" s="330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W226" s="331"/>
      <c r="X226" s="331"/>
      <c r="Z226" s="331"/>
      <c r="AA226" s="331"/>
      <c r="AB226" s="331"/>
      <c r="AD226" s="331"/>
      <c r="AE226" s="331"/>
      <c r="AF226" s="331"/>
      <c r="AH226" s="331"/>
      <c r="AI226" s="331"/>
      <c r="AK226" s="331"/>
    </row>
    <row r="227" spans="2:37" x14ac:dyDescent="0.25">
      <c r="B227" s="123" t="str">
        <f t="shared" si="15"/>
        <v>8 2025</v>
      </c>
      <c r="C227" s="122">
        <f t="shared" si="17"/>
        <v>45878</v>
      </c>
      <c r="D227" s="122">
        <f t="shared" si="18"/>
        <v>45879</v>
      </c>
      <c r="E227" s="123">
        <f t="shared" si="16"/>
        <v>1</v>
      </c>
      <c r="F227" s="123" t="s">
        <v>7</v>
      </c>
      <c r="H227" s="328">
        <f t="shared" si="19"/>
        <v>45878</v>
      </c>
      <c r="I227" s="329"/>
      <c r="J227" s="400"/>
      <c r="L227" s="330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Z227" s="331"/>
      <c r="AA227" s="331"/>
      <c r="AB227" s="331"/>
      <c r="AD227" s="331"/>
      <c r="AE227" s="331"/>
      <c r="AF227" s="331"/>
      <c r="AH227" s="331"/>
      <c r="AI227" s="331"/>
      <c r="AK227" s="331"/>
    </row>
    <row r="228" spans="2:37" x14ac:dyDescent="0.25">
      <c r="B228" s="123" t="str">
        <f t="shared" si="15"/>
        <v>8 2025</v>
      </c>
      <c r="C228" s="122">
        <f t="shared" si="17"/>
        <v>45879</v>
      </c>
      <c r="D228" s="122">
        <f t="shared" si="18"/>
        <v>45880</v>
      </c>
      <c r="E228" s="123">
        <f t="shared" si="16"/>
        <v>1</v>
      </c>
      <c r="F228" s="123" t="s">
        <v>7</v>
      </c>
      <c r="H228" s="328">
        <f t="shared" si="19"/>
        <v>45879</v>
      </c>
      <c r="I228" s="329"/>
      <c r="J228" s="400"/>
      <c r="L228" s="330"/>
      <c r="M228" s="331"/>
      <c r="N228" s="331"/>
      <c r="O228" s="331"/>
      <c r="P228" s="331"/>
      <c r="Q228" s="331"/>
      <c r="R228" s="331"/>
      <c r="S228" s="331"/>
      <c r="T228" s="331"/>
      <c r="U228" s="331"/>
      <c r="V228" s="331"/>
      <c r="W228" s="331"/>
      <c r="X228" s="331"/>
      <c r="Z228" s="331"/>
      <c r="AA228" s="331"/>
      <c r="AB228" s="331"/>
      <c r="AD228" s="331"/>
      <c r="AE228" s="331"/>
      <c r="AF228" s="331"/>
      <c r="AH228" s="331"/>
      <c r="AI228" s="331"/>
      <c r="AK228" s="331"/>
    </row>
    <row r="229" spans="2:37" x14ac:dyDescent="0.25">
      <c r="B229" s="123" t="str">
        <f t="shared" si="15"/>
        <v>8 2025</v>
      </c>
      <c r="C229" s="122">
        <f t="shared" si="17"/>
        <v>45880</v>
      </c>
      <c r="D229" s="122">
        <f t="shared" si="18"/>
        <v>45881</v>
      </c>
      <c r="E229" s="123">
        <f t="shared" si="16"/>
        <v>1</v>
      </c>
      <c r="F229" s="123" t="s">
        <v>7</v>
      </c>
      <c r="H229" s="328">
        <f t="shared" si="19"/>
        <v>45880</v>
      </c>
      <c r="I229" s="329"/>
      <c r="J229" s="400"/>
      <c r="L229" s="330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/>
      <c r="X229" s="331"/>
      <c r="Z229" s="331"/>
      <c r="AA229" s="331"/>
      <c r="AB229" s="331"/>
      <c r="AD229" s="331"/>
      <c r="AE229" s="331"/>
      <c r="AF229" s="331"/>
      <c r="AH229" s="331"/>
      <c r="AI229" s="331"/>
      <c r="AK229" s="331"/>
    </row>
    <row r="230" spans="2:37" x14ac:dyDescent="0.25">
      <c r="B230" s="123" t="str">
        <f t="shared" si="15"/>
        <v>8 2025</v>
      </c>
      <c r="C230" s="122">
        <f t="shared" si="17"/>
        <v>45881</v>
      </c>
      <c r="D230" s="122">
        <f t="shared" si="18"/>
        <v>45882</v>
      </c>
      <c r="E230" s="123">
        <f t="shared" si="16"/>
        <v>1</v>
      </c>
      <c r="F230" s="123" t="s">
        <v>7</v>
      </c>
      <c r="H230" s="328">
        <f t="shared" si="19"/>
        <v>45881</v>
      </c>
      <c r="I230" s="329"/>
      <c r="J230" s="400"/>
      <c r="L230" s="330"/>
      <c r="M230" s="331"/>
      <c r="N230" s="331"/>
      <c r="O230" s="331"/>
      <c r="P230" s="331"/>
      <c r="Q230" s="331"/>
      <c r="R230" s="331"/>
      <c r="S230" s="331"/>
      <c r="T230" s="331"/>
      <c r="U230" s="331"/>
      <c r="V230" s="331"/>
      <c r="W230" s="331"/>
      <c r="X230" s="331"/>
      <c r="Z230" s="331"/>
      <c r="AA230" s="331"/>
      <c r="AB230" s="331"/>
      <c r="AD230" s="331"/>
      <c r="AE230" s="331"/>
      <c r="AF230" s="331"/>
      <c r="AH230" s="331"/>
      <c r="AI230" s="331"/>
      <c r="AK230" s="331"/>
    </row>
    <row r="231" spans="2:37" x14ac:dyDescent="0.25">
      <c r="B231" s="123" t="str">
        <f t="shared" si="15"/>
        <v>8 2025</v>
      </c>
      <c r="C231" s="122">
        <f t="shared" si="17"/>
        <v>45882</v>
      </c>
      <c r="D231" s="122">
        <f t="shared" si="18"/>
        <v>45883</v>
      </c>
      <c r="E231" s="123">
        <f t="shared" si="16"/>
        <v>1</v>
      </c>
      <c r="F231" s="123" t="s">
        <v>7</v>
      </c>
      <c r="H231" s="328">
        <f t="shared" si="19"/>
        <v>45882</v>
      </c>
      <c r="I231" s="329"/>
      <c r="J231" s="400"/>
      <c r="L231" s="330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/>
      <c r="X231" s="331"/>
      <c r="Z231" s="331"/>
      <c r="AA231" s="331"/>
      <c r="AB231" s="331"/>
      <c r="AD231" s="331"/>
      <c r="AE231" s="331"/>
      <c r="AF231" s="331"/>
      <c r="AH231" s="331"/>
      <c r="AI231" s="331"/>
      <c r="AK231" s="331"/>
    </row>
    <row r="232" spans="2:37" x14ac:dyDescent="0.25">
      <c r="B232" s="123" t="str">
        <f t="shared" si="15"/>
        <v>8 2025</v>
      </c>
      <c r="C232" s="122">
        <f t="shared" si="17"/>
        <v>45883</v>
      </c>
      <c r="D232" s="122">
        <f t="shared" si="18"/>
        <v>45884</v>
      </c>
      <c r="E232" s="123">
        <f t="shared" si="16"/>
        <v>1</v>
      </c>
      <c r="F232" s="123" t="s">
        <v>7</v>
      </c>
      <c r="H232" s="328">
        <f t="shared" si="19"/>
        <v>45883</v>
      </c>
      <c r="I232" s="329"/>
      <c r="J232" s="400"/>
      <c r="L232" s="330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Z232" s="331"/>
      <c r="AA232" s="331"/>
      <c r="AB232" s="331"/>
      <c r="AD232" s="331"/>
      <c r="AE232" s="331"/>
      <c r="AF232" s="331"/>
      <c r="AH232" s="331"/>
      <c r="AI232" s="331"/>
      <c r="AK232" s="331"/>
    </row>
    <row r="233" spans="2:37" x14ac:dyDescent="0.25">
      <c r="B233" s="123" t="str">
        <f t="shared" si="15"/>
        <v>8 2025</v>
      </c>
      <c r="C233" s="122">
        <f t="shared" si="17"/>
        <v>45884</v>
      </c>
      <c r="D233" s="122">
        <f t="shared" si="18"/>
        <v>45885</v>
      </c>
      <c r="E233" s="123">
        <f t="shared" si="16"/>
        <v>1</v>
      </c>
      <c r="F233" s="123" t="s">
        <v>7</v>
      </c>
      <c r="H233" s="328">
        <f t="shared" si="19"/>
        <v>45884</v>
      </c>
      <c r="I233" s="329"/>
      <c r="J233" s="400"/>
      <c r="L233" s="330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Z233" s="331"/>
      <c r="AA233" s="331"/>
      <c r="AB233" s="331"/>
      <c r="AD233" s="331"/>
      <c r="AE233" s="331"/>
      <c r="AF233" s="331"/>
      <c r="AH233" s="331"/>
      <c r="AI233" s="331"/>
      <c r="AK233" s="331"/>
    </row>
    <row r="234" spans="2:37" x14ac:dyDescent="0.25">
      <c r="B234" s="123" t="str">
        <f t="shared" si="15"/>
        <v>8 2025</v>
      </c>
      <c r="C234" s="122">
        <f t="shared" si="17"/>
        <v>45885</v>
      </c>
      <c r="D234" s="122">
        <f t="shared" si="18"/>
        <v>45886</v>
      </c>
      <c r="E234" s="123">
        <f t="shared" si="16"/>
        <v>1</v>
      </c>
      <c r="F234" s="123" t="s">
        <v>7</v>
      </c>
      <c r="H234" s="328">
        <f t="shared" si="19"/>
        <v>45885</v>
      </c>
      <c r="I234" s="329"/>
      <c r="J234" s="400"/>
      <c r="L234" s="330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Z234" s="331"/>
      <c r="AA234" s="331"/>
      <c r="AB234" s="331"/>
      <c r="AD234" s="331"/>
      <c r="AE234" s="331"/>
      <c r="AF234" s="331"/>
      <c r="AH234" s="331"/>
      <c r="AI234" s="331"/>
      <c r="AK234" s="331"/>
    </row>
    <row r="235" spans="2:37" x14ac:dyDescent="0.25">
      <c r="B235" s="123" t="str">
        <f t="shared" si="15"/>
        <v>8 2025</v>
      </c>
      <c r="C235" s="122">
        <f t="shared" si="17"/>
        <v>45886</v>
      </c>
      <c r="D235" s="122">
        <f t="shared" si="18"/>
        <v>45887</v>
      </c>
      <c r="E235" s="123">
        <f t="shared" si="16"/>
        <v>1</v>
      </c>
      <c r="F235" s="123" t="s">
        <v>7</v>
      </c>
      <c r="H235" s="328">
        <f t="shared" si="19"/>
        <v>45886</v>
      </c>
      <c r="I235" s="329"/>
      <c r="J235" s="400"/>
      <c r="L235" s="330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Z235" s="331"/>
      <c r="AA235" s="331"/>
      <c r="AB235" s="331"/>
      <c r="AD235" s="331"/>
      <c r="AE235" s="331"/>
      <c r="AF235" s="331"/>
      <c r="AH235" s="331"/>
      <c r="AI235" s="331"/>
      <c r="AK235" s="331"/>
    </row>
    <row r="236" spans="2:37" x14ac:dyDescent="0.25">
      <c r="B236" s="123" t="str">
        <f t="shared" si="15"/>
        <v>8 2025</v>
      </c>
      <c r="C236" s="122">
        <f t="shared" si="17"/>
        <v>45887</v>
      </c>
      <c r="D236" s="122">
        <f t="shared" si="18"/>
        <v>45888</v>
      </c>
      <c r="E236" s="123">
        <f t="shared" si="16"/>
        <v>1</v>
      </c>
      <c r="F236" s="123" t="s">
        <v>7</v>
      </c>
      <c r="H236" s="328">
        <f t="shared" si="19"/>
        <v>45887</v>
      </c>
      <c r="I236" s="329"/>
      <c r="J236" s="400"/>
      <c r="L236" s="330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W236" s="331"/>
      <c r="X236" s="331"/>
      <c r="Z236" s="331"/>
      <c r="AA236" s="331"/>
      <c r="AB236" s="331"/>
      <c r="AD236" s="331"/>
      <c r="AE236" s="331"/>
      <c r="AF236" s="331"/>
      <c r="AH236" s="331"/>
      <c r="AI236" s="331"/>
      <c r="AK236" s="331"/>
    </row>
    <row r="237" spans="2:37" x14ac:dyDescent="0.25">
      <c r="B237" s="123" t="str">
        <f t="shared" si="15"/>
        <v>8 2025</v>
      </c>
      <c r="C237" s="122">
        <f t="shared" si="17"/>
        <v>45888</v>
      </c>
      <c r="D237" s="122">
        <f t="shared" si="18"/>
        <v>45889</v>
      </c>
      <c r="E237" s="123">
        <f t="shared" si="16"/>
        <v>1</v>
      </c>
      <c r="F237" s="123" t="s">
        <v>7</v>
      </c>
      <c r="H237" s="328">
        <f t="shared" si="19"/>
        <v>45888</v>
      </c>
      <c r="I237" s="329"/>
      <c r="J237" s="400"/>
      <c r="L237" s="330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/>
      <c r="X237" s="331"/>
      <c r="Z237" s="331"/>
      <c r="AA237" s="331"/>
      <c r="AB237" s="331"/>
      <c r="AD237" s="331"/>
      <c r="AE237" s="331"/>
      <c r="AF237" s="331"/>
      <c r="AH237" s="331"/>
      <c r="AI237" s="331"/>
      <c r="AK237" s="331"/>
    </row>
    <row r="238" spans="2:37" x14ac:dyDescent="0.25">
      <c r="B238" s="123" t="str">
        <f t="shared" si="15"/>
        <v>8 2025</v>
      </c>
      <c r="C238" s="122">
        <f t="shared" si="17"/>
        <v>45889</v>
      </c>
      <c r="D238" s="122">
        <f t="shared" si="18"/>
        <v>45890</v>
      </c>
      <c r="E238" s="123">
        <f t="shared" si="16"/>
        <v>1</v>
      </c>
      <c r="F238" s="123" t="s">
        <v>7</v>
      </c>
      <c r="H238" s="328">
        <f t="shared" si="19"/>
        <v>45889</v>
      </c>
      <c r="I238" s="329"/>
      <c r="J238" s="400"/>
      <c r="L238" s="330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W238" s="331"/>
      <c r="X238" s="331"/>
      <c r="Z238" s="331"/>
      <c r="AA238" s="331"/>
      <c r="AB238" s="331"/>
      <c r="AD238" s="331"/>
      <c r="AE238" s="331"/>
      <c r="AF238" s="331"/>
      <c r="AH238" s="331"/>
      <c r="AI238" s="331"/>
      <c r="AK238" s="331"/>
    </row>
    <row r="239" spans="2:37" x14ac:dyDescent="0.25">
      <c r="B239" s="123" t="str">
        <f t="shared" si="15"/>
        <v>8 2025</v>
      </c>
      <c r="C239" s="122">
        <f t="shared" si="17"/>
        <v>45890</v>
      </c>
      <c r="D239" s="122">
        <f t="shared" si="18"/>
        <v>45891</v>
      </c>
      <c r="E239" s="123">
        <f t="shared" si="16"/>
        <v>1</v>
      </c>
      <c r="F239" s="123" t="s">
        <v>7</v>
      </c>
      <c r="H239" s="328">
        <f t="shared" si="19"/>
        <v>45890</v>
      </c>
      <c r="I239" s="329"/>
      <c r="J239" s="400"/>
      <c r="L239" s="330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/>
      <c r="X239" s="331"/>
      <c r="Z239" s="331"/>
      <c r="AA239" s="331"/>
      <c r="AB239" s="331"/>
      <c r="AD239" s="331"/>
      <c r="AE239" s="331"/>
      <c r="AF239" s="331"/>
      <c r="AH239" s="331"/>
      <c r="AI239" s="331"/>
      <c r="AK239" s="331"/>
    </row>
    <row r="240" spans="2:37" x14ac:dyDescent="0.25">
      <c r="B240" s="123" t="str">
        <f t="shared" si="15"/>
        <v>8 2025</v>
      </c>
      <c r="C240" s="122">
        <f t="shared" si="17"/>
        <v>45891</v>
      </c>
      <c r="D240" s="122">
        <f t="shared" si="18"/>
        <v>45892</v>
      </c>
      <c r="E240" s="123">
        <f t="shared" si="16"/>
        <v>1</v>
      </c>
      <c r="F240" s="123" t="s">
        <v>7</v>
      </c>
      <c r="H240" s="328">
        <f t="shared" si="19"/>
        <v>45891</v>
      </c>
      <c r="I240" s="329"/>
      <c r="J240" s="400"/>
      <c r="L240" s="330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W240" s="331"/>
      <c r="X240" s="331"/>
      <c r="Z240" s="331"/>
      <c r="AA240" s="331"/>
      <c r="AB240" s="331"/>
      <c r="AD240" s="331"/>
      <c r="AE240" s="331"/>
      <c r="AF240" s="331"/>
      <c r="AH240" s="331"/>
      <c r="AI240" s="331"/>
      <c r="AK240" s="331"/>
    </row>
    <row r="241" spans="2:37" x14ac:dyDescent="0.25">
      <c r="B241" s="123" t="str">
        <f t="shared" si="15"/>
        <v>8 2025</v>
      </c>
      <c r="C241" s="122">
        <f t="shared" si="17"/>
        <v>45892</v>
      </c>
      <c r="D241" s="122">
        <f t="shared" si="18"/>
        <v>45893</v>
      </c>
      <c r="E241" s="123">
        <f t="shared" si="16"/>
        <v>1</v>
      </c>
      <c r="F241" s="123" t="s">
        <v>7</v>
      </c>
      <c r="H241" s="328">
        <f t="shared" si="19"/>
        <v>45892</v>
      </c>
      <c r="I241" s="329"/>
      <c r="J241" s="400"/>
      <c r="L241" s="330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Z241" s="331"/>
      <c r="AA241" s="331"/>
      <c r="AB241" s="331"/>
      <c r="AD241" s="331"/>
      <c r="AE241" s="331"/>
      <c r="AF241" s="331"/>
      <c r="AH241" s="331"/>
      <c r="AI241" s="331"/>
      <c r="AK241" s="331"/>
    </row>
    <row r="242" spans="2:37" x14ac:dyDescent="0.25">
      <c r="B242" s="123" t="str">
        <f t="shared" si="15"/>
        <v>8 2025</v>
      </c>
      <c r="C242" s="122">
        <f t="shared" si="17"/>
        <v>45893</v>
      </c>
      <c r="D242" s="122">
        <f t="shared" si="18"/>
        <v>45894</v>
      </c>
      <c r="E242" s="123">
        <f t="shared" si="16"/>
        <v>1</v>
      </c>
      <c r="F242" s="123" t="s">
        <v>7</v>
      </c>
      <c r="H242" s="328">
        <f t="shared" si="19"/>
        <v>45893</v>
      </c>
      <c r="I242" s="329"/>
      <c r="J242" s="400"/>
      <c r="L242" s="330"/>
      <c r="M242" s="331"/>
      <c r="N242" s="331"/>
      <c r="O242" s="331"/>
      <c r="P242" s="331"/>
      <c r="Q242" s="331"/>
      <c r="R242" s="331"/>
      <c r="S242" s="331"/>
      <c r="T242" s="331"/>
      <c r="U242" s="331"/>
      <c r="V242" s="331"/>
      <c r="W242" s="331"/>
      <c r="X242" s="331"/>
      <c r="Z242" s="331"/>
      <c r="AA242" s="331"/>
      <c r="AB242" s="331"/>
      <c r="AD242" s="331"/>
      <c r="AE242" s="331"/>
      <c r="AF242" s="331"/>
      <c r="AH242" s="331"/>
      <c r="AI242" s="331"/>
      <c r="AK242" s="331"/>
    </row>
    <row r="243" spans="2:37" x14ac:dyDescent="0.25">
      <c r="B243" s="123" t="str">
        <f t="shared" si="15"/>
        <v>8 2025</v>
      </c>
      <c r="C243" s="122">
        <f t="shared" si="17"/>
        <v>45894</v>
      </c>
      <c r="D243" s="122">
        <f t="shared" si="18"/>
        <v>45895</v>
      </c>
      <c r="E243" s="123">
        <f t="shared" si="16"/>
        <v>1</v>
      </c>
      <c r="F243" s="123" t="s">
        <v>7</v>
      </c>
      <c r="H243" s="328">
        <f t="shared" si="19"/>
        <v>45894</v>
      </c>
      <c r="I243" s="329"/>
      <c r="J243" s="400"/>
      <c r="L243" s="330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/>
      <c r="X243" s="331"/>
      <c r="Z243" s="331"/>
      <c r="AA243" s="331"/>
      <c r="AB243" s="331"/>
      <c r="AD243" s="331"/>
      <c r="AE243" s="331"/>
      <c r="AF243" s="331"/>
      <c r="AH243" s="331"/>
      <c r="AI243" s="331"/>
      <c r="AK243" s="331"/>
    </row>
    <row r="244" spans="2:37" x14ac:dyDescent="0.25">
      <c r="B244" s="123" t="str">
        <f t="shared" si="15"/>
        <v>8 2025</v>
      </c>
      <c r="C244" s="122">
        <f t="shared" si="17"/>
        <v>45895</v>
      </c>
      <c r="D244" s="122">
        <f t="shared" si="18"/>
        <v>45896</v>
      </c>
      <c r="E244" s="123">
        <f t="shared" si="16"/>
        <v>1</v>
      </c>
      <c r="F244" s="123" t="s">
        <v>7</v>
      </c>
      <c r="H244" s="328">
        <f t="shared" si="19"/>
        <v>45895</v>
      </c>
      <c r="I244" s="329"/>
      <c r="J244" s="400"/>
      <c r="L244" s="330"/>
      <c r="M244" s="331"/>
      <c r="N244" s="331"/>
      <c r="O244" s="331"/>
      <c r="P244" s="331"/>
      <c r="Q244" s="331"/>
      <c r="R244" s="331"/>
      <c r="S244" s="331"/>
      <c r="T244" s="331"/>
      <c r="U244" s="331"/>
      <c r="V244" s="331"/>
      <c r="W244" s="331"/>
      <c r="X244" s="331"/>
      <c r="Z244" s="331"/>
      <c r="AA244" s="331"/>
      <c r="AB244" s="331"/>
      <c r="AD244" s="331"/>
      <c r="AE244" s="331"/>
      <c r="AF244" s="331"/>
      <c r="AH244" s="331"/>
      <c r="AI244" s="331"/>
      <c r="AK244" s="331"/>
    </row>
    <row r="245" spans="2:37" x14ac:dyDescent="0.25">
      <c r="B245" s="123" t="str">
        <f t="shared" si="15"/>
        <v>8 2025</v>
      </c>
      <c r="C245" s="122">
        <f t="shared" si="17"/>
        <v>45896</v>
      </c>
      <c r="D245" s="122">
        <f t="shared" si="18"/>
        <v>45897</v>
      </c>
      <c r="E245" s="123">
        <f t="shared" si="16"/>
        <v>1</v>
      </c>
      <c r="F245" s="123" t="s">
        <v>7</v>
      </c>
      <c r="H245" s="328">
        <f t="shared" si="19"/>
        <v>45896</v>
      </c>
      <c r="I245" s="329"/>
      <c r="J245" s="400"/>
      <c r="L245" s="330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/>
      <c r="X245" s="331"/>
      <c r="Z245" s="331"/>
      <c r="AA245" s="331"/>
      <c r="AB245" s="331"/>
      <c r="AD245" s="331"/>
      <c r="AE245" s="331"/>
      <c r="AF245" s="331"/>
      <c r="AH245" s="331"/>
      <c r="AI245" s="331"/>
      <c r="AK245" s="331"/>
    </row>
    <row r="246" spans="2:37" x14ac:dyDescent="0.25">
      <c r="B246" s="123" t="str">
        <f t="shared" si="15"/>
        <v>8 2025</v>
      </c>
      <c r="C246" s="122">
        <f t="shared" si="17"/>
        <v>45897</v>
      </c>
      <c r="D246" s="122">
        <f t="shared" si="18"/>
        <v>45898</v>
      </c>
      <c r="E246" s="123">
        <f t="shared" si="16"/>
        <v>1</v>
      </c>
      <c r="F246" s="123" t="s">
        <v>7</v>
      </c>
      <c r="H246" s="328">
        <f t="shared" si="19"/>
        <v>45897</v>
      </c>
      <c r="I246" s="329"/>
      <c r="J246" s="400"/>
      <c r="L246" s="330"/>
      <c r="M246" s="331"/>
      <c r="N246" s="331"/>
      <c r="O246" s="331"/>
      <c r="P246" s="331"/>
      <c r="Q246" s="331"/>
      <c r="R246" s="331"/>
      <c r="S246" s="331"/>
      <c r="T246" s="331"/>
      <c r="U246" s="331"/>
      <c r="V246" s="331"/>
      <c r="W246" s="331"/>
      <c r="X246" s="331"/>
      <c r="Z246" s="331"/>
      <c r="AA246" s="331"/>
      <c r="AB246" s="331"/>
      <c r="AD246" s="331"/>
      <c r="AE246" s="331"/>
      <c r="AF246" s="331"/>
      <c r="AH246" s="331"/>
      <c r="AI246" s="331"/>
      <c r="AK246" s="331"/>
    </row>
    <row r="247" spans="2:37" x14ac:dyDescent="0.25">
      <c r="B247" s="123" t="str">
        <f t="shared" si="15"/>
        <v>8 2025</v>
      </c>
      <c r="C247" s="122">
        <f t="shared" si="17"/>
        <v>45898</v>
      </c>
      <c r="D247" s="122">
        <f t="shared" si="18"/>
        <v>45899</v>
      </c>
      <c r="E247" s="123">
        <f t="shared" si="16"/>
        <v>1</v>
      </c>
      <c r="F247" s="123" t="s">
        <v>7</v>
      </c>
      <c r="H247" s="328">
        <f t="shared" si="19"/>
        <v>45898</v>
      </c>
      <c r="I247" s="329"/>
      <c r="J247" s="400"/>
      <c r="L247" s="330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/>
      <c r="X247" s="331"/>
      <c r="Z247" s="331"/>
      <c r="AA247" s="331"/>
      <c r="AB247" s="331"/>
      <c r="AD247" s="331"/>
      <c r="AE247" s="331"/>
      <c r="AF247" s="331"/>
      <c r="AH247" s="331"/>
      <c r="AI247" s="331"/>
      <c r="AK247" s="331"/>
    </row>
    <row r="248" spans="2:37" x14ac:dyDescent="0.25">
      <c r="B248" s="148" t="str">
        <f t="shared" si="15"/>
        <v>8 2025</v>
      </c>
      <c r="C248" s="149">
        <f t="shared" si="17"/>
        <v>45899</v>
      </c>
      <c r="D248" s="149">
        <f t="shared" si="18"/>
        <v>45900</v>
      </c>
      <c r="E248" s="148">
        <f t="shared" si="16"/>
        <v>1</v>
      </c>
      <c r="F248" s="148" t="s">
        <v>7</v>
      </c>
      <c r="H248" s="327">
        <f t="shared" si="19"/>
        <v>45899</v>
      </c>
      <c r="I248" s="329"/>
      <c r="J248" s="400"/>
      <c r="L248" s="330"/>
      <c r="M248" s="331"/>
      <c r="N248" s="331"/>
      <c r="O248" s="331"/>
      <c r="P248" s="331"/>
      <c r="Q248" s="331"/>
      <c r="R248" s="331"/>
      <c r="S248" s="331"/>
      <c r="T248" s="331"/>
      <c r="U248" s="331"/>
      <c r="V248" s="331"/>
      <c r="W248" s="331"/>
      <c r="X248" s="331"/>
      <c r="Z248" s="331"/>
      <c r="AA248" s="331"/>
      <c r="AB248" s="331"/>
      <c r="AD248" s="331"/>
      <c r="AE248" s="331"/>
      <c r="AF248" s="331"/>
      <c r="AH248" s="331"/>
      <c r="AI248" s="331"/>
      <c r="AK248" s="331"/>
    </row>
    <row r="249" spans="2:37" x14ac:dyDescent="0.25">
      <c r="B249" s="123" t="str">
        <f t="shared" si="15"/>
        <v>9 2025</v>
      </c>
      <c r="C249" s="122">
        <f t="shared" si="17"/>
        <v>45900</v>
      </c>
      <c r="D249" s="122">
        <f t="shared" si="18"/>
        <v>45901</v>
      </c>
      <c r="E249" s="123">
        <f t="shared" si="16"/>
        <v>1</v>
      </c>
      <c r="F249" s="123" t="s">
        <v>7</v>
      </c>
      <c r="H249" s="328">
        <f t="shared" si="19"/>
        <v>45900</v>
      </c>
      <c r="I249" s="329"/>
      <c r="J249" s="400"/>
      <c r="L249" s="330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1"/>
      <c r="X249" s="331"/>
      <c r="Z249" s="331"/>
      <c r="AA249" s="331"/>
      <c r="AB249" s="331"/>
      <c r="AD249" s="331"/>
      <c r="AE249" s="331"/>
      <c r="AF249" s="331"/>
      <c r="AH249" s="331"/>
      <c r="AI249" s="331"/>
      <c r="AK249" s="331"/>
    </row>
    <row r="250" spans="2:37" x14ac:dyDescent="0.25">
      <c r="B250" s="123" t="str">
        <f t="shared" si="15"/>
        <v>9 2025</v>
      </c>
      <c r="C250" s="122">
        <f t="shared" si="17"/>
        <v>45901</v>
      </c>
      <c r="D250" s="122">
        <f t="shared" si="18"/>
        <v>45902</v>
      </c>
      <c r="E250" s="123">
        <f t="shared" si="16"/>
        <v>1</v>
      </c>
      <c r="F250" s="123" t="s">
        <v>7</v>
      </c>
      <c r="H250" s="328">
        <f t="shared" si="19"/>
        <v>45901</v>
      </c>
      <c r="I250" s="329"/>
      <c r="J250" s="400"/>
      <c r="L250" s="330"/>
      <c r="M250" s="331"/>
      <c r="N250" s="331"/>
      <c r="O250" s="331"/>
      <c r="P250" s="331"/>
      <c r="Q250" s="331"/>
      <c r="R250" s="331"/>
      <c r="S250" s="331"/>
      <c r="T250" s="331"/>
      <c r="U250" s="331"/>
      <c r="V250" s="331"/>
      <c r="W250" s="331"/>
      <c r="X250" s="331"/>
      <c r="Z250" s="331"/>
      <c r="AA250" s="331"/>
      <c r="AB250" s="331"/>
      <c r="AD250" s="331"/>
      <c r="AE250" s="331"/>
      <c r="AF250" s="331"/>
      <c r="AH250" s="331"/>
      <c r="AI250" s="331"/>
      <c r="AK250" s="331"/>
    </row>
    <row r="251" spans="2:37" x14ac:dyDescent="0.25">
      <c r="B251" s="123" t="str">
        <f t="shared" si="15"/>
        <v>9 2025</v>
      </c>
      <c r="C251" s="122">
        <f t="shared" si="17"/>
        <v>45902</v>
      </c>
      <c r="D251" s="122">
        <f t="shared" si="18"/>
        <v>45903</v>
      </c>
      <c r="E251" s="123">
        <f t="shared" si="16"/>
        <v>1</v>
      </c>
      <c r="F251" s="123" t="s">
        <v>7</v>
      </c>
      <c r="H251" s="328">
        <f t="shared" si="19"/>
        <v>45902</v>
      </c>
      <c r="I251" s="329"/>
      <c r="J251" s="400"/>
      <c r="L251" s="330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/>
      <c r="X251" s="331"/>
      <c r="Z251" s="331"/>
      <c r="AA251" s="331"/>
      <c r="AB251" s="331"/>
      <c r="AD251" s="331"/>
      <c r="AE251" s="331"/>
      <c r="AF251" s="331"/>
      <c r="AH251" s="331"/>
      <c r="AI251" s="331"/>
      <c r="AK251" s="331"/>
    </row>
    <row r="252" spans="2:37" x14ac:dyDescent="0.25">
      <c r="B252" s="123" t="str">
        <f t="shared" si="15"/>
        <v>9 2025</v>
      </c>
      <c r="C252" s="122">
        <f t="shared" si="17"/>
        <v>45903</v>
      </c>
      <c r="D252" s="122">
        <f t="shared" si="18"/>
        <v>45904</v>
      </c>
      <c r="E252" s="123">
        <f t="shared" si="16"/>
        <v>1</v>
      </c>
      <c r="F252" s="123" t="s">
        <v>7</v>
      </c>
      <c r="H252" s="328">
        <f t="shared" si="19"/>
        <v>45903</v>
      </c>
      <c r="I252" s="329"/>
      <c r="J252" s="400"/>
      <c r="L252" s="330"/>
      <c r="M252" s="331"/>
      <c r="N252" s="331"/>
      <c r="O252" s="331"/>
      <c r="P252" s="331"/>
      <c r="Q252" s="331"/>
      <c r="R252" s="331"/>
      <c r="S252" s="331"/>
      <c r="T252" s="331"/>
      <c r="U252" s="331"/>
      <c r="V252" s="331"/>
      <c r="W252" s="331"/>
      <c r="X252" s="331"/>
      <c r="Z252" s="331"/>
      <c r="AA252" s="331"/>
      <c r="AB252" s="331"/>
      <c r="AD252" s="331"/>
      <c r="AE252" s="331"/>
      <c r="AF252" s="331"/>
      <c r="AH252" s="331"/>
      <c r="AI252" s="331"/>
      <c r="AK252" s="331"/>
    </row>
    <row r="253" spans="2:37" x14ac:dyDescent="0.25">
      <c r="B253" s="123" t="str">
        <f t="shared" si="15"/>
        <v>9 2025</v>
      </c>
      <c r="C253" s="122">
        <f t="shared" si="17"/>
        <v>45904</v>
      </c>
      <c r="D253" s="122">
        <f t="shared" si="18"/>
        <v>45905</v>
      </c>
      <c r="E253" s="123">
        <f t="shared" si="16"/>
        <v>1</v>
      </c>
      <c r="F253" s="123" t="s">
        <v>7</v>
      </c>
      <c r="H253" s="328">
        <f t="shared" si="19"/>
        <v>45904</v>
      </c>
      <c r="I253" s="329"/>
      <c r="J253" s="400"/>
      <c r="L253" s="330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/>
      <c r="X253" s="331"/>
      <c r="Z253" s="331"/>
      <c r="AA253" s="331"/>
      <c r="AB253" s="331"/>
      <c r="AD253" s="331"/>
      <c r="AE253" s="331"/>
      <c r="AF253" s="331"/>
      <c r="AH253" s="331"/>
      <c r="AI253" s="331"/>
      <c r="AK253" s="331"/>
    </row>
    <row r="254" spans="2:37" x14ac:dyDescent="0.25">
      <c r="B254" s="123" t="str">
        <f t="shared" si="15"/>
        <v>9 2025</v>
      </c>
      <c r="C254" s="122">
        <f t="shared" si="17"/>
        <v>45905</v>
      </c>
      <c r="D254" s="122">
        <f t="shared" si="18"/>
        <v>45906</v>
      </c>
      <c r="E254" s="123">
        <f t="shared" si="16"/>
        <v>1</v>
      </c>
      <c r="F254" s="123" t="s">
        <v>7</v>
      </c>
      <c r="H254" s="328">
        <f t="shared" si="19"/>
        <v>45905</v>
      </c>
      <c r="I254" s="329"/>
      <c r="J254" s="400"/>
      <c r="L254" s="330"/>
      <c r="M254" s="331"/>
      <c r="N254" s="331"/>
      <c r="O254" s="331"/>
      <c r="P254" s="331"/>
      <c r="Q254" s="331"/>
      <c r="R254" s="331"/>
      <c r="S254" s="331"/>
      <c r="T254" s="331"/>
      <c r="U254" s="331"/>
      <c r="V254" s="331"/>
      <c r="W254" s="331"/>
      <c r="X254" s="331"/>
      <c r="Z254" s="331"/>
      <c r="AA254" s="331"/>
      <c r="AB254" s="331"/>
      <c r="AD254" s="331"/>
      <c r="AE254" s="331"/>
      <c r="AF254" s="331"/>
      <c r="AH254" s="331"/>
      <c r="AI254" s="331"/>
      <c r="AK254" s="331"/>
    </row>
    <row r="255" spans="2:37" x14ac:dyDescent="0.25">
      <c r="B255" s="123" t="str">
        <f t="shared" si="15"/>
        <v>9 2025</v>
      </c>
      <c r="C255" s="122">
        <f t="shared" si="17"/>
        <v>45906</v>
      </c>
      <c r="D255" s="122">
        <f t="shared" si="18"/>
        <v>45907</v>
      </c>
      <c r="E255" s="123">
        <f t="shared" si="16"/>
        <v>1</v>
      </c>
      <c r="F255" s="123" t="s">
        <v>7</v>
      </c>
      <c r="H255" s="328">
        <f t="shared" si="19"/>
        <v>45906</v>
      </c>
      <c r="I255" s="329"/>
      <c r="J255" s="400"/>
      <c r="L255" s="330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/>
      <c r="X255" s="331"/>
      <c r="Z255" s="331"/>
      <c r="AA255" s="331"/>
      <c r="AB255" s="331"/>
      <c r="AD255" s="331"/>
      <c r="AE255" s="331"/>
      <c r="AF255" s="331"/>
      <c r="AH255" s="331"/>
      <c r="AI255" s="331"/>
      <c r="AK255" s="331"/>
    </row>
    <row r="256" spans="2:37" x14ac:dyDescent="0.25">
      <c r="B256" s="123" t="str">
        <f t="shared" si="15"/>
        <v>9 2025</v>
      </c>
      <c r="C256" s="122">
        <f t="shared" si="17"/>
        <v>45907</v>
      </c>
      <c r="D256" s="122">
        <f t="shared" si="18"/>
        <v>45908</v>
      </c>
      <c r="E256" s="123">
        <f t="shared" si="16"/>
        <v>1</v>
      </c>
      <c r="F256" s="123" t="s">
        <v>7</v>
      </c>
      <c r="H256" s="328">
        <f t="shared" si="19"/>
        <v>45907</v>
      </c>
      <c r="I256" s="329"/>
      <c r="J256" s="400"/>
      <c r="L256" s="330"/>
      <c r="M256" s="331"/>
      <c r="N256" s="331"/>
      <c r="O256" s="331"/>
      <c r="P256" s="331"/>
      <c r="Q256" s="331"/>
      <c r="R256" s="331"/>
      <c r="S256" s="331"/>
      <c r="T256" s="331"/>
      <c r="U256" s="331"/>
      <c r="V256" s="331"/>
      <c r="W256" s="331"/>
      <c r="X256" s="331"/>
      <c r="Z256" s="331"/>
      <c r="AA256" s="331"/>
      <c r="AB256" s="331"/>
      <c r="AD256" s="331"/>
      <c r="AE256" s="331"/>
      <c r="AF256" s="331"/>
      <c r="AH256" s="331"/>
      <c r="AI256" s="331"/>
      <c r="AK256" s="331"/>
    </row>
    <row r="257" spans="2:37" x14ac:dyDescent="0.25">
      <c r="B257" s="123" t="str">
        <f t="shared" si="15"/>
        <v>9 2025</v>
      </c>
      <c r="C257" s="122">
        <f t="shared" si="17"/>
        <v>45908</v>
      </c>
      <c r="D257" s="122">
        <f t="shared" si="18"/>
        <v>45909</v>
      </c>
      <c r="E257" s="123">
        <f t="shared" si="16"/>
        <v>1</v>
      </c>
      <c r="F257" s="123" t="s">
        <v>7</v>
      </c>
      <c r="H257" s="328">
        <f t="shared" si="19"/>
        <v>45908</v>
      </c>
      <c r="I257" s="329"/>
      <c r="J257" s="400"/>
      <c r="L257" s="330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/>
      <c r="X257" s="331"/>
      <c r="Z257" s="331"/>
      <c r="AA257" s="331"/>
      <c r="AB257" s="331"/>
      <c r="AD257" s="331"/>
      <c r="AE257" s="331"/>
      <c r="AF257" s="331"/>
      <c r="AH257" s="331"/>
      <c r="AI257" s="331"/>
      <c r="AK257" s="331"/>
    </row>
    <row r="258" spans="2:37" x14ac:dyDescent="0.25">
      <c r="B258" s="123" t="str">
        <f t="shared" si="15"/>
        <v>9 2025</v>
      </c>
      <c r="C258" s="122">
        <f t="shared" si="17"/>
        <v>45909</v>
      </c>
      <c r="D258" s="122">
        <f t="shared" si="18"/>
        <v>45910</v>
      </c>
      <c r="E258" s="123">
        <f t="shared" si="16"/>
        <v>1</v>
      </c>
      <c r="F258" s="123" t="s">
        <v>7</v>
      </c>
      <c r="H258" s="328">
        <f t="shared" si="19"/>
        <v>45909</v>
      </c>
      <c r="I258" s="329"/>
      <c r="J258" s="400"/>
      <c r="L258" s="330"/>
      <c r="M258" s="331"/>
      <c r="N258" s="331"/>
      <c r="O258" s="331"/>
      <c r="P258" s="331"/>
      <c r="Q258" s="331"/>
      <c r="R258" s="331"/>
      <c r="S258" s="331"/>
      <c r="T258" s="331"/>
      <c r="U258" s="331"/>
      <c r="V258" s="331"/>
      <c r="W258" s="331"/>
      <c r="X258" s="331"/>
      <c r="Z258" s="331"/>
      <c r="AA258" s="331"/>
      <c r="AB258" s="331"/>
      <c r="AD258" s="331"/>
      <c r="AE258" s="331"/>
      <c r="AF258" s="331"/>
      <c r="AH258" s="331"/>
      <c r="AI258" s="331"/>
      <c r="AK258" s="331"/>
    </row>
    <row r="259" spans="2:37" x14ac:dyDescent="0.25">
      <c r="B259" s="123" t="str">
        <f t="shared" si="15"/>
        <v>9 2025</v>
      </c>
      <c r="C259" s="122">
        <f t="shared" si="17"/>
        <v>45910</v>
      </c>
      <c r="D259" s="122">
        <f t="shared" si="18"/>
        <v>45911</v>
      </c>
      <c r="E259" s="123">
        <f t="shared" si="16"/>
        <v>1</v>
      </c>
      <c r="F259" s="123" t="s">
        <v>7</v>
      </c>
      <c r="H259" s="328">
        <f t="shared" si="19"/>
        <v>45910</v>
      </c>
      <c r="I259" s="329"/>
      <c r="J259" s="400"/>
      <c r="L259" s="330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31"/>
      <c r="Z259" s="331"/>
      <c r="AA259" s="331"/>
      <c r="AB259" s="331"/>
      <c r="AD259" s="331"/>
      <c r="AE259" s="331"/>
      <c r="AF259" s="331"/>
      <c r="AH259" s="331"/>
      <c r="AI259" s="331"/>
      <c r="AK259" s="331"/>
    </row>
    <row r="260" spans="2:37" x14ac:dyDescent="0.25">
      <c r="B260" s="123" t="str">
        <f t="shared" si="15"/>
        <v>9 2025</v>
      </c>
      <c r="C260" s="122">
        <f t="shared" si="17"/>
        <v>45911</v>
      </c>
      <c r="D260" s="122">
        <f t="shared" si="18"/>
        <v>45912</v>
      </c>
      <c r="E260" s="123">
        <f t="shared" si="16"/>
        <v>1</v>
      </c>
      <c r="F260" s="123" t="s">
        <v>7</v>
      </c>
      <c r="H260" s="328">
        <f t="shared" si="19"/>
        <v>45911</v>
      </c>
      <c r="I260" s="329"/>
      <c r="J260" s="400"/>
      <c r="L260" s="330"/>
      <c r="M260" s="331"/>
      <c r="N260" s="331"/>
      <c r="O260" s="331"/>
      <c r="P260" s="331"/>
      <c r="Q260" s="331"/>
      <c r="R260" s="331"/>
      <c r="S260" s="331"/>
      <c r="T260" s="331"/>
      <c r="U260" s="331"/>
      <c r="V260" s="331"/>
      <c r="W260" s="331"/>
      <c r="X260" s="331"/>
      <c r="Z260" s="331"/>
      <c r="AA260" s="331"/>
      <c r="AB260" s="331"/>
      <c r="AD260" s="331"/>
      <c r="AE260" s="331"/>
      <c r="AF260" s="331"/>
      <c r="AH260" s="331"/>
      <c r="AI260" s="331"/>
      <c r="AK260" s="331"/>
    </row>
    <row r="261" spans="2:37" x14ac:dyDescent="0.25">
      <c r="B261" s="123" t="str">
        <f t="shared" si="15"/>
        <v>9 2025</v>
      </c>
      <c r="C261" s="122">
        <f t="shared" si="17"/>
        <v>45912</v>
      </c>
      <c r="D261" s="122">
        <f t="shared" si="18"/>
        <v>45913</v>
      </c>
      <c r="E261" s="123">
        <f t="shared" si="16"/>
        <v>1</v>
      </c>
      <c r="F261" s="123" t="s">
        <v>7</v>
      </c>
      <c r="H261" s="328">
        <f t="shared" si="19"/>
        <v>45912</v>
      </c>
      <c r="I261" s="329"/>
      <c r="J261" s="400"/>
      <c r="L261" s="330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/>
      <c r="X261" s="331"/>
      <c r="Z261" s="331"/>
      <c r="AA261" s="331"/>
      <c r="AB261" s="331"/>
      <c r="AD261" s="331"/>
      <c r="AE261" s="331"/>
      <c r="AF261" s="331"/>
      <c r="AH261" s="331"/>
      <c r="AI261" s="331"/>
      <c r="AK261" s="331"/>
    </row>
    <row r="262" spans="2:37" x14ac:dyDescent="0.25">
      <c r="B262" s="123" t="str">
        <f t="shared" ref="B262:B325" si="20">CONCATENATE(MONTH(D262)," ",YEAR(D262))</f>
        <v>9 2025</v>
      </c>
      <c r="C262" s="122">
        <f t="shared" si="17"/>
        <v>45913</v>
      </c>
      <c r="D262" s="122">
        <f t="shared" si="18"/>
        <v>45914</v>
      </c>
      <c r="E262" s="123">
        <f t="shared" ref="E262:E325" si="21">D262-C262</f>
        <v>1</v>
      </c>
      <c r="F262" s="123" t="s">
        <v>7</v>
      </c>
      <c r="H262" s="328">
        <f t="shared" si="19"/>
        <v>45913</v>
      </c>
      <c r="I262" s="329"/>
      <c r="J262" s="400"/>
      <c r="L262" s="330"/>
      <c r="M262" s="331"/>
      <c r="N262" s="331"/>
      <c r="O262" s="331"/>
      <c r="P262" s="331"/>
      <c r="Q262" s="331"/>
      <c r="R262" s="331"/>
      <c r="S262" s="331"/>
      <c r="T262" s="331"/>
      <c r="U262" s="331"/>
      <c r="V262" s="331"/>
      <c r="W262" s="331"/>
      <c r="X262" s="331"/>
      <c r="Z262" s="331"/>
      <c r="AA262" s="331"/>
      <c r="AB262" s="331"/>
      <c r="AD262" s="331"/>
      <c r="AE262" s="331"/>
      <c r="AF262" s="331"/>
      <c r="AH262" s="331"/>
      <c r="AI262" s="331"/>
      <c r="AK262" s="331"/>
    </row>
    <row r="263" spans="2:37" x14ac:dyDescent="0.25">
      <c r="B263" s="123" t="str">
        <f t="shared" si="20"/>
        <v>9 2025</v>
      </c>
      <c r="C263" s="122">
        <f t="shared" ref="C263:C326" si="22">D262</f>
        <v>45914</v>
      </c>
      <c r="D263" s="122">
        <f t="shared" ref="D263:D326" si="23">D262+1</f>
        <v>45915</v>
      </c>
      <c r="E263" s="123">
        <f t="shared" si="21"/>
        <v>1</v>
      </c>
      <c r="F263" s="123" t="s">
        <v>7</v>
      </c>
      <c r="H263" s="328">
        <f t="shared" ref="H263:H326" si="24">H262+1</f>
        <v>45914</v>
      </c>
      <c r="I263" s="329"/>
      <c r="J263" s="400"/>
      <c r="L263" s="330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/>
      <c r="X263" s="331"/>
      <c r="Z263" s="331"/>
      <c r="AA263" s="331"/>
      <c r="AB263" s="331"/>
      <c r="AD263" s="331"/>
      <c r="AE263" s="331"/>
      <c r="AF263" s="331"/>
      <c r="AH263" s="331"/>
      <c r="AI263" s="331"/>
      <c r="AK263" s="331"/>
    </row>
    <row r="264" spans="2:37" x14ac:dyDescent="0.25">
      <c r="B264" s="123" t="str">
        <f t="shared" si="20"/>
        <v>9 2025</v>
      </c>
      <c r="C264" s="122">
        <f t="shared" si="22"/>
        <v>45915</v>
      </c>
      <c r="D264" s="122">
        <f t="shared" si="23"/>
        <v>45916</v>
      </c>
      <c r="E264" s="123">
        <f t="shared" si="21"/>
        <v>1</v>
      </c>
      <c r="F264" s="123" t="s">
        <v>7</v>
      </c>
      <c r="H264" s="328">
        <f t="shared" si="24"/>
        <v>45915</v>
      </c>
      <c r="I264" s="329"/>
      <c r="J264" s="400"/>
      <c r="L264" s="330"/>
      <c r="M264" s="331"/>
      <c r="N264" s="331"/>
      <c r="O264" s="331"/>
      <c r="P264" s="331"/>
      <c r="Q264" s="331"/>
      <c r="R264" s="331"/>
      <c r="S264" s="331"/>
      <c r="T264" s="331"/>
      <c r="U264" s="331"/>
      <c r="V264" s="331"/>
      <c r="W264" s="331"/>
      <c r="X264" s="331"/>
      <c r="Z264" s="331"/>
      <c r="AA264" s="331"/>
      <c r="AB264" s="331"/>
      <c r="AD264" s="331"/>
      <c r="AE264" s="331"/>
      <c r="AF264" s="331"/>
      <c r="AH264" s="331"/>
      <c r="AI264" s="331"/>
      <c r="AK264" s="331"/>
    </row>
    <row r="265" spans="2:37" x14ac:dyDescent="0.25">
      <c r="B265" s="123" t="str">
        <f t="shared" si="20"/>
        <v>9 2025</v>
      </c>
      <c r="C265" s="122">
        <f t="shared" si="22"/>
        <v>45916</v>
      </c>
      <c r="D265" s="122">
        <f t="shared" si="23"/>
        <v>45917</v>
      </c>
      <c r="E265" s="123">
        <f t="shared" si="21"/>
        <v>1</v>
      </c>
      <c r="F265" s="123" t="s">
        <v>7</v>
      </c>
      <c r="H265" s="328">
        <f t="shared" si="24"/>
        <v>45916</v>
      </c>
      <c r="I265" s="329"/>
      <c r="J265" s="400"/>
      <c r="L265" s="330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/>
      <c r="X265" s="331"/>
      <c r="Z265" s="331"/>
      <c r="AA265" s="331"/>
      <c r="AB265" s="331"/>
      <c r="AD265" s="331"/>
      <c r="AE265" s="331"/>
      <c r="AF265" s="331"/>
      <c r="AH265" s="331"/>
      <c r="AI265" s="331"/>
      <c r="AK265" s="331"/>
    </row>
    <row r="266" spans="2:37" x14ac:dyDescent="0.25">
      <c r="B266" s="123" t="str">
        <f t="shared" si="20"/>
        <v>9 2025</v>
      </c>
      <c r="C266" s="122">
        <f t="shared" si="22"/>
        <v>45917</v>
      </c>
      <c r="D266" s="122">
        <f t="shared" si="23"/>
        <v>45918</v>
      </c>
      <c r="E266" s="123">
        <f t="shared" si="21"/>
        <v>1</v>
      </c>
      <c r="F266" s="123" t="s">
        <v>7</v>
      </c>
      <c r="H266" s="328">
        <f t="shared" si="24"/>
        <v>45917</v>
      </c>
      <c r="I266" s="329"/>
      <c r="J266" s="400"/>
      <c r="L266" s="330"/>
      <c r="M266" s="331"/>
      <c r="N266" s="331"/>
      <c r="O266" s="331"/>
      <c r="P266" s="331"/>
      <c r="Q266" s="331"/>
      <c r="R266" s="331"/>
      <c r="S266" s="331"/>
      <c r="T266" s="331"/>
      <c r="U266" s="331"/>
      <c r="V266" s="331"/>
      <c r="W266" s="331"/>
      <c r="X266" s="331"/>
      <c r="Z266" s="331"/>
      <c r="AA266" s="331"/>
      <c r="AB266" s="331"/>
      <c r="AD266" s="331"/>
      <c r="AE266" s="331"/>
      <c r="AF266" s="331"/>
      <c r="AH266" s="331"/>
      <c r="AI266" s="331"/>
      <c r="AK266" s="331"/>
    </row>
    <row r="267" spans="2:37" x14ac:dyDescent="0.25">
      <c r="B267" s="123" t="str">
        <f t="shared" si="20"/>
        <v>9 2025</v>
      </c>
      <c r="C267" s="122">
        <f t="shared" si="22"/>
        <v>45918</v>
      </c>
      <c r="D267" s="122">
        <f t="shared" si="23"/>
        <v>45919</v>
      </c>
      <c r="E267" s="123">
        <f t="shared" si="21"/>
        <v>1</v>
      </c>
      <c r="F267" s="123" t="s">
        <v>7</v>
      </c>
      <c r="H267" s="328">
        <f t="shared" si="24"/>
        <v>45918</v>
      </c>
      <c r="I267" s="329"/>
      <c r="J267" s="400"/>
      <c r="L267" s="330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/>
      <c r="X267" s="331"/>
      <c r="Z267" s="331"/>
      <c r="AA267" s="331"/>
      <c r="AB267" s="331"/>
      <c r="AD267" s="331"/>
      <c r="AE267" s="331"/>
      <c r="AF267" s="331"/>
      <c r="AH267" s="331"/>
      <c r="AI267" s="331"/>
      <c r="AK267" s="331"/>
    </row>
    <row r="268" spans="2:37" x14ac:dyDescent="0.25">
      <c r="B268" s="380" t="str">
        <f t="shared" si="20"/>
        <v>9 2025</v>
      </c>
      <c r="C268" s="381">
        <f t="shared" si="22"/>
        <v>45919</v>
      </c>
      <c r="D268" s="381">
        <f t="shared" si="23"/>
        <v>45920</v>
      </c>
      <c r="E268" s="380">
        <f t="shared" si="21"/>
        <v>1</v>
      </c>
      <c r="F268" s="380" t="s">
        <v>7</v>
      </c>
      <c r="H268" s="459">
        <f t="shared" si="24"/>
        <v>45919</v>
      </c>
      <c r="I268" s="332">
        <v>101.47669999999999</v>
      </c>
      <c r="J268" s="400"/>
      <c r="L268" s="333">
        <v>200000</v>
      </c>
      <c r="M268" s="333">
        <v>1099</v>
      </c>
      <c r="N268" s="379">
        <f>ROUND(M268*L268*ROUND(I268,4)%,0)</f>
        <v>223045787</v>
      </c>
      <c r="O268" s="334"/>
      <c r="P268" s="334">
        <v>948</v>
      </c>
      <c r="Q268" s="333">
        <f>M268-P268</f>
        <v>151</v>
      </c>
      <c r="R268" s="333">
        <v>128</v>
      </c>
      <c r="S268" s="333">
        <f>Q268-R268</f>
        <v>23</v>
      </c>
      <c r="T268" s="333">
        <v>23</v>
      </c>
      <c r="U268" s="333">
        <f>S268-T268</f>
        <v>0</v>
      </c>
      <c r="V268" s="334"/>
      <c r="W268" s="334"/>
      <c r="X268" s="334"/>
      <c r="Z268" s="333">
        <f>M268</f>
        <v>1099</v>
      </c>
      <c r="AA268" s="333">
        <f>N268</f>
        <v>223045787</v>
      </c>
      <c r="AB268" s="379">
        <f t="shared" ref="AB268:AB299" si="25">Z268*L268*ROUND(I268,4)%</f>
        <v>223045786.59999999</v>
      </c>
      <c r="AD268" s="333">
        <f t="shared" ref="AD268:AD299" si="26">AB268-AA268</f>
        <v>-0.40000000596046448</v>
      </c>
      <c r="AE268" s="333">
        <f t="shared" ref="AE268:AE299" si="27">AB268+V268-AB267-N268</f>
        <v>-0.40000000596046448</v>
      </c>
      <c r="AF268" s="333"/>
      <c r="AH268" s="337">
        <f t="shared" ref="AH268:AH277" si="28">AH269</f>
        <v>4.3087365241119807E-2</v>
      </c>
      <c r="AI268" s="333"/>
      <c r="AK268" s="333"/>
    </row>
    <row r="269" spans="2:37" x14ac:dyDescent="0.25">
      <c r="B269" s="123" t="str">
        <f t="shared" si="20"/>
        <v>9 2025</v>
      </c>
      <c r="C269" s="122">
        <f t="shared" si="22"/>
        <v>45920</v>
      </c>
      <c r="D269" s="122">
        <f t="shared" si="23"/>
        <v>45921</v>
      </c>
      <c r="E269" s="123">
        <f t="shared" si="21"/>
        <v>1</v>
      </c>
      <c r="F269" s="123" t="s">
        <v>7</v>
      </c>
      <c r="H269" s="328">
        <f t="shared" si="24"/>
        <v>45920</v>
      </c>
      <c r="I269" s="329">
        <v>101.47669999999999</v>
      </c>
      <c r="J269" s="400"/>
      <c r="L269" s="330">
        <v>200000</v>
      </c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/>
      <c r="X269" s="331"/>
      <c r="Z269" s="330">
        <f t="shared" ref="Z269:AA271" si="29">Z268+M269</f>
        <v>1099</v>
      </c>
      <c r="AA269" s="330">
        <f t="shared" si="29"/>
        <v>223045787</v>
      </c>
      <c r="AB269" s="378">
        <f t="shared" si="25"/>
        <v>223045786.59999999</v>
      </c>
      <c r="AD269" s="330">
        <f t="shared" si="26"/>
        <v>-0.40000000596046448</v>
      </c>
      <c r="AE269" s="330">
        <f t="shared" si="27"/>
        <v>0</v>
      </c>
      <c r="AF269" s="330"/>
      <c r="AH269" s="427">
        <f t="shared" si="28"/>
        <v>4.3087365241119807E-2</v>
      </c>
      <c r="AI269" s="335">
        <f t="shared" ref="AI269:AI278" si="30">(I269/$I$268-1)*360/(D269-$D$268)</f>
        <v>0</v>
      </c>
      <c r="AK269" s="330">
        <f>AE269-AA268*'OverNight $'!H268*E269/360</f>
        <v>-22614.364515277775</v>
      </c>
    </row>
    <row r="270" spans="2:37" x14ac:dyDescent="0.25">
      <c r="B270" s="123" t="str">
        <f t="shared" si="20"/>
        <v>9 2025</v>
      </c>
      <c r="C270" s="122">
        <f t="shared" si="22"/>
        <v>45921</v>
      </c>
      <c r="D270" s="122">
        <f t="shared" si="23"/>
        <v>45922</v>
      </c>
      <c r="E270" s="123">
        <f t="shared" si="21"/>
        <v>1</v>
      </c>
      <c r="F270" s="123" t="s">
        <v>7</v>
      </c>
      <c r="H270" s="328">
        <f t="shared" si="24"/>
        <v>45921</v>
      </c>
      <c r="I270" s="329">
        <v>101.47669999999999</v>
      </c>
      <c r="J270" s="400"/>
      <c r="L270" s="330">
        <v>200000</v>
      </c>
      <c r="M270" s="331"/>
      <c r="N270" s="331"/>
      <c r="O270" s="331"/>
      <c r="P270" s="331"/>
      <c r="Q270" s="331"/>
      <c r="R270" s="331"/>
      <c r="S270" s="331"/>
      <c r="T270" s="331"/>
      <c r="U270" s="331"/>
      <c r="V270" s="331"/>
      <c r="W270" s="331"/>
      <c r="X270" s="331"/>
      <c r="Z270" s="330">
        <f t="shared" si="29"/>
        <v>1099</v>
      </c>
      <c r="AA270" s="330">
        <f t="shared" si="29"/>
        <v>223045787</v>
      </c>
      <c r="AB270" s="378">
        <f t="shared" si="25"/>
        <v>223045786.59999999</v>
      </c>
      <c r="AD270" s="330">
        <f t="shared" si="26"/>
        <v>-0.40000000596046448</v>
      </c>
      <c r="AE270" s="330">
        <f t="shared" si="27"/>
        <v>0</v>
      </c>
      <c r="AF270" s="330"/>
      <c r="AH270" s="427">
        <f t="shared" si="28"/>
        <v>4.3087365241119807E-2</v>
      </c>
      <c r="AI270" s="335">
        <f t="shared" si="30"/>
        <v>0</v>
      </c>
      <c r="AK270" s="330">
        <f>AE270-AA269*'OverNight $'!H269*E270/360</f>
        <v>-22614.364515277775</v>
      </c>
    </row>
    <row r="271" spans="2:37" x14ac:dyDescent="0.25">
      <c r="B271" s="123" t="str">
        <f t="shared" si="20"/>
        <v>9 2025</v>
      </c>
      <c r="C271" s="122">
        <f t="shared" si="22"/>
        <v>45922</v>
      </c>
      <c r="D271" s="122">
        <f t="shared" si="23"/>
        <v>45923</v>
      </c>
      <c r="E271" s="123">
        <f t="shared" si="21"/>
        <v>1</v>
      </c>
      <c r="F271" s="123" t="s">
        <v>7</v>
      </c>
      <c r="H271" s="328">
        <f t="shared" si="24"/>
        <v>45922</v>
      </c>
      <c r="I271" s="329">
        <v>101.5146</v>
      </c>
      <c r="J271" s="400"/>
      <c r="L271" s="330">
        <v>200000</v>
      </c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/>
      <c r="X271" s="331"/>
      <c r="Z271" s="330">
        <f t="shared" si="29"/>
        <v>1099</v>
      </c>
      <c r="AA271" s="330">
        <f t="shared" si="29"/>
        <v>223045787</v>
      </c>
      <c r="AB271" s="378">
        <f t="shared" si="25"/>
        <v>223129090.80000001</v>
      </c>
      <c r="AD271" s="330">
        <f t="shared" si="26"/>
        <v>83303.800000011921</v>
      </c>
      <c r="AE271" s="330">
        <f t="shared" si="27"/>
        <v>83304.200000017881</v>
      </c>
      <c r="AF271" s="330"/>
      <c r="AH271" s="427">
        <f t="shared" si="28"/>
        <v>4.3087365241119807E-2</v>
      </c>
      <c r="AI271" s="335">
        <f t="shared" si="30"/>
        <v>4.4818170082399078E-2</v>
      </c>
      <c r="AK271" s="330">
        <f>AE271-AA270*'OverNight $'!H270*E271/360</f>
        <v>60689.835484740106</v>
      </c>
    </row>
    <row r="272" spans="2:37" x14ac:dyDescent="0.25">
      <c r="B272" s="123" t="str">
        <f t="shared" si="20"/>
        <v>9 2025</v>
      </c>
      <c r="C272" s="122">
        <f t="shared" si="22"/>
        <v>45923</v>
      </c>
      <c r="D272" s="122">
        <f t="shared" si="23"/>
        <v>45924</v>
      </c>
      <c r="E272" s="123">
        <f t="shared" si="21"/>
        <v>1</v>
      </c>
      <c r="F272" s="123" t="s">
        <v>7</v>
      </c>
      <c r="H272" s="328">
        <f t="shared" si="24"/>
        <v>45923</v>
      </c>
      <c r="I272" s="329">
        <v>101.5266</v>
      </c>
      <c r="J272" s="400"/>
      <c r="L272" s="330">
        <v>200000</v>
      </c>
      <c r="M272" s="331"/>
      <c r="N272" s="331"/>
      <c r="O272" s="331"/>
      <c r="P272" s="331"/>
      <c r="Q272" s="331"/>
      <c r="R272" s="331"/>
      <c r="S272" s="331"/>
      <c r="T272" s="331"/>
      <c r="U272" s="331"/>
      <c r="V272" s="330"/>
      <c r="W272" s="330"/>
      <c r="X272" s="330"/>
      <c r="Z272" s="330">
        <f t="shared" ref="Z272:Z313" si="31">Z271+M272-O272</f>
        <v>1099</v>
      </c>
      <c r="AA272" s="330">
        <f t="shared" ref="AA272:AA299" si="32">AA271+N272-X272</f>
        <v>223045787</v>
      </c>
      <c r="AB272" s="378">
        <f t="shared" si="25"/>
        <v>223155466.80000001</v>
      </c>
      <c r="AD272" s="330">
        <f t="shared" si="26"/>
        <v>109679.80000001192</v>
      </c>
      <c r="AE272" s="330">
        <f t="shared" si="27"/>
        <v>26376</v>
      </c>
      <c r="AF272" s="330"/>
      <c r="AH272" s="427">
        <f t="shared" si="28"/>
        <v>4.3087365241119807E-2</v>
      </c>
      <c r="AI272" s="335">
        <f t="shared" si="30"/>
        <v>4.4256464784537819E-2</v>
      </c>
      <c r="AK272" s="330">
        <f>AE272-AA271*'OverNight $'!H271*E272/360</f>
        <v>3761.6354847222246</v>
      </c>
    </row>
    <row r="273" spans="1:37" x14ac:dyDescent="0.25">
      <c r="B273" s="123" t="str">
        <f t="shared" si="20"/>
        <v>9 2025</v>
      </c>
      <c r="C273" s="122">
        <f t="shared" si="22"/>
        <v>45924</v>
      </c>
      <c r="D273" s="122">
        <f t="shared" si="23"/>
        <v>45925</v>
      </c>
      <c r="E273" s="123">
        <f t="shared" si="21"/>
        <v>1</v>
      </c>
      <c r="F273" s="123" t="s">
        <v>7</v>
      </c>
      <c r="H273" s="328">
        <f t="shared" si="24"/>
        <v>45924</v>
      </c>
      <c r="I273" s="329">
        <v>101.5385</v>
      </c>
      <c r="J273" s="400"/>
      <c r="L273" s="330">
        <v>200000</v>
      </c>
      <c r="M273" s="331"/>
      <c r="N273" s="331"/>
      <c r="O273" s="331"/>
      <c r="P273" s="331"/>
      <c r="Q273" s="331"/>
      <c r="R273" s="331"/>
      <c r="S273" s="331"/>
      <c r="T273" s="331"/>
      <c r="U273" s="331"/>
      <c r="V273" s="331"/>
      <c r="W273" s="331"/>
      <c r="X273" s="331"/>
      <c r="Z273" s="330">
        <f t="shared" si="31"/>
        <v>1099</v>
      </c>
      <c r="AA273" s="330">
        <f t="shared" si="32"/>
        <v>223045787</v>
      </c>
      <c r="AB273" s="378">
        <f t="shared" si="25"/>
        <v>223181623</v>
      </c>
      <c r="AD273" s="330">
        <f t="shared" si="26"/>
        <v>135836</v>
      </c>
      <c r="AE273" s="330">
        <f t="shared" si="27"/>
        <v>26156.199999988079</v>
      </c>
      <c r="AF273" s="330"/>
      <c r="AH273" s="427">
        <f t="shared" si="28"/>
        <v>4.3087365241119807E-2</v>
      </c>
      <c r="AI273" s="335">
        <f t="shared" si="30"/>
        <v>4.3848489357664278E-2</v>
      </c>
      <c r="AK273" s="330">
        <f>AE273-AA272*'OverNight $'!H272*E273/360</f>
        <v>3541.8354847103037</v>
      </c>
    </row>
    <row r="274" spans="1:37" x14ac:dyDescent="0.25">
      <c r="B274" s="123" t="str">
        <f t="shared" si="20"/>
        <v>9 2025</v>
      </c>
      <c r="C274" s="122">
        <f t="shared" si="22"/>
        <v>45925</v>
      </c>
      <c r="D274" s="122">
        <f t="shared" si="23"/>
        <v>45926</v>
      </c>
      <c r="E274" s="123">
        <f t="shared" si="21"/>
        <v>1</v>
      </c>
      <c r="F274" s="123" t="s">
        <v>7</v>
      </c>
      <c r="H274" s="328">
        <f t="shared" si="24"/>
        <v>45925</v>
      </c>
      <c r="I274" s="329">
        <v>101.5505</v>
      </c>
      <c r="J274" s="400"/>
      <c r="L274" s="330">
        <v>200000</v>
      </c>
      <c r="M274" s="331"/>
      <c r="N274" s="331"/>
      <c r="O274" s="331"/>
      <c r="P274" s="331"/>
      <c r="Q274" s="331"/>
      <c r="R274" s="331"/>
      <c r="S274" s="331"/>
      <c r="T274" s="331"/>
      <c r="U274" s="331"/>
      <c r="V274" s="331"/>
      <c r="W274" s="331"/>
      <c r="X274" s="331"/>
      <c r="Z274" s="330">
        <f t="shared" si="31"/>
        <v>1099</v>
      </c>
      <c r="AA274" s="330">
        <f t="shared" si="32"/>
        <v>223045787</v>
      </c>
      <c r="AB274" s="378">
        <f t="shared" si="25"/>
        <v>223207999.00000003</v>
      </c>
      <c r="AD274" s="330">
        <f t="shared" si="26"/>
        <v>162212.0000000298</v>
      </c>
      <c r="AE274" s="330">
        <f t="shared" si="27"/>
        <v>26376.000000029802</v>
      </c>
      <c r="AF274" s="330"/>
      <c r="AH274" s="427">
        <f t="shared" si="28"/>
        <v>4.3087365241119807E-2</v>
      </c>
      <c r="AI274" s="335">
        <f t="shared" si="30"/>
        <v>4.3635632613199249E-2</v>
      </c>
      <c r="AK274" s="330">
        <f>AE274-AA273*'OverNight $'!H273*E274/360</f>
        <v>3761.635484752027</v>
      </c>
    </row>
    <row r="275" spans="1:37" x14ac:dyDescent="0.25">
      <c r="B275" s="123" t="str">
        <f t="shared" si="20"/>
        <v>9 2025</v>
      </c>
      <c r="C275" s="122">
        <f t="shared" si="22"/>
        <v>45926</v>
      </c>
      <c r="D275" s="122">
        <f t="shared" si="23"/>
        <v>45927</v>
      </c>
      <c r="E275" s="123">
        <f t="shared" si="21"/>
        <v>1</v>
      </c>
      <c r="F275" s="123" t="s">
        <v>7</v>
      </c>
      <c r="H275" s="328">
        <f t="shared" si="24"/>
        <v>45926</v>
      </c>
      <c r="I275" s="329">
        <v>101.5624</v>
      </c>
      <c r="J275" s="400"/>
      <c r="L275" s="330">
        <v>200000</v>
      </c>
      <c r="M275" s="331"/>
      <c r="N275" s="331"/>
      <c r="O275" s="331"/>
      <c r="P275" s="331"/>
      <c r="Q275" s="331"/>
      <c r="R275" s="331"/>
      <c r="S275" s="331"/>
      <c r="T275" s="331"/>
      <c r="U275" s="331"/>
      <c r="V275" s="331"/>
      <c r="W275" s="331"/>
      <c r="X275" s="331"/>
      <c r="Z275" s="330">
        <f t="shared" si="31"/>
        <v>1099</v>
      </c>
      <c r="AA275" s="330">
        <f t="shared" si="32"/>
        <v>223045787</v>
      </c>
      <c r="AB275" s="378">
        <f t="shared" si="25"/>
        <v>223234155.19999996</v>
      </c>
      <c r="AD275" s="330">
        <f t="shared" si="26"/>
        <v>188368.19999995828</v>
      </c>
      <c r="AE275" s="330">
        <f t="shared" si="27"/>
        <v>26156.199999928474</v>
      </c>
      <c r="AF275" s="330"/>
      <c r="AH275" s="427">
        <f t="shared" si="28"/>
        <v>4.3087365241119807E-2</v>
      </c>
      <c r="AI275" s="335">
        <f t="shared" si="30"/>
        <v>4.3432911904195085E-2</v>
      </c>
      <c r="AK275" s="330">
        <f>AE275-AA274*'OverNight $'!H274*E275/360</f>
        <v>3541.8354846506991</v>
      </c>
    </row>
    <row r="276" spans="1:37" x14ac:dyDescent="0.25">
      <c r="B276" s="123" t="str">
        <f t="shared" si="20"/>
        <v>9 2025</v>
      </c>
      <c r="C276" s="122">
        <f t="shared" si="22"/>
        <v>45927</v>
      </c>
      <c r="D276" s="122">
        <f t="shared" si="23"/>
        <v>45928</v>
      </c>
      <c r="E276" s="123">
        <f t="shared" si="21"/>
        <v>1</v>
      </c>
      <c r="F276" s="123" t="s">
        <v>7</v>
      </c>
      <c r="H276" s="328">
        <f t="shared" si="24"/>
        <v>45927</v>
      </c>
      <c r="I276" s="329">
        <v>101.5624</v>
      </c>
      <c r="J276" s="400"/>
      <c r="L276" s="330">
        <v>200000</v>
      </c>
      <c r="M276" s="331"/>
      <c r="N276" s="331"/>
      <c r="O276" s="331"/>
      <c r="P276" s="331"/>
      <c r="Q276" s="331"/>
      <c r="R276" s="331"/>
      <c r="S276" s="331"/>
      <c r="T276" s="331"/>
      <c r="U276" s="331"/>
      <c r="V276" s="331"/>
      <c r="W276" s="331"/>
      <c r="X276" s="331"/>
      <c r="Z276" s="330">
        <f t="shared" si="31"/>
        <v>1099</v>
      </c>
      <c r="AA276" s="330">
        <f t="shared" si="32"/>
        <v>223045787</v>
      </c>
      <c r="AB276" s="378">
        <f t="shared" si="25"/>
        <v>223234155.19999996</v>
      </c>
      <c r="AD276" s="330">
        <f t="shared" si="26"/>
        <v>188368.19999995828</v>
      </c>
      <c r="AE276" s="330">
        <f t="shared" si="27"/>
        <v>0</v>
      </c>
      <c r="AF276" s="330"/>
      <c r="AH276" s="427">
        <f t="shared" si="28"/>
        <v>4.3087365241119807E-2</v>
      </c>
      <c r="AI276" s="335">
        <f t="shared" si="30"/>
        <v>3.8003797916170701E-2</v>
      </c>
      <c r="AK276" s="330">
        <f>AE276-AA275*'OverNight $'!H275*E276/360</f>
        <v>-22614.364515277775</v>
      </c>
    </row>
    <row r="277" spans="1:37" x14ac:dyDescent="0.25">
      <c r="B277" s="123" t="str">
        <f t="shared" si="20"/>
        <v>9 2025</v>
      </c>
      <c r="C277" s="122">
        <f t="shared" si="22"/>
        <v>45928</v>
      </c>
      <c r="D277" s="122">
        <f t="shared" si="23"/>
        <v>45929</v>
      </c>
      <c r="E277" s="123">
        <f t="shared" si="21"/>
        <v>1</v>
      </c>
      <c r="F277" s="123" t="s">
        <v>7</v>
      </c>
      <c r="H277" s="328">
        <f t="shared" si="24"/>
        <v>45928</v>
      </c>
      <c r="I277" s="329">
        <v>101.5624</v>
      </c>
      <c r="J277" s="400"/>
      <c r="L277" s="330">
        <v>200000</v>
      </c>
      <c r="M277" s="331"/>
      <c r="N277" s="331"/>
      <c r="O277" s="331"/>
      <c r="P277" s="331"/>
      <c r="Q277" s="331"/>
      <c r="R277" s="331"/>
      <c r="S277" s="331"/>
      <c r="T277" s="331"/>
      <c r="U277" s="331"/>
      <c r="V277" s="331"/>
      <c r="W277" s="331"/>
      <c r="X277" s="331"/>
      <c r="Z277" s="330">
        <f t="shared" si="31"/>
        <v>1099</v>
      </c>
      <c r="AA277" s="330">
        <f t="shared" si="32"/>
        <v>223045787</v>
      </c>
      <c r="AB277" s="378">
        <f t="shared" si="25"/>
        <v>223234155.19999996</v>
      </c>
      <c r="AD277" s="330">
        <f t="shared" si="26"/>
        <v>188368.19999995828</v>
      </c>
      <c r="AE277" s="330">
        <f t="shared" si="27"/>
        <v>0</v>
      </c>
      <c r="AF277" s="330"/>
      <c r="AH277" s="427">
        <f t="shared" si="28"/>
        <v>4.3087365241119807E-2</v>
      </c>
      <c r="AI277" s="335">
        <f t="shared" si="30"/>
        <v>3.3781153703262845E-2</v>
      </c>
      <c r="AK277" s="330">
        <f>AE277-AA276*'OverNight $'!H276*E277/360</f>
        <v>-22614.364515277775</v>
      </c>
    </row>
    <row r="278" spans="1:37" x14ac:dyDescent="0.25">
      <c r="B278" s="148" t="str">
        <f t="shared" si="20"/>
        <v>9 2025</v>
      </c>
      <c r="C278" s="149">
        <f t="shared" si="22"/>
        <v>45929</v>
      </c>
      <c r="D278" s="149">
        <f t="shared" si="23"/>
        <v>45930</v>
      </c>
      <c r="E278" s="148">
        <f t="shared" si="21"/>
        <v>1</v>
      </c>
      <c r="F278" s="148" t="s">
        <v>7</v>
      </c>
      <c r="H278" s="327">
        <f t="shared" si="24"/>
        <v>45929</v>
      </c>
      <c r="I278" s="332">
        <v>101.59820000000001</v>
      </c>
      <c r="J278" s="400"/>
      <c r="L278" s="333">
        <v>200000</v>
      </c>
      <c r="M278" s="333">
        <v>1083</v>
      </c>
      <c r="N278" s="379">
        <f>ROUND(M278*L278*ROUND(I278,4)%,0)</f>
        <v>220061701</v>
      </c>
      <c r="O278" s="334"/>
      <c r="P278" s="334"/>
      <c r="Q278" s="333"/>
      <c r="R278" s="333"/>
      <c r="S278" s="333"/>
      <c r="T278" s="333">
        <f>347-T268</f>
        <v>324</v>
      </c>
      <c r="U278" s="333">
        <f>M278-T278</f>
        <v>759</v>
      </c>
      <c r="V278" s="334"/>
      <c r="W278" s="334"/>
      <c r="X278" s="334"/>
      <c r="Z278" s="333">
        <f t="shared" si="31"/>
        <v>2182</v>
      </c>
      <c r="AA278" s="333">
        <f t="shared" si="32"/>
        <v>443107488</v>
      </c>
      <c r="AB278" s="379">
        <f t="shared" si="25"/>
        <v>443374544.80000007</v>
      </c>
      <c r="AD278" s="333">
        <f t="shared" si="26"/>
        <v>267056.80000007153</v>
      </c>
      <c r="AE278" s="333">
        <f t="shared" si="27"/>
        <v>78688.600000113249</v>
      </c>
      <c r="AF278" s="333"/>
      <c r="AH278" s="337">
        <f>AH279</f>
        <v>4.3087365241119807E-2</v>
      </c>
      <c r="AI278" s="337">
        <f t="shared" si="30"/>
        <v>4.3103490752065987E-2</v>
      </c>
      <c r="AK278" s="333">
        <f>AE278-AA277*'OverNight $'!H277*E278/360</f>
        <v>56074.235484835473</v>
      </c>
    </row>
    <row r="279" spans="1:37" x14ac:dyDescent="0.25">
      <c r="A279" s="191" t="s">
        <v>139</v>
      </c>
      <c r="B279" s="404" t="str">
        <f t="shared" si="20"/>
        <v>10 2025</v>
      </c>
      <c r="C279" s="405">
        <f t="shared" si="22"/>
        <v>45930</v>
      </c>
      <c r="D279" s="405">
        <f t="shared" si="23"/>
        <v>45931</v>
      </c>
      <c r="E279" s="404">
        <f t="shared" si="21"/>
        <v>1</v>
      </c>
      <c r="F279" s="404" t="s">
        <v>7</v>
      </c>
      <c r="H279" s="398">
        <f t="shared" si="24"/>
        <v>45930</v>
      </c>
      <c r="I279" s="389">
        <v>101.6103</v>
      </c>
      <c r="J279" s="400"/>
      <c r="L279" s="386">
        <v>200000</v>
      </c>
      <c r="M279" s="387"/>
      <c r="N279" s="387"/>
      <c r="O279" s="387"/>
      <c r="P279" s="387"/>
      <c r="Q279" s="387"/>
      <c r="R279" s="387"/>
      <c r="S279" s="387"/>
      <c r="T279" s="387"/>
      <c r="U279" s="387"/>
      <c r="V279" s="387"/>
      <c r="W279" s="387"/>
      <c r="X279" s="387"/>
      <c r="Z279" s="386">
        <f t="shared" si="31"/>
        <v>2182</v>
      </c>
      <c r="AA279" s="386">
        <f t="shared" si="32"/>
        <v>443107488</v>
      </c>
      <c r="AB279" s="388">
        <f t="shared" si="25"/>
        <v>443427349.19999999</v>
      </c>
      <c r="AD279" s="386">
        <f t="shared" si="26"/>
        <v>319861.19999998808</v>
      </c>
      <c r="AE279" s="386">
        <f t="shared" si="27"/>
        <v>52804.399999916553</v>
      </c>
      <c r="AF279" s="388">
        <f>SUM(AE268:AE279)</f>
        <v>319861.19999998808</v>
      </c>
      <c r="AH279" s="391">
        <f>(I279/I268-1)*360/(D279-D268)</f>
        <v>4.3087365241119807E-2</v>
      </c>
      <c r="AI279" s="391">
        <f>(I279/$I$268-1)*360/(D279-$D$268)</f>
        <v>4.3087365241119807E-2</v>
      </c>
      <c r="AK279" s="386">
        <f>AE279-AA278*'OverNight $'!H278*E279/360</f>
        <v>7878.2241332498888</v>
      </c>
    </row>
    <row r="280" spans="1:37" x14ac:dyDescent="0.25">
      <c r="B280" s="123" t="str">
        <f t="shared" si="20"/>
        <v>10 2025</v>
      </c>
      <c r="C280" s="122">
        <f t="shared" si="22"/>
        <v>45931</v>
      </c>
      <c r="D280" s="122">
        <f t="shared" si="23"/>
        <v>45932</v>
      </c>
      <c r="E280" s="123">
        <f t="shared" si="21"/>
        <v>1</v>
      </c>
      <c r="F280" s="123" t="s">
        <v>7</v>
      </c>
      <c r="H280" s="328">
        <f t="shared" si="24"/>
        <v>45931</v>
      </c>
      <c r="I280" s="329">
        <v>101.6223</v>
      </c>
      <c r="J280" s="400"/>
      <c r="L280" s="330">
        <v>200000</v>
      </c>
      <c r="M280" s="331"/>
      <c r="N280" s="331"/>
      <c r="O280" s="331"/>
      <c r="P280" s="331"/>
      <c r="Q280" s="331"/>
      <c r="R280" s="331"/>
      <c r="S280" s="331"/>
      <c r="T280" s="331"/>
      <c r="U280" s="331"/>
      <c r="V280" s="331"/>
      <c r="W280" s="331"/>
      <c r="X280" s="331"/>
      <c r="Z280" s="330">
        <f t="shared" si="31"/>
        <v>2182</v>
      </c>
      <c r="AA280" s="330">
        <f t="shared" si="32"/>
        <v>443107488</v>
      </c>
      <c r="AB280" s="378">
        <f t="shared" si="25"/>
        <v>443479717.19999993</v>
      </c>
      <c r="AD280" s="330">
        <f t="shared" si="26"/>
        <v>372229.19999992847</v>
      </c>
      <c r="AE280" s="330">
        <f t="shared" si="27"/>
        <v>52367.999999940395</v>
      </c>
      <c r="AF280" s="331"/>
      <c r="AH280" s="402">
        <f t="shared" ref="AH280:AH308" si="33">AH281</f>
        <v>4.3075389264736093E-2</v>
      </c>
      <c r="AI280" s="335">
        <f>(I280/$I$268-1)*360/(D280-$D$268)</f>
        <v>4.3044363878605996E-2</v>
      </c>
      <c r="AK280" s="330">
        <f>AE280-AA279*'OverNight $'!H279*E280/360</f>
        <v>7441.8241332737307</v>
      </c>
    </row>
    <row r="281" spans="1:37" x14ac:dyDescent="0.25">
      <c r="B281" s="123" t="str">
        <f t="shared" si="20"/>
        <v>10 2025</v>
      </c>
      <c r="C281" s="122">
        <f t="shared" si="22"/>
        <v>45932</v>
      </c>
      <c r="D281" s="122">
        <f t="shared" si="23"/>
        <v>45933</v>
      </c>
      <c r="E281" s="123">
        <f t="shared" si="21"/>
        <v>1</v>
      </c>
      <c r="F281" s="123" t="s">
        <v>7</v>
      </c>
      <c r="H281" s="328">
        <f t="shared" si="24"/>
        <v>45932</v>
      </c>
      <c r="I281" s="329">
        <v>101.63420000000001</v>
      </c>
      <c r="J281" s="400"/>
      <c r="L281" s="330">
        <v>200000</v>
      </c>
      <c r="M281" s="331"/>
      <c r="N281" s="331"/>
      <c r="O281" s="331"/>
      <c r="P281" s="331"/>
      <c r="Q281" s="331"/>
      <c r="R281" s="331"/>
      <c r="S281" s="331"/>
      <c r="T281" s="331"/>
      <c r="U281" s="331"/>
      <c r="V281" s="331"/>
      <c r="W281" s="331"/>
      <c r="X281" s="331"/>
      <c r="Z281" s="330">
        <f t="shared" si="31"/>
        <v>2182</v>
      </c>
      <c r="AA281" s="330">
        <f t="shared" si="32"/>
        <v>443107488</v>
      </c>
      <c r="AB281" s="378">
        <f t="shared" si="25"/>
        <v>443531648.80000001</v>
      </c>
      <c r="AD281" s="330">
        <f t="shared" si="26"/>
        <v>424160.80000001192</v>
      </c>
      <c r="AE281" s="330">
        <f t="shared" si="27"/>
        <v>51931.600000083447</v>
      </c>
      <c r="AF281" s="331"/>
      <c r="AH281" s="402">
        <f t="shared" si="33"/>
        <v>4.3075389264736093E-2</v>
      </c>
      <c r="AI281" s="402">
        <f t="shared" ref="AI281:AI344" si="34">(I281/$I$268-1)*360/(D281-$D$268)</f>
        <v>4.2980688784110925E-2</v>
      </c>
      <c r="AK281" s="330">
        <f>AE281-AA280*'OverNight $'!H280*E281/360</f>
        <v>7005.4241334167818</v>
      </c>
    </row>
    <row r="282" spans="1:37" x14ac:dyDescent="0.25">
      <c r="B282" s="123" t="str">
        <f t="shared" si="20"/>
        <v>10 2025</v>
      </c>
      <c r="C282" s="122">
        <f t="shared" si="22"/>
        <v>45933</v>
      </c>
      <c r="D282" s="122">
        <f t="shared" si="23"/>
        <v>45934</v>
      </c>
      <c r="E282" s="123">
        <f t="shared" si="21"/>
        <v>1</v>
      </c>
      <c r="F282" s="123" t="s">
        <v>7</v>
      </c>
      <c r="H282" s="328">
        <f t="shared" si="24"/>
        <v>45933</v>
      </c>
      <c r="I282" s="329">
        <v>101.6465</v>
      </c>
      <c r="J282" s="400"/>
      <c r="L282" s="330">
        <v>200000</v>
      </c>
      <c r="M282" s="331"/>
      <c r="N282" s="331"/>
      <c r="O282" s="331"/>
      <c r="P282" s="331"/>
      <c r="Q282" s="331"/>
      <c r="R282" s="331"/>
      <c r="S282" s="331"/>
      <c r="T282" s="331"/>
      <c r="U282" s="331"/>
      <c r="V282" s="331"/>
      <c r="W282" s="331"/>
      <c r="X282" s="331"/>
      <c r="Z282" s="330">
        <f t="shared" si="31"/>
        <v>2182</v>
      </c>
      <c r="AA282" s="330">
        <f t="shared" si="32"/>
        <v>443107488</v>
      </c>
      <c r="AB282" s="378">
        <f t="shared" si="25"/>
        <v>443585326</v>
      </c>
      <c r="AD282" s="330">
        <f t="shared" si="26"/>
        <v>477838</v>
      </c>
      <c r="AE282" s="330">
        <f t="shared" si="27"/>
        <v>53677.199999988079</v>
      </c>
      <c r="AF282" s="331"/>
      <c r="AH282" s="402">
        <f t="shared" si="33"/>
        <v>4.3075389264736093E-2</v>
      </c>
      <c r="AI282" s="402">
        <f t="shared" si="34"/>
        <v>4.3027470486190565E-2</v>
      </c>
      <c r="AK282" s="330">
        <f>AE282-AA281*'OverNight $'!H281*E282/360</f>
        <v>8751.0241333214144</v>
      </c>
    </row>
    <row r="283" spans="1:37" x14ac:dyDescent="0.25">
      <c r="B283" s="123" t="str">
        <f t="shared" si="20"/>
        <v>10 2025</v>
      </c>
      <c r="C283" s="122">
        <f t="shared" si="22"/>
        <v>45934</v>
      </c>
      <c r="D283" s="122">
        <f t="shared" si="23"/>
        <v>45935</v>
      </c>
      <c r="E283" s="123">
        <f t="shared" si="21"/>
        <v>1</v>
      </c>
      <c r="F283" s="123" t="s">
        <v>7</v>
      </c>
      <c r="H283" s="328">
        <f t="shared" si="24"/>
        <v>45934</v>
      </c>
      <c r="I283" s="329">
        <v>101.6465</v>
      </c>
      <c r="J283" s="400"/>
      <c r="L283" s="330">
        <v>200000</v>
      </c>
      <c r="M283" s="331"/>
      <c r="N283" s="331"/>
      <c r="O283" s="331"/>
      <c r="P283" s="331"/>
      <c r="Q283" s="331"/>
      <c r="R283" s="331"/>
      <c r="S283" s="331"/>
      <c r="T283" s="331"/>
      <c r="U283" s="331"/>
      <c r="V283" s="331"/>
      <c r="W283" s="331"/>
      <c r="X283" s="331"/>
      <c r="Z283" s="330">
        <f t="shared" si="31"/>
        <v>2182</v>
      </c>
      <c r="AA283" s="330">
        <f t="shared" si="32"/>
        <v>443107488</v>
      </c>
      <c r="AB283" s="378">
        <f t="shared" si="25"/>
        <v>443585326</v>
      </c>
      <c r="AD283" s="330">
        <f t="shared" si="26"/>
        <v>477838</v>
      </c>
      <c r="AE283" s="330">
        <f t="shared" si="27"/>
        <v>0</v>
      </c>
      <c r="AF283" s="331"/>
      <c r="AH283" s="402">
        <f t="shared" si="33"/>
        <v>4.3075389264736093E-2</v>
      </c>
      <c r="AI283" s="402">
        <f t="shared" si="34"/>
        <v>4.0158972453777864E-2</v>
      </c>
      <c r="AK283" s="330">
        <f>AE283-AA282*'OverNight $'!H282*E283/360</f>
        <v>-44926.175866666665</v>
      </c>
    </row>
    <row r="284" spans="1:37" x14ac:dyDescent="0.25">
      <c r="B284" s="123" t="str">
        <f t="shared" si="20"/>
        <v>10 2025</v>
      </c>
      <c r="C284" s="122">
        <f t="shared" si="22"/>
        <v>45935</v>
      </c>
      <c r="D284" s="122">
        <f t="shared" si="23"/>
        <v>45936</v>
      </c>
      <c r="E284" s="123">
        <f t="shared" si="21"/>
        <v>1</v>
      </c>
      <c r="F284" s="123" t="s">
        <v>7</v>
      </c>
      <c r="H284" s="328">
        <f t="shared" si="24"/>
        <v>45935</v>
      </c>
      <c r="I284" s="329">
        <v>101.6465</v>
      </c>
      <c r="J284" s="400"/>
      <c r="L284" s="330">
        <v>200000</v>
      </c>
      <c r="M284" s="331"/>
      <c r="N284" s="331"/>
      <c r="O284" s="331"/>
      <c r="P284" s="331"/>
      <c r="Q284" s="331"/>
      <c r="R284" s="331"/>
      <c r="S284" s="331"/>
      <c r="T284" s="331"/>
      <c r="U284" s="331"/>
      <c r="V284" s="331"/>
      <c r="W284" s="331"/>
      <c r="X284" s="331"/>
      <c r="Z284" s="330">
        <f t="shared" si="31"/>
        <v>2182</v>
      </c>
      <c r="AA284" s="330">
        <f t="shared" si="32"/>
        <v>443107488</v>
      </c>
      <c r="AB284" s="378">
        <f t="shared" si="25"/>
        <v>443585326</v>
      </c>
      <c r="AD284" s="330">
        <f t="shared" si="26"/>
        <v>477838</v>
      </c>
      <c r="AE284" s="330">
        <f t="shared" si="27"/>
        <v>0</v>
      </c>
      <c r="AF284" s="331"/>
      <c r="AH284" s="402">
        <f t="shared" si="33"/>
        <v>4.3075389264736093E-2</v>
      </c>
      <c r="AI284" s="402">
        <f t="shared" si="34"/>
        <v>3.7649036675416747E-2</v>
      </c>
      <c r="AK284" s="330">
        <f>AE284-AA283*'OverNight $'!H283*E284/360</f>
        <v>-44926.175866666665</v>
      </c>
    </row>
    <row r="285" spans="1:37" x14ac:dyDescent="0.25">
      <c r="B285" s="123" t="str">
        <f t="shared" si="20"/>
        <v>10 2025</v>
      </c>
      <c r="C285" s="122">
        <f t="shared" si="22"/>
        <v>45936</v>
      </c>
      <c r="D285" s="122">
        <f t="shared" si="23"/>
        <v>45937</v>
      </c>
      <c r="E285" s="123">
        <f t="shared" si="21"/>
        <v>1</v>
      </c>
      <c r="F285" s="123" t="s">
        <v>7</v>
      </c>
      <c r="H285" s="328">
        <f t="shared" si="24"/>
        <v>45936</v>
      </c>
      <c r="I285" s="329">
        <v>101.6829</v>
      </c>
      <c r="J285" s="400"/>
      <c r="L285" s="330">
        <v>200000</v>
      </c>
      <c r="M285" s="331"/>
      <c r="N285" s="331"/>
      <c r="O285" s="331"/>
      <c r="P285" s="331"/>
      <c r="Q285" s="331"/>
      <c r="R285" s="331"/>
      <c r="S285" s="331"/>
      <c r="T285" s="331"/>
      <c r="U285" s="331"/>
      <c r="V285" s="331"/>
      <c r="W285" s="331"/>
      <c r="X285" s="331"/>
      <c r="Z285" s="330">
        <f t="shared" si="31"/>
        <v>2182</v>
      </c>
      <c r="AA285" s="330">
        <f t="shared" si="32"/>
        <v>443107488</v>
      </c>
      <c r="AB285" s="378">
        <f t="shared" si="25"/>
        <v>443744175.59999996</v>
      </c>
      <c r="AD285" s="330">
        <f t="shared" si="26"/>
        <v>636687.59999996424</v>
      </c>
      <c r="AE285" s="330">
        <f t="shared" si="27"/>
        <v>158849.59999996424</v>
      </c>
      <c r="AF285" s="331"/>
      <c r="AH285" s="402">
        <f t="shared" si="33"/>
        <v>4.3075389264736093E-2</v>
      </c>
      <c r="AI285" s="402">
        <f t="shared" si="34"/>
        <v>4.3030451673088582E-2</v>
      </c>
      <c r="AK285" s="330">
        <f>AE285-AA284*'OverNight $'!H284*E285/360</f>
        <v>113923.42413329758</v>
      </c>
    </row>
    <row r="286" spans="1:37" x14ac:dyDescent="0.25">
      <c r="B286" s="123" t="str">
        <f t="shared" si="20"/>
        <v>10 2025</v>
      </c>
      <c r="C286" s="122">
        <f t="shared" si="22"/>
        <v>45937</v>
      </c>
      <c r="D286" s="122">
        <f t="shared" si="23"/>
        <v>45938</v>
      </c>
      <c r="E286" s="123">
        <f t="shared" si="21"/>
        <v>1</v>
      </c>
      <c r="F286" s="123" t="s">
        <v>7</v>
      </c>
      <c r="H286" s="328">
        <f t="shared" si="24"/>
        <v>45937</v>
      </c>
      <c r="I286" s="329">
        <v>101.6951</v>
      </c>
      <c r="J286" s="400"/>
      <c r="L286" s="330">
        <v>200000</v>
      </c>
      <c r="M286" s="331"/>
      <c r="N286" s="331"/>
      <c r="O286" s="331"/>
      <c r="P286" s="331"/>
      <c r="Q286" s="331"/>
      <c r="R286" s="331"/>
      <c r="S286" s="331"/>
      <c r="T286" s="331"/>
      <c r="U286" s="331"/>
      <c r="V286" s="331"/>
      <c r="W286" s="331"/>
      <c r="X286" s="331"/>
      <c r="Z286" s="330">
        <f t="shared" si="31"/>
        <v>2182</v>
      </c>
      <c r="AA286" s="330">
        <f t="shared" si="32"/>
        <v>443107488</v>
      </c>
      <c r="AB286" s="378">
        <f t="shared" si="25"/>
        <v>443797416.39999998</v>
      </c>
      <c r="AD286" s="330">
        <f t="shared" si="26"/>
        <v>689928.39999997616</v>
      </c>
      <c r="AE286" s="330">
        <f t="shared" si="27"/>
        <v>53240.800000011921</v>
      </c>
      <c r="AF286" s="331"/>
      <c r="AH286" s="402">
        <f t="shared" si="33"/>
        <v>4.3075389264736093E-2</v>
      </c>
      <c r="AI286" s="402">
        <f t="shared" si="34"/>
        <v>4.3044363878603775E-2</v>
      </c>
      <c r="AK286" s="330">
        <f>AE286-AA285*'OverNight $'!H285*E286/360</f>
        <v>8314.6241333452563</v>
      </c>
    </row>
    <row r="287" spans="1:37" x14ac:dyDescent="0.25">
      <c r="B287" s="123" t="str">
        <f t="shared" si="20"/>
        <v>10 2025</v>
      </c>
      <c r="C287" s="122">
        <f t="shared" si="22"/>
        <v>45938</v>
      </c>
      <c r="D287" s="122">
        <f t="shared" si="23"/>
        <v>45939</v>
      </c>
      <c r="E287" s="123">
        <f t="shared" si="21"/>
        <v>1</v>
      </c>
      <c r="F287" s="123" t="s">
        <v>7</v>
      </c>
      <c r="H287" s="328">
        <f t="shared" si="24"/>
        <v>45938</v>
      </c>
      <c r="I287" s="329">
        <v>101.7071</v>
      </c>
      <c r="J287" s="400"/>
      <c r="L287" s="330">
        <v>200000</v>
      </c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W287" s="331"/>
      <c r="X287" s="331"/>
      <c r="Z287" s="330">
        <f t="shared" si="31"/>
        <v>2182</v>
      </c>
      <c r="AA287" s="330">
        <f t="shared" si="32"/>
        <v>443107488</v>
      </c>
      <c r="AB287" s="378">
        <f t="shared" si="25"/>
        <v>443849784.40000004</v>
      </c>
      <c r="AD287" s="330">
        <f t="shared" si="26"/>
        <v>742296.40000003576</v>
      </c>
      <c r="AE287" s="330">
        <f t="shared" si="27"/>
        <v>52368.000000059605</v>
      </c>
      <c r="AF287" s="331"/>
      <c r="AH287" s="402">
        <f t="shared" si="33"/>
        <v>4.3075389264736093E-2</v>
      </c>
      <c r="AI287" s="402">
        <f t="shared" si="34"/>
        <v>4.3019468352937996E-2</v>
      </c>
      <c r="AK287" s="330">
        <f>AE287-AA286*'OverNight $'!H286*E287/360</f>
        <v>7441.82413339294</v>
      </c>
    </row>
    <row r="288" spans="1:37" x14ac:dyDescent="0.25">
      <c r="B288" s="123" t="str">
        <f t="shared" si="20"/>
        <v>10 2025</v>
      </c>
      <c r="C288" s="122">
        <f t="shared" si="22"/>
        <v>45939</v>
      </c>
      <c r="D288" s="122">
        <f t="shared" si="23"/>
        <v>45940</v>
      </c>
      <c r="E288" s="123">
        <f t="shared" si="21"/>
        <v>1</v>
      </c>
      <c r="F288" s="123" t="s">
        <v>7</v>
      </c>
      <c r="H288" s="328">
        <f t="shared" si="24"/>
        <v>45939</v>
      </c>
      <c r="I288" s="329">
        <v>101.7192</v>
      </c>
      <c r="J288" s="400"/>
      <c r="L288" s="330">
        <v>200000</v>
      </c>
      <c r="M288" s="331"/>
      <c r="N288" s="331"/>
      <c r="O288" s="331"/>
      <c r="P288" s="331"/>
      <c r="Q288" s="331"/>
      <c r="R288" s="331"/>
      <c r="S288" s="331"/>
      <c r="T288" s="331"/>
      <c r="U288" s="331"/>
      <c r="V288" s="331"/>
      <c r="W288" s="331"/>
      <c r="X288" s="331"/>
      <c r="Z288" s="330">
        <f t="shared" si="31"/>
        <v>2182</v>
      </c>
      <c r="AA288" s="330">
        <f t="shared" si="32"/>
        <v>443107488</v>
      </c>
      <c r="AB288" s="378">
        <f t="shared" si="25"/>
        <v>443902588.80000007</v>
      </c>
      <c r="AD288" s="330">
        <f t="shared" si="26"/>
        <v>795100.80000007153</v>
      </c>
      <c r="AE288" s="330">
        <f t="shared" si="27"/>
        <v>52804.400000035763</v>
      </c>
      <c r="AF288" s="331"/>
      <c r="AH288" s="402">
        <f t="shared" si="33"/>
        <v>4.3075389264736093E-2</v>
      </c>
      <c r="AI288" s="402">
        <f t="shared" si="34"/>
        <v>4.3014800441877998E-2</v>
      </c>
      <c r="AK288" s="330">
        <f>AE288-AA287*'OverNight $'!H287*E288/360</f>
        <v>7878.2241333690981</v>
      </c>
    </row>
    <row r="289" spans="2:37" x14ac:dyDescent="0.25">
      <c r="B289" s="123" t="str">
        <f t="shared" si="20"/>
        <v>10 2025</v>
      </c>
      <c r="C289" s="122">
        <f t="shared" si="22"/>
        <v>45940</v>
      </c>
      <c r="D289" s="122">
        <f t="shared" si="23"/>
        <v>45941</v>
      </c>
      <c r="E289" s="123">
        <f t="shared" si="21"/>
        <v>1</v>
      </c>
      <c r="F289" s="123" t="s">
        <v>7</v>
      </c>
      <c r="H289" s="328">
        <f t="shared" si="24"/>
        <v>45940</v>
      </c>
      <c r="I289" s="329">
        <v>101.7311</v>
      </c>
      <c r="J289" s="400"/>
      <c r="L289" s="330">
        <v>200000</v>
      </c>
      <c r="M289" s="331"/>
      <c r="N289" s="331"/>
      <c r="O289" s="331"/>
      <c r="P289" s="331"/>
      <c r="Q289" s="331"/>
      <c r="R289" s="331"/>
      <c r="S289" s="331"/>
      <c r="T289" s="331"/>
      <c r="U289" s="331"/>
      <c r="V289" s="331"/>
      <c r="W289" s="331"/>
      <c r="X289" s="331"/>
      <c r="Z289" s="330">
        <f t="shared" si="31"/>
        <v>2182</v>
      </c>
      <c r="AA289" s="330">
        <f t="shared" si="32"/>
        <v>443107488</v>
      </c>
      <c r="AB289" s="378">
        <f t="shared" si="25"/>
        <v>443954520.40000004</v>
      </c>
      <c r="AD289" s="330">
        <f t="shared" si="26"/>
        <v>847032.40000003576</v>
      </c>
      <c r="AE289" s="330">
        <f t="shared" si="27"/>
        <v>51931.599999964237</v>
      </c>
      <c r="AF289" s="331"/>
      <c r="AH289" s="402">
        <f t="shared" si="33"/>
        <v>4.3075389264736093E-2</v>
      </c>
      <c r="AI289" s="402">
        <f t="shared" si="34"/>
        <v>4.2976790308935718E-2</v>
      </c>
      <c r="AK289" s="330">
        <f>AE289-AA288*'OverNight $'!H288*E289/360</f>
        <v>7005.4241332975726</v>
      </c>
    </row>
    <row r="290" spans="2:37" x14ac:dyDescent="0.25">
      <c r="B290" s="123" t="str">
        <f t="shared" si="20"/>
        <v>10 2025</v>
      </c>
      <c r="C290" s="122">
        <f t="shared" si="22"/>
        <v>45941</v>
      </c>
      <c r="D290" s="122">
        <f t="shared" si="23"/>
        <v>45942</v>
      </c>
      <c r="E290" s="123">
        <f t="shared" si="21"/>
        <v>1</v>
      </c>
      <c r="F290" s="123" t="s">
        <v>7</v>
      </c>
      <c r="H290" s="328">
        <f t="shared" si="24"/>
        <v>45941</v>
      </c>
      <c r="I290" s="329">
        <v>101.7311</v>
      </c>
      <c r="J290" s="400"/>
      <c r="L290" s="330">
        <v>200000</v>
      </c>
      <c r="M290" s="331"/>
      <c r="N290" s="331"/>
      <c r="O290" s="331"/>
      <c r="P290" s="331"/>
      <c r="Q290" s="331"/>
      <c r="R290" s="331"/>
      <c r="S290" s="331"/>
      <c r="T290" s="331"/>
      <c r="U290" s="331"/>
      <c r="V290" s="331"/>
      <c r="W290" s="331"/>
      <c r="X290" s="331"/>
      <c r="Z290" s="330">
        <f t="shared" si="31"/>
        <v>2182</v>
      </c>
      <c r="AA290" s="330">
        <f t="shared" si="32"/>
        <v>443107488</v>
      </c>
      <c r="AB290" s="378">
        <f t="shared" si="25"/>
        <v>443954520.40000004</v>
      </c>
      <c r="AD290" s="330">
        <f t="shared" si="26"/>
        <v>847032.40000003576</v>
      </c>
      <c r="AE290" s="330">
        <f t="shared" si="27"/>
        <v>0</v>
      </c>
      <c r="AF290" s="331"/>
      <c r="AH290" s="402">
        <f t="shared" si="33"/>
        <v>4.3075389264736093E-2</v>
      </c>
      <c r="AI290" s="402">
        <f t="shared" si="34"/>
        <v>4.1023299840347735E-2</v>
      </c>
      <c r="AK290" s="330">
        <f>AE290-AA289*'OverNight $'!H289*E290/360</f>
        <v>-44926.175866666665</v>
      </c>
    </row>
    <row r="291" spans="2:37" x14ac:dyDescent="0.25">
      <c r="B291" s="123" t="str">
        <f t="shared" si="20"/>
        <v>10 2025</v>
      </c>
      <c r="C291" s="122">
        <f t="shared" si="22"/>
        <v>45942</v>
      </c>
      <c r="D291" s="122">
        <f t="shared" si="23"/>
        <v>45943</v>
      </c>
      <c r="E291" s="123">
        <f t="shared" si="21"/>
        <v>1</v>
      </c>
      <c r="F291" s="123" t="s">
        <v>7</v>
      </c>
      <c r="H291" s="328">
        <f t="shared" si="24"/>
        <v>45942</v>
      </c>
      <c r="I291" s="329">
        <v>101.7311</v>
      </c>
      <c r="J291" s="400"/>
      <c r="L291" s="330">
        <v>200000</v>
      </c>
      <c r="M291" s="331"/>
      <c r="N291" s="331"/>
      <c r="O291" s="331"/>
      <c r="P291" s="331"/>
      <c r="Q291" s="331"/>
      <c r="R291" s="331"/>
      <c r="S291" s="331"/>
      <c r="T291" s="331"/>
      <c r="U291" s="331"/>
      <c r="V291" s="331"/>
      <c r="W291" s="331"/>
      <c r="X291" s="331"/>
      <c r="Z291" s="330">
        <f t="shared" si="31"/>
        <v>2182</v>
      </c>
      <c r="AA291" s="330">
        <f t="shared" si="32"/>
        <v>443107488</v>
      </c>
      <c r="AB291" s="378">
        <f t="shared" si="25"/>
        <v>443954520.40000004</v>
      </c>
      <c r="AD291" s="330">
        <f t="shared" si="26"/>
        <v>847032.40000003576</v>
      </c>
      <c r="AE291" s="330">
        <f t="shared" si="27"/>
        <v>0</v>
      </c>
      <c r="AF291" s="331"/>
      <c r="AH291" s="402">
        <f t="shared" si="33"/>
        <v>4.3075389264736093E-2</v>
      </c>
      <c r="AI291" s="402">
        <f t="shared" si="34"/>
        <v>3.9239678108158704E-2</v>
      </c>
      <c r="AK291" s="330">
        <f>AE291-AA290*'OverNight $'!H290*E291/360</f>
        <v>-44926.175866666665</v>
      </c>
    </row>
    <row r="292" spans="2:37" x14ac:dyDescent="0.25">
      <c r="B292" s="123" t="str">
        <f t="shared" si="20"/>
        <v>10 2025</v>
      </c>
      <c r="C292" s="122">
        <f t="shared" si="22"/>
        <v>45943</v>
      </c>
      <c r="D292" s="122">
        <f t="shared" si="23"/>
        <v>45944</v>
      </c>
      <c r="E292" s="123">
        <f t="shared" si="21"/>
        <v>1</v>
      </c>
      <c r="F292" s="123" t="s">
        <v>7</v>
      </c>
      <c r="H292" s="328">
        <f t="shared" si="24"/>
        <v>45943</v>
      </c>
      <c r="I292" s="329">
        <v>101.76690000000001</v>
      </c>
      <c r="J292" s="400"/>
      <c r="L292" s="330">
        <v>200000</v>
      </c>
      <c r="M292" s="331"/>
      <c r="N292" s="331"/>
      <c r="O292" s="331"/>
      <c r="P292" s="331"/>
      <c r="Q292" s="331"/>
      <c r="R292" s="331"/>
      <c r="S292" s="331"/>
      <c r="T292" s="331"/>
      <c r="U292" s="331"/>
      <c r="V292" s="331"/>
      <c r="W292" s="331"/>
      <c r="X292" s="331"/>
      <c r="Z292" s="330">
        <f t="shared" si="31"/>
        <v>2182</v>
      </c>
      <c r="AA292" s="330">
        <f t="shared" si="32"/>
        <v>443107488</v>
      </c>
      <c r="AB292" s="378">
        <f t="shared" si="25"/>
        <v>444110751.60000008</v>
      </c>
      <c r="AD292" s="330">
        <f t="shared" si="26"/>
        <v>1003263.6000000834</v>
      </c>
      <c r="AE292" s="330">
        <f t="shared" si="27"/>
        <v>156231.20000004768</v>
      </c>
      <c r="AF292" s="331"/>
      <c r="AH292" s="402">
        <f t="shared" si="33"/>
        <v>4.3075389264736093E-2</v>
      </c>
      <c r="AI292" s="402">
        <f t="shared" si="34"/>
        <v>4.2896546694956017E-2</v>
      </c>
      <c r="AK292" s="330">
        <f>AE292-AA291*'OverNight $'!H291*E292/360</f>
        <v>111305.02413338103</v>
      </c>
    </row>
    <row r="293" spans="2:37" x14ac:dyDescent="0.25">
      <c r="B293" s="123" t="str">
        <f t="shared" si="20"/>
        <v>10 2025</v>
      </c>
      <c r="C293" s="122">
        <f t="shared" si="22"/>
        <v>45944</v>
      </c>
      <c r="D293" s="122">
        <f t="shared" si="23"/>
        <v>45945</v>
      </c>
      <c r="E293" s="123">
        <f t="shared" si="21"/>
        <v>1</v>
      </c>
      <c r="F293" s="123" t="s">
        <v>7</v>
      </c>
      <c r="H293" s="328">
        <f t="shared" si="24"/>
        <v>45944</v>
      </c>
      <c r="I293" s="329">
        <v>101.77889999999999</v>
      </c>
      <c r="J293" s="400"/>
      <c r="L293" s="330">
        <v>200000</v>
      </c>
      <c r="M293" s="331"/>
      <c r="N293" s="331"/>
      <c r="O293" s="331"/>
      <c r="P293" s="331"/>
      <c r="Q293" s="331"/>
      <c r="R293" s="331"/>
      <c r="S293" s="331"/>
      <c r="T293" s="331"/>
      <c r="U293" s="331"/>
      <c r="V293" s="331"/>
      <c r="W293" s="331"/>
      <c r="X293" s="331"/>
      <c r="Z293" s="330">
        <f t="shared" si="31"/>
        <v>2182</v>
      </c>
      <c r="AA293" s="330">
        <f t="shared" si="32"/>
        <v>443107488</v>
      </c>
      <c r="AB293" s="378">
        <f t="shared" si="25"/>
        <v>444163119.5999999</v>
      </c>
      <c r="AD293" s="330">
        <f t="shared" si="26"/>
        <v>1055631.5999999046</v>
      </c>
      <c r="AE293" s="330">
        <f t="shared" si="27"/>
        <v>52367.999999821186</v>
      </c>
      <c r="AF293" s="331"/>
      <c r="AH293" s="402">
        <f t="shared" si="33"/>
        <v>4.3075389264736093E-2</v>
      </c>
      <c r="AI293" s="402">
        <f t="shared" si="34"/>
        <v>4.2883538782795938E-2</v>
      </c>
      <c r="AK293" s="330">
        <f>AE293-AA292*'OverNight $'!H292*E293/360</f>
        <v>7441.8241331545214</v>
      </c>
    </row>
    <row r="294" spans="2:37" x14ac:dyDescent="0.25">
      <c r="B294" s="123" t="str">
        <f t="shared" si="20"/>
        <v>10 2025</v>
      </c>
      <c r="C294" s="122">
        <f t="shared" si="22"/>
        <v>45945</v>
      </c>
      <c r="D294" s="122">
        <f t="shared" si="23"/>
        <v>45946</v>
      </c>
      <c r="E294" s="123">
        <f t="shared" si="21"/>
        <v>1</v>
      </c>
      <c r="F294" s="123" t="s">
        <v>7</v>
      </c>
      <c r="H294" s="328">
        <f t="shared" si="24"/>
        <v>45945</v>
      </c>
      <c r="I294" s="329">
        <v>101.79089999999999</v>
      </c>
      <c r="J294" s="400"/>
      <c r="L294" s="330">
        <v>200000</v>
      </c>
      <c r="M294" s="331"/>
      <c r="N294" s="331"/>
      <c r="O294" s="331"/>
      <c r="P294" s="331"/>
      <c r="Q294" s="331"/>
      <c r="R294" s="331"/>
      <c r="S294" s="331"/>
      <c r="T294" s="331"/>
      <c r="U294" s="331"/>
      <c r="V294" s="331"/>
      <c r="W294" s="331"/>
      <c r="X294" s="331"/>
      <c r="Z294" s="330">
        <f t="shared" si="31"/>
        <v>2182</v>
      </c>
      <c r="AA294" s="330">
        <f t="shared" si="32"/>
        <v>443107488</v>
      </c>
      <c r="AB294" s="378">
        <f t="shared" si="25"/>
        <v>444215487.59999996</v>
      </c>
      <c r="AD294" s="330">
        <f t="shared" si="26"/>
        <v>1107999.5999999642</v>
      </c>
      <c r="AE294" s="330">
        <f t="shared" si="27"/>
        <v>52368.000000059605</v>
      </c>
      <c r="AF294" s="331"/>
      <c r="AH294" s="402">
        <f t="shared" si="33"/>
        <v>4.3075389264736093E-2</v>
      </c>
      <c r="AI294" s="402">
        <f t="shared" si="34"/>
        <v>4.2871531479260483E-2</v>
      </c>
      <c r="AK294" s="330">
        <f>AE294-AA293*'OverNight $'!H293*E294/360</f>
        <v>7441.82413339294</v>
      </c>
    </row>
    <row r="295" spans="2:37" x14ac:dyDescent="0.25">
      <c r="B295" s="123" t="str">
        <f t="shared" si="20"/>
        <v>10 2025</v>
      </c>
      <c r="C295" s="122">
        <f t="shared" si="22"/>
        <v>45946</v>
      </c>
      <c r="D295" s="122">
        <f t="shared" si="23"/>
        <v>45947</v>
      </c>
      <c r="E295" s="123">
        <f t="shared" si="21"/>
        <v>1</v>
      </c>
      <c r="F295" s="123" t="s">
        <v>7</v>
      </c>
      <c r="H295" s="328">
        <f t="shared" si="24"/>
        <v>45946</v>
      </c>
      <c r="I295" s="329">
        <v>101.80289999999999</v>
      </c>
      <c r="J295" s="400"/>
      <c r="L295" s="330">
        <v>200000</v>
      </c>
      <c r="M295" s="331"/>
      <c r="N295" s="331"/>
      <c r="O295" s="331"/>
      <c r="P295" s="331"/>
      <c r="Q295" s="331"/>
      <c r="R295" s="331"/>
      <c r="S295" s="331"/>
      <c r="T295" s="331"/>
      <c r="U295" s="331"/>
      <c r="V295" s="331"/>
      <c r="W295" s="331"/>
      <c r="X295" s="331"/>
      <c r="Z295" s="330">
        <f t="shared" si="31"/>
        <v>2182</v>
      </c>
      <c r="AA295" s="330">
        <f t="shared" si="32"/>
        <v>443107488</v>
      </c>
      <c r="AB295" s="378">
        <f t="shared" si="25"/>
        <v>444267855.59999996</v>
      </c>
      <c r="AD295" s="330">
        <f t="shared" si="26"/>
        <v>1160367.5999999642</v>
      </c>
      <c r="AE295" s="330">
        <f t="shared" si="27"/>
        <v>52368</v>
      </c>
      <c r="AF295" s="331"/>
      <c r="AH295" s="402">
        <f t="shared" si="33"/>
        <v>4.3075389264736093E-2</v>
      </c>
      <c r="AI295" s="402">
        <f t="shared" si="34"/>
        <v>4.2860413605619506E-2</v>
      </c>
      <c r="AK295" s="330">
        <f>AE295-AA294*'OverNight $'!H294*E295/360</f>
        <v>7441.8241333333353</v>
      </c>
    </row>
    <row r="296" spans="2:37" x14ac:dyDescent="0.25">
      <c r="B296" s="123" t="str">
        <f t="shared" si="20"/>
        <v>10 2025</v>
      </c>
      <c r="C296" s="122">
        <f t="shared" si="22"/>
        <v>45947</v>
      </c>
      <c r="D296" s="122">
        <f t="shared" si="23"/>
        <v>45948</v>
      </c>
      <c r="E296" s="123">
        <f t="shared" si="21"/>
        <v>1</v>
      </c>
      <c r="F296" s="123" t="s">
        <v>7</v>
      </c>
      <c r="H296" s="328">
        <f t="shared" si="24"/>
        <v>45947</v>
      </c>
      <c r="I296" s="329">
        <v>101.815</v>
      </c>
      <c r="J296" s="400"/>
      <c r="L296" s="330">
        <v>200000</v>
      </c>
      <c r="M296" s="331"/>
      <c r="N296" s="331"/>
      <c r="O296" s="331"/>
      <c r="P296" s="331"/>
      <c r="Q296" s="331"/>
      <c r="R296" s="331"/>
      <c r="S296" s="331"/>
      <c r="T296" s="331"/>
      <c r="U296" s="331"/>
      <c r="V296" s="331"/>
      <c r="W296" s="331"/>
      <c r="X296" s="331"/>
      <c r="Z296" s="330">
        <f t="shared" si="31"/>
        <v>2182</v>
      </c>
      <c r="AA296" s="330">
        <f t="shared" si="32"/>
        <v>443107488</v>
      </c>
      <c r="AB296" s="378">
        <f t="shared" si="25"/>
        <v>444320659.99999994</v>
      </c>
      <c r="AD296" s="330">
        <f t="shared" si="26"/>
        <v>1213171.9999999404</v>
      </c>
      <c r="AE296" s="330">
        <f t="shared" si="27"/>
        <v>52804.399999976158</v>
      </c>
      <c r="AF296" s="331"/>
      <c r="AH296" s="402">
        <f t="shared" si="33"/>
        <v>4.3075389264736093E-2</v>
      </c>
      <c r="AI296" s="402">
        <f t="shared" si="34"/>
        <v>4.2862759910120882E-2</v>
      </c>
      <c r="AK296" s="330">
        <f>AE296-AA295*'OverNight $'!H295*E296/360</f>
        <v>7878.2241333094935</v>
      </c>
    </row>
    <row r="297" spans="2:37" x14ac:dyDescent="0.25">
      <c r="B297" s="123" t="str">
        <f t="shared" si="20"/>
        <v>10 2025</v>
      </c>
      <c r="C297" s="122">
        <f t="shared" si="22"/>
        <v>45948</v>
      </c>
      <c r="D297" s="122">
        <f t="shared" si="23"/>
        <v>45949</v>
      </c>
      <c r="E297" s="123">
        <f t="shared" si="21"/>
        <v>1</v>
      </c>
      <c r="F297" s="123" t="s">
        <v>7</v>
      </c>
      <c r="H297" s="328">
        <f t="shared" si="24"/>
        <v>45948</v>
      </c>
      <c r="I297" s="329">
        <v>101.815</v>
      </c>
      <c r="J297" s="400"/>
      <c r="L297" s="330">
        <v>200000</v>
      </c>
      <c r="M297" s="331"/>
      <c r="N297" s="331"/>
      <c r="O297" s="331"/>
      <c r="P297" s="331"/>
      <c r="Q297" s="331"/>
      <c r="R297" s="331"/>
      <c r="S297" s="331"/>
      <c r="T297" s="331"/>
      <c r="U297" s="331"/>
      <c r="V297" s="331"/>
      <c r="W297" s="331"/>
      <c r="X297" s="331"/>
      <c r="Z297" s="330">
        <f t="shared" si="31"/>
        <v>2182</v>
      </c>
      <c r="AA297" s="330">
        <f t="shared" si="32"/>
        <v>443107488</v>
      </c>
      <c r="AB297" s="378">
        <f t="shared" si="25"/>
        <v>444320659.99999994</v>
      </c>
      <c r="AD297" s="330">
        <f t="shared" si="26"/>
        <v>1213171.9999999404</v>
      </c>
      <c r="AE297" s="330">
        <f t="shared" si="27"/>
        <v>0</v>
      </c>
      <c r="AF297" s="331"/>
      <c r="AH297" s="402">
        <f t="shared" si="33"/>
        <v>4.3075389264736093E-2</v>
      </c>
      <c r="AI297" s="402">
        <f t="shared" si="34"/>
        <v>4.1384733706323611E-2</v>
      </c>
      <c r="AK297" s="330">
        <f>AE297-AA296*'OverNight $'!H296*E297/360</f>
        <v>-44926.175866666665</v>
      </c>
    </row>
    <row r="298" spans="2:37" x14ac:dyDescent="0.25">
      <c r="B298" s="123" t="str">
        <f t="shared" si="20"/>
        <v>10 2025</v>
      </c>
      <c r="C298" s="122">
        <f t="shared" si="22"/>
        <v>45949</v>
      </c>
      <c r="D298" s="122">
        <f t="shared" si="23"/>
        <v>45950</v>
      </c>
      <c r="E298" s="123">
        <f t="shared" si="21"/>
        <v>1</v>
      </c>
      <c r="F298" s="123" t="s">
        <v>7</v>
      </c>
      <c r="H298" s="328">
        <f t="shared" si="24"/>
        <v>45949</v>
      </c>
      <c r="I298" s="329">
        <v>101.815</v>
      </c>
      <c r="J298" s="400"/>
      <c r="L298" s="330">
        <v>200000</v>
      </c>
      <c r="M298" s="331"/>
      <c r="N298" s="331"/>
      <c r="O298" s="331"/>
      <c r="P298" s="331"/>
      <c r="Q298" s="331"/>
      <c r="R298" s="331"/>
      <c r="S298" s="331"/>
      <c r="T298" s="331"/>
      <c r="U298" s="331"/>
      <c r="V298" s="331"/>
      <c r="W298" s="331"/>
      <c r="X298" s="331"/>
      <c r="Z298" s="330">
        <f t="shared" si="31"/>
        <v>2182</v>
      </c>
      <c r="AA298" s="330">
        <f t="shared" si="32"/>
        <v>443107488</v>
      </c>
      <c r="AB298" s="378">
        <f t="shared" si="25"/>
        <v>444320659.99999994</v>
      </c>
      <c r="AD298" s="330">
        <f t="shared" si="26"/>
        <v>1213171.9999999404</v>
      </c>
      <c r="AE298" s="330">
        <f t="shared" si="27"/>
        <v>0</v>
      </c>
      <c r="AF298" s="331"/>
      <c r="AH298" s="402">
        <f t="shared" si="33"/>
        <v>4.3075389264736093E-2</v>
      </c>
      <c r="AI298" s="402">
        <f t="shared" si="34"/>
        <v>4.0005242582779488E-2</v>
      </c>
      <c r="AK298" s="330">
        <f>AE298-AA297*'OverNight $'!H297*E298/360</f>
        <v>-44926.175866666665</v>
      </c>
    </row>
    <row r="299" spans="2:37" x14ac:dyDescent="0.25">
      <c r="B299" s="380" t="str">
        <f t="shared" si="20"/>
        <v>10 2025</v>
      </c>
      <c r="C299" s="381">
        <f t="shared" si="22"/>
        <v>45950</v>
      </c>
      <c r="D299" s="381">
        <f t="shared" si="23"/>
        <v>45951</v>
      </c>
      <c r="E299" s="380">
        <f t="shared" si="21"/>
        <v>1</v>
      </c>
      <c r="F299" s="380" t="s">
        <v>7</v>
      </c>
      <c r="H299" s="459">
        <f t="shared" si="24"/>
        <v>45950</v>
      </c>
      <c r="I299" s="332">
        <v>101.8523</v>
      </c>
      <c r="J299" s="400"/>
      <c r="L299" s="333">
        <v>200000</v>
      </c>
      <c r="M299" s="334"/>
      <c r="N299" s="334"/>
      <c r="O299" s="334">
        <v>948</v>
      </c>
      <c r="P299" s="334"/>
      <c r="Q299" s="334"/>
      <c r="R299" s="334"/>
      <c r="S299" s="334"/>
      <c r="T299" s="334"/>
      <c r="U299" s="334"/>
      <c r="V299" s="379">
        <f>ROUND(O299*L299*I299%,2)</f>
        <v>193111960.80000001</v>
      </c>
      <c r="W299" s="379">
        <f>O299*(I299-I268)%*L299</f>
        <v>712137.6000000108</v>
      </c>
      <c r="X299" s="407">
        <f>V299-W299</f>
        <v>192399823.19999999</v>
      </c>
      <c r="Z299" s="330">
        <f t="shared" si="31"/>
        <v>1234</v>
      </c>
      <c r="AA299" s="330">
        <f t="shared" si="32"/>
        <v>250707664.80000001</v>
      </c>
      <c r="AB299" s="378">
        <f t="shared" si="25"/>
        <v>251371476.40000001</v>
      </c>
      <c r="AC299" s="401"/>
      <c r="AD299" s="378">
        <f t="shared" si="26"/>
        <v>663811.59999999404</v>
      </c>
      <c r="AE299" s="378">
        <f t="shared" si="27"/>
        <v>162777.20000010729</v>
      </c>
      <c r="AF299" s="331"/>
      <c r="AH299" s="402">
        <f t="shared" si="33"/>
        <v>4.3075389264736093E-2</v>
      </c>
      <c r="AI299" s="402">
        <f t="shared" si="34"/>
        <v>4.2983329686646393E-2</v>
      </c>
      <c r="AK299" s="330">
        <f>AE299-AA298*'OverNight $'!H298*E299/360</f>
        <v>117851.02413344063</v>
      </c>
    </row>
    <row r="300" spans="2:37" x14ac:dyDescent="0.25">
      <c r="B300" s="123" t="str">
        <f t="shared" si="20"/>
        <v>10 2025</v>
      </c>
      <c r="C300" s="122">
        <f t="shared" si="22"/>
        <v>45951</v>
      </c>
      <c r="D300" s="122">
        <f t="shared" si="23"/>
        <v>45952</v>
      </c>
      <c r="E300" s="123">
        <f t="shared" si="21"/>
        <v>1</v>
      </c>
      <c r="F300" s="123" t="s">
        <v>7</v>
      </c>
      <c r="H300" s="328">
        <f t="shared" si="24"/>
        <v>45951</v>
      </c>
      <c r="I300" s="329">
        <v>101.8647</v>
      </c>
      <c r="J300" s="400"/>
      <c r="L300" s="330">
        <v>200000</v>
      </c>
      <c r="M300" s="331"/>
      <c r="N300" s="331"/>
      <c r="O300" s="331"/>
      <c r="P300" s="331"/>
      <c r="Q300" s="331"/>
      <c r="R300" s="331"/>
      <c r="S300" s="331"/>
      <c r="T300" s="331"/>
      <c r="U300" s="331"/>
      <c r="V300" s="378"/>
      <c r="W300" s="378"/>
      <c r="X300" s="378"/>
      <c r="Z300" s="331">
        <f t="shared" si="31"/>
        <v>1234</v>
      </c>
      <c r="AA300" s="330">
        <f t="shared" ref="AA300:AA310" si="35">AA299+N300-X300</f>
        <v>250707664.80000001</v>
      </c>
      <c r="AB300" s="378">
        <f t="shared" ref="AB300:AB310" si="36">Z300*L300*ROUND(I300,4)%</f>
        <v>251402079.60000002</v>
      </c>
      <c r="AC300" s="401"/>
      <c r="AD300" s="378">
        <f t="shared" ref="AD300:AD310" si="37">AB300-AA300</f>
        <v>694414.80000001192</v>
      </c>
      <c r="AE300" s="378">
        <f t="shared" ref="AE300:AE310" si="38">AB300+V300-AB299-N300</f>
        <v>30603.200000017881</v>
      </c>
      <c r="AF300" s="331"/>
      <c r="AH300" s="402">
        <f t="shared" si="33"/>
        <v>4.3075389264736093E-2</v>
      </c>
      <c r="AI300" s="402">
        <f t="shared" si="34"/>
        <v>4.30148004418765E-2</v>
      </c>
      <c r="AK300" s="330">
        <f>AE300-AA299*'OverNight $'!H299*E300/360</f>
        <v>5184.2284300178799</v>
      </c>
    </row>
    <row r="301" spans="2:37" x14ac:dyDescent="0.25">
      <c r="B301" s="123" t="str">
        <f t="shared" si="20"/>
        <v>10 2025</v>
      </c>
      <c r="C301" s="122">
        <f t="shared" si="22"/>
        <v>45952</v>
      </c>
      <c r="D301" s="122">
        <f t="shared" si="23"/>
        <v>45953</v>
      </c>
      <c r="E301" s="123">
        <f t="shared" si="21"/>
        <v>1</v>
      </c>
      <c r="F301" s="123" t="s">
        <v>7</v>
      </c>
      <c r="H301" s="328">
        <f t="shared" si="24"/>
        <v>45952</v>
      </c>
      <c r="I301" s="329">
        <v>101.8768</v>
      </c>
      <c r="J301" s="400"/>
      <c r="L301" s="330">
        <v>200000</v>
      </c>
      <c r="M301" s="331"/>
      <c r="N301" s="331"/>
      <c r="O301" s="331"/>
      <c r="P301" s="331"/>
      <c r="Q301" s="331"/>
      <c r="R301" s="331"/>
      <c r="S301" s="331"/>
      <c r="T301" s="331"/>
      <c r="U301" s="331"/>
      <c r="V301" s="378"/>
      <c r="W301" s="378"/>
      <c r="X301" s="378"/>
      <c r="Z301" s="331">
        <f t="shared" si="31"/>
        <v>1234</v>
      </c>
      <c r="AA301" s="330">
        <f t="shared" si="35"/>
        <v>250707664.80000001</v>
      </c>
      <c r="AB301" s="378">
        <f t="shared" si="36"/>
        <v>251431942.40000004</v>
      </c>
      <c r="AC301" s="401"/>
      <c r="AD301" s="378">
        <f t="shared" si="37"/>
        <v>724277.60000002384</v>
      </c>
      <c r="AE301" s="378">
        <f t="shared" si="38"/>
        <v>29862.800000011921</v>
      </c>
      <c r="AF301" s="331"/>
      <c r="AH301" s="402">
        <f t="shared" si="33"/>
        <v>4.3075389264736093E-2</v>
      </c>
      <c r="AI301" s="402">
        <f t="shared" si="34"/>
        <v>4.3012112856718361E-2</v>
      </c>
      <c r="AK301" s="330">
        <f>AE301-AA300*'OverNight $'!H300*E301/360</f>
        <v>4443.8284300119194</v>
      </c>
    </row>
    <row r="302" spans="2:37" x14ac:dyDescent="0.25">
      <c r="B302" s="123" t="str">
        <f t="shared" si="20"/>
        <v>10 2025</v>
      </c>
      <c r="C302" s="122">
        <f t="shared" si="22"/>
        <v>45953</v>
      </c>
      <c r="D302" s="122">
        <f t="shared" si="23"/>
        <v>45954</v>
      </c>
      <c r="E302" s="123">
        <f t="shared" si="21"/>
        <v>1</v>
      </c>
      <c r="F302" s="123" t="s">
        <v>7</v>
      </c>
      <c r="H302" s="328">
        <f t="shared" si="24"/>
        <v>45953</v>
      </c>
      <c r="I302" s="329">
        <v>101.88890000000001</v>
      </c>
      <c r="J302" s="400"/>
      <c r="L302" s="330">
        <v>200000</v>
      </c>
      <c r="M302" s="331"/>
      <c r="N302" s="331"/>
      <c r="O302" s="331"/>
      <c r="P302" s="331"/>
      <c r="Q302" s="331"/>
      <c r="R302" s="331"/>
      <c r="S302" s="331"/>
      <c r="T302" s="331"/>
      <c r="U302" s="331"/>
      <c r="V302" s="378"/>
      <c r="W302" s="378"/>
      <c r="X302" s="378"/>
      <c r="Z302" s="331">
        <f t="shared" si="31"/>
        <v>1234</v>
      </c>
      <c r="AA302" s="330">
        <f t="shared" si="35"/>
        <v>250707664.80000001</v>
      </c>
      <c r="AB302" s="378">
        <f t="shared" si="36"/>
        <v>251461805.20000005</v>
      </c>
      <c r="AC302" s="401"/>
      <c r="AD302" s="378">
        <f t="shared" si="37"/>
        <v>754140.40000003576</v>
      </c>
      <c r="AE302" s="378">
        <f t="shared" si="38"/>
        <v>29862.800000011921</v>
      </c>
      <c r="AF302" s="331"/>
      <c r="AH302" s="402">
        <f t="shared" si="33"/>
        <v>4.3075389264736093E-2</v>
      </c>
      <c r="AI302" s="402">
        <f t="shared" si="34"/>
        <v>4.3009583364807175E-2</v>
      </c>
      <c r="AK302" s="330">
        <f>AE302-AA301*'OverNight $'!H301*E302/360</f>
        <v>4443.8284300119194</v>
      </c>
    </row>
    <row r="303" spans="2:37" x14ac:dyDescent="0.25">
      <c r="B303" s="123" t="str">
        <f t="shared" si="20"/>
        <v>10 2025</v>
      </c>
      <c r="C303" s="122">
        <f t="shared" si="22"/>
        <v>45954</v>
      </c>
      <c r="D303" s="122">
        <f t="shared" si="23"/>
        <v>45955</v>
      </c>
      <c r="E303" s="123">
        <f t="shared" si="21"/>
        <v>1</v>
      </c>
      <c r="F303" s="123" t="s">
        <v>7</v>
      </c>
      <c r="H303" s="328">
        <f t="shared" si="24"/>
        <v>45954</v>
      </c>
      <c r="I303" s="329">
        <v>101.9011</v>
      </c>
      <c r="J303" s="400"/>
      <c r="L303" s="330">
        <v>200000</v>
      </c>
      <c r="M303" s="331"/>
      <c r="N303" s="331"/>
      <c r="O303" s="331"/>
      <c r="P303" s="331"/>
      <c r="Q303" s="331"/>
      <c r="R303" s="331"/>
      <c r="S303" s="331"/>
      <c r="T303" s="331"/>
      <c r="U303" s="331"/>
      <c r="V303" s="378"/>
      <c r="W303" s="378"/>
      <c r="X303" s="378"/>
      <c r="Z303" s="331">
        <f t="shared" si="31"/>
        <v>1234</v>
      </c>
      <c r="AA303" s="330">
        <f t="shared" si="35"/>
        <v>250707664.80000001</v>
      </c>
      <c r="AB303" s="378">
        <f t="shared" si="36"/>
        <v>251491914.79999998</v>
      </c>
      <c r="AC303" s="401"/>
      <c r="AD303" s="378">
        <f t="shared" si="37"/>
        <v>784249.9999999702</v>
      </c>
      <c r="AE303" s="378">
        <f t="shared" si="38"/>
        <v>30109.599999934435</v>
      </c>
      <c r="AF303" s="331"/>
      <c r="AH303" s="402">
        <f t="shared" si="33"/>
        <v>4.3075389264736093E-2</v>
      </c>
      <c r="AI303" s="402">
        <f t="shared" si="34"/>
        <v>4.3017334450737313E-2</v>
      </c>
      <c r="AK303" s="330">
        <f>AE303-AA302*'OverNight $'!H302*E303/360</f>
        <v>4690.6284299344334</v>
      </c>
    </row>
    <row r="304" spans="2:37" x14ac:dyDescent="0.25">
      <c r="B304" s="123" t="str">
        <f t="shared" si="20"/>
        <v>10 2025</v>
      </c>
      <c r="C304" s="122">
        <f t="shared" si="22"/>
        <v>45955</v>
      </c>
      <c r="D304" s="122">
        <f t="shared" si="23"/>
        <v>45956</v>
      </c>
      <c r="E304" s="123">
        <f t="shared" si="21"/>
        <v>1</v>
      </c>
      <c r="F304" s="123" t="s">
        <v>7</v>
      </c>
      <c r="H304" s="328">
        <f t="shared" si="24"/>
        <v>45955</v>
      </c>
      <c r="I304" s="329">
        <v>101.9011</v>
      </c>
      <c r="J304" s="400"/>
      <c r="L304" s="330">
        <v>200000</v>
      </c>
      <c r="M304" s="331"/>
      <c r="N304" s="331"/>
      <c r="O304" s="331"/>
      <c r="P304" s="331"/>
      <c r="Q304" s="331"/>
      <c r="R304" s="331"/>
      <c r="S304" s="331"/>
      <c r="T304" s="331"/>
      <c r="U304" s="331"/>
      <c r="V304" s="378"/>
      <c r="W304" s="378"/>
      <c r="X304" s="378"/>
      <c r="Z304" s="331">
        <f t="shared" si="31"/>
        <v>1234</v>
      </c>
      <c r="AA304" s="330">
        <f t="shared" si="35"/>
        <v>250707664.80000001</v>
      </c>
      <c r="AB304" s="378">
        <f t="shared" si="36"/>
        <v>251491914.79999998</v>
      </c>
      <c r="AC304" s="401"/>
      <c r="AD304" s="378">
        <f t="shared" si="37"/>
        <v>784249.9999999702</v>
      </c>
      <c r="AE304" s="378">
        <f t="shared" si="38"/>
        <v>0</v>
      </c>
      <c r="AF304" s="331"/>
      <c r="AH304" s="402">
        <f t="shared" si="33"/>
        <v>4.3075389264736093E-2</v>
      </c>
      <c r="AI304" s="402">
        <f t="shared" si="34"/>
        <v>4.1822408493772389E-2</v>
      </c>
      <c r="AK304" s="330">
        <f>AE304-AA303*'OverNight $'!H303*E304/360</f>
        <v>-25418.971570000002</v>
      </c>
    </row>
    <row r="305" spans="2:37" x14ac:dyDescent="0.25">
      <c r="B305" s="123" t="str">
        <f t="shared" si="20"/>
        <v>10 2025</v>
      </c>
      <c r="C305" s="122">
        <f t="shared" si="22"/>
        <v>45956</v>
      </c>
      <c r="D305" s="122">
        <f t="shared" si="23"/>
        <v>45957</v>
      </c>
      <c r="E305" s="123">
        <f t="shared" si="21"/>
        <v>1</v>
      </c>
      <c r="F305" s="123" t="s">
        <v>7</v>
      </c>
      <c r="H305" s="328">
        <f t="shared" si="24"/>
        <v>45956</v>
      </c>
      <c r="I305" s="329">
        <v>101.9011</v>
      </c>
      <c r="J305" s="400"/>
      <c r="L305" s="330">
        <v>200000</v>
      </c>
      <c r="M305" s="331"/>
      <c r="N305" s="331"/>
      <c r="O305" s="331"/>
      <c r="P305" s="331"/>
      <c r="Q305" s="331"/>
      <c r="R305" s="331"/>
      <c r="S305" s="331"/>
      <c r="T305" s="331"/>
      <c r="U305" s="331"/>
      <c r="V305" s="378"/>
      <c r="W305" s="378"/>
      <c r="X305" s="378"/>
      <c r="Z305" s="331">
        <f t="shared" si="31"/>
        <v>1234</v>
      </c>
      <c r="AA305" s="330">
        <f t="shared" si="35"/>
        <v>250707664.80000001</v>
      </c>
      <c r="AB305" s="378">
        <f t="shared" si="36"/>
        <v>251491914.79999998</v>
      </c>
      <c r="AC305" s="401"/>
      <c r="AD305" s="378">
        <f t="shared" si="37"/>
        <v>784249.9999999702</v>
      </c>
      <c r="AE305" s="378">
        <f t="shared" si="38"/>
        <v>0</v>
      </c>
      <c r="AF305" s="331"/>
      <c r="AH305" s="402">
        <f t="shared" si="33"/>
        <v>4.3075389264736093E-2</v>
      </c>
      <c r="AI305" s="402">
        <f t="shared" si="34"/>
        <v>4.0692073129075836E-2</v>
      </c>
      <c r="AK305" s="330">
        <f>AE305-AA304*'OverNight $'!H304*E305/360</f>
        <v>-25418.971570000002</v>
      </c>
    </row>
    <row r="306" spans="2:37" x14ac:dyDescent="0.25">
      <c r="B306" s="123" t="str">
        <f t="shared" si="20"/>
        <v>10 2025</v>
      </c>
      <c r="C306" s="122">
        <f t="shared" si="22"/>
        <v>45957</v>
      </c>
      <c r="D306" s="122">
        <f t="shared" si="23"/>
        <v>45958</v>
      </c>
      <c r="E306" s="123">
        <f t="shared" si="21"/>
        <v>1</v>
      </c>
      <c r="F306" s="123" t="s">
        <v>7</v>
      </c>
      <c r="H306" s="328">
        <f t="shared" si="24"/>
        <v>45957</v>
      </c>
      <c r="I306" s="329">
        <v>101.93770000000001</v>
      </c>
      <c r="J306" s="400"/>
      <c r="L306" s="330">
        <v>200000</v>
      </c>
      <c r="M306" s="331"/>
      <c r="N306" s="331"/>
      <c r="O306" s="331"/>
      <c r="P306" s="331"/>
      <c r="Q306" s="331"/>
      <c r="R306" s="331"/>
      <c r="S306" s="331"/>
      <c r="T306" s="331"/>
      <c r="U306" s="331"/>
      <c r="V306" s="378"/>
      <c r="W306" s="378"/>
      <c r="X306" s="378"/>
      <c r="Z306" s="331">
        <f t="shared" si="31"/>
        <v>1234</v>
      </c>
      <c r="AA306" s="330">
        <f t="shared" si="35"/>
        <v>250707664.80000001</v>
      </c>
      <c r="AB306" s="378">
        <f t="shared" si="36"/>
        <v>251582243.59999999</v>
      </c>
      <c r="AC306" s="401"/>
      <c r="AD306" s="378">
        <f t="shared" si="37"/>
        <v>874578.79999998212</v>
      </c>
      <c r="AE306" s="378">
        <f t="shared" si="38"/>
        <v>90328.800000011921</v>
      </c>
      <c r="AF306" s="331"/>
      <c r="AH306" s="402">
        <f t="shared" si="33"/>
        <v>4.3075389264736093E-2</v>
      </c>
      <c r="AI306" s="402">
        <f t="shared" si="34"/>
        <v>4.3038139997189785E-2</v>
      </c>
      <c r="AK306" s="330">
        <f>AE306-AA305*'OverNight $'!H305*E306/360</f>
        <v>64909.828430011919</v>
      </c>
    </row>
    <row r="307" spans="2:37" x14ac:dyDescent="0.25">
      <c r="B307" s="123" t="str">
        <f t="shared" si="20"/>
        <v>10 2025</v>
      </c>
      <c r="C307" s="122">
        <f t="shared" si="22"/>
        <v>45958</v>
      </c>
      <c r="D307" s="122">
        <f t="shared" si="23"/>
        <v>45959</v>
      </c>
      <c r="E307" s="123">
        <f t="shared" si="21"/>
        <v>1</v>
      </c>
      <c r="F307" s="123" t="s">
        <v>7</v>
      </c>
      <c r="H307" s="328">
        <f t="shared" si="24"/>
        <v>45958</v>
      </c>
      <c r="I307" s="329">
        <v>101.95</v>
      </c>
      <c r="J307" s="400"/>
      <c r="L307" s="330">
        <v>200000</v>
      </c>
      <c r="M307" s="331"/>
      <c r="N307" s="331"/>
      <c r="O307" s="331"/>
      <c r="P307" s="331"/>
      <c r="Q307" s="331"/>
      <c r="R307" s="331"/>
      <c r="S307" s="331"/>
      <c r="T307" s="331"/>
      <c r="U307" s="331"/>
      <c r="V307" s="378"/>
      <c r="W307" s="378"/>
      <c r="X307" s="378"/>
      <c r="Z307" s="331">
        <f t="shared" si="31"/>
        <v>1234</v>
      </c>
      <c r="AA307" s="330">
        <f t="shared" si="35"/>
        <v>250707664.80000001</v>
      </c>
      <c r="AB307" s="378">
        <f t="shared" si="36"/>
        <v>251612600.00000003</v>
      </c>
      <c r="AC307" s="401"/>
      <c r="AD307" s="378">
        <f t="shared" si="37"/>
        <v>904935.20000001788</v>
      </c>
      <c r="AE307" s="378">
        <f t="shared" si="38"/>
        <v>30356.400000035763</v>
      </c>
      <c r="AF307" s="331"/>
      <c r="AH307" s="402">
        <f t="shared" si="33"/>
        <v>4.3075389264736093E-2</v>
      </c>
      <c r="AI307" s="402">
        <f t="shared" si="34"/>
        <v>4.3053460320675842E-2</v>
      </c>
      <c r="AK307" s="330">
        <f>AE307-AA306*'OverNight $'!H306*E307/360</f>
        <v>4937.4284300357613</v>
      </c>
    </row>
    <row r="308" spans="2:37" x14ac:dyDescent="0.25">
      <c r="B308" s="123" t="str">
        <f t="shared" si="20"/>
        <v>10 2025</v>
      </c>
      <c r="C308" s="122">
        <f t="shared" si="22"/>
        <v>45959</v>
      </c>
      <c r="D308" s="122">
        <f t="shared" si="23"/>
        <v>45960</v>
      </c>
      <c r="E308" s="123">
        <f t="shared" si="21"/>
        <v>1</v>
      </c>
      <c r="F308" s="123" t="s">
        <v>7</v>
      </c>
      <c r="H308" s="328">
        <f t="shared" si="24"/>
        <v>45959</v>
      </c>
      <c r="I308" s="329">
        <v>101.9623</v>
      </c>
      <c r="J308" s="400"/>
      <c r="L308" s="330">
        <v>200000</v>
      </c>
      <c r="M308" s="331"/>
      <c r="N308" s="331"/>
      <c r="O308" s="331"/>
      <c r="P308" s="331"/>
      <c r="Q308" s="331"/>
      <c r="R308" s="331"/>
      <c r="S308" s="331"/>
      <c r="T308" s="331"/>
      <c r="U308" s="331"/>
      <c r="V308" s="378"/>
      <c r="W308" s="378"/>
      <c r="X308" s="378"/>
      <c r="Z308" s="331">
        <f t="shared" si="31"/>
        <v>1234</v>
      </c>
      <c r="AA308" s="330">
        <f t="shared" si="35"/>
        <v>250707664.80000001</v>
      </c>
      <c r="AB308" s="378">
        <f t="shared" si="36"/>
        <v>251642956.39999998</v>
      </c>
      <c r="AC308" s="401"/>
      <c r="AD308" s="378">
        <f t="shared" si="37"/>
        <v>935291.59999996424</v>
      </c>
      <c r="AE308" s="378">
        <f t="shared" si="38"/>
        <v>30356.399999946356</v>
      </c>
      <c r="AF308" s="331"/>
      <c r="AH308" s="402">
        <f t="shared" si="33"/>
        <v>4.3075389264736093E-2</v>
      </c>
      <c r="AI308" s="402">
        <f t="shared" si="34"/>
        <v>4.3068014627989593E-2</v>
      </c>
      <c r="AK308" s="330">
        <f>AE308-AA307*'OverNight $'!H307*E308/360</f>
        <v>4937.4284299463543</v>
      </c>
    </row>
    <row r="309" spans="2:37" x14ac:dyDescent="0.25">
      <c r="B309" s="148" t="str">
        <f t="shared" si="20"/>
        <v>10 2025</v>
      </c>
      <c r="C309" s="149">
        <f t="shared" si="22"/>
        <v>45960</v>
      </c>
      <c r="D309" s="149">
        <f t="shared" si="23"/>
        <v>45961</v>
      </c>
      <c r="E309" s="148">
        <f t="shared" si="21"/>
        <v>1</v>
      </c>
      <c r="F309" s="148" t="s">
        <v>7</v>
      </c>
      <c r="H309" s="327">
        <f t="shared" si="24"/>
        <v>45960</v>
      </c>
      <c r="I309" s="424">
        <v>101.9747</v>
      </c>
      <c r="J309" s="400"/>
      <c r="L309" s="330">
        <v>200000</v>
      </c>
      <c r="M309" s="331"/>
      <c r="N309" s="331"/>
      <c r="O309" s="331"/>
      <c r="P309" s="331"/>
      <c r="Q309" s="331"/>
      <c r="R309" s="331"/>
      <c r="S309" s="331"/>
      <c r="T309" s="331"/>
      <c r="U309" s="331"/>
      <c r="V309" s="378"/>
      <c r="W309" s="378"/>
      <c r="X309" s="378"/>
      <c r="Z309" s="331">
        <f t="shared" si="31"/>
        <v>1234</v>
      </c>
      <c r="AA309" s="330">
        <f t="shared" si="35"/>
        <v>250707664.80000001</v>
      </c>
      <c r="AB309" s="378">
        <f t="shared" si="36"/>
        <v>251673559.59999999</v>
      </c>
      <c r="AC309" s="401"/>
      <c r="AD309" s="378">
        <f t="shared" si="37"/>
        <v>965894.79999998212</v>
      </c>
      <c r="AE309" s="378">
        <f t="shared" si="38"/>
        <v>30603.200000017881</v>
      </c>
      <c r="AF309" s="331"/>
      <c r="AH309" s="402">
        <f>AH310</f>
        <v>4.3075389264736093E-2</v>
      </c>
      <c r="AI309" s="402">
        <f t="shared" si="34"/>
        <v>4.309051168228082E-2</v>
      </c>
      <c r="AK309" s="330">
        <f>AE309-AA308*'OverNight $'!H308*E309/360</f>
        <v>6925.2538800178772</v>
      </c>
    </row>
    <row r="310" spans="2:37" x14ac:dyDescent="0.25">
      <c r="B310" s="123" t="str">
        <f t="shared" si="20"/>
        <v>11 2025</v>
      </c>
      <c r="C310" s="122">
        <f t="shared" si="22"/>
        <v>45961</v>
      </c>
      <c r="D310" s="122">
        <f t="shared" si="23"/>
        <v>45962</v>
      </c>
      <c r="E310" s="123">
        <f t="shared" si="21"/>
        <v>1</v>
      </c>
      <c r="F310" s="123" t="s">
        <v>7</v>
      </c>
      <c r="H310" s="398">
        <f t="shared" si="24"/>
        <v>45961</v>
      </c>
      <c r="I310" s="389">
        <v>101.9872</v>
      </c>
      <c r="J310" s="400"/>
      <c r="L310" s="386">
        <v>200000</v>
      </c>
      <c r="M310" s="387"/>
      <c r="N310" s="387"/>
      <c r="O310" s="387"/>
      <c r="P310" s="387"/>
      <c r="Q310" s="387"/>
      <c r="R310" s="387"/>
      <c r="S310" s="387"/>
      <c r="T310" s="387"/>
      <c r="U310" s="387"/>
      <c r="V310" s="388"/>
      <c r="W310" s="388"/>
      <c r="X310" s="388"/>
      <c r="Z310" s="387">
        <f t="shared" si="31"/>
        <v>1234</v>
      </c>
      <c r="AA310" s="386">
        <f t="shared" si="35"/>
        <v>250707664.80000001</v>
      </c>
      <c r="AB310" s="388">
        <f t="shared" si="36"/>
        <v>251704409.60000002</v>
      </c>
      <c r="AC310" s="401"/>
      <c r="AD310" s="388">
        <f t="shared" si="37"/>
        <v>996744.80000001192</v>
      </c>
      <c r="AE310" s="388">
        <f t="shared" si="38"/>
        <v>30850.000000029802</v>
      </c>
      <c r="AF310" s="388">
        <f>SUM(AE280:AE310)</f>
        <v>1389021.2000000775</v>
      </c>
      <c r="AH310" s="391">
        <f>(I310/I279-1)*360/(D310-D279)</f>
        <v>4.3075389264736093E-2</v>
      </c>
      <c r="AI310" s="403">
        <f t="shared" si="34"/>
        <v>4.3120384144481605E-2</v>
      </c>
      <c r="AK310" s="386">
        <f>AE310-AA309*'OverNight $'!H309*E310/360</f>
        <v>7172.0538800297982</v>
      </c>
    </row>
    <row r="311" spans="2:37" x14ac:dyDescent="0.25">
      <c r="B311" s="123" t="str">
        <f t="shared" si="20"/>
        <v>11 2025</v>
      </c>
      <c r="C311" s="122">
        <f t="shared" si="22"/>
        <v>45962</v>
      </c>
      <c r="D311" s="122">
        <f t="shared" si="23"/>
        <v>45963</v>
      </c>
      <c r="E311" s="123">
        <f t="shared" si="21"/>
        <v>1</v>
      </c>
      <c r="F311" s="123" t="s">
        <v>7</v>
      </c>
      <c r="H311" s="328">
        <f t="shared" si="24"/>
        <v>45962</v>
      </c>
      <c r="I311" s="329">
        <v>101.9872</v>
      </c>
      <c r="J311" s="400"/>
      <c r="L311" s="330">
        <v>200000</v>
      </c>
      <c r="M311" s="331"/>
      <c r="N311" s="331"/>
      <c r="O311" s="331"/>
      <c r="P311" s="331"/>
      <c r="Q311" s="331"/>
      <c r="R311" s="331"/>
      <c r="S311" s="331"/>
      <c r="T311" s="331"/>
      <c r="U311" s="331"/>
      <c r="V311" s="378"/>
      <c r="W311" s="378"/>
      <c r="X311" s="378"/>
      <c r="Z311" s="331">
        <f t="shared" si="31"/>
        <v>1234</v>
      </c>
      <c r="AA311" s="330">
        <f t="shared" ref="AA311" si="39">AA310+N311-X311</f>
        <v>250707664.80000001</v>
      </c>
      <c r="AB311" s="378">
        <f t="shared" ref="AB311" si="40">Z311*L311*ROUND(I311,4)%</f>
        <v>251704409.60000002</v>
      </c>
      <c r="AD311" s="378">
        <f t="shared" ref="AD311" si="41">AB311-AA311</f>
        <v>996744.80000001192</v>
      </c>
      <c r="AE311" s="378">
        <f t="shared" ref="AE311" si="42">AB311+V311-AB310-N311</f>
        <v>0</v>
      </c>
      <c r="AF311" s="331"/>
      <c r="AH311" s="402">
        <f t="shared" ref="AH311:AH336" si="43">AH312</f>
        <v>4.1072381071910628E-2</v>
      </c>
      <c r="AI311" s="402">
        <f t="shared" si="34"/>
        <v>4.2117584513214588E-2</v>
      </c>
      <c r="AK311" s="330">
        <f>AE311-AA310*'OverNight $'!H310*E311/360</f>
        <v>-23677.946120000004</v>
      </c>
    </row>
    <row r="312" spans="2:37" x14ac:dyDescent="0.25">
      <c r="B312" s="123" t="str">
        <f t="shared" si="20"/>
        <v>11 2025</v>
      </c>
      <c r="C312" s="122">
        <f t="shared" si="22"/>
        <v>45963</v>
      </c>
      <c r="D312" s="122">
        <f t="shared" si="23"/>
        <v>45964</v>
      </c>
      <c r="E312" s="123">
        <f t="shared" si="21"/>
        <v>1</v>
      </c>
      <c r="F312" s="123" t="s">
        <v>7</v>
      </c>
      <c r="H312" s="328">
        <f t="shared" si="24"/>
        <v>45963</v>
      </c>
      <c r="I312" s="329">
        <v>101.9872</v>
      </c>
      <c r="J312" s="400"/>
      <c r="L312" s="330">
        <v>200000</v>
      </c>
      <c r="M312" s="331"/>
      <c r="N312" s="331"/>
      <c r="O312" s="331"/>
      <c r="P312" s="331"/>
      <c r="Q312" s="331"/>
      <c r="R312" s="331"/>
      <c r="S312" s="331"/>
      <c r="T312" s="331"/>
      <c r="U312" s="331"/>
      <c r="V312" s="378"/>
      <c r="W312" s="378"/>
      <c r="X312" s="378"/>
      <c r="Z312" s="331">
        <f t="shared" si="31"/>
        <v>1234</v>
      </c>
      <c r="AA312" s="330">
        <f t="shared" ref="AA312:AA314" si="44">AA311+N312-X312</f>
        <v>250707664.80000001</v>
      </c>
      <c r="AB312" s="378">
        <f t="shared" ref="AB312:AB341" si="45">Z312*L312*ROUND(I312,4)%</f>
        <v>251704409.60000002</v>
      </c>
      <c r="AD312" s="378">
        <f t="shared" ref="AD312:AD370" si="46">AB312-AA312</f>
        <v>996744.80000001192</v>
      </c>
      <c r="AE312" s="378">
        <f t="shared" ref="AE312:AE370" si="47">AB312+V312-AB311-N312</f>
        <v>0</v>
      </c>
      <c r="AF312" s="331"/>
      <c r="AH312" s="402">
        <f t="shared" si="43"/>
        <v>4.1072381071910628E-2</v>
      </c>
      <c r="AI312" s="402">
        <f t="shared" si="34"/>
        <v>4.1160366683368803E-2</v>
      </c>
      <c r="AK312" s="330">
        <f>AE312-AA311*'OverNight $'!H311*E312/360</f>
        <v>-23677.946120000004</v>
      </c>
    </row>
    <row r="313" spans="2:37" x14ac:dyDescent="0.25">
      <c r="B313" s="123" t="str">
        <f t="shared" si="20"/>
        <v>11 2025</v>
      </c>
      <c r="C313" s="122">
        <f t="shared" si="22"/>
        <v>45964</v>
      </c>
      <c r="D313" s="122">
        <f t="shared" si="23"/>
        <v>45965</v>
      </c>
      <c r="E313" s="123">
        <f t="shared" si="21"/>
        <v>1</v>
      </c>
      <c r="F313" s="123" t="s">
        <v>7</v>
      </c>
      <c r="H313" s="328">
        <f t="shared" si="24"/>
        <v>45964</v>
      </c>
      <c r="I313" s="329">
        <v>102.0243</v>
      </c>
      <c r="J313" s="400"/>
      <c r="L313" s="330">
        <v>200000</v>
      </c>
      <c r="M313" s="331"/>
      <c r="N313" s="331"/>
      <c r="O313" s="331"/>
      <c r="P313" s="331"/>
      <c r="Q313" s="331"/>
      <c r="R313" s="331"/>
      <c r="S313" s="331"/>
      <c r="T313" s="331"/>
      <c r="U313" s="331"/>
      <c r="V313" s="378"/>
      <c r="W313" s="378"/>
      <c r="X313" s="378"/>
      <c r="Z313" s="331">
        <f t="shared" si="31"/>
        <v>1234</v>
      </c>
      <c r="AA313" s="330">
        <f t="shared" si="44"/>
        <v>250707664.80000001</v>
      </c>
      <c r="AB313" s="378">
        <f t="shared" si="45"/>
        <v>251795972.40000001</v>
      </c>
      <c r="AD313" s="378">
        <f t="shared" si="46"/>
        <v>1088307.599999994</v>
      </c>
      <c r="AE313" s="378">
        <f t="shared" si="47"/>
        <v>91562.799999982119</v>
      </c>
      <c r="AF313" s="331"/>
      <c r="AH313" s="402">
        <f t="shared" si="43"/>
        <v>4.1072381071910628E-2</v>
      </c>
      <c r="AI313" s="402">
        <f t="shared" si="34"/>
        <v>4.3170501208651402E-2</v>
      </c>
      <c r="AK313" s="330">
        <f>AE313-AA312*'OverNight $'!H312*E313/360</f>
        <v>67884.853879982111</v>
      </c>
    </row>
    <row r="314" spans="2:37" x14ac:dyDescent="0.25">
      <c r="B314" s="123" t="str">
        <f t="shared" si="20"/>
        <v>11 2025</v>
      </c>
      <c r="C314" s="122">
        <f t="shared" si="22"/>
        <v>45965</v>
      </c>
      <c r="D314" s="122">
        <f t="shared" si="23"/>
        <v>45966</v>
      </c>
      <c r="E314" s="123">
        <f t="shared" si="21"/>
        <v>1</v>
      </c>
      <c r="F314" s="123" t="s">
        <v>7</v>
      </c>
      <c r="H314" s="328">
        <f t="shared" si="24"/>
        <v>45965</v>
      </c>
      <c r="I314" s="329">
        <v>102.0361</v>
      </c>
      <c r="J314" s="400"/>
      <c r="L314" s="330">
        <v>200000</v>
      </c>
      <c r="M314" s="331"/>
      <c r="N314" s="331"/>
      <c r="O314" s="331"/>
      <c r="P314" s="331"/>
      <c r="Q314" s="331"/>
      <c r="R314" s="406">
        <v>128</v>
      </c>
      <c r="S314" s="331"/>
      <c r="T314" s="331"/>
      <c r="U314" s="331"/>
      <c r="V314" s="379">
        <f>ROUND(R314*L314*I314%,2)</f>
        <v>26121241.600000001</v>
      </c>
      <c r="W314" s="379">
        <f>R314*(I314-I268)%*L314</f>
        <v>143206.40000000276</v>
      </c>
      <c r="X314" s="407">
        <f>V314-W314</f>
        <v>25978035.199999999</v>
      </c>
      <c r="Z314" s="331">
        <f t="shared" ref="Z314:Z358" si="48">Z313+M314-R314</f>
        <v>1106</v>
      </c>
      <c r="AA314" s="330">
        <f t="shared" si="44"/>
        <v>224729629.60000002</v>
      </c>
      <c r="AB314" s="378">
        <f t="shared" si="45"/>
        <v>225703853.20000002</v>
      </c>
      <c r="AD314" s="378">
        <f t="shared" si="46"/>
        <v>974223.59999999404</v>
      </c>
      <c r="AE314" s="378">
        <f t="shared" si="47"/>
        <v>29122.40000000596</v>
      </c>
      <c r="AF314" s="331"/>
      <c r="AH314" s="402">
        <f t="shared" si="43"/>
        <v>4.1072381071910628E-2</v>
      </c>
      <c r="AI314" s="402">
        <f t="shared" si="34"/>
        <v>4.3142051756495201E-2</v>
      </c>
      <c r="AK314" s="330">
        <f>AE314-AA313*'OverNight $'!H313*E314/360</f>
        <v>5444.4538800059563</v>
      </c>
    </row>
    <row r="315" spans="2:37" x14ac:dyDescent="0.25">
      <c r="B315" s="123" t="str">
        <f t="shared" si="20"/>
        <v>11 2025</v>
      </c>
      <c r="C315" s="122">
        <f t="shared" si="22"/>
        <v>45966</v>
      </c>
      <c r="D315" s="122">
        <f t="shared" si="23"/>
        <v>45967</v>
      </c>
      <c r="E315" s="123">
        <f t="shared" si="21"/>
        <v>1</v>
      </c>
      <c r="F315" s="123" t="s">
        <v>7</v>
      </c>
      <c r="H315" s="328">
        <f t="shared" si="24"/>
        <v>45966</v>
      </c>
      <c r="I315" s="329">
        <v>102.0483</v>
      </c>
      <c r="J315" s="400"/>
      <c r="L315" s="330">
        <v>200000</v>
      </c>
      <c r="M315" s="331"/>
      <c r="N315" s="331"/>
      <c r="O315" s="331"/>
      <c r="P315" s="331"/>
      <c r="Q315" s="331"/>
      <c r="R315" s="331"/>
      <c r="S315" s="331"/>
      <c r="T315" s="331"/>
      <c r="U315" s="331"/>
      <c r="V315" s="331"/>
      <c r="W315" s="331"/>
      <c r="X315" s="331"/>
      <c r="Z315" s="331">
        <f t="shared" si="48"/>
        <v>1106</v>
      </c>
      <c r="AA315" s="330">
        <f t="shared" ref="AA315:AA341" si="49">AA314+N315-X315</f>
        <v>224729629.60000002</v>
      </c>
      <c r="AB315" s="378">
        <f t="shared" si="45"/>
        <v>225730839.59999999</v>
      </c>
      <c r="AD315" s="378">
        <f t="shared" si="46"/>
        <v>1001209.9999999702</v>
      </c>
      <c r="AE315" s="378">
        <f t="shared" si="47"/>
        <v>26986.399999976158</v>
      </c>
      <c r="AF315" s="331"/>
      <c r="AH315" s="402">
        <f t="shared" si="43"/>
        <v>4.1072381071910628E-2</v>
      </c>
      <c r="AI315" s="402">
        <f t="shared" si="34"/>
        <v>4.3145005365345129E-2</v>
      </c>
      <c r="AK315" s="330">
        <f>AE315-AA314*'OverNight $'!H314*E315/360</f>
        <v>5761.9349821983742</v>
      </c>
    </row>
    <row r="316" spans="2:37" x14ac:dyDescent="0.25">
      <c r="B316" s="123" t="str">
        <f t="shared" si="20"/>
        <v>11 2025</v>
      </c>
      <c r="C316" s="122">
        <f t="shared" si="22"/>
        <v>45967</v>
      </c>
      <c r="D316" s="122">
        <f t="shared" si="23"/>
        <v>45968</v>
      </c>
      <c r="E316" s="123">
        <f t="shared" si="21"/>
        <v>1</v>
      </c>
      <c r="F316" s="123" t="s">
        <v>7</v>
      </c>
      <c r="H316" s="328">
        <f t="shared" si="24"/>
        <v>45967</v>
      </c>
      <c r="I316" s="329">
        <v>102.0603</v>
      </c>
      <c r="J316" s="400"/>
      <c r="L316" s="330">
        <v>200000</v>
      </c>
      <c r="M316" s="331"/>
      <c r="N316" s="331"/>
      <c r="O316" s="331"/>
      <c r="P316" s="331"/>
      <c r="Q316" s="331"/>
      <c r="R316" s="331"/>
      <c r="S316" s="331"/>
      <c r="T316" s="331"/>
      <c r="U316" s="331"/>
      <c r="V316" s="331"/>
      <c r="W316" s="331"/>
      <c r="X316" s="331"/>
      <c r="Z316" s="331">
        <f t="shared" si="48"/>
        <v>1106</v>
      </c>
      <c r="AA316" s="330">
        <f t="shared" si="49"/>
        <v>224729629.60000002</v>
      </c>
      <c r="AB316" s="378">
        <f t="shared" si="45"/>
        <v>225757383.59999999</v>
      </c>
      <c r="AD316" s="378">
        <f t="shared" si="46"/>
        <v>1027753.9999999702</v>
      </c>
      <c r="AE316" s="378">
        <f t="shared" si="47"/>
        <v>26544</v>
      </c>
      <c r="AF316" s="331"/>
      <c r="AH316" s="402">
        <f t="shared" si="43"/>
        <v>4.1072381071910628E-2</v>
      </c>
      <c r="AI316" s="402">
        <f t="shared" si="34"/>
        <v>4.3133054188793651E-2</v>
      </c>
      <c r="AK316" s="330">
        <f>AE316-AA315*'OverNight $'!H315*E316/360</f>
        <v>5319.5349822222161</v>
      </c>
    </row>
    <row r="317" spans="2:37" x14ac:dyDescent="0.25">
      <c r="B317" s="123" t="str">
        <f t="shared" si="20"/>
        <v>11 2025</v>
      </c>
      <c r="C317" s="122">
        <f t="shared" si="22"/>
        <v>45968</v>
      </c>
      <c r="D317" s="122">
        <f t="shared" si="23"/>
        <v>45969</v>
      </c>
      <c r="E317" s="123">
        <f t="shared" si="21"/>
        <v>1</v>
      </c>
      <c r="F317" s="123" t="s">
        <v>7</v>
      </c>
      <c r="H317" s="328">
        <f t="shared" si="24"/>
        <v>45968</v>
      </c>
      <c r="I317" s="329">
        <v>102.0719</v>
      </c>
      <c r="J317" s="400"/>
      <c r="L317" s="330">
        <v>200000</v>
      </c>
      <c r="M317" s="331"/>
      <c r="N317" s="331"/>
      <c r="O317" s="331"/>
      <c r="P317" s="331"/>
      <c r="Q317" s="331"/>
      <c r="R317" s="331"/>
      <c r="S317" s="331"/>
      <c r="T317" s="331"/>
      <c r="U317" s="331"/>
      <c r="V317" s="331"/>
      <c r="W317" s="331"/>
      <c r="X317" s="331"/>
      <c r="Z317" s="331">
        <f t="shared" si="48"/>
        <v>1106</v>
      </c>
      <c r="AA317" s="330">
        <f t="shared" si="49"/>
        <v>224729629.60000002</v>
      </c>
      <c r="AB317" s="378">
        <f t="shared" si="45"/>
        <v>225783042.79999998</v>
      </c>
      <c r="AD317" s="378">
        <f t="shared" si="46"/>
        <v>1053413.1999999583</v>
      </c>
      <c r="AE317" s="378">
        <f t="shared" si="47"/>
        <v>25659.199999988079</v>
      </c>
      <c r="AF317" s="331"/>
      <c r="AH317" s="402">
        <f t="shared" si="43"/>
        <v>4.1072381071910628E-2</v>
      </c>
      <c r="AI317" s="402">
        <f t="shared" si="34"/>
        <v>4.3092630714081502E-2</v>
      </c>
      <c r="AK317" s="330">
        <f>AE317-AA316*'OverNight $'!H316*E317/360</f>
        <v>4434.7349822102951</v>
      </c>
    </row>
    <row r="318" spans="2:37" x14ac:dyDescent="0.25">
      <c r="B318" s="123" t="str">
        <f t="shared" si="20"/>
        <v>11 2025</v>
      </c>
      <c r="C318" s="122">
        <f t="shared" si="22"/>
        <v>45969</v>
      </c>
      <c r="D318" s="122">
        <f t="shared" si="23"/>
        <v>45970</v>
      </c>
      <c r="E318" s="123">
        <f t="shared" si="21"/>
        <v>1</v>
      </c>
      <c r="F318" s="123" t="s">
        <v>7</v>
      </c>
      <c r="H318" s="328">
        <f t="shared" si="24"/>
        <v>45969</v>
      </c>
      <c r="I318" s="329">
        <v>102.0719</v>
      </c>
      <c r="J318" s="400"/>
      <c r="L318" s="330">
        <v>200000</v>
      </c>
      <c r="M318" s="331"/>
      <c r="N318" s="331"/>
      <c r="O318" s="331"/>
      <c r="P318" s="331"/>
      <c r="Q318" s="331"/>
      <c r="R318" s="331"/>
      <c r="S318" s="331"/>
      <c r="T318" s="331"/>
      <c r="U318" s="331"/>
      <c r="V318" s="331"/>
      <c r="W318" s="331"/>
      <c r="X318" s="331"/>
      <c r="Z318" s="331">
        <f t="shared" si="48"/>
        <v>1106</v>
      </c>
      <c r="AA318" s="330">
        <f t="shared" si="49"/>
        <v>224729629.60000002</v>
      </c>
      <c r="AB318" s="378">
        <f t="shared" si="45"/>
        <v>225783042.79999998</v>
      </c>
      <c r="AD318" s="378">
        <f t="shared" si="46"/>
        <v>1053413.1999999583</v>
      </c>
      <c r="AE318" s="378">
        <f t="shared" si="47"/>
        <v>0</v>
      </c>
      <c r="AF318" s="331"/>
      <c r="AH318" s="402">
        <f t="shared" si="43"/>
        <v>4.1072381071910628E-2</v>
      </c>
      <c r="AI318" s="402">
        <f t="shared" si="34"/>
        <v>4.2230778099799873E-2</v>
      </c>
      <c r="AK318" s="330">
        <f>AE318-AA317*'OverNight $'!H317*E318/360</f>
        <v>-21224.465017777784</v>
      </c>
    </row>
    <row r="319" spans="2:37" x14ac:dyDescent="0.25">
      <c r="B319" s="123" t="str">
        <f t="shared" si="20"/>
        <v>11 2025</v>
      </c>
      <c r="C319" s="122">
        <f t="shared" si="22"/>
        <v>45970</v>
      </c>
      <c r="D319" s="122">
        <f t="shared" si="23"/>
        <v>45971</v>
      </c>
      <c r="E319" s="123">
        <f t="shared" si="21"/>
        <v>1</v>
      </c>
      <c r="F319" s="123" t="s">
        <v>7</v>
      </c>
      <c r="H319" s="328">
        <f t="shared" si="24"/>
        <v>45970</v>
      </c>
      <c r="I319" s="329">
        <v>102.0719</v>
      </c>
      <c r="J319" s="400"/>
      <c r="L319" s="330">
        <v>200000</v>
      </c>
      <c r="M319" s="331"/>
      <c r="N319" s="331"/>
      <c r="O319" s="331"/>
      <c r="P319" s="331"/>
      <c r="Q319" s="331"/>
      <c r="R319" s="331"/>
      <c r="S319" s="331"/>
      <c r="T319" s="331"/>
      <c r="U319" s="331"/>
      <c r="V319" s="331"/>
      <c r="W319" s="331"/>
      <c r="X319" s="331"/>
      <c r="Z319" s="331">
        <f t="shared" si="48"/>
        <v>1106</v>
      </c>
      <c r="AA319" s="330">
        <f t="shared" si="49"/>
        <v>224729629.60000002</v>
      </c>
      <c r="AB319" s="378">
        <f t="shared" si="45"/>
        <v>225783042.79999998</v>
      </c>
      <c r="AD319" s="378">
        <f t="shared" si="46"/>
        <v>1053413.1999999583</v>
      </c>
      <c r="AE319" s="378">
        <f t="shared" si="47"/>
        <v>0</v>
      </c>
      <c r="AF319" s="331"/>
      <c r="AH319" s="402">
        <f t="shared" si="43"/>
        <v>4.1072381071910628E-2</v>
      </c>
      <c r="AI319" s="402">
        <f t="shared" si="34"/>
        <v>4.1402723627254778E-2</v>
      </c>
      <c r="AK319" s="330">
        <f>AE319-AA318*'OverNight $'!H318*E319/360</f>
        <v>-21224.465017777784</v>
      </c>
    </row>
    <row r="320" spans="2:37" x14ac:dyDescent="0.25">
      <c r="B320" s="123" t="str">
        <f t="shared" si="20"/>
        <v>11 2025</v>
      </c>
      <c r="C320" s="122">
        <f t="shared" si="22"/>
        <v>45971</v>
      </c>
      <c r="D320" s="122">
        <f t="shared" si="23"/>
        <v>45972</v>
      </c>
      <c r="E320" s="123">
        <f t="shared" si="21"/>
        <v>1</v>
      </c>
      <c r="F320" s="123" t="s">
        <v>7</v>
      </c>
      <c r="H320" s="328">
        <f t="shared" si="24"/>
        <v>45971</v>
      </c>
      <c r="I320" s="329">
        <v>102.10599999999999</v>
      </c>
      <c r="J320" s="400"/>
      <c r="L320" s="330">
        <v>200000</v>
      </c>
      <c r="M320" s="331"/>
      <c r="N320" s="331"/>
      <c r="O320" s="331"/>
      <c r="P320" s="331"/>
      <c r="Q320" s="331"/>
      <c r="R320" s="331"/>
      <c r="S320" s="331"/>
      <c r="T320" s="331"/>
      <c r="U320" s="331"/>
      <c r="V320" s="331"/>
      <c r="W320" s="331"/>
      <c r="X320" s="331"/>
      <c r="Z320" s="331">
        <f t="shared" si="48"/>
        <v>1106</v>
      </c>
      <c r="AA320" s="330">
        <f t="shared" si="49"/>
        <v>224729629.60000002</v>
      </c>
      <c r="AB320" s="378">
        <f t="shared" si="45"/>
        <v>225858471.99999997</v>
      </c>
      <c r="AD320" s="378">
        <f t="shared" si="46"/>
        <v>1128842.3999999464</v>
      </c>
      <c r="AE320" s="378">
        <f t="shared" si="47"/>
        <v>75429.199999988079</v>
      </c>
      <c r="AF320" s="331"/>
      <c r="AH320" s="402">
        <f t="shared" si="43"/>
        <v>4.1072381071910628E-2</v>
      </c>
      <c r="AI320" s="402">
        <f t="shared" si="34"/>
        <v>4.2932932463239246E-2</v>
      </c>
      <c r="AK320" s="330">
        <f>AE320-AA319*'OverNight $'!H319*E320/360</f>
        <v>54204.734982210299</v>
      </c>
    </row>
    <row r="321" spans="2:37" x14ac:dyDescent="0.25">
      <c r="B321" s="123" t="str">
        <f t="shared" si="20"/>
        <v>11 2025</v>
      </c>
      <c r="C321" s="122">
        <f t="shared" si="22"/>
        <v>45972</v>
      </c>
      <c r="D321" s="122">
        <f t="shared" si="23"/>
        <v>45973</v>
      </c>
      <c r="E321" s="123">
        <f t="shared" si="21"/>
        <v>1</v>
      </c>
      <c r="F321" s="123" t="s">
        <v>7</v>
      </c>
      <c r="H321" s="328">
        <f t="shared" si="24"/>
        <v>45972</v>
      </c>
      <c r="I321" s="329">
        <v>102.1174</v>
      </c>
      <c r="J321" s="400"/>
      <c r="L321" s="330">
        <v>200000</v>
      </c>
      <c r="M321" s="331"/>
      <c r="N321" s="331"/>
      <c r="O321" s="331"/>
      <c r="P321" s="331"/>
      <c r="Q321" s="331"/>
      <c r="R321" s="331"/>
      <c r="S321" s="331"/>
      <c r="T321" s="331"/>
      <c r="U321" s="331"/>
      <c r="V321" s="331"/>
      <c r="W321" s="331"/>
      <c r="X321" s="331"/>
      <c r="Z321" s="331">
        <f t="shared" si="48"/>
        <v>1106</v>
      </c>
      <c r="AA321" s="330">
        <f t="shared" si="49"/>
        <v>224729629.60000002</v>
      </c>
      <c r="AB321" s="378">
        <f t="shared" si="45"/>
        <v>225883688.80000001</v>
      </c>
      <c r="AD321" s="378">
        <f t="shared" si="46"/>
        <v>1154059.1999999881</v>
      </c>
      <c r="AE321" s="378">
        <f t="shared" si="47"/>
        <v>25216.800000041723</v>
      </c>
      <c r="AF321" s="331"/>
      <c r="AH321" s="402">
        <f t="shared" si="43"/>
        <v>4.1072381071910628E-2</v>
      </c>
      <c r="AI321" s="402">
        <f t="shared" si="34"/>
        <v>4.2885948481789643E-2</v>
      </c>
      <c r="AK321" s="330">
        <f>AE321-AA320*'OverNight $'!H320*E321/360</f>
        <v>3992.3349822639393</v>
      </c>
    </row>
    <row r="322" spans="2:37" x14ac:dyDescent="0.25">
      <c r="B322" s="123" t="str">
        <f t="shared" si="20"/>
        <v>11 2025</v>
      </c>
      <c r="C322" s="122">
        <f t="shared" si="22"/>
        <v>45973</v>
      </c>
      <c r="D322" s="122">
        <f t="shared" si="23"/>
        <v>45974</v>
      </c>
      <c r="E322" s="123">
        <f t="shared" si="21"/>
        <v>1</v>
      </c>
      <c r="F322" s="123" t="s">
        <v>7</v>
      </c>
      <c r="H322" s="328">
        <f t="shared" si="24"/>
        <v>45973</v>
      </c>
      <c r="I322" s="329">
        <v>102.1289</v>
      </c>
      <c r="J322" s="400"/>
      <c r="L322" s="330">
        <v>200000</v>
      </c>
      <c r="M322" s="331"/>
      <c r="N322" s="331"/>
      <c r="O322" s="331"/>
      <c r="P322" s="331"/>
      <c r="Q322" s="331"/>
      <c r="R322" s="331"/>
      <c r="S322" s="331"/>
      <c r="T322" s="331"/>
      <c r="U322" s="331"/>
      <c r="V322" s="331"/>
      <c r="W322" s="331"/>
      <c r="X322" s="331"/>
      <c r="Z322" s="331">
        <f t="shared" si="48"/>
        <v>1106</v>
      </c>
      <c r="AA322" s="330">
        <f t="shared" si="49"/>
        <v>224729629.60000002</v>
      </c>
      <c r="AB322" s="378">
        <f t="shared" si="45"/>
        <v>225909126.80000001</v>
      </c>
      <c r="AD322" s="378">
        <f t="shared" si="46"/>
        <v>1179497.1999999881</v>
      </c>
      <c r="AE322" s="378">
        <f t="shared" si="47"/>
        <v>25438</v>
      </c>
      <c r="AF322" s="331"/>
      <c r="AH322" s="402">
        <f t="shared" si="43"/>
        <v>4.1072381071910628E-2</v>
      </c>
      <c r="AI322" s="402">
        <f t="shared" si="34"/>
        <v>4.2847274300406767E-2</v>
      </c>
      <c r="AK322" s="330">
        <f>AE322-AA321*'OverNight $'!H321*E322/360</f>
        <v>4213.5349822222161</v>
      </c>
    </row>
    <row r="323" spans="2:37" x14ac:dyDescent="0.25">
      <c r="B323" s="123" t="str">
        <f t="shared" si="20"/>
        <v>11 2025</v>
      </c>
      <c r="C323" s="122">
        <f t="shared" si="22"/>
        <v>45974</v>
      </c>
      <c r="D323" s="122">
        <f t="shared" si="23"/>
        <v>45975</v>
      </c>
      <c r="E323" s="123">
        <f t="shared" si="21"/>
        <v>1</v>
      </c>
      <c r="F323" s="123" t="s">
        <v>7</v>
      </c>
      <c r="H323" s="328">
        <f t="shared" si="24"/>
        <v>45974</v>
      </c>
      <c r="I323" s="329">
        <v>102.1404</v>
      </c>
      <c r="J323" s="400"/>
      <c r="L323" s="330">
        <v>200000</v>
      </c>
      <c r="M323" s="331"/>
      <c r="N323" s="331"/>
      <c r="O323" s="331"/>
      <c r="P323" s="331"/>
      <c r="Q323" s="331"/>
      <c r="R323" s="331"/>
      <c r="S323" s="331"/>
      <c r="T323" s="331"/>
      <c r="U323" s="331"/>
      <c r="V323" s="331"/>
      <c r="W323" s="331"/>
      <c r="X323" s="331"/>
      <c r="Z323" s="331">
        <f t="shared" si="48"/>
        <v>1106</v>
      </c>
      <c r="AA323" s="330">
        <f t="shared" si="49"/>
        <v>224729629.60000002</v>
      </c>
      <c r="AB323" s="378">
        <f t="shared" si="45"/>
        <v>225934564.79999998</v>
      </c>
      <c r="AD323" s="378">
        <f t="shared" si="46"/>
        <v>1204935.1999999583</v>
      </c>
      <c r="AE323" s="378">
        <f t="shared" si="47"/>
        <v>25437.999999970198</v>
      </c>
      <c r="AF323" s="331"/>
      <c r="AH323" s="402">
        <f t="shared" si="43"/>
        <v>4.1072381071910628E-2</v>
      </c>
      <c r="AI323" s="402">
        <f t="shared" si="34"/>
        <v>4.2810006452892353E-2</v>
      </c>
      <c r="AK323" s="330">
        <f>AE323-AA322*'OverNight $'!H322*E323/360</f>
        <v>4213.5349821924137</v>
      </c>
    </row>
    <row r="324" spans="2:37" x14ac:dyDescent="0.25">
      <c r="B324" s="123" t="str">
        <f t="shared" si="20"/>
        <v>11 2025</v>
      </c>
      <c r="C324" s="122">
        <f t="shared" si="22"/>
        <v>45975</v>
      </c>
      <c r="D324" s="122">
        <f t="shared" si="23"/>
        <v>45976</v>
      </c>
      <c r="E324" s="123">
        <f t="shared" si="21"/>
        <v>1</v>
      </c>
      <c r="F324" s="123" t="s">
        <v>7</v>
      </c>
      <c r="H324" s="328">
        <f t="shared" si="24"/>
        <v>45975</v>
      </c>
      <c r="I324" s="329">
        <v>102.15179999999999</v>
      </c>
      <c r="J324" s="400"/>
      <c r="L324" s="330">
        <v>200000</v>
      </c>
      <c r="M324" s="331"/>
      <c r="N324" s="331"/>
      <c r="O324" s="331"/>
      <c r="P324" s="331"/>
      <c r="Q324" s="331"/>
      <c r="R324" s="331"/>
      <c r="S324" s="331"/>
      <c r="T324" s="331"/>
      <c r="U324" s="331"/>
      <c r="V324" s="331"/>
      <c r="W324" s="331"/>
      <c r="X324" s="331"/>
      <c r="Z324" s="331">
        <f t="shared" si="48"/>
        <v>1106</v>
      </c>
      <c r="AA324" s="330">
        <f t="shared" si="49"/>
        <v>224729629.60000002</v>
      </c>
      <c r="AB324" s="378">
        <f t="shared" si="45"/>
        <v>225959781.59999999</v>
      </c>
      <c r="AD324" s="378">
        <f t="shared" si="46"/>
        <v>1230151.9999999702</v>
      </c>
      <c r="AE324" s="378">
        <f t="shared" si="47"/>
        <v>25216.800000011921</v>
      </c>
      <c r="AF324" s="331"/>
      <c r="AH324" s="402">
        <f t="shared" si="43"/>
        <v>4.1072381071910628E-2</v>
      </c>
      <c r="AI324" s="402">
        <f t="shared" si="34"/>
        <v>4.2767734577775177E-2</v>
      </c>
      <c r="AK324" s="330">
        <f>AE324-AA323*'OverNight $'!H323*E324/360</f>
        <v>3992.334982234137</v>
      </c>
    </row>
    <row r="325" spans="2:37" x14ac:dyDescent="0.25">
      <c r="B325" s="123" t="str">
        <f t="shared" si="20"/>
        <v>11 2025</v>
      </c>
      <c r="C325" s="122">
        <f t="shared" si="22"/>
        <v>45976</v>
      </c>
      <c r="D325" s="122">
        <f t="shared" si="23"/>
        <v>45977</v>
      </c>
      <c r="E325" s="123">
        <f t="shared" si="21"/>
        <v>1</v>
      </c>
      <c r="F325" s="123" t="s">
        <v>7</v>
      </c>
      <c r="H325" s="328">
        <f t="shared" si="24"/>
        <v>45976</v>
      </c>
      <c r="I325" s="329">
        <v>102.15179999999999</v>
      </c>
      <c r="J325" s="400"/>
      <c r="L325" s="330">
        <v>200000</v>
      </c>
      <c r="M325" s="331"/>
      <c r="N325" s="331"/>
      <c r="O325" s="331"/>
      <c r="P325" s="331"/>
      <c r="Q325" s="331"/>
      <c r="R325" s="331"/>
      <c r="S325" s="331"/>
      <c r="T325" s="331"/>
      <c r="U325" s="331"/>
      <c r="V325" s="331"/>
      <c r="W325" s="331"/>
      <c r="X325" s="331"/>
      <c r="Z325" s="331">
        <f t="shared" si="48"/>
        <v>1106</v>
      </c>
      <c r="AA325" s="330">
        <f t="shared" si="49"/>
        <v>224729629.60000002</v>
      </c>
      <c r="AB325" s="378">
        <f t="shared" si="45"/>
        <v>225959781.59999999</v>
      </c>
      <c r="AD325" s="378">
        <f t="shared" si="46"/>
        <v>1230151.9999999702</v>
      </c>
      <c r="AE325" s="378">
        <f t="shared" si="47"/>
        <v>0</v>
      </c>
      <c r="AF325" s="331"/>
      <c r="AH325" s="402">
        <f t="shared" si="43"/>
        <v>4.1072381071910628E-2</v>
      </c>
      <c r="AI325" s="402">
        <f t="shared" si="34"/>
        <v>4.2017423444831753E-2</v>
      </c>
      <c r="AK325" s="330">
        <f>AE325-AA324*'OverNight $'!H324*E325/360</f>
        <v>-21224.465017777784</v>
      </c>
    </row>
    <row r="326" spans="2:37" x14ac:dyDescent="0.25">
      <c r="B326" s="123" t="str">
        <f t="shared" ref="B326:B370" si="50">CONCATENATE(MONTH(D326)," ",YEAR(D326))</f>
        <v>11 2025</v>
      </c>
      <c r="C326" s="122">
        <f t="shared" si="22"/>
        <v>45977</v>
      </c>
      <c r="D326" s="122">
        <f t="shared" si="23"/>
        <v>45978</v>
      </c>
      <c r="E326" s="123">
        <f t="shared" ref="E326:E370" si="51">D326-C326</f>
        <v>1</v>
      </c>
      <c r="F326" s="123" t="s">
        <v>7</v>
      </c>
      <c r="H326" s="328">
        <f t="shared" si="24"/>
        <v>45977</v>
      </c>
      <c r="I326" s="329">
        <v>102.15179999999999</v>
      </c>
      <c r="J326" s="400"/>
      <c r="L326" s="330">
        <v>200000</v>
      </c>
      <c r="M326" s="331"/>
      <c r="N326" s="331"/>
      <c r="O326" s="331"/>
      <c r="P326" s="331"/>
      <c r="Q326" s="331"/>
      <c r="R326" s="331"/>
      <c r="S326" s="331"/>
      <c r="T326" s="331"/>
      <c r="U326" s="331"/>
      <c r="V326" s="331"/>
      <c r="W326" s="331"/>
      <c r="X326" s="331"/>
      <c r="Z326" s="331">
        <f t="shared" si="48"/>
        <v>1106</v>
      </c>
      <c r="AA326" s="330">
        <f t="shared" si="49"/>
        <v>224729629.60000002</v>
      </c>
      <c r="AB326" s="378">
        <f t="shared" si="45"/>
        <v>225959781.59999999</v>
      </c>
      <c r="AD326" s="378">
        <f t="shared" si="46"/>
        <v>1230151.9999999702</v>
      </c>
      <c r="AE326" s="378">
        <f t="shared" si="47"/>
        <v>0</v>
      </c>
      <c r="AF326" s="331"/>
      <c r="AH326" s="402">
        <f t="shared" si="43"/>
        <v>4.1072381071910628E-2</v>
      </c>
      <c r="AI326" s="402">
        <f t="shared" si="34"/>
        <v>4.1292985109576033E-2</v>
      </c>
      <c r="AK326" s="330">
        <f>AE326-AA325*'OverNight $'!H325*E326/360</f>
        <v>-21224.465017777784</v>
      </c>
    </row>
    <row r="327" spans="2:37" x14ac:dyDescent="0.25">
      <c r="B327" s="123" t="str">
        <f t="shared" si="50"/>
        <v>11 2025</v>
      </c>
      <c r="C327" s="122">
        <f t="shared" ref="C327:C370" si="52">D326</f>
        <v>45978</v>
      </c>
      <c r="D327" s="122">
        <f t="shared" ref="D327:D370" si="53">D326+1</f>
        <v>45979</v>
      </c>
      <c r="E327" s="123">
        <f t="shared" si="51"/>
        <v>1</v>
      </c>
      <c r="F327" s="123" t="s">
        <v>7</v>
      </c>
      <c r="H327" s="328">
        <f t="shared" ref="H327:H370" si="54">H326+1</f>
        <v>45978</v>
      </c>
      <c r="I327" s="329">
        <v>102.1866</v>
      </c>
      <c r="J327" s="400"/>
      <c r="L327" s="330">
        <v>200000</v>
      </c>
      <c r="M327" s="331"/>
      <c r="N327" s="331"/>
      <c r="O327" s="331"/>
      <c r="P327" s="331"/>
      <c r="Q327" s="331"/>
      <c r="R327" s="331"/>
      <c r="S327" s="331"/>
      <c r="T327" s="331"/>
      <c r="U327" s="331"/>
      <c r="V327" s="331"/>
      <c r="W327" s="331"/>
      <c r="X327" s="331"/>
      <c r="Z327" s="331">
        <f t="shared" si="48"/>
        <v>1106</v>
      </c>
      <c r="AA327" s="330">
        <f t="shared" si="49"/>
        <v>224729629.60000002</v>
      </c>
      <c r="AB327" s="378">
        <f t="shared" si="45"/>
        <v>226036759.19999999</v>
      </c>
      <c r="AD327" s="378">
        <f t="shared" si="46"/>
        <v>1307129.5999999642</v>
      </c>
      <c r="AE327" s="378">
        <f t="shared" si="47"/>
        <v>76977.59999999404</v>
      </c>
      <c r="AF327" s="331"/>
      <c r="AH327" s="402">
        <f t="shared" si="43"/>
        <v>4.1072381071910628E-2</v>
      </c>
      <c r="AI327" s="402">
        <f t="shared" si="34"/>
        <v>4.2685594036257365E-2</v>
      </c>
      <c r="AK327" s="330">
        <f>AE327-AA326*'OverNight $'!H326*E327/360</f>
        <v>55753.134982216259</v>
      </c>
    </row>
    <row r="328" spans="2:37" x14ac:dyDescent="0.25">
      <c r="B328" s="123" t="str">
        <f t="shared" si="50"/>
        <v>11 2025</v>
      </c>
      <c r="C328" s="122">
        <f t="shared" si="52"/>
        <v>45979</v>
      </c>
      <c r="D328" s="122">
        <f t="shared" si="53"/>
        <v>45980</v>
      </c>
      <c r="E328" s="123">
        <f t="shared" si="51"/>
        <v>1</v>
      </c>
      <c r="F328" s="123" t="s">
        <v>7</v>
      </c>
      <c r="H328" s="328">
        <f t="shared" si="54"/>
        <v>45979</v>
      </c>
      <c r="I328" s="329">
        <v>102.1982</v>
      </c>
      <c r="J328" s="400"/>
      <c r="L328" s="330">
        <v>200000</v>
      </c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W328" s="331"/>
      <c r="X328" s="331"/>
      <c r="Z328" s="331">
        <f t="shared" si="48"/>
        <v>1106</v>
      </c>
      <c r="AA328" s="330">
        <f t="shared" si="49"/>
        <v>224729629.60000002</v>
      </c>
      <c r="AB328" s="378">
        <f t="shared" si="45"/>
        <v>226062418.39999998</v>
      </c>
      <c r="AD328" s="378">
        <f t="shared" si="46"/>
        <v>1332788.7999999523</v>
      </c>
      <c r="AE328" s="378">
        <f t="shared" si="47"/>
        <v>25659.199999988079</v>
      </c>
      <c r="AF328" s="331"/>
      <c r="AH328" s="402">
        <f t="shared" si="43"/>
        <v>4.1072381071910628E-2</v>
      </c>
      <c r="AI328" s="402">
        <f t="shared" si="34"/>
        <v>4.266003920111805E-2</v>
      </c>
      <c r="AK328" s="330">
        <f>AE328-AA327*'OverNight $'!H327*E328/360</f>
        <v>4434.7349822102951</v>
      </c>
    </row>
    <row r="329" spans="2:37" x14ac:dyDescent="0.25">
      <c r="B329" s="123" t="str">
        <f t="shared" si="50"/>
        <v>11 2025</v>
      </c>
      <c r="C329" s="122">
        <f t="shared" si="52"/>
        <v>45980</v>
      </c>
      <c r="D329" s="122">
        <f t="shared" si="53"/>
        <v>45981</v>
      </c>
      <c r="E329" s="123">
        <f t="shared" si="51"/>
        <v>1</v>
      </c>
      <c r="F329" s="123" t="s">
        <v>7</v>
      </c>
      <c r="H329" s="328">
        <f t="shared" si="54"/>
        <v>45980</v>
      </c>
      <c r="I329" s="329">
        <v>102.2097</v>
      </c>
      <c r="J329" s="400"/>
      <c r="L329" s="330">
        <v>200000</v>
      </c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W329" s="331"/>
      <c r="X329" s="331"/>
      <c r="Z329" s="331">
        <f t="shared" si="48"/>
        <v>1106</v>
      </c>
      <c r="AA329" s="330">
        <f t="shared" si="49"/>
        <v>224729629.60000002</v>
      </c>
      <c r="AB329" s="378">
        <f t="shared" si="45"/>
        <v>226087856.40000001</v>
      </c>
      <c r="AD329" s="378">
        <f t="shared" si="46"/>
        <v>1358226.7999999821</v>
      </c>
      <c r="AE329" s="378">
        <f t="shared" si="47"/>
        <v>25438.000000029802</v>
      </c>
      <c r="AF329" s="331"/>
      <c r="AH329" s="402">
        <f t="shared" si="43"/>
        <v>4.1072381071910628E-2</v>
      </c>
      <c r="AI329" s="402">
        <f t="shared" si="34"/>
        <v>4.2629506471380287E-2</v>
      </c>
      <c r="AK329" s="330">
        <f>AE329-AA328*'OverNight $'!H328*E329/360</f>
        <v>4213.5349822520184</v>
      </c>
    </row>
    <row r="330" spans="2:37" x14ac:dyDescent="0.25">
      <c r="B330" s="123" t="str">
        <f t="shared" si="50"/>
        <v>11 2025</v>
      </c>
      <c r="C330" s="122">
        <f t="shared" si="52"/>
        <v>45981</v>
      </c>
      <c r="D330" s="122">
        <f t="shared" si="53"/>
        <v>45982</v>
      </c>
      <c r="E330" s="123">
        <f t="shared" si="51"/>
        <v>1</v>
      </c>
      <c r="F330" s="123" t="s">
        <v>7</v>
      </c>
      <c r="H330" s="328">
        <f t="shared" si="54"/>
        <v>45981</v>
      </c>
      <c r="I330" s="329">
        <v>102.2214</v>
      </c>
      <c r="J330" s="400"/>
      <c r="L330" s="330">
        <v>200000</v>
      </c>
      <c r="M330" s="331"/>
      <c r="N330" s="331"/>
      <c r="O330" s="331"/>
      <c r="P330" s="331"/>
      <c r="Q330" s="331"/>
      <c r="R330" s="331"/>
      <c r="S330" s="331"/>
      <c r="T330" s="331"/>
      <c r="U330" s="331"/>
      <c r="V330" s="331"/>
      <c r="W330" s="331"/>
      <c r="X330" s="331"/>
      <c r="Z330" s="331">
        <f t="shared" si="48"/>
        <v>1106</v>
      </c>
      <c r="AA330" s="330">
        <f t="shared" si="49"/>
        <v>224729629.60000002</v>
      </c>
      <c r="AB330" s="378">
        <f t="shared" si="45"/>
        <v>226113736.79999998</v>
      </c>
      <c r="AD330" s="378">
        <f t="shared" si="46"/>
        <v>1384107.1999999583</v>
      </c>
      <c r="AE330" s="378">
        <f t="shared" si="47"/>
        <v>25880.399999976158</v>
      </c>
      <c r="AF330" s="331"/>
      <c r="AH330" s="402">
        <f t="shared" si="43"/>
        <v>4.1072381071910628E-2</v>
      </c>
      <c r="AI330" s="402">
        <f t="shared" si="34"/>
        <v>4.2611402579401284E-2</v>
      </c>
      <c r="AK330" s="330">
        <f>AE330-AA329*'OverNight $'!H329*E330/360</f>
        <v>4655.9349821983742</v>
      </c>
    </row>
    <row r="331" spans="2:37" x14ac:dyDescent="0.25">
      <c r="B331" s="123" t="str">
        <f t="shared" si="50"/>
        <v>11 2025</v>
      </c>
      <c r="C331" s="122">
        <f t="shared" si="52"/>
        <v>45982</v>
      </c>
      <c r="D331" s="122">
        <f t="shared" si="53"/>
        <v>45983</v>
      </c>
      <c r="E331" s="123">
        <f t="shared" si="51"/>
        <v>1</v>
      </c>
      <c r="F331" s="123" t="s">
        <v>7</v>
      </c>
      <c r="H331" s="328">
        <f t="shared" si="54"/>
        <v>45982</v>
      </c>
      <c r="I331" s="329">
        <v>102.2328</v>
      </c>
      <c r="J331" s="400"/>
      <c r="L331" s="330">
        <v>200000</v>
      </c>
      <c r="M331" s="331"/>
      <c r="N331" s="331"/>
      <c r="O331" s="331"/>
      <c r="P331" s="331"/>
      <c r="Q331" s="331"/>
      <c r="R331" s="331"/>
      <c r="S331" s="331"/>
      <c r="T331" s="331"/>
      <c r="U331" s="331"/>
      <c r="V331" s="331"/>
      <c r="W331" s="331"/>
      <c r="X331" s="331"/>
      <c r="Z331" s="331">
        <f t="shared" si="48"/>
        <v>1106</v>
      </c>
      <c r="AA331" s="330">
        <f t="shared" si="49"/>
        <v>224729629.60000002</v>
      </c>
      <c r="AB331" s="378">
        <f t="shared" si="45"/>
        <v>226138953.59999996</v>
      </c>
      <c r="AD331" s="378">
        <f t="shared" si="46"/>
        <v>1409323.9999999404</v>
      </c>
      <c r="AE331" s="378">
        <f t="shared" si="47"/>
        <v>25216.799999982119</v>
      </c>
      <c r="AF331" s="331"/>
      <c r="AH331" s="402">
        <f t="shared" si="43"/>
        <v>4.1072381071910628E-2</v>
      </c>
      <c r="AI331" s="402">
        <f t="shared" si="34"/>
        <v>4.257698002173349E-2</v>
      </c>
      <c r="AK331" s="330">
        <f>AE331-AA330*'OverNight $'!H330*E331/360</f>
        <v>3992.3349822043347</v>
      </c>
    </row>
    <row r="332" spans="2:37" x14ac:dyDescent="0.25">
      <c r="B332" s="123" t="str">
        <f t="shared" si="50"/>
        <v>11 2025</v>
      </c>
      <c r="C332" s="122">
        <f t="shared" si="52"/>
        <v>45983</v>
      </c>
      <c r="D332" s="122">
        <f t="shared" si="53"/>
        <v>45984</v>
      </c>
      <c r="E332" s="123">
        <f t="shared" si="51"/>
        <v>1</v>
      </c>
      <c r="F332" s="123" t="s">
        <v>7</v>
      </c>
      <c r="H332" s="328">
        <f t="shared" si="54"/>
        <v>45983</v>
      </c>
      <c r="I332" s="329">
        <v>102.2328</v>
      </c>
      <c r="J332" s="400"/>
      <c r="L332" s="330">
        <v>200000</v>
      </c>
      <c r="M332" s="331"/>
      <c r="N332" s="331"/>
      <c r="O332" s="331"/>
      <c r="P332" s="331"/>
      <c r="Q332" s="331"/>
      <c r="R332" s="331"/>
      <c r="S332" s="331"/>
      <c r="T332" s="331"/>
      <c r="U332" s="331"/>
      <c r="V332" s="331"/>
      <c r="W332" s="331"/>
      <c r="X332" s="331"/>
      <c r="Z332" s="331">
        <f t="shared" si="48"/>
        <v>1106</v>
      </c>
      <c r="AA332" s="330">
        <f t="shared" si="49"/>
        <v>224729629.60000002</v>
      </c>
      <c r="AB332" s="378">
        <f t="shared" si="45"/>
        <v>226138953.59999996</v>
      </c>
      <c r="AD332" s="378">
        <f t="shared" si="46"/>
        <v>1409323.9999999404</v>
      </c>
      <c r="AE332" s="378">
        <f t="shared" si="47"/>
        <v>0</v>
      </c>
      <c r="AF332" s="331"/>
      <c r="AH332" s="402">
        <f t="shared" si="43"/>
        <v>4.1072381071910628E-2</v>
      </c>
      <c r="AI332" s="402">
        <f t="shared" si="34"/>
        <v>4.1911714708893905E-2</v>
      </c>
      <c r="AK332" s="330">
        <f>AE332-AA331*'OverNight $'!H331*E332/360</f>
        <v>-21224.465017777784</v>
      </c>
    </row>
    <row r="333" spans="2:37" x14ac:dyDescent="0.25">
      <c r="B333" s="123" t="str">
        <f t="shared" si="50"/>
        <v>11 2025</v>
      </c>
      <c r="C333" s="122">
        <f t="shared" si="52"/>
        <v>45984</v>
      </c>
      <c r="D333" s="122">
        <f t="shared" si="53"/>
        <v>45985</v>
      </c>
      <c r="E333" s="123">
        <f t="shared" si="51"/>
        <v>1</v>
      </c>
      <c r="F333" s="123" t="s">
        <v>7</v>
      </c>
      <c r="H333" s="328">
        <f t="shared" si="54"/>
        <v>45984</v>
      </c>
      <c r="I333" s="329">
        <v>102.2328</v>
      </c>
      <c r="J333" s="400"/>
      <c r="L333" s="330">
        <v>200000</v>
      </c>
      <c r="M333" s="331"/>
      <c r="N333" s="331"/>
      <c r="O333" s="331"/>
      <c r="P333" s="331"/>
      <c r="Q333" s="331"/>
      <c r="R333" s="331"/>
      <c r="S333" s="331"/>
      <c r="T333" s="331"/>
      <c r="U333" s="331"/>
      <c r="V333" s="331"/>
      <c r="W333" s="331"/>
      <c r="X333" s="331"/>
      <c r="Z333" s="331">
        <f t="shared" si="48"/>
        <v>1106</v>
      </c>
      <c r="AA333" s="330">
        <f t="shared" si="49"/>
        <v>224729629.60000002</v>
      </c>
      <c r="AB333" s="378">
        <f t="shared" si="45"/>
        <v>226138953.59999996</v>
      </c>
      <c r="AD333" s="378">
        <f t="shared" si="46"/>
        <v>1409323.9999999404</v>
      </c>
      <c r="AE333" s="378">
        <f t="shared" si="47"/>
        <v>0</v>
      </c>
      <c r="AF333" s="331"/>
      <c r="AH333" s="402">
        <f t="shared" si="43"/>
        <v>4.1072381071910628E-2</v>
      </c>
      <c r="AI333" s="402">
        <f t="shared" si="34"/>
        <v>4.1266919097987846E-2</v>
      </c>
      <c r="AK333" s="330">
        <f>AE333-AA332*'OverNight $'!H332*E333/360</f>
        <v>-21224.465017777784</v>
      </c>
    </row>
    <row r="334" spans="2:37" x14ac:dyDescent="0.25">
      <c r="B334" s="123" t="str">
        <f t="shared" si="50"/>
        <v>11 2025</v>
      </c>
      <c r="C334" s="122">
        <f t="shared" si="52"/>
        <v>45985</v>
      </c>
      <c r="D334" s="122">
        <f t="shared" si="53"/>
        <v>45986</v>
      </c>
      <c r="E334" s="123">
        <f t="shared" si="51"/>
        <v>1</v>
      </c>
      <c r="F334" s="123" t="s">
        <v>7</v>
      </c>
      <c r="H334" s="328">
        <f t="shared" si="54"/>
        <v>45985</v>
      </c>
      <c r="I334" s="329">
        <v>102.267</v>
      </c>
      <c r="J334" s="400"/>
      <c r="L334" s="330">
        <v>200000</v>
      </c>
      <c r="M334" s="331"/>
      <c r="N334" s="331"/>
      <c r="O334" s="331"/>
      <c r="P334" s="331"/>
      <c r="Q334" s="331"/>
      <c r="R334" s="331"/>
      <c r="S334" s="331"/>
      <c r="T334" s="331"/>
      <c r="U334" s="331"/>
      <c r="V334" s="331"/>
      <c r="W334" s="331"/>
      <c r="X334" s="331"/>
      <c r="Z334" s="331">
        <f t="shared" si="48"/>
        <v>1106</v>
      </c>
      <c r="AA334" s="330">
        <f t="shared" si="49"/>
        <v>224729629.60000002</v>
      </c>
      <c r="AB334" s="378">
        <f t="shared" si="45"/>
        <v>226214604</v>
      </c>
      <c r="AD334" s="378">
        <f t="shared" si="46"/>
        <v>1484974.3999999762</v>
      </c>
      <c r="AE334" s="378">
        <f t="shared" si="47"/>
        <v>75650.400000035763</v>
      </c>
      <c r="AF334" s="331"/>
      <c r="AH334" s="402">
        <f t="shared" si="43"/>
        <v>4.1072381071910628E-2</v>
      </c>
      <c r="AI334" s="402">
        <f t="shared" si="34"/>
        <v>4.2479970995581227E-2</v>
      </c>
      <c r="AK334" s="330">
        <f>AE334-AA333*'OverNight $'!H333*E334/360</f>
        <v>54425.934982257982</v>
      </c>
    </row>
    <row r="335" spans="2:37" x14ac:dyDescent="0.25">
      <c r="B335" s="123" t="str">
        <f t="shared" si="50"/>
        <v>11 2025</v>
      </c>
      <c r="C335" s="122">
        <f t="shared" si="52"/>
        <v>45986</v>
      </c>
      <c r="D335" s="122">
        <f t="shared" si="53"/>
        <v>45987</v>
      </c>
      <c r="E335" s="123">
        <f t="shared" si="51"/>
        <v>1</v>
      </c>
      <c r="F335" s="123" t="s">
        <v>7</v>
      </c>
      <c r="H335" s="328">
        <f t="shared" si="54"/>
        <v>45986</v>
      </c>
      <c r="I335" s="329">
        <v>102.2784</v>
      </c>
      <c r="J335" s="400"/>
      <c r="L335" s="330">
        <v>200000</v>
      </c>
      <c r="M335" s="331"/>
      <c r="N335" s="331"/>
      <c r="O335" s="331"/>
      <c r="P335" s="331"/>
      <c r="Q335" s="331"/>
      <c r="R335" s="331"/>
      <c r="S335" s="331"/>
      <c r="T335" s="331"/>
      <c r="U335" s="331"/>
      <c r="V335" s="331"/>
      <c r="W335" s="331"/>
      <c r="X335" s="331"/>
      <c r="Z335" s="331">
        <f t="shared" si="48"/>
        <v>1106</v>
      </c>
      <c r="AA335" s="330">
        <f t="shared" si="49"/>
        <v>224729629.60000002</v>
      </c>
      <c r="AB335" s="378">
        <f t="shared" si="45"/>
        <v>226239820.80000004</v>
      </c>
      <c r="AD335" s="378">
        <f t="shared" si="46"/>
        <v>1510191.2000000179</v>
      </c>
      <c r="AE335" s="378">
        <f t="shared" si="47"/>
        <v>25216.800000041723</v>
      </c>
      <c r="AF335" s="331"/>
      <c r="AH335" s="402">
        <f t="shared" si="43"/>
        <v>4.1072381071910628E-2</v>
      </c>
      <c r="AI335" s="402">
        <f t="shared" si="34"/>
        <v>4.2449565181414496E-2</v>
      </c>
      <c r="AK335" s="330">
        <f>AE335-AA334*'OverNight $'!H334*E335/360</f>
        <v>3992.3349822639393</v>
      </c>
    </row>
    <row r="336" spans="2:37" x14ac:dyDescent="0.25">
      <c r="B336" s="123" t="str">
        <f t="shared" si="50"/>
        <v>11 2025</v>
      </c>
      <c r="C336" s="122">
        <f t="shared" si="52"/>
        <v>45987</v>
      </c>
      <c r="D336" s="122">
        <f t="shared" si="53"/>
        <v>45988</v>
      </c>
      <c r="E336" s="123">
        <f t="shared" si="51"/>
        <v>1</v>
      </c>
      <c r="F336" s="123" t="s">
        <v>7</v>
      </c>
      <c r="H336" s="328">
        <f t="shared" si="54"/>
        <v>45987</v>
      </c>
      <c r="I336" s="329">
        <v>102.2898</v>
      </c>
      <c r="J336" s="400"/>
      <c r="L336" s="330">
        <v>200000</v>
      </c>
      <c r="M336" s="331"/>
      <c r="N336" s="331"/>
      <c r="O336" s="331"/>
      <c r="P336" s="331"/>
      <c r="Q336" s="331"/>
      <c r="R336" s="331"/>
      <c r="S336" s="331"/>
      <c r="T336" s="331"/>
      <c r="U336" s="331"/>
      <c r="V336" s="331"/>
      <c r="W336" s="331"/>
      <c r="X336" s="331"/>
      <c r="Z336" s="331">
        <f t="shared" si="48"/>
        <v>1106</v>
      </c>
      <c r="AA336" s="330">
        <f t="shared" si="49"/>
        <v>224729629.60000002</v>
      </c>
      <c r="AB336" s="378">
        <f t="shared" si="45"/>
        <v>226265037.60000002</v>
      </c>
      <c r="AD336" s="378">
        <f t="shared" si="46"/>
        <v>1535408</v>
      </c>
      <c r="AE336" s="378">
        <f t="shared" si="47"/>
        <v>25216.799999982119</v>
      </c>
      <c r="AF336" s="331"/>
      <c r="AH336" s="402">
        <f t="shared" si="43"/>
        <v>4.1072381071910628E-2</v>
      </c>
      <c r="AI336" s="402">
        <f t="shared" si="34"/>
        <v>4.2420053655898557E-2</v>
      </c>
      <c r="AK336" s="330">
        <f>AE336-AA335*'OverNight $'!H335*E336/360</f>
        <v>3992.3349822043347</v>
      </c>
    </row>
    <row r="337" spans="2:37" x14ac:dyDescent="0.25">
      <c r="B337" s="123" t="str">
        <f t="shared" si="50"/>
        <v>11 2025</v>
      </c>
      <c r="C337" s="122">
        <f t="shared" si="52"/>
        <v>45988</v>
      </c>
      <c r="D337" s="122">
        <f t="shared" si="53"/>
        <v>45989</v>
      </c>
      <c r="E337" s="123">
        <f t="shared" si="51"/>
        <v>1</v>
      </c>
      <c r="F337" s="123" t="s">
        <v>7</v>
      </c>
      <c r="H337" s="328">
        <f t="shared" si="54"/>
        <v>45988</v>
      </c>
      <c r="I337" s="329">
        <v>102.3014</v>
      </c>
      <c r="J337" s="400"/>
      <c r="L337" s="330">
        <v>200000</v>
      </c>
      <c r="M337" s="331"/>
      <c r="N337" s="331"/>
      <c r="O337" s="331"/>
      <c r="P337" s="331"/>
      <c r="Q337" s="331"/>
      <c r="R337" s="331"/>
      <c r="S337" s="331"/>
      <c r="T337" s="331"/>
      <c r="U337" s="331"/>
      <c r="V337" s="331"/>
      <c r="W337" s="331"/>
      <c r="X337" s="331"/>
      <c r="Z337" s="331">
        <f t="shared" si="48"/>
        <v>1106</v>
      </c>
      <c r="AA337" s="330">
        <f t="shared" si="49"/>
        <v>224729629.60000002</v>
      </c>
      <c r="AB337" s="378">
        <f t="shared" si="45"/>
        <v>226290696.80000001</v>
      </c>
      <c r="AD337" s="378">
        <f t="shared" si="46"/>
        <v>1561067.1999999881</v>
      </c>
      <c r="AE337" s="378">
        <f t="shared" si="47"/>
        <v>25659.199999988079</v>
      </c>
      <c r="AF337" s="331"/>
      <c r="AH337" s="402">
        <f>AH338</f>
        <v>4.1072381071910628E-2</v>
      </c>
      <c r="AI337" s="402">
        <f t="shared" si="34"/>
        <v>4.2401680471434784E-2</v>
      </c>
      <c r="AK337" s="330">
        <f>AE337-AA336*'OverNight $'!H336*E337/360</f>
        <v>4434.7349822102951</v>
      </c>
    </row>
    <row r="338" spans="2:37" x14ac:dyDescent="0.25">
      <c r="B338" s="404" t="str">
        <f t="shared" si="50"/>
        <v>11 2025</v>
      </c>
      <c r="C338" s="405">
        <f t="shared" si="52"/>
        <v>45989</v>
      </c>
      <c r="D338" s="405">
        <f t="shared" si="53"/>
        <v>45990</v>
      </c>
      <c r="E338" s="404">
        <f t="shared" si="51"/>
        <v>1</v>
      </c>
      <c r="F338" s="404" t="s">
        <v>7</v>
      </c>
      <c r="H338" s="398">
        <f t="shared" si="54"/>
        <v>45989</v>
      </c>
      <c r="I338" s="389">
        <v>102.313</v>
      </c>
      <c r="J338" s="400"/>
      <c r="L338" s="386">
        <v>200000</v>
      </c>
      <c r="M338" s="387"/>
      <c r="N338" s="387"/>
      <c r="O338" s="387"/>
      <c r="P338" s="387"/>
      <c r="Q338" s="387"/>
      <c r="R338" s="387"/>
      <c r="S338" s="387"/>
      <c r="T338" s="387"/>
      <c r="U338" s="387"/>
      <c r="V338" s="387"/>
      <c r="W338" s="387"/>
      <c r="X338" s="387"/>
      <c r="Z338" s="387">
        <f t="shared" si="48"/>
        <v>1106</v>
      </c>
      <c r="AA338" s="386">
        <f t="shared" si="49"/>
        <v>224729629.60000002</v>
      </c>
      <c r="AB338" s="388">
        <f t="shared" si="45"/>
        <v>226316356.00000003</v>
      </c>
      <c r="AD338" s="388">
        <f t="shared" si="46"/>
        <v>1586726.400000006</v>
      </c>
      <c r="AE338" s="388">
        <f t="shared" si="47"/>
        <v>25659.200000017881</v>
      </c>
      <c r="AF338" s="388">
        <f>SUM(AE311:AE338)</f>
        <v>733188</v>
      </c>
      <c r="AH338" s="391">
        <f>(I338/I310-1)*360/(D338-D310)</f>
        <v>4.1072381071910628E-2</v>
      </c>
      <c r="AI338" s="403">
        <f t="shared" si="34"/>
        <v>4.2383832235098548E-2</v>
      </c>
      <c r="AK338" s="386">
        <f>AE338-AA337*'OverNight $'!H337*E338/360</f>
        <v>4434.7349822400975</v>
      </c>
    </row>
    <row r="339" spans="2:37" x14ac:dyDescent="0.25">
      <c r="B339" s="148" t="str">
        <f t="shared" si="50"/>
        <v>11 2025</v>
      </c>
      <c r="C339" s="149">
        <f t="shared" si="52"/>
        <v>45990</v>
      </c>
      <c r="D339" s="149">
        <f t="shared" si="53"/>
        <v>45991</v>
      </c>
      <c r="E339" s="148">
        <f t="shared" si="51"/>
        <v>1</v>
      </c>
      <c r="F339" s="148" t="s">
        <v>7</v>
      </c>
      <c r="H339" s="327">
        <f t="shared" si="54"/>
        <v>45990</v>
      </c>
      <c r="I339" s="424">
        <v>102.313</v>
      </c>
      <c r="J339" s="400"/>
      <c r="L339" s="456">
        <v>200000</v>
      </c>
      <c r="M339" s="457"/>
      <c r="N339" s="457"/>
      <c r="O339" s="457"/>
      <c r="P339" s="457"/>
      <c r="Q339" s="457"/>
      <c r="R339" s="457"/>
      <c r="S339" s="457"/>
      <c r="T339" s="457"/>
      <c r="U339" s="457"/>
      <c r="V339" s="457"/>
      <c r="W339" s="457"/>
      <c r="X339" s="457"/>
      <c r="Z339" s="457">
        <f t="shared" si="48"/>
        <v>1106</v>
      </c>
      <c r="AA339" s="456">
        <f t="shared" si="49"/>
        <v>224729629.60000002</v>
      </c>
      <c r="AB339" s="458">
        <f t="shared" si="45"/>
        <v>226316356.00000003</v>
      </c>
      <c r="AD339" s="458">
        <f t="shared" si="46"/>
        <v>1586726.400000006</v>
      </c>
      <c r="AE339" s="458">
        <f t="shared" si="47"/>
        <v>0</v>
      </c>
      <c r="AF339" s="457"/>
      <c r="AH339" s="461">
        <f t="shared" ref="AH339:AH368" si="55">AH340</f>
        <v>3.9437647784430686E-2</v>
      </c>
      <c r="AI339" s="461">
        <f t="shared" si="34"/>
        <v>4.178687685150561E-2</v>
      </c>
      <c r="AK339" s="462">
        <f>AE339-AA338*'OverNight $'!H338*E339/360</f>
        <v>-21224.465017777784</v>
      </c>
    </row>
    <row r="340" spans="2:37" x14ac:dyDescent="0.25">
      <c r="B340" s="123" t="str">
        <f t="shared" si="50"/>
        <v>12 2025</v>
      </c>
      <c r="C340" s="122">
        <f t="shared" si="52"/>
        <v>45991</v>
      </c>
      <c r="D340" s="122">
        <f t="shared" si="53"/>
        <v>45992</v>
      </c>
      <c r="E340" s="123">
        <f t="shared" si="51"/>
        <v>1</v>
      </c>
      <c r="F340" s="123" t="s">
        <v>7</v>
      </c>
      <c r="H340" s="328">
        <f t="shared" si="54"/>
        <v>45991</v>
      </c>
      <c r="I340" s="329">
        <v>102.313</v>
      </c>
      <c r="J340" s="400"/>
      <c r="L340" s="330">
        <v>200000</v>
      </c>
      <c r="M340" s="331"/>
      <c r="N340" s="331"/>
      <c r="O340" s="331"/>
      <c r="P340" s="331"/>
      <c r="Q340" s="331"/>
      <c r="R340" s="331"/>
      <c r="S340" s="331"/>
      <c r="T340" s="331"/>
      <c r="U340" s="331"/>
      <c r="V340" s="331"/>
      <c r="W340" s="331"/>
      <c r="X340" s="331"/>
      <c r="Z340" s="331">
        <f t="shared" si="48"/>
        <v>1106</v>
      </c>
      <c r="AA340" s="330">
        <f t="shared" si="49"/>
        <v>224729629.60000002</v>
      </c>
      <c r="AB340" s="378">
        <f t="shared" si="45"/>
        <v>226316356.00000003</v>
      </c>
      <c r="AD340" s="378">
        <f t="shared" si="46"/>
        <v>1586726.400000006</v>
      </c>
      <c r="AE340" s="378">
        <f t="shared" si="47"/>
        <v>0</v>
      </c>
      <c r="AF340" s="331"/>
      <c r="AH340" s="402">
        <f t="shared" si="55"/>
        <v>3.9437647784430686E-2</v>
      </c>
      <c r="AI340" s="402">
        <f t="shared" si="34"/>
        <v>4.1206503561901364E-2</v>
      </c>
      <c r="AK340" s="330">
        <f>AE340-AA339*'OverNight $'!H339*E340/360</f>
        <v>-21224.465017777784</v>
      </c>
    </row>
    <row r="341" spans="2:37" x14ac:dyDescent="0.25">
      <c r="B341" s="123" t="str">
        <f t="shared" si="50"/>
        <v>12 2025</v>
      </c>
      <c r="C341" s="122">
        <f t="shared" si="52"/>
        <v>45992</v>
      </c>
      <c r="D341" s="122">
        <f t="shared" si="53"/>
        <v>45993</v>
      </c>
      <c r="E341" s="123">
        <f t="shared" si="51"/>
        <v>1</v>
      </c>
      <c r="F341" s="123" t="s">
        <v>7</v>
      </c>
      <c r="H341" s="328">
        <f t="shared" si="54"/>
        <v>45992</v>
      </c>
      <c r="I341" s="329">
        <v>102.3484</v>
      </c>
      <c r="J341" s="400"/>
      <c r="L341" s="330">
        <v>200000</v>
      </c>
      <c r="M341" s="331"/>
      <c r="N341" s="331"/>
      <c r="O341" s="331"/>
      <c r="P341" s="331"/>
      <c r="Q341" s="331"/>
      <c r="R341" s="331"/>
      <c r="S341" s="331"/>
      <c r="T341" s="331"/>
      <c r="U341" s="331"/>
      <c r="V341" s="331"/>
      <c r="W341" s="331"/>
      <c r="X341" s="331"/>
      <c r="Z341" s="331">
        <f t="shared" si="48"/>
        <v>1106</v>
      </c>
      <c r="AA341" s="330">
        <f t="shared" si="49"/>
        <v>224729629.60000002</v>
      </c>
      <c r="AB341" s="378">
        <f t="shared" si="45"/>
        <v>226394660.80000001</v>
      </c>
      <c r="AD341" s="378">
        <f t="shared" si="46"/>
        <v>1665031.1999999881</v>
      </c>
      <c r="AE341" s="378">
        <f t="shared" si="47"/>
        <v>78304.799999982119</v>
      </c>
      <c r="AF341" s="331"/>
      <c r="AH341" s="402">
        <f t="shared" si="55"/>
        <v>3.9437647784430686E-2</v>
      </c>
      <c r="AI341" s="402">
        <f t="shared" si="34"/>
        <v>4.2362379940892286E-2</v>
      </c>
      <c r="AK341" s="330">
        <f>AE341-AA340*'OverNight $'!H340*E341/360</f>
        <v>57080.334982204338</v>
      </c>
    </row>
    <row r="342" spans="2:37" x14ac:dyDescent="0.25">
      <c r="B342" s="123" t="str">
        <f t="shared" si="50"/>
        <v>12 2025</v>
      </c>
      <c r="C342" s="122">
        <f t="shared" si="52"/>
        <v>45993</v>
      </c>
      <c r="D342" s="122">
        <f t="shared" si="53"/>
        <v>45994</v>
      </c>
      <c r="E342" s="123">
        <f t="shared" si="51"/>
        <v>1</v>
      </c>
      <c r="F342" s="123" t="s">
        <v>7</v>
      </c>
      <c r="H342" s="328">
        <f t="shared" si="54"/>
        <v>45993</v>
      </c>
      <c r="I342" s="329">
        <v>102.36020000000001</v>
      </c>
      <c r="J342" s="400"/>
      <c r="L342" s="330">
        <v>200000</v>
      </c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Z342" s="331">
        <f t="shared" si="48"/>
        <v>1106</v>
      </c>
      <c r="AA342" s="330">
        <f t="shared" ref="AA342:AA370" si="56">AA341+N342-X342</f>
        <v>224729629.60000002</v>
      </c>
      <c r="AB342" s="378">
        <f t="shared" ref="AB342:AB370" si="57">Z342*L342*ROUND(I342,4)%</f>
        <v>226420762.40000004</v>
      </c>
      <c r="AD342" s="378">
        <f t="shared" si="46"/>
        <v>1691132.8000000119</v>
      </c>
      <c r="AE342" s="378">
        <f t="shared" si="47"/>
        <v>26101.600000023842</v>
      </c>
      <c r="AF342" s="331"/>
      <c r="AH342" s="402">
        <f t="shared" si="55"/>
        <v>3.9437647784430686E-2</v>
      </c>
      <c r="AI342" s="402">
        <f t="shared" si="34"/>
        <v>4.2355615703981123E-2</v>
      </c>
      <c r="AK342" s="330">
        <f>AE342-AA341*'OverNight $'!H341*E342/360</f>
        <v>4877.1349822460579</v>
      </c>
    </row>
    <row r="343" spans="2:37" x14ac:dyDescent="0.25">
      <c r="B343" s="123" t="str">
        <f t="shared" si="50"/>
        <v>12 2025</v>
      </c>
      <c r="C343" s="122">
        <f t="shared" si="52"/>
        <v>45994</v>
      </c>
      <c r="D343" s="122">
        <f t="shared" si="53"/>
        <v>45995</v>
      </c>
      <c r="E343" s="123">
        <f t="shared" si="51"/>
        <v>1</v>
      </c>
      <c r="F343" s="123" t="s">
        <v>7</v>
      </c>
      <c r="H343" s="328">
        <f t="shared" si="54"/>
        <v>45994</v>
      </c>
      <c r="I343" s="329">
        <v>102.37220000000001</v>
      </c>
      <c r="J343" s="400"/>
      <c r="L343" s="330">
        <v>200000</v>
      </c>
      <c r="M343" s="331"/>
      <c r="N343" s="331"/>
      <c r="O343" s="331"/>
      <c r="P343" s="331"/>
      <c r="Q343" s="331"/>
      <c r="R343" s="331"/>
      <c r="S343" s="331"/>
      <c r="T343" s="331"/>
      <c r="U343" s="331"/>
      <c r="V343" s="331"/>
      <c r="W343" s="331"/>
      <c r="X343" s="331"/>
      <c r="Z343" s="331">
        <f t="shared" si="48"/>
        <v>1106</v>
      </c>
      <c r="AA343" s="330">
        <f t="shared" si="56"/>
        <v>224729629.60000002</v>
      </c>
      <c r="AB343" s="378">
        <f t="shared" si="57"/>
        <v>226447306.40000001</v>
      </c>
      <c r="AD343" s="378">
        <f t="shared" si="46"/>
        <v>1717676.7999999821</v>
      </c>
      <c r="AE343" s="378">
        <f t="shared" si="47"/>
        <v>26543.999999970198</v>
      </c>
      <c r="AF343" s="331"/>
      <c r="AH343" s="402">
        <f t="shared" si="55"/>
        <v>3.9437647784430686E-2</v>
      </c>
      <c r="AI343" s="402">
        <f t="shared" si="34"/>
        <v>4.2358492146474094E-2</v>
      </c>
      <c r="AK343" s="330">
        <f>AE343-AA342*'OverNight $'!H342*E343/360</f>
        <v>5319.5349821924137</v>
      </c>
    </row>
    <row r="344" spans="2:37" x14ac:dyDescent="0.25">
      <c r="B344" s="123" t="str">
        <f t="shared" si="50"/>
        <v>12 2025</v>
      </c>
      <c r="C344" s="122">
        <f t="shared" si="52"/>
        <v>45995</v>
      </c>
      <c r="D344" s="122">
        <f t="shared" si="53"/>
        <v>45996</v>
      </c>
      <c r="E344" s="123">
        <f t="shared" si="51"/>
        <v>1</v>
      </c>
      <c r="F344" s="123" t="s">
        <v>7</v>
      </c>
      <c r="H344" s="328">
        <f t="shared" si="54"/>
        <v>45995</v>
      </c>
      <c r="I344" s="329">
        <v>102.38420000000001</v>
      </c>
      <c r="J344" s="400"/>
      <c r="L344" s="330">
        <v>200000</v>
      </c>
      <c r="M344" s="331"/>
      <c r="N344" s="331"/>
      <c r="O344" s="331"/>
      <c r="P344" s="331"/>
      <c r="Q344" s="331"/>
      <c r="R344" s="331"/>
      <c r="S344" s="331"/>
      <c r="T344" s="331"/>
      <c r="U344" s="331"/>
      <c r="V344" s="331"/>
      <c r="W344" s="331"/>
      <c r="X344" s="331"/>
      <c r="Z344" s="331">
        <f t="shared" si="48"/>
        <v>1106</v>
      </c>
      <c r="AA344" s="330">
        <f t="shared" si="56"/>
        <v>224729629.60000002</v>
      </c>
      <c r="AB344" s="378">
        <f t="shared" si="57"/>
        <v>226473850.40000004</v>
      </c>
      <c r="AD344" s="378">
        <f t="shared" si="46"/>
        <v>1744220.8000000119</v>
      </c>
      <c r="AE344" s="378">
        <f t="shared" si="47"/>
        <v>26544.000000029802</v>
      </c>
      <c r="AF344" s="331"/>
      <c r="AH344" s="402">
        <f t="shared" si="55"/>
        <v>3.9437647784430686E-2</v>
      </c>
      <c r="AI344" s="402">
        <f t="shared" si="34"/>
        <v>4.2361292893110934E-2</v>
      </c>
      <c r="AK344" s="330">
        <f>AE344-AA343*'OverNight $'!H343*E344/360</f>
        <v>5319.5349822520184</v>
      </c>
    </row>
    <row r="345" spans="2:37" x14ac:dyDescent="0.25">
      <c r="B345" s="123" t="str">
        <f t="shared" si="50"/>
        <v>12 2025</v>
      </c>
      <c r="C345" s="122">
        <f t="shared" si="52"/>
        <v>45996</v>
      </c>
      <c r="D345" s="122">
        <f t="shared" si="53"/>
        <v>45997</v>
      </c>
      <c r="E345" s="123">
        <f t="shared" si="51"/>
        <v>1</v>
      </c>
      <c r="F345" s="123" t="s">
        <v>7</v>
      </c>
      <c r="H345" s="328">
        <f t="shared" si="54"/>
        <v>45996</v>
      </c>
      <c r="I345" s="329">
        <v>102.3959</v>
      </c>
      <c r="J345" s="400"/>
      <c r="L345" s="330">
        <v>200000</v>
      </c>
      <c r="M345" s="331"/>
      <c r="N345" s="331"/>
      <c r="O345" s="331"/>
      <c r="P345" s="331"/>
      <c r="Q345" s="331"/>
      <c r="R345" s="331"/>
      <c r="S345" s="331"/>
      <c r="T345" s="331"/>
      <c r="U345" s="331"/>
      <c r="V345" s="331"/>
      <c r="W345" s="331"/>
      <c r="X345" s="331"/>
      <c r="Z345" s="331">
        <f t="shared" si="48"/>
        <v>1106</v>
      </c>
      <c r="AA345" s="330">
        <f t="shared" si="56"/>
        <v>224729629.60000002</v>
      </c>
      <c r="AB345" s="378">
        <f t="shared" si="57"/>
        <v>226499730.80000001</v>
      </c>
      <c r="AD345" s="378">
        <f t="shared" si="46"/>
        <v>1770101.1999999881</v>
      </c>
      <c r="AE345" s="378">
        <f t="shared" si="47"/>
        <v>25880.399999976158</v>
      </c>
      <c r="AF345" s="331"/>
      <c r="AH345" s="402">
        <f t="shared" si="55"/>
        <v>3.9437647784430686E-2</v>
      </c>
      <c r="AI345" s="402">
        <f t="shared" ref="AI345:AI370" si="58">(I345/$I$268-1)*360/(D345-$D$268)</f>
        <v>4.2350199026558871E-2</v>
      </c>
      <c r="AK345" s="330">
        <f>AE345-AA344*'OverNight $'!H344*E345/360</f>
        <v>4655.9349821983742</v>
      </c>
    </row>
    <row r="346" spans="2:37" x14ac:dyDescent="0.25">
      <c r="B346" s="123" t="str">
        <f t="shared" si="50"/>
        <v>12 2025</v>
      </c>
      <c r="C346" s="122">
        <f t="shared" si="52"/>
        <v>45997</v>
      </c>
      <c r="D346" s="122">
        <f t="shared" si="53"/>
        <v>45998</v>
      </c>
      <c r="E346" s="123">
        <f t="shared" si="51"/>
        <v>1</v>
      </c>
      <c r="F346" s="123" t="s">
        <v>7</v>
      </c>
      <c r="H346" s="328">
        <f t="shared" si="54"/>
        <v>45997</v>
      </c>
      <c r="I346" s="329">
        <v>102.3959</v>
      </c>
      <c r="J346" s="400"/>
      <c r="L346" s="330">
        <v>200000</v>
      </c>
      <c r="M346" s="331"/>
      <c r="N346" s="331"/>
      <c r="O346" s="331"/>
      <c r="P346" s="331"/>
      <c r="Q346" s="331"/>
      <c r="R346" s="331"/>
      <c r="S346" s="331"/>
      <c r="T346" s="331"/>
      <c r="U346" s="331"/>
      <c r="V346" s="331"/>
      <c r="W346" s="331"/>
      <c r="X346" s="331"/>
      <c r="Z346" s="331">
        <f t="shared" si="48"/>
        <v>1106</v>
      </c>
      <c r="AA346" s="330">
        <f t="shared" si="56"/>
        <v>224729629.60000002</v>
      </c>
      <c r="AB346" s="378">
        <f t="shared" si="57"/>
        <v>226499730.80000001</v>
      </c>
      <c r="AD346" s="378">
        <f t="shared" si="46"/>
        <v>1770101.1999999881</v>
      </c>
      <c r="AE346" s="378">
        <f t="shared" si="47"/>
        <v>0</v>
      </c>
      <c r="AF346" s="331"/>
      <c r="AH346" s="402">
        <f t="shared" si="55"/>
        <v>3.9437647784430686E-2</v>
      </c>
      <c r="AI346" s="402">
        <f t="shared" si="58"/>
        <v>4.1807247756987603E-2</v>
      </c>
      <c r="AK346" s="330">
        <f>AE346-AA345*'OverNight $'!H345*E346/360</f>
        <v>-21224.465017777784</v>
      </c>
    </row>
    <row r="347" spans="2:37" x14ac:dyDescent="0.25">
      <c r="B347" s="123" t="str">
        <f t="shared" si="50"/>
        <v>12 2025</v>
      </c>
      <c r="C347" s="122">
        <f t="shared" si="52"/>
        <v>45998</v>
      </c>
      <c r="D347" s="122">
        <f t="shared" si="53"/>
        <v>45999</v>
      </c>
      <c r="E347" s="123">
        <f t="shared" si="51"/>
        <v>1</v>
      </c>
      <c r="F347" s="123" t="s">
        <v>7</v>
      </c>
      <c r="H347" s="328">
        <f t="shared" si="54"/>
        <v>45998</v>
      </c>
      <c r="I347" s="329">
        <v>102.3959</v>
      </c>
      <c r="J347" s="400"/>
      <c r="L347" s="330">
        <v>200000</v>
      </c>
      <c r="M347" s="331"/>
      <c r="N347" s="331"/>
      <c r="O347" s="331"/>
      <c r="P347" s="331"/>
      <c r="Q347" s="331"/>
      <c r="R347" s="331"/>
      <c r="S347" s="331"/>
      <c r="T347" s="331"/>
      <c r="U347" s="331"/>
      <c r="V347" s="331"/>
      <c r="W347" s="331"/>
      <c r="X347" s="331"/>
      <c r="Z347" s="331">
        <f t="shared" si="48"/>
        <v>1106</v>
      </c>
      <c r="AA347" s="330">
        <f t="shared" si="56"/>
        <v>224729629.60000002</v>
      </c>
      <c r="AB347" s="378">
        <f t="shared" si="57"/>
        <v>226499730.80000001</v>
      </c>
      <c r="AD347" s="378">
        <f t="shared" si="46"/>
        <v>1770101.1999999881</v>
      </c>
      <c r="AE347" s="378">
        <f t="shared" si="47"/>
        <v>0</v>
      </c>
      <c r="AF347" s="331"/>
      <c r="AH347" s="402">
        <f t="shared" si="55"/>
        <v>3.9437647784430686E-2</v>
      </c>
      <c r="AI347" s="402">
        <f t="shared" si="58"/>
        <v>4.1278042089177638E-2</v>
      </c>
      <c r="AK347" s="330">
        <f>AE347-AA346*'OverNight $'!H346*E347/360</f>
        <v>-21224.465017777784</v>
      </c>
    </row>
    <row r="348" spans="2:37" x14ac:dyDescent="0.25">
      <c r="B348" s="123" t="str">
        <f t="shared" si="50"/>
        <v>12 2025</v>
      </c>
      <c r="C348" s="122">
        <f t="shared" si="52"/>
        <v>45999</v>
      </c>
      <c r="D348" s="122">
        <f t="shared" si="53"/>
        <v>46000</v>
      </c>
      <c r="E348" s="123">
        <f t="shared" si="51"/>
        <v>1</v>
      </c>
      <c r="F348" s="123" t="s">
        <v>7</v>
      </c>
      <c r="H348" s="328">
        <f t="shared" si="54"/>
        <v>45999</v>
      </c>
      <c r="I348" s="329">
        <v>102.43049999999999</v>
      </c>
      <c r="J348" s="400"/>
      <c r="L348" s="330">
        <v>200000</v>
      </c>
      <c r="M348" s="331"/>
      <c r="N348" s="331"/>
      <c r="O348" s="331"/>
      <c r="P348" s="331"/>
      <c r="Q348" s="331"/>
      <c r="R348" s="331"/>
      <c r="S348" s="331"/>
      <c r="T348" s="331"/>
      <c r="U348" s="331"/>
      <c r="V348" s="331"/>
      <c r="W348" s="331"/>
      <c r="X348" s="331"/>
      <c r="Z348" s="331">
        <f t="shared" si="48"/>
        <v>1106</v>
      </c>
      <c r="AA348" s="330">
        <f t="shared" si="56"/>
        <v>224729629.60000002</v>
      </c>
      <c r="AB348" s="378">
        <f t="shared" si="57"/>
        <v>226576266</v>
      </c>
      <c r="AD348" s="378">
        <f t="shared" si="46"/>
        <v>1846636.3999999762</v>
      </c>
      <c r="AE348" s="378">
        <f t="shared" si="47"/>
        <v>76535.199999988079</v>
      </c>
      <c r="AF348" s="331"/>
      <c r="AH348" s="402">
        <f t="shared" si="55"/>
        <v>3.9437647784430686E-2</v>
      </c>
      <c r="AI348" s="402">
        <f t="shared" si="58"/>
        <v>4.2296408929340501E-2</v>
      </c>
      <c r="AK348" s="330">
        <f>AE348-AA347*'OverNight $'!H347*E348/360</f>
        <v>55310.734982210299</v>
      </c>
    </row>
    <row r="349" spans="2:37" x14ac:dyDescent="0.25">
      <c r="B349" s="123" t="str">
        <f t="shared" si="50"/>
        <v>12 2025</v>
      </c>
      <c r="C349" s="122">
        <f t="shared" si="52"/>
        <v>46000</v>
      </c>
      <c r="D349" s="122">
        <f t="shared" si="53"/>
        <v>46001</v>
      </c>
      <c r="E349" s="123">
        <f t="shared" si="51"/>
        <v>1</v>
      </c>
      <c r="F349" s="123" t="s">
        <v>7</v>
      </c>
      <c r="H349" s="328">
        <f t="shared" si="54"/>
        <v>46000</v>
      </c>
      <c r="I349" s="329">
        <v>102.4419</v>
      </c>
      <c r="J349" s="400"/>
      <c r="L349" s="330">
        <v>200000</v>
      </c>
      <c r="M349" s="331"/>
      <c r="N349" s="331"/>
      <c r="O349" s="331"/>
      <c r="P349" s="331"/>
      <c r="Q349" s="331"/>
      <c r="R349" s="331"/>
      <c r="S349" s="331"/>
      <c r="T349" s="331"/>
      <c r="U349" s="331"/>
      <c r="V349" s="331"/>
      <c r="W349" s="331"/>
      <c r="X349" s="331"/>
      <c r="Z349" s="331">
        <f t="shared" si="48"/>
        <v>1106</v>
      </c>
      <c r="AA349" s="330">
        <f t="shared" si="56"/>
        <v>224729629.60000002</v>
      </c>
      <c r="AB349" s="378">
        <f t="shared" si="57"/>
        <v>226601482.79999998</v>
      </c>
      <c r="AD349" s="378">
        <f t="shared" si="46"/>
        <v>1871853.1999999583</v>
      </c>
      <c r="AE349" s="378">
        <f t="shared" si="47"/>
        <v>25216.799999982119</v>
      </c>
      <c r="AF349" s="331"/>
      <c r="AH349" s="402">
        <f t="shared" si="55"/>
        <v>3.9437647784430686E-2</v>
      </c>
      <c r="AI349" s="402">
        <f t="shared" si="58"/>
        <v>4.2273524639427781E-2</v>
      </c>
      <c r="AK349" s="330">
        <f>AE349-AA348*'OverNight $'!H348*E349/360</f>
        <v>3992.3349822043347</v>
      </c>
    </row>
    <row r="350" spans="2:37" x14ac:dyDescent="0.25">
      <c r="B350" s="123" t="str">
        <f t="shared" si="50"/>
        <v>12 2025</v>
      </c>
      <c r="C350" s="122">
        <f t="shared" si="52"/>
        <v>46001</v>
      </c>
      <c r="D350" s="122">
        <f t="shared" si="53"/>
        <v>46002</v>
      </c>
      <c r="E350" s="123">
        <f t="shared" si="51"/>
        <v>1</v>
      </c>
      <c r="F350" s="123" t="s">
        <v>7</v>
      </c>
      <c r="H350" s="328">
        <f t="shared" si="54"/>
        <v>46001</v>
      </c>
      <c r="I350" s="329">
        <v>102.4534</v>
      </c>
      <c r="J350" s="400"/>
      <c r="L350" s="330">
        <v>200000</v>
      </c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W350" s="331"/>
      <c r="X350" s="331"/>
      <c r="Z350" s="331">
        <f t="shared" si="48"/>
        <v>1106</v>
      </c>
      <c r="AA350" s="330">
        <f t="shared" si="56"/>
        <v>224729629.60000002</v>
      </c>
      <c r="AB350" s="378">
        <f t="shared" si="57"/>
        <v>226626920.80000001</v>
      </c>
      <c r="AD350" s="378">
        <f t="shared" si="46"/>
        <v>1897291.1999999881</v>
      </c>
      <c r="AE350" s="378">
        <f t="shared" si="47"/>
        <v>25438.000000029802</v>
      </c>
      <c r="AF350" s="331"/>
      <c r="AH350" s="402">
        <f t="shared" si="55"/>
        <v>3.9437647784430686E-2</v>
      </c>
      <c r="AI350" s="402">
        <f t="shared" si="58"/>
        <v>4.2255524859521519E-2</v>
      </c>
      <c r="AK350" s="330">
        <f>AE350-AA349*'OverNight $'!H349*E350/360</f>
        <v>4213.5349822520184</v>
      </c>
    </row>
    <row r="351" spans="2:37" x14ac:dyDescent="0.25">
      <c r="B351" s="123" t="str">
        <f t="shared" si="50"/>
        <v>12 2025</v>
      </c>
      <c r="C351" s="122">
        <f t="shared" si="52"/>
        <v>46002</v>
      </c>
      <c r="D351" s="122">
        <f t="shared" si="53"/>
        <v>46003</v>
      </c>
      <c r="E351" s="123">
        <f t="shared" si="51"/>
        <v>1</v>
      </c>
      <c r="F351" s="123" t="s">
        <v>7</v>
      </c>
      <c r="H351" s="328">
        <f t="shared" si="54"/>
        <v>46002</v>
      </c>
      <c r="I351" s="329">
        <v>102.4649</v>
      </c>
      <c r="J351" s="400"/>
      <c r="L351" s="330">
        <v>200000</v>
      </c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W351" s="331"/>
      <c r="X351" s="331"/>
      <c r="Z351" s="331">
        <f t="shared" si="48"/>
        <v>1106</v>
      </c>
      <c r="AA351" s="330">
        <f t="shared" si="56"/>
        <v>224729629.60000002</v>
      </c>
      <c r="AB351" s="378">
        <f t="shared" si="57"/>
        <v>226652358.79999998</v>
      </c>
      <c r="AD351" s="378">
        <f t="shared" si="46"/>
        <v>1922729.1999999583</v>
      </c>
      <c r="AE351" s="378">
        <f t="shared" si="47"/>
        <v>25437.999999970198</v>
      </c>
      <c r="AF351" s="331"/>
      <c r="AH351" s="402">
        <f t="shared" si="55"/>
        <v>3.9437647784430686E-2</v>
      </c>
      <c r="AI351" s="402">
        <f t="shared" si="58"/>
        <v>4.2237958809251554E-2</v>
      </c>
      <c r="AK351" s="330">
        <f>AE351-AA350*'OverNight $'!H350*E351/360</f>
        <v>5774.1574099701975</v>
      </c>
    </row>
    <row r="352" spans="2:37" x14ac:dyDescent="0.25">
      <c r="B352" s="123" t="str">
        <f t="shared" si="50"/>
        <v>12 2025</v>
      </c>
      <c r="C352" s="122">
        <f t="shared" si="52"/>
        <v>46003</v>
      </c>
      <c r="D352" s="122">
        <f t="shared" si="53"/>
        <v>46004</v>
      </c>
      <c r="E352" s="123">
        <f t="shared" si="51"/>
        <v>1</v>
      </c>
      <c r="F352" s="123" t="s">
        <v>7</v>
      </c>
      <c r="H352" s="328">
        <f t="shared" si="54"/>
        <v>46003</v>
      </c>
      <c r="I352" s="329">
        <v>102.4764</v>
      </c>
      <c r="J352" s="400"/>
      <c r="L352" s="330">
        <v>200000</v>
      </c>
      <c r="M352" s="331"/>
      <c r="N352" s="331"/>
      <c r="O352" s="331"/>
      <c r="P352" s="331"/>
      <c r="Q352" s="331"/>
      <c r="R352" s="331"/>
      <c r="S352" s="331"/>
      <c r="T352" s="331"/>
      <c r="U352" s="331"/>
      <c r="V352" s="331"/>
      <c r="W352" s="331"/>
      <c r="X352" s="331"/>
      <c r="Z352" s="331">
        <f t="shared" si="48"/>
        <v>1106</v>
      </c>
      <c r="AA352" s="330">
        <f t="shared" si="56"/>
        <v>224729629.60000002</v>
      </c>
      <c r="AB352" s="378">
        <f t="shared" si="57"/>
        <v>226677796.80000001</v>
      </c>
      <c r="AD352" s="378">
        <f t="shared" si="46"/>
        <v>1948167.1999999881</v>
      </c>
      <c r="AE352" s="378">
        <f t="shared" si="47"/>
        <v>25438.000000029802</v>
      </c>
      <c r="AF352" s="331"/>
      <c r="AH352" s="402">
        <f t="shared" si="55"/>
        <v>3.9437647784430686E-2</v>
      </c>
      <c r="AI352" s="402">
        <f t="shared" si="58"/>
        <v>4.2220810998274683E-2</v>
      </c>
      <c r="AK352" s="330">
        <f>AE352-AA351*'OverNight $'!H351*E352/360</f>
        <v>5774.1574100298021</v>
      </c>
    </row>
    <row r="353" spans="2:37" x14ac:dyDescent="0.25">
      <c r="B353" s="123" t="str">
        <f t="shared" si="50"/>
        <v>12 2025</v>
      </c>
      <c r="C353" s="122">
        <f t="shared" si="52"/>
        <v>46004</v>
      </c>
      <c r="D353" s="122">
        <f t="shared" si="53"/>
        <v>46005</v>
      </c>
      <c r="E353" s="123">
        <f t="shared" si="51"/>
        <v>1</v>
      </c>
      <c r="F353" s="123" t="s">
        <v>7</v>
      </c>
      <c r="H353" s="328">
        <f t="shared" si="54"/>
        <v>46004</v>
      </c>
      <c r="I353" s="329">
        <v>102.4764</v>
      </c>
      <c r="J353" s="400"/>
      <c r="L353" s="330">
        <v>200000</v>
      </c>
      <c r="M353" s="331"/>
      <c r="N353" s="331"/>
      <c r="O353" s="331"/>
      <c r="P353" s="331"/>
      <c r="Q353" s="331"/>
      <c r="R353" s="331"/>
      <c r="S353" s="331"/>
      <c r="T353" s="331"/>
      <c r="U353" s="331"/>
      <c r="V353" s="331"/>
      <c r="W353" s="331"/>
      <c r="X353" s="331"/>
      <c r="Z353" s="331">
        <f t="shared" si="48"/>
        <v>1106</v>
      </c>
      <c r="AA353" s="330">
        <f t="shared" si="56"/>
        <v>224729629.60000002</v>
      </c>
      <c r="AB353" s="378">
        <f t="shared" si="57"/>
        <v>226677796.80000001</v>
      </c>
      <c r="AD353" s="378">
        <f t="shared" si="46"/>
        <v>1948167.1999999881</v>
      </c>
      <c r="AE353" s="378">
        <f t="shared" si="47"/>
        <v>0</v>
      </c>
      <c r="AF353" s="331"/>
      <c r="AH353" s="402">
        <f t="shared" si="55"/>
        <v>3.9437647784430686E-2</v>
      </c>
      <c r="AI353" s="402">
        <f t="shared" si="58"/>
        <v>4.1724095574765571E-2</v>
      </c>
      <c r="AK353" s="330">
        <f>AE353-AA352*'OverNight $'!H352*E353/360</f>
        <v>-19663.84259</v>
      </c>
    </row>
    <row r="354" spans="2:37" x14ac:dyDescent="0.25">
      <c r="B354" s="123" t="str">
        <f t="shared" si="50"/>
        <v>12 2025</v>
      </c>
      <c r="C354" s="122">
        <f t="shared" si="52"/>
        <v>46005</v>
      </c>
      <c r="D354" s="122">
        <f t="shared" si="53"/>
        <v>46006</v>
      </c>
      <c r="E354" s="123">
        <f t="shared" si="51"/>
        <v>1</v>
      </c>
      <c r="F354" s="123" t="s">
        <v>7</v>
      </c>
      <c r="H354" s="328">
        <f t="shared" si="54"/>
        <v>46005</v>
      </c>
      <c r="I354" s="329">
        <v>102.4764</v>
      </c>
      <c r="J354" s="400"/>
      <c r="L354" s="330">
        <v>200000</v>
      </c>
      <c r="M354" s="331"/>
      <c r="N354" s="331"/>
      <c r="O354" s="331"/>
      <c r="P354" s="331"/>
      <c r="Q354" s="331"/>
      <c r="R354" s="331"/>
      <c r="S354" s="331"/>
      <c r="T354" s="331"/>
      <c r="U354" s="331"/>
      <c r="V354" s="331"/>
      <c r="W354" s="331"/>
      <c r="X354" s="331"/>
      <c r="Z354" s="331">
        <f t="shared" si="48"/>
        <v>1106</v>
      </c>
      <c r="AA354" s="330">
        <f t="shared" si="56"/>
        <v>224729629.60000002</v>
      </c>
      <c r="AB354" s="378">
        <f t="shared" si="57"/>
        <v>226677796.80000001</v>
      </c>
      <c r="AD354" s="378">
        <f t="shared" si="46"/>
        <v>1948167.1999999881</v>
      </c>
      <c r="AE354" s="378">
        <f t="shared" si="47"/>
        <v>0</v>
      </c>
      <c r="AF354" s="331"/>
      <c r="AH354" s="402">
        <f t="shared" si="55"/>
        <v>3.9437647784430686E-2</v>
      </c>
      <c r="AI354" s="402">
        <f t="shared" si="58"/>
        <v>4.123893167273341E-2</v>
      </c>
      <c r="AK354" s="330">
        <f>AE354-AA353*'OverNight $'!H353*E354/360</f>
        <v>-19663.84259</v>
      </c>
    </row>
    <row r="355" spans="2:37" x14ac:dyDescent="0.25">
      <c r="B355" s="123" t="str">
        <f t="shared" si="50"/>
        <v>12 2025</v>
      </c>
      <c r="C355" s="122">
        <f t="shared" si="52"/>
        <v>46006</v>
      </c>
      <c r="D355" s="122">
        <f t="shared" si="53"/>
        <v>46007</v>
      </c>
      <c r="E355" s="123">
        <f t="shared" si="51"/>
        <v>1</v>
      </c>
      <c r="F355" s="123" t="s">
        <v>7</v>
      </c>
      <c r="H355" s="328">
        <f t="shared" si="54"/>
        <v>46006</v>
      </c>
      <c r="I355" s="329">
        <v>102.51049999999999</v>
      </c>
      <c r="J355" s="400"/>
      <c r="L355" s="330">
        <v>200000</v>
      </c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/>
      <c r="X355" s="331"/>
      <c r="Z355" s="331">
        <f t="shared" si="48"/>
        <v>1106</v>
      </c>
      <c r="AA355" s="330">
        <f t="shared" si="56"/>
        <v>224729629.60000002</v>
      </c>
      <c r="AB355" s="378">
        <f t="shared" si="57"/>
        <v>226753226</v>
      </c>
      <c r="AD355" s="378">
        <f t="shared" si="46"/>
        <v>2023596.3999999762</v>
      </c>
      <c r="AE355" s="378">
        <f t="shared" si="47"/>
        <v>75429.199999988079</v>
      </c>
      <c r="AF355" s="331"/>
      <c r="AH355" s="402">
        <f t="shared" si="55"/>
        <v>3.9437647784430686E-2</v>
      </c>
      <c r="AI355" s="402">
        <f t="shared" si="58"/>
        <v>4.2155421919005065E-2</v>
      </c>
      <c r="AK355" s="330">
        <f>AE355-AA354*'OverNight $'!H354*E355/360</f>
        <v>55765.357409988079</v>
      </c>
    </row>
    <row r="356" spans="2:37" x14ac:dyDescent="0.25">
      <c r="B356" s="123" t="str">
        <f t="shared" si="50"/>
        <v>12 2025</v>
      </c>
      <c r="C356" s="122">
        <f t="shared" si="52"/>
        <v>46007</v>
      </c>
      <c r="D356" s="122">
        <f t="shared" si="53"/>
        <v>46008</v>
      </c>
      <c r="E356" s="123">
        <f t="shared" si="51"/>
        <v>1</v>
      </c>
      <c r="F356" s="123" t="s">
        <v>7</v>
      </c>
      <c r="H356" s="328">
        <f t="shared" si="54"/>
        <v>46007</v>
      </c>
      <c r="I356" s="329">
        <v>102.52119999999999</v>
      </c>
      <c r="J356" s="400"/>
      <c r="L356" s="330">
        <v>200000</v>
      </c>
      <c r="M356" s="331"/>
      <c r="N356" s="331"/>
      <c r="O356" s="331"/>
      <c r="P356" s="331"/>
      <c r="Q356" s="331"/>
      <c r="R356" s="331"/>
      <c r="S356" s="331"/>
      <c r="T356" s="331"/>
      <c r="U356" s="331"/>
      <c r="V356" s="331"/>
      <c r="W356" s="331"/>
      <c r="X356" s="331"/>
      <c r="Z356" s="331">
        <f t="shared" si="48"/>
        <v>1106</v>
      </c>
      <c r="AA356" s="330">
        <f t="shared" si="56"/>
        <v>224729629.60000002</v>
      </c>
      <c r="AB356" s="378">
        <f t="shared" si="57"/>
        <v>226776894.40000001</v>
      </c>
      <c r="AD356" s="378">
        <f t="shared" si="46"/>
        <v>2047264.7999999821</v>
      </c>
      <c r="AE356" s="378">
        <f t="shared" si="47"/>
        <v>23668.40000000596</v>
      </c>
      <c r="AF356" s="331"/>
      <c r="AH356" s="402">
        <f t="shared" si="55"/>
        <v>3.9437647784430686E-2</v>
      </c>
      <c r="AI356" s="402">
        <f t="shared" si="58"/>
        <v>4.2107740451301397E-2</v>
      </c>
      <c r="AK356" s="330">
        <f>AE356-AA355*'OverNight $'!H355*E356/360</f>
        <v>4004.5574100059603</v>
      </c>
    </row>
    <row r="357" spans="2:37" x14ac:dyDescent="0.25">
      <c r="B357" s="123" t="str">
        <f t="shared" si="50"/>
        <v>12 2025</v>
      </c>
      <c r="C357" s="122">
        <f t="shared" si="52"/>
        <v>46008</v>
      </c>
      <c r="D357" s="122">
        <f t="shared" si="53"/>
        <v>46009</v>
      </c>
      <c r="E357" s="123">
        <f t="shared" si="51"/>
        <v>1</v>
      </c>
      <c r="F357" s="123" t="s">
        <v>7</v>
      </c>
      <c r="H357" s="328">
        <f t="shared" si="54"/>
        <v>46008</v>
      </c>
      <c r="I357" s="329">
        <v>102.532</v>
      </c>
      <c r="J357" s="400"/>
      <c r="L357" s="330">
        <v>200000</v>
      </c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/>
      <c r="X357" s="331"/>
      <c r="Z357" s="331">
        <f t="shared" si="48"/>
        <v>1106</v>
      </c>
      <c r="AA357" s="330">
        <f t="shared" si="56"/>
        <v>224729629.60000002</v>
      </c>
      <c r="AB357" s="378">
        <f t="shared" si="57"/>
        <v>226800784</v>
      </c>
      <c r="AD357" s="378">
        <f t="shared" si="46"/>
        <v>2071154.3999999762</v>
      </c>
      <c r="AE357" s="378">
        <f t="shared" si="47"/>
        <v>23889.59999999404</v>
      </c>
      <c r="AF357" s="331"/>
      <c r="AH357" s="402">
        <f t="shared" si="55"/>
        <v>3.9437647784430686E-2</v>
      </c>
      <c r="AI357" s="402">
        <f t="shared" si="58"/>
        <v>4.206511655861022E-2</v>
      </c>
      <c r="AK357" s="330">
        <f>AE357-AA356*'OverNight $'!H356*E357/360</f>
        <v>4225.7574099940393</v>
      </c>
    </row>
    <row r="358" spans="2:37" x14ac:dyDescent="0.25">
      <c r="B358" s="123" t="str">
        <f t="shared" si="50"/>
        <v>12 2025</v>
      </c>
      <c r="C358" s="122">
        <f t="shared" si="52"/>
        <v>46009</v>
      </c>
      <c r="D358" s="122">
        <f t="shared" si="53"/>
        <v>46010</v>
      </c>
      <c r="E358" s="123">
        <f t="shared" si="51"/>
        <v>1</v>
      </c>
      <c r="F358" s="123" t="s">
        <v>7</v>
      </c>
      <c r="H358" s="328">
        <f t="shared" si="54"/>
        <v>46009</v>
      </c>
      <c r="I358" s="329">
        <v>102.5429</v>
      </c>
      <c r="J358" s="400"/>
      <c r="L358" s="330">
        <v>200000</v>
      </c>
      <c r="M358" s="331"/>
      <c r="N358" s="331"/>
      <c r="O358" s="331"/>
      <c r="P358" s="331"/>
      <c r="Q358" s="331"/>
      <c r="R358" s="331"/>
      <c r="S358" s="331"/>
      <c r="T358" s="331"/>
      <c r="U358" s="331"/>
      <c r="V358" s="331"/>
      <c r="W358" s="331"/>
      <c r="X358" s="331"/>
      <c r="Z358" s="331">
        <f t="shared" si="48"/>
        <v>1106</v>
      </c>
      <c r="AA358" s="330">
        <f t="shared" si="56"/>
        <v>224729629.60000002</v>
      </c>
      <c r="AB358" s="378">
        <f t="shared" si="57"/>
        <v>226824894.79999998</v>
      </c>
      <c r="AD358" s="378">
        <f t="shared" si="46"/>
        <v>2095265.1999999583</v>
      </c>
      <c r="AE358" s="378">
        <f t="shared" si="47"/>
        <v>24110.799999982119</v>
      </c>
      <c r="AF358" s="331"/>
      <c r="AH358" s="402">
        <f t="shared" si="55"/>
        <v>3.9437647784430686E-2</v>
      </c>
      <c r="AI358" s="402">
        <f t="shared" si="58"/>
        <v>4.202738165509956E-2</v>
      </c>
      <c r="AK358" s="330">
        <f>AE358-AA357*'OverNight $'!H357*E358/360</f>
        <v>4446.9574099821184</v>
      </c>
    </row>
    <row r="359" spans="2:37" x14ac:dyDescent="0.25">
      <c r="B359" s="380" t="str">
        <f t="shared" si="50"/>
        <v>12 2025</v>
      </c>
      <c r="C359" s="381">
        <f t="shared" si="52"/>
        <v>46010</v>
      </c>
      <c r="D359" s="381">
        <f t="shared" si="53"/>
        <v>46011</v>
      </c>
      <c r="E359" s="380">
        <f t="shared" si="51"/>
        <v>1</v>
      </c>
      <c r="F359" s="380" t="s">
        <v>7</v>
      </c>
      <c r="H359" s="459">
        <f t="shared" si="54"/>
        <v>46010</v>
      </c>
      <c r="I359" s="332">
        <v>102.55370000000001</v>
      </c>
      <c r="J359" s="400"/>
      <c r="L359" s="333">
        <v>200000</v>
      </c>
      <c r="M359" s="334"/>
      <c r="N359" s="334"/>
      <c r="O359" s="334">
        <v>347</v>
      </c>
      <c r="P359" s="334"/>
      <c r="Q359" s="334"/>
      <c r="R359" s="334"/>
      <c r="S359" s="334"/>
      <c r="T359" s="334"/>
      <c r="U359" s="334"/>
      <c r="V359" s="460">
        <f>O359*ROUND(I359,4)%*L359</f>
        <v>71172267.800000012</v>
      </c>
      <c r="W359" s="460">
        <f>O359*L359%*I359-T268*L268%*I268-T278*L278%*I278</f>
        <v>668705.99999999255</v>
      </c>
      <c r="X359" s="460">
        <f>V359-W359</f>
        <v>70503561.800000012</v>
      </c>
      <c r="Z359" s="334">
        <f>Z358-O359</f>
        <v>759</v>
      </c>
      <c r="AA359" s="333">
        <f t="shared" si="56"/>
        <v>154226067.80000001</v>
      </c>
      <c r="AB359" s="379">
        <f t="shared" si="57"/>
        <v>155676516.60000002</v>
      </c>
      <c r="AD359" s="379">
        <f t="shared" si="46"/>
        <v>1450448.8000000119</v>
      </c>
      <c r="AE359" s="379">
        <f t="shared" si="47"/>
        <v>23889.600000053644</v>
      </c>
      <c r="AF359" s="334"/>
      <c r="AH359" s="455">
        <f t="shared" si="55"/>
        <v>3.9437647784430686E-2</v>
      </c>
      <c r="AI359" s="455">
        <f t="shared" si="58"/>
        <v>4.198657761495414E-2</v>
      </c>
      <c r="AK359" s="333">
        <f>AE359-AA358*'OverNight $'!H358*E359/360</f>
        <v>4225.757410053644</v>
      </c>
    </row>
    <row r="360" spans="2:37" x14ac:dyDescent="0.25">
      <c r="B360" s="123" t="str">
        <f t="shared" si="50"/>
        <v>12 2025</v>
      </c>
      <c r="C360" s="122">
        <f t="shared" si="52"/>
        <v>46011</v>
      </c>
      <c r="D360" s="122">
        <f t="shared" si="53"/>
        <v>46012</v>
      </c>
      <c r="E360" s="123">
        <f t="shared" si="51"/>
        <v>1</v>
      </c>
      <c r="F360" s="123" t="s">
        <v>7</v>
      </c>
      <c r="H360" s="328">
        <f t="shared" si="54"/>
        <v>46011</v>
      </c>
      <c r="I360" s="329">
        <v>102.55370000000001</v>
      </c>
      <c r="J360" s="400"/>
      <c r="L360" s="330">
        <v>200000</v>
      </c>
      <c r="M360" s="331"/>
      <c r="N360" s="331"/>
      <c r="O360" s="331"/>
      <c r="P360" s="331"/>
      <c r="Q360" s="331"/>
      <c r="R360" s="331"/>
      <c r="S360" s="331"/>
      <c r="T360" s="331"/>
      <c r="U360" s="331"/>
      <c r="V360" s="331"/>
      <c r="W360" s="331"/>
      <c r="X360" s="331"/>
      <c r="Z360" s="331">
        <f t="shared" ref="Z360:Z370" si="59">Z359+M360-R360</f>
        <v>759</v>
      </c>
      <c r="AA360" s="330">
        <f t="shared" si="56"/>
        <v>154226067.80000001</v>
      </c>
      <c r="AB360" s="378">
        <f t="shared" si="57"/>
        <v>155676516.60000002</v>
      </c>
      <c r="AD360" s="378">
        <f t="shared" si="46"/>
        <v>1450448.8000000119</v>
      </c>
      <c r="AE360" s="378">
        <f t="shared" si="47"/>
        <v>0</v>
      </c>
      <c r="AF360" s="331"/>
      <c r="AH360" s="402">
        <f t="shared" si="55"/>
        <v>3.9437647784430686E-2</v>
      </c>
      <c r="AI360" s="402">
        <f t="shared" si="58"/>
        <v>4.1530201771313335E-2</v>
      </c>
      <c r="AK360" s="330">
        <f>AE360-AA359*'OverNight $'!H359*E360/360</f>
        <v>-13494.780932500002</v>
      </c>
    </row>
    <row r="361" spans="2:37" x14ac:dyDescent="0.25">
      <c r="B361" s="123" t="str">
        <f t="shared" si="50"/>
        <v>12 2025</v>
      </c>
      <c r="C361" s="122">
        <f t="shared" si="52"/>
        <v>46012</v>
      </c>
      <c r="D361" s="122">
        <f t="shared" si="53"/>
        <v>46013</v>
      </c>
      <c r="E361" s="123">
        <f t="shared" si="51"/>
        <v>1</v>
      </c>
      <c r="F361" s="123" t="s">
        <v>7</v>
      </c>
      <c r="H361" s="328">
        <f t="shared" si="54"/>
        <v>46012</v>
      </c>
      <c r="I361" s="329">
        <v>102.55370000000001</v>
      </c>
      <c r="J361" s="400"/>
      <c r="L361" s="330">
        <v>200000</v>
      </c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/>
      <c r="X361" s="331"/>
      <c r="Z361" s="331">
        <f t="shared" si="59"/>
        <v>759</v>
      </c>
      <c r="AA361" s="330">
        <f t="shared" si="56"/>
        <v>154226067.80000001</v>
      </c>
      <c r="AB361" s="378">
        <f t="shared" si="57"/>
        <v>155676516.60000002</v>
      </c>
      <c r="AD361" s="378">
        <f t="shared" si="46"/>
        <v>1450448.8000000119</v>
      </c>
      <c r="AE361" s="378">
        <f t="shared" si="47"/>
        <v>0</v>
      </c>
      <c r="AF361" s="331"/>
      <c r="AH361" s="402">
        <f t="shared" si="55"/>
        <v>3.9437647784430686E-2</v>
      </c>
      <c r="AI361" s="402">
        <f t="shared" si="58"/>
        <v>4.1083640461944376E-2</v>
      </c>
      <c r="AK361" s="330">
        <f>AE361-AA360*'OverNight $'!H360*E361/360</f>
        <v>-13494.780932500002</v>
      </c>
    </row>
    <row r="362" spans="2:37" x14ac:dyDescent="0.25">
      <c r="B362" s="123" t="str">
        <f t="shared" si="50"/>
        <v>12 2025</v>
      </c>
      <c r="C362" s="122">
        <f t="shared" si="52"/>
        <v>46013</v>
      </c>
      <c r="D362" s="122">
        <f t="shared" si="53"/>
        <v>46014</v>
      </c>
      <c r="E362" s="123">
        <f t="shared" si="51"/>
        <v>1</v>
      </c>
      <c r="F362" s="123" t="s">
        <v>7</v>
      </c>
      <c r="H362" s="328">
        <f t="shared" si="54"/>
        <v>46013</v>
      </c>
      <c r="I362" s="329">
        <v>102.5861</v>
      </c>
      <c r="J362" s="400"/>
      <c r="L362" s="330">
        <v>200000</v>
      </c>
      <c r="M362" s="331"/>
      <c r="N362" s="331"/>
      <c r="O362" s="331"/>
      <c r="P362" s="331"/>
      <c r="Q362" s="331"/>
      <c r="R362" s="331"/>
      <c r="S362" s="331"/>
      <c r="T362" s="331"/>
      <c r="U362" s="331"/>
      <c r="V362" s="331"/>
      <c r="W362" s="331"/>
      <c r="X362" s="331"/>
      <c r="Z362" s="331">
        <f t="shared" si="59"/>
        <v>759</v>
      </c>
      <c r="AA362" s="330">
        <f t="shared" si="56"/>
        <v>154226067.80000001</v>
      </c>
      <c r="AB362" s="378">
        <f t="shared" si="57"/>
        <v>155725699.79999998</v>
      </c>
      <c r="AD362" s="378">
        <f t="shared" si="46"/>
        <v>1499631.9999999702</v>
      </c>
      <c r="AE362" s="378">
        <f t="shared" si="47"/>
        <v>49183.199999958277</v>
      </c>
      <c r="AF362" s="331"/>
      <c r="AH362" s="402">
        <f t="shared" si="55"/>
        <v>3.9437647784430686E-2</v>
      </c>
      <c r="AI362" s="402">
        <f t="shared" si="58"/>
        <v>4.1869374520917733E-2</v>
      </c>
      <c r="AK362" s="330">
        <f>AE362-AA361*'OverNight $'!H361*E362/360</f>
        <v>35688.419067458279</v>
      </c>
    </row>
    <row r="363" spans="2:37" x14ac:dyDescent="0.25">
      <c r="B363" s="123" t="str">
        <f t="shared" si="50"/>
        <v>12 2025</v>
      </c>
      <c r="C363" s="122">
        <f t="shared" si="52"/>
        <v>46014</v>
      </c>
      <c r="D363" s="122">
        <f t="shared" si="53"/>
        <v>46015</v>
      </c>
      <c r="E363" s="123">
        <f t="shared" si="51"/>
        <v>1</v>
      </c>
      <c r="F363" s="123" t="s">
        <v>7</v>
      </c>
      <c r="H363" s="328">
        <f t="shared" si="54"/>
        <v>46014</v>
      </c>
      <c r="I363" s="329">
        <v>102.5968</v>
      </c>
      <c r="J363" s="400"/>
      <c r="L363" s="330">
        <v>200000</v>
      </c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/>
      <c r="X363" s="331"/>
      <c r="Z363" s="331">
        <f t="shared" si="59"/>
        <v>759</v>
      </c>
      <c r="AA363" s="330">
        <f t="shared" si="56"/>
        <v>154226067.80000001</v>
      </c>
      <c r="AB363" s="378">
        <f t="shared" si="57"/>
        <v>155741942.40000001</v>
      </c>
      <c r="AD363" s="378">
        <f t="shared" si="46"/>
        <v>1515874.599999994</v>
      </c>
      <c r="AE363" s="378">
        <f t="shared" si="47"/>
        <v>16242.600000023842</v>
      </c>
      <c r="AF363" s="331"/>
      <c r="AH363" s="402">
        <f t="shared" si="55"/>
        <v>3.9437647784430686E-2</v>
      </c>
      <c r="AI363" s="402">
        <f t="shared" si="58"/>
        <v>4.1828217449761576E-2</v>
      </c>
      <c r="AK363" s="330">
        <f>AE363-AA362*'OverNight $'!H362*E363/360</f>
        <v>2747.8190675238402</v>
      </c>
    </row>
    <row r="364" spans="2:37" x14ac:dyDescent="0.25">
      <c r="B364" s="123" t="str">
        <f t="shared" si="50"/>
        <v>12 2025</v>
      </c>
      <c r="C364" s="122">
        <f t="shared" si="52"/>
        <v>46015</v>
      </c>
      <c r="D364" s="122">
        <f t="shared" si="53"/>
        <v>46016</v>
      </c>
      <c r="E364" s="123">
        <f t="shared" si="51"/>
        <v>1</v>
      </c>
      <c r="F364" s="123" t="s">
        <v>7</v>
      </c>
      <c r="H364" s="328">
        <f t="shared" si="54"/>
        <v>46015</v>
      </c>
      <c r="I364" s="329">
        <v>102.60760000000001</v>
      </c>
      <c r="J364" s="400"/>
      <c r="L364" s="330">
        <v>200000</v>
      </c>
      <c r="M364" s="331"/>
      <c r="N364" s="331"/>
      <c r="O364" s="331"/>
      <c r="P364" s="331"/>
      <c r="Q364" s="331"/>
      <c r="R364" s="331"/>
      <c r="S364" s="331"/>
      <c r="T364" s="331"/>
      <c r="U364" s="331"/>
      <c r="V364" s="331"/>
      <c r="W364" s="331"/>
      <c r="X364" s="331"/>
      <c r="Z364" s="331">
        <f t="shared" si="59"/>
        <v>759</v>
      </c>
      <c r="AA364" s="330">
        <f t="shared" si="56"/>
        <v>154226067.80000001</v>
      </c>
      <c r="AB364" s="378">
        <f t="shared" si="57"/>
        <v>155758336.80000001</v>
      </c>
      <c r="AD364" s="378">
        <f t="shared" si="46"/>
        <v>1532269</v>
      </c>
      <c r="AE364" s="378">
        <f t="shared" si="47"/>
        <v>16394.40000000596</v>
      </c>
      <c r="AF364" s="331"/>
      <c r="AH364" s="402">
        <f t="shared" si="55"/>
        <v>3.9437647784430686E-2</v>
      </c>
      <c r="AI364" s="402">
        <f t="shared" si="58"/>
        <v>4.1791613247179338E-2</v>
      </c>
      <c r="AK364" s="330">
        <f>AE364-AA363*'OverNight $'!H363*E364/360</f>
        <v>2899.6190675059588</v>
      </c>
    </row>
    <row r="365" spans="2:37" x14ac:dyDescent="0.25">
      <c r="B365" s="123" t="str">
        <f t="shared" si="50"/>
        <v>12 2025</v>
      </c>
      <c r="C365" s="122">
        <f t="shared" si="52"/>
        <v>46016</v>
      </c>
      <c r="D365" s="122">
        <f t="shared" si="53"/>
        <v>46017</v>
      </c>
      <c r="E365" s="123">
        <f t="shared" si="51"/>
        <v>1</v>
      </c>
      <c r="F365" s="123" t="s">
        <v>7</v>
      </c>
      <c r="H365" s="328">
        <f t="shared" si="54"/>
        <v>46016</v>
      </c>
      <c r="I365" s="329">
        <v>102.60760000000001</v>
      </c>
      <c r="J365" s="400"/>
      <c r="L365" s="330">
        <v>200000</v>
      </c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/>
      <c r="X365" s="331"/>
      <c r="Z365" s="331">
        <f t="shared" si="59"/>
        <v>759</v>
      </c>
      <c r="AA365" s="330">
        <f t="shared" si="56"/>
        <v>154226067.80000001</v>
      </c>
      <c r="AB365" s="378">
        <f t="shared" si="57"/>
        <v>155758336.80000001</v>
      </c>
      <c r="AD365" s="378">
        <f t="shared" si="46"/>
        <v>1532269</v>
      </c>
      <c r="AE365" s="378">
        <f t="shared" si="47"/>
        <v>0</v>
      </c>
      <c r="AF365" s="331"/>
      <c r="AH365" s="402">
        <f t="shared" si="55"/>
        <v>3.9437647784430686E-2</v>
      </c>
      <c r="AI365" s="402">
        <f t="shared" si="58"/>
        <v>4.1360771873497078E-2</v>
      </c>
      <c r="AK365" s="330">
        <f>AE365-AA364*'OverNight $'!H364*E365/360</f>
        <v>-13494.780932500002</v>
      </c>
    </row>
    <row r="366" spans="2:37" x14ac:dyDescent="0.25">
      <c r="B366" s="123" t="str">
        <f t="shared" si="50"/>
        <v>12 2025</v>
      </c>
      <c r="C366" s="122">
        <f t="shared" si="52"/>
        <v>46017</v>
      </c>
      <c r="D366" s="122">
        <f t="shared" si="53"/>
        <v>46018</v>
      </c>
      <c r="E366" s="123">
        <f t="shared" si="51"/>
        <v>1</v>
      </c>
      <c r="F366" s="123" t="s">
        <v>7</v>
      </c>
      <c r="H366" s="328">
        <f t="shared" si="54"/>
        <v>46017</v>
      </c>
      <c r="I366" s="329">
        <v>102.60760000000001</v>
      </c>
      <c r="J366" s="400"/>
      <c r="L366" s="330">
        <v>200000</v>
      </c>
      <c r="M366" s="331"/>
      <c r="N366" s="331"/>
      <c r="O366" s="331"/>
      <c r="P366" s="331"/>
      <c r="Q366" s="331"/>
      <c r="R366" s="331"/>
      <c r="S366" s="331"/>
      <c r="T366" s="331"/>
      <c r="U366" s="331"/>
      <c r="V366" s="331"/>
      <c r="W366" s="331"/>
      <c r="X366" s="331"/>
      <c r="Z366" s="331">
        <f t="shared" si="59"/>
        <v>759</v>
      </c>
      <c r="AA366" s="330">
        <f t="shared" si="56"/>
        <v>154226067.80000001</v>
      </c>
      <c r="AB366" s="378">
        <f t="shared" si="57"/>
        <v>155758336.80000001</v>
      </c>
      <c r="AD366" s="378">
        <f t="shared" si="46"/>
        <v>1532269</v>
      </c>
      <c r="AE366" s="378">
        <f t="shared" si="47"/>
        <v>0</v>
      </c>
      <c r="AF366" s="331"/>
      <c r="AH366" s="402">
        <f t="shared" si="55"/>
        <v>3.9437647784430686E-2</v>
      </c>
      <c r="AI366" s="402">
        <f t="shared" si="58"/>
        <v>4.0938723180910373E-2</v>
      </c>
      <c r="AK366" s="330">
        <f>AE366-AA365*'OverNight $'!H365*E366/360</f>
        <v>-13494.780932500002</v>
      </c>
    </row>
    <row r="367" spans="2:37" x14ac:dyDescent="0.25">
      <c r="B367" s="123" t="str">
        <f t="shared" si="50"/>
        <v>12 2025</v>
      </c>
      <c r="C367" s="122">
        <f t="shared" si="52"/>
        <v>46018</v>
      </c>
      <c r="D367" s="122">
        <f t="shared" si="53"/>
        <v>46019</v>
      </c>
      <c r="E367" s="123">
        <f t="shared" si="51"/>
        <v>1</v>
      </c>
      <c r="F367" s="123" t="s">
        <v>7</v>
      </c>
      <c r="H367" s="328">
        <f t="shared" si="54"/>
        <v>46018</v>
      </c>
      <c r="I367" s="329">
        <v>102.60760000000001</v>
      </c>
      <c r="J367" s="400"/>
      <c r="L367" s="330">
        <v>200000</v>
      </c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/>
      <c r="X367" s="331"/>
      <c r="Z367" s="331">
        <f t="shared" si="59"/>
        <v>759</v>
      </c>
      <c r="AA367" s="330">
        <f t="shared" si="56"/>
        <v>154226067.80000001</v>
      </c>
      <c r="AB367" s="378">
        <f t="shared" si="57"/>
        <v>155758336.80000001</v>
      </c>
      <c r="AD367" s="378">
        <f t="shared" si="46"/>
        <v>1532269</v>
      </c>
      <c r="AE367" s="378">
        <f t="shared" si="47"/>
        <v>0</v>
      </c>
      <c r="AF367" s="331"/>
      <c r="AH367" s="402">
        <f t="shared" si="55"/>
        <v>3.9437647784430686E-2</v>
      </c>
      <c r="AI367" s="402">
        <f t="shared" si="58"/>
        <v>4.0525200724537538E-2</v>
      </c>
      <c r="AK367" s="330">
        <f>AE367-AA366*'OverNight $'!H366*E367/360</f>
        <v>-13494.780932500002</v>
      </c>
    </row>
    <row r="368" spans="2:37" x14ac:dyDescent="0.25">
      <c r="B368" s="123" t="str">
        <f t="shared" si="50"/>
        <v>12 2025</v>
      </c>
      <c r="C368" s="122">
        <f t="shared" si="52"/>
        <v>46019</v>
      </c>
      <c r="D368" s="122">
        <f t="shared" si="53"/>
        <v>46020</v>
      </c>
      <c r="E368" s="123">
        <f t="shared" si="51"/>
        <v>1</v>
      </c>
      <c r="F368" s="123" t="s">
        <v>7</v>
      </c>
      <c r="H368" s="328">
        <f>C368</f>
        <v>46019</v>
      </c>
      <c r="I368" s="329">
        <v>102.60760000000001</v>
      </c>
      <c r="J368" s="400"/>
      <c r="L368" s="330">
        <v>200000</v>
      </c>
      <c r="M368" s="331"/>
      <c r="N368" s="331"/>
      <c r="O368" s="331"/>
      <c r="P368" s="331"/>
      <c r="Q368" s="331"/>
      <c r="R368" s="331"/>
      <c r="S368" s="331"/>
      <c r="T368" s="331"/>
      <c r="U368" s="331"/>
      <c r="V368" s="331"/>
      <c r="W368" s="331"/>
      <c r="X368" s="331"/>
      <c r="Z368" s="331">
        <f t="shared" si="59"/>
        <v>759</v>
      </c>
      <c r="AA368" s="330">
        <f t="shared" si="56"/>
        <v>154226067.80000001</v>
      </c>
      <c r="AB368" s="378">
        <f t="shared" si="57"/>
        <v>155758336.80000001</v>
      </c>
      <c r="AD368" s="378">
        <f t="shared" si="46"/>
        <v>1532269</v>
      </c>
      <c r="AE368" s="378">
        <f t="shared" si="47"/>
        <v>0</v>
      </c>
      <c r="AF368" s="331"/>
      <c r="AH368" s="402">
        <f t="shared" si="55"/>
        <v>3.9437647784430686E-2</v>
      </c>
      <c r="AI368" s="402">
        <f t="shared" si="58"/>
        <v>4.0119948717292166E-2</v>
      </c>
      <c r="AK368" s="330">
        <f>AE368-AA367*'OverNight $'!H367*E368/360</f>
        <v>-13494.780932500002</v>
      </c>
    </row>
    <row r="369" spans="2:37" x14ac:dyDescent="0.25">
      <c r="B369" s="123" t="str">
        <f t="shared" si="50"/>
        <v>12 2025</v>
      </c>
      <c r="C369" s="122">
        <f t="shared" si="52"/>
        <v>46020</v>
      </c>
      <c r="D369" s="122">
        <f t="shared" si="53"/>
        <v>46021</v>
      </c>
      <c r="E369" s="123">
        <f t="shared" si="51"/>
        <v>1</v>
      </c>
      <c r="F369" s="123" t="s">
        <v>7</v>
      </c>
      <c r="H369" s="328">
        <f t="shared" si="54"/>
        <v>46020</v>
      </c>
      <c r="I369" s="329">
        <v>102.6614</v>
      </c>
      <c r="J369" s="400"/>
      <c r="L369" s="330">
        <v>200000</v>
      </c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/>
      <c r="X369" s="331"/>
      <c r="Z369" s="331">
        <f t="shared" si="59"/>
        <v>759</v>
      </c>
      <c r="AA369" s="330">
        <f t="shared" si="56"/>
        <v>154226067.80000001</v>
      </c>
      <c r="AB369" s="378">
        <f t="shared" si="57"/>
        <v>155840005.19999999</v>
      </c>
      <c r="AD369" s="378">
        <f t="shared" si="46"/>
        <v>1613937.3999999762</v>
      </c>
      <c r="AE369" s="378">
        <f t="shared" si="47"/>
        <v>81668.399999976158</v>
      </c>
      <c r="AF369" s="331"/>
      <c r="AH369" s="402">
        <f>AH370</f>
        <v>3.9437647784430686E-2</v>
      </c>
      <c r="AI369" s="402">
        <f t="shared" si="58"/>
        <v>4.1612439794622001E-2</v>
      </c>
      <c r="AK369" s="330">
        <f>AE369-AA368*'OverNight $'!H368*E369/360</f>
        <v>68173.61906747616</v>
      </c>
    </row>
    <row r="370" spans="2:37" x14ac:dyDescent="0.25">
      <c r="B370" s="148" t="str">
        <f t="shared" si="50"/>
        <v>12 2025</v>
      </c>
      <c r="C370" s="149">
        <f t="shared" si="52"/>
        <v>46021</v>
      </c>
      <c r="D370" s="149">
        <f t="shared" si="53"/>
        <v>46022</v>
      </c>
      <c r="E370" s="148">
        <f t="shared" si="51"/>
        <v>1</v>
      </c>
      <c r="F370" s="148" t="s">
        <v>7</v>
      </c>
      <c r="H370" s="327">
        <f t="shared" si="54"/>
        <v>46021</v>
      </c>
      <c r="I370" s="329">
        <v>102.6722</v>
      </c>
      <c r="J370" s="400"/>
      <c r="L370" s="330">
        <v>200000</v>
      </c>
      <c r="M370" s="331"/>
      <c r="N370" s="331"/>
      <c r="O370" s="331"/>
      <c r="P370" s="331"/>
      <c r="Q370" s="331"/>
      <c r="R370" s="331"/>
      <c r="S370" s="331"/>
      <c r="T370" s="331"/>
      <c r="U370" s="331"/>
      <c r="V370" s="331"/>
      <c r="W370" s="331"/>
      <c r="X370" s="331"/>
      <c r="Z370" s="331">
        <f t="shared" si="59"/>
        <v>759</v>
      </c>
      <c r="AA370" s="330">
        <f t="shared" si="56"/>
        <v>154226067.80000001</v>
      </c>
      <c r="AB370" s="378">
        <f t="shared" si="57"/>
        <v>155856399.60000002</v>
      </c>
      <c r="AD370" s="378">
        <f t="shared" si="46"/>
        <v>1630331.8000000119</v>
      </c>
      <c r="AE370" s="378">
        <f t="shared" si="47"/>
        <v>16394.400000035763</v>
      </c>
      <c r="AF370" s="331"/>
      <c r="AH370" s="402">
        <f>AH373</f>
        <v>3.9437647784430686E-2</v>
      </c>
      <c r="AI370" s="402">
        <f t="shared" si="58"/>
        <v>4.1580104247634198E-2</v>
      </c>
      <c r="AK370" s="330">
        <f>AE370-AA369*'OverNight $'!H369*E370/360</f>
        <v>2899.6190675357611</v>
      </c>
    </row>
    <row r="371" spans="2:37" x14ac:dyDescent="0.25">
      <c r="J371" s="400"/>
    </row>
    <row r="373" spans="2:37" x14ac:dyDescent="0.25">
      <c r="B373" s="9" t="str">
        <f>CONCATENATE(MONTH(D373)," ",YEAR(D373))</f>
        <v>1 2026</v>
      </c>
      <c r="C373" s="453">
        <f>D370</f>
        <v>46022</v>
      </c>
      <c r="D373" s="453">
        <f>D370+1</f>
        <v>46023</v>
      </c>
      <c r="E373" s="454">
        <f>D373-C373</f>
        <v>1</v>
      </c>
      <c r="F373" s="404" t="s">
        <v>7</v>
      </c>
      <c r="H373" s="398">
        <f>C373</f>
        <v>46022</v>
      </c>
      <c r="I373" s="389">
        <v>102.68287353862877</v>
      </c>
      <c r="J373" s="400"/>
      <c r="L373" s="386">
        <v>200000</v>
      </c>
      <c r="M373" s="387"/>
      <c r="N373" s="387"/>
      <c r="O373" s="387"/>
      <c r="P373" s="387"/>
      <c r="Q373" s="387"/>
      <c r="R373" s="387"/>
      <c r="S373" s="387"/>
      <c r="T373" s="387"/>
      <c r="U373" s="387"/>
      <c r="V373" s="387"/>
      <c r="W373" s="387"/>
      <c r="X373" s="387"/>
      <c r="Z373" s="387">
        <f>Z370+M373-R373</f>
        <v>759</v>
      </c>
      <c r="AA373" s="386">
        <f>AA370+N373-X373</f>
        <v>154226067.80000001</v>
      </c>
      <c r="AB373" s="388">
        <f>Z373*L373*ROUND(I373,4)%</f>
        <v>155872642.19999999</v>
      </c>
      <c r="AD373" s="388">
        <f t="shared" ref="AD373:AD374" si="60">AB373-AA373</f>
        <v>1646574.3999999762</v>
      </c>
      <c r="AE373" s="388">
        <f>AB373+V373-AB370-N373</f>
        <v>16242.599999964237</v>
      </c>
      <c r="AF373" s="388">
        <f>SUM(AE339:AE373)</f>
        <v>728553.9999999702</v>
      </c>
      <c r="AH373" s="391">
        <f>(I373/I338-1)*360/(D373-D338)</f>
        <v>3.9437647784430686E-2</v>
      </c>
      <c r="AI373" s="403">
        <f t="shared" ref="AI373:AI374" si="61">(I373/$I$268-1)*360/(D373-$D$268)</f>
        <v>4.1544040886707462E-2</v>
      </c>
      <c r="AK373" s="386">
        <f>AE373-AA372*'OverNight $'!H372*E373/360</f>
        <v>16242.599999964237</v>
      </c>
    </row>
    <row r="374" spans="2:37" x14ac:dyDescent="0.25">
      <c r="B374" s="9" t="str">
        <f t="shared" ref="B374:B403" si="62">CONCATENATE(MONTH(D374)," ",YEAR(D374))</f>
        <v>1 2026</v>
      </c>
      <c r="C374" s="88">
        <f>D373</f>
        <v>46023</v>
      </c>
      <c r="D374" s="88">
        <f>C374+1</f>
        <v>46024</v>
      </c>
      <c r="E374" s="89">
        <f t="shared" ref="E374:E403" si="63">D374-C374</f>
        <v>1</v>
      </c>
      <c r="F374" s="123" t="s">
        <v>7</v>
      </c>
      <c r="H374" s="328">
        <f t="shared" ref="H374:H404" si="64">C374</f>
        <v>46023</v>
      </c>
      <c r="I374" s="329">
        <v>102.68287353862877</v>
      </c>
      <c r="J374" s="400"/>
      <c r="L374" s="330">
        <v>200000</v>
      </c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W374" s="331"/>
      <c r="X374" s="331"/>
      <c r="Z374" s="331">
        <f t="shared" ref="Z374" si="65">Z373+M374-R374</f>
        <v>759</v>
      </c>
      <c r="AA374" s="330">
        <f t="shared" ref="AA374" si="66">AA373+N374-X374</f>
        <v>154226067.80000001</v>
      </c>
      <c r="AB374" s="378">
        <f t="shared" ref="AB374" si="67">Z374*L374*ROUND(I374,4)%</f>
        <v>155872642.19999999</v>
      </c>
      <c r="AD374" s="378">
        <f t="shared" si="60"/>
        <v>1646574.3999999762</v>
      </c>
      <c r="AE374" s="378">
        <f t="shared" ref="AE374" si="68">AB374+V374-AB373-N374</f>
        <v>0</v>
      </c>
      <c r="AF374" s="331"/>
      <c r="AH374" s="402">
        <f t="shared" ref="AH374:AH401" si="69">AH375</f>
        <v>3.7785439798733833E-2</v>
      </c>
      <c r="AI374" s="402">
        <f t="shared" si="61"/>
        <v>4.114457895510451E-2</v>
      </c>
      <c r="AK374" s="330">
        <f>AE374-AA373*'OverNight $'!H373*E374/360</f>
        <v>-13494.780932500002</v>
      </c>
    </row>
    <row r="375" spans="2:37" x14ac:dyDescent="0.25">
      <c r="B375" s="9" t="str">
        <f t="shared" si="62"/>
        <v>1 2026</v>
      </c>
      <c r="C375" s="88">
        <f>D374</f>
        <v>46024</v>
      </c>
      <c r="D375" s="88">
        <f>D374+1</f>
        <v>46025</v>
      </c>
      <c r="E375" s="89">
        <f t="shared" si="63"/>
        <v>1</v>
      </c>
      <c r="F375" s="123" t="s">
        <v>7</v>
      </c>
      <c r="H375" s="328">
        <f t="shared" si="64"/>
        <v>46024</v>
      </c>
      <c r="I375" s="329">
        <v>102.705</v>
      </c>
      <c r="J375" s="400"/>
      <c r="L375" s="330">
        <v>200000</v>
      </c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/>
      <c r="X375" s="331"/>
      <c r="Z375" s="331">
        <f t="shared" ref="Z375:Z407" si="70">Z374+M375-R375</f>
        <v>759</v>
      </c>
      <c r="AA375" s="330">
        <f t="shared" ref="AA375:AA407" si="71">AA374+N375-X375</f>
        <v>154226067.80000001</v>
      </c>
      <c r="AB375" s="378">
        <f t="shared" ref="AB375:AB407" si="72">Z375*L375*ROUND(I375,4)%</f>
        <v>155906190</v>
      </c>
      <c r="AD375" s="378">
        <f t="shared" ref="AD375:AD407" si="73">AB375-AA375</f>
        <v>1680122.1999999881</v>
      </c>
      <c r="AE375" s="378">
        <f t="shared" ref="AE375:AE407" si="74">AB375+V375-AB374-N375</f>
        <v>33547.800000011921</v>
      </c>
      <c r="AF375" s="331"/>
      <c r="AH375" s="402">
        <f t="shared" si="69"/>
        <v>3.7785439798733833E-2</v>
      </c>
      <c r="AI375" s="402">
        <f t="shared" ref="AI375:AI407" si="75">(I375/$I$268-1)*360/(D375-$D$268)</f>
        <v>4.1500307811687467E-2</v>
      </c>
      <c r="AK375" s="330">
        <f>AE375-AA374*'OverNight $'!H374*E375/360</f>
        <v>20053.019067511919</v>
      </c>
    </row>
    <row r="376" spans="2:37" x14ac:dyDescent="0.25">
      <c r="B376" s="9" t="str">
        <f t="shared" si="62"/>
        <v>1 2026</v>
      </c>
      <c r="C376" s="88">
        <f t="shared" ref="C376:C403" si="76">D375</f>
        <v>46025</v>
      </c>
      <c r="D376" s="88">
        <f t="shared" ref="D376:D439" si="77">D375+1</f>
        <v>46026</v>
      </c>
      <c r="E376" s="89">
        <f t="shared" si="63"/>
        <v>1</v>
      </c>
      <c r="F376" s="123" t="s">
        <v>7</v>
      </c>
      <c r="H376" s="328">
        <f t="shared" si="64"/>
        <v>46025</v>
      </c>
      <c r="I376" s="329">
        <v>102.705</v>
      </c>
      <c r="J376" s="400"/>
      <c r="L376" s="330">
        <v>200000</v>
      </c>
      <c r="M376" s="331"/>
      <c r="N376" s="331"/>
      <c r="O376" s="331"/>
      <c r="P376" s="331"/>
      <c r="Q376" s="331"/>
      <c r="R376" s="331"/>
      <c r="S376" s="331"/>
      <c r="T376" s="331"/>
      <c r="U376" s="331"/>
      <c r="V376" s="331"/>
      <c r="W376" s="331"/>
      <c r="X376" s="331"/>
      <c r="Z376" s="331">
        <f t="shared" si="70"/>
        <v>759</v>
      </c>
      <c r="AA376" s="330">
        <f t="shared" si="71"/>
        <v>154226067.80000001</v>
      </c>
      <c r="AB376" s="378">
        <f t="shared" si="72"/>
        <v>155906190</v>
      </c>
      <c r="AD376" s="378">
        <f t="shared" si="73"/>
        <v>1680122.1999999881</v>
      </c>
      <c r="AE376" s="378">
        <f t="shared" si="74"/>
        <v>0</v>
      </c>
      <c r="AF376" s="331"/>
      <c r="AH376" s="402">
        <f t="shared" si="69"/>
        <v>3.7785439798733833E-2</v>
      </c>
      <c r="AI376" s="402">
        <f t="shared" si="75"/>
        <v>4.1108795473841359E-2</v>
      </c>
      <c r="AK376" s="330">
        <f>AE376-AA375*'OverNight $'!H375*E376/360</f>
        <v>-13494.780932500002</v>
      </c>
    </row>
    <row r="377" spans="2:37" x14ac:dyDescent="0.25">
      <c r="B377" s="9" t="str">
        <f t="shared" si="62"/>
        <v>1 2026</v>
      </c>
      <c r="C377" s="88">
        <f t="shared" si="76"/>
        <v>46026</v>
      </c>
      <c r="D377" s="88">
        <f t="shared" si="77"/>
        <v>46027</v>
      </c>
      <c r="E377" s="89">
        <f t="shared" si="63"/>
        <v>1</v>
      </c>
      <c r="F377" s="123" t="s">
        <v>7</v>
      </c>
      <c r="H377" s="328">
        <f t="shared" si="64"/>
        <v>46026</v>
      </c>
      <c r="I377" s="329">
        <v>102.705</v>
      </c>
      <c r="J377" s="400"/>
      <c r="L377" s="330">
        <v>200000</v>
      </c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/>
      <c r="X377" s="331"/>
      <c r="Z377" s="331">
        <f t="shared" si="70"/>
        <v>759</v>
      </c>
      <c r="AA377" s="330">
        <f t="shared" si="71"/>
        <v>154226067.80000001</v>
      </c>
      <c r="AB377" s="378">
        <f t="shared" si="72"/>
        <v>155906190</v>
      </c>
      <c r="AD377" s="378">
        <f t="shared" si="73"/>
        <v>1680122.1999999881</v>
      </c>
      <c r="AE377" s="378">
        <f t="shared" si="74"/>
        <v>0</v>
      </c>
      <c r="AF377" s="331"/>
      <c r="AH377" s="402">
        <f t="shared" si="69"/>
        <v>3.7785439798733833E-2</v>
      </c>
      <c r="AI377" s="402">
        <f t="shared" si="75"/>
        <v>4.0724601123618545E-2</v>
      </c>
      <c r="AK377" s="330">
        <f>AE377-AA376*'OverNight $'!H376*E377/360</f>
        <v>-13494.780932500002</v>
      </c>
    </row>
    <row r="378" spans="2:37" x14ac:dyDescent="0.25">
      <c r="B378" s="9" t="str">
        <f t="shared" si="62"/>
        <v>1 2026</v>
      </c>
      <c r="C378" s="88">
        <f t="shared" si="76"/>
        <v>46027</v>
      </c>
      <c r="D378" s="88">
        <f t="shared" si="77"/>
        <v>46028</v>
      </c>
      <c r="E378" s="89">
        <f t="shared" si="63"/>
        <v>1</v>
      </c>
      <c r="F378" s="123" t="s">
        <v>7</v>
      </c>
      <c r="H378" s="328">
        <f t="shared" si="64"/>
        <v>46027</v>
      </c>
      <c r="I378" s="329">
        <v>102.7376</v>
      </c>
      <c r="J378" s="400"/>
      <c r="L378" s="330">
        <v>200000</v>
      </c>
      <c r="M378" s="331"/>
      <c r="N378" s="331"/>
      <c r="O378" s="331"/>
      <c r="P378" s="331"/>
      <c r="Q378" s="331"/>
      <c r="R378" s="331"/>
      <c r="S378" s="331"/>
      <c r="T378" s="331"/>
      <c r="U378" s="331"/>
      <c r="V378" s="331"/>
      <c r="W378" s="331"/>
      <c r="X378" s="331"/>
      <c r="Z378" s="331">
        <f t="shared" si="70"/>
        <v>759</v>
      </c>
      <c r="AA378" s="330">
        <f t="shared" si="71"/>
        <v>154226067.80000001</v>
      </c>
      <c r="AB378" s="378">
        <f t="shared" si="72"/>
        <v>155955676.80000001</v>
      </c>
      <c r="AD378" s="378">
        <f t="shared" si="73"/>
        <v>1729609</v>
      </c>
      <c r="AE378" s="378">
        <f t="shared" si="74"/>
        <v>49486.800000011921</v>
      </c>
      <c r="AF378" s="331"/>
      <c r="AH378" s="402">
        <f t="shared" si="69"/>
        <v>3.7785439798733833E-2</v>
      </c>
      <c r="AI378" s="402">
        <f t="shared" si="75"/>
        <v>4.141837485846548E-2</v>
      </c>
      <c r="AK378" s="330">
        <f>AE378-AA377*'OverNight $'!H377*E378/360</f>
        <v>35992.019067511923</v>
      </c>
    </row>
    <row r="379" spans="2:37" x14ac:dyDescent="0.25">
      <c r="B379" s="9" t="str">
        <f t="shared" si="62"/>
        <v>1 2026</v>
      </c>
      <c r="C379" s="88">
        <f t="shared" si="76"/>
        <v>46028</v>
      </c>
      <c r="D379" s="88">
        <f t="shared" si="77"/>
        <v>46029</v>
      </c>
      <c r="E379" s="89">
        <f t="shared" si="63"/>
        <v>1</v>
      </c>
      <c r="F379" s="123" t="s">
        <v>7</v>
      </c>
      <c r="H379" s="328">
        <f t="shared" si="64"/>
        <v>46028</v>
      </c>
      <c r="I379" s="329">
        <v>102.74890000000001</v>
      </c>
      <c r="J379" s="400"/>
      <c r="L379" s="330">
        <v>200000</v>
      </c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/>
      <c r="X379" s="331"/>
      <c r="Z379" s="331">
        <f t="shared" si="70"/>
        <v>759</v>
      </c>
      <c r="AA379" s="330">
        <f t="shared" si="71"/>
        <v>154226067.80000001</v>
      </c>
      <c r="AB379" s="378">
        <f t="shared" si="72"/>
        <v>155972830.20000002</v>
      </c>
      <c r="AD379" s="378">
        <f t="shared" si="73"/>
        <v>1746762.400000006</v>
      </c>
      <c r="AE379" s="378">
        <f t="shared" si="74"/>
        <v>17153.40000000596</v>
      </c>
      <c r="AF379" s="331"/>
      <c r="AH379" s="402">
        <f t="shared" si="69"/>
        <v>3.7785439798733833E-2</v>
      </c>
      <c r="AI379" s="402">
        <f t="shared" si="75"/>
        <v>4.1406169769907325E-2</v>
      </c>
      <c r="AK379" s="330">
        <f>AE379-AA378*'OverNight $'!H378*E379/360</f>
        <v>3658.6190675059588</v>
      </c>
    </row>
    <row r="380" spans="2:37" x14ac:dyDescent="0.25">
      <c r="B380" s="9" t="str">
        <f t="shared" si="62"/>
        <v>1 2026</v>
      </c>
      <c r="C380" s="88">
        <f t="shared" si="76"/>
        <v>46029</v>
      </c>
      <c r="D380" s="88">
        <f t="shared" si="77"/>
        <v>46030</v>
      </c>
      <c r="E380" s="89">
        <f t="shared" si="63"/>
        <v>1</v>
      </c>
      <c r="F380" s="123" t="s">
        <v>7</v>
      </c>
      <c r="H380" s="328">
        <f t="shared" si="64"/>
        <v>46029</v>
      </c>
      <c r="I380" s="329">
        <v>102.7599</v>
      </c>
      <c r="J380" s="400"/>
      <c r="L380" s="330">
        <v>200000</v>
      </c>
      <c r="M380" s="331"/>
      <c r="N380" s="331"/>
      <c r="O380" s="331"/>
      <c r="P380" s="331"/>
      <c r="Q380" s="331"/>
      <c r="R380" s="331"/>
      <c r="S380" s="331"/>
      <c r="T380" s="331"/>
      <c r="U380" s="331"/>
      <c r="V380" s="331"/>
      <c r="W380" s="331"/>
      <c r="X380" s="331"/>
      <c r="Z380" s="331">
        <f t="shared" si="70"/>
        <v>759</v>
      </c>
      <c r="AA380" s="330">
        <f t="shared" si="71"/>
        <v>154226067.80000001</v>
      </c>
      <c r="AB380" s="378">
        <f t="shared" si="72"/>
        <v>155989528.19999999</v>
      </c>
      <c r="AD380" s="378">
        <f t="shared" si="73"/>
        <v>1763460.3999999762</v>
      </c>
      <c r="AE380" s="378">
        <f t="shared" si="74"/>
        <v>16697.999999970198</v>
      </c>
      <c r="AF380" s="331"/>
      <c r="AH380" s="402">
        <f t="shared" si="69"/>
        <v>3.7785439798733833E-2</v>
      </c>
      <c r="AI380" s="402">
        <f t="shared" si="75"/>
        <v>4.1384511285484121E-2</v>
      </c>
      <c r="AK380" s="330">
        <f>AE380-AA379*'OverNight $'!H379*E380/360</f>
        <v>3203.219067470196</v>
      </c>
    </row>
    <row r="381" spans="2:37" x14ac:dyDescent="0.25">
      <c r="B381" s="9" t="str">
        <f t="shared" si="62"/>
        <v>1 2026</v>
      </c>
      <c r="C381" s="88">
        <f t="shared" si="76"/>
        <v>46030</v>
      </c>
      <c r="D381" s="88">
        <f t="shared" si="77"/>
        <v>46031</v>
      </c>
      <c r="E381" s="89">
        <f t="shared" si="63"/>
        <v>1</v>
      </c>
      <c r="F381" s="123" t="s">
        <v>7</v>
      </c>
      <c r="H381" s="328">
        <f t="shared" si="64"/>
        <v>46030</v>
      </c>
      <c r="I381" s="329">
        <v>102.77070000000001</v>
      </c>
      <c r="J381" s="400"/>
      <c r="L381" s="330">
        <v>200000</v>
      </c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/>
      <c r="X381" s="331"/>
      <c r="Z381" s="331">
        <f t="shared" si="70"/>
        <v>759</v>
      </c>
      <c r="AA381" s="330">
        <f t="shared" si="71"/>
        <v>154226067.80000001</v>
      </c>
      <c r="AB381" s="378">
        <f t="shared" si="72"/>
        <v>156005922.60000002</v>
      </c>
      <c r="AD381" s="378">
        <f t="shared" si="73"/>
        <v>1779854.8000000119</v>
      </c>
      <c r="AE381" s="378">
        <f t="shared" si="74"/>
        <v>16394.400000035763</v>
      </c>
      <c r="AF381" s="331"/>
      <c r="AH381" s="402">
        <f t="shared" si="69"/>
        <v>3.7785439798733833E-2</v>
      </c>
      <c r="AI381" s="402">
        <f t="shared" si="75"/>
        <v>4.1356850949594952E-2</v>
      </c>
      <c r="AK381" s="330">
        <f>AE381-AA380*'OverNight $'!H380*E381/360</f>
        <v>2899.6190675357611</v>
      </c>
    </row>
    <row r="382" spans="2:37" x14ac:dyDescent="0.25">
      <c r="B382" s="9" t="str">
        <f t="shared" si="62"/>
        <v>1 2026</v>
      </c>
      <c r="C382" s="88">
        <f t="shared" si="76"/>
        <v>46031</v>
      </c>
      <c r="D382" s="88">
        <f t="shared" si="77"/>
        <v>46032</v>
      </c>
      <c r="E382" s="89">
        <f t="shared" si="63"/>
        <v>1</v>
      </c>
      <c r="F382" s="123" t="s">
        <v>7</v>
      </c>
      <c r="H382" s="328">
        <f t="shared" si="64"/>
        <v>46031</v>
      </c>
      <c r="I382" s="329">
        <v>102.78149999999999</v>
      </c>
      <c r="J382" s="400"/>
      <c r="L382" s="330">
        <v>200000</v>
      </c>
      <c r="M382" s="331"/>
      <c r="N382" s="331"/>
      <c r="O382" s="331"/>
      <c r="P382" s="331"/>
      <c r="Q382" s="331"/>
      <c r="R382" s="331"/>
      <c r="S382" s="331"/>
      <c r="T382" s="331"/>
      <c r="U382" s="331"/>
      <c r="V382" s="331"/>
      <c r="W382" s="331"/>
      <c r="X382" s="331"/>
      <c r="Z382" s="331">
        <f t="shared" si="70"/>
        <v>759</v>
      </c>
      <c r="AA382" s="330">
        <f t="shared" si="71"/>
        <v>154226067.80000001</v>
      </c>
      <c r="AB382" s="378">
        <f t="shared" si="72"/>
        <v>156022317</v>
      </c>
      <c r="AD382" s="378">
        <f t="shared" si="73"/>
        <v>1796249.1999999881</v>
      </c>
      <c r="AE382" s="378">
        <f t="shared" si="74"/>
        <v>16394.399999976158</v>
      </c>
      <c r="AF382" s="331"/>
      <c r="AH382" s="402">
        <f t="shared" si="69"/>
        <v>3.7785439798733833E-2</v>
      </c>
      <c r="AI382" s="402">
        <f t="shared" si="75"/>
        <v>4.1329684548275951E-2</v>
      </c>
      <c r="AK382" s="330">
        <f>AE382-AA381*'OverNight $'!H381*E382/360</f>
        <v>2899.6190674761565</v>
      </c>
    </row>
    <row r="383" spans="2:37" x14ac:dyDescent="0.25">
      <c r="B383" s="9" t="str">
        <f t="shared" si="62"/>
        <v>1 2026</v>
      </c>
      <c r="C383" s="88">
        <f t="shared" si="76"/>
        <v>46032</v>
      </c>
      <c r="D383" s="88">
        <f t="shared" si="77"/>
        <v>46033</v>
      </c>
      <c r="E383" s="89">
        <f t="shared" si="63"/>
        <v>1</v>
      </c>
      <c r="F383" s="123" t="s">
        <v>7</v>
      </c>
      <c r="H383" s="328">
        <f t="shared" si="64"/>
        <v>46032</v>
      </c>
      <c r="I383" s="329">
        <v>102.78149999999999</v>
      </c>
      <c r="J383" s="400"/>
      <c r="L383" s="330">
        <v>200000</v>
      </c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/>
      <c r="X383" s="331"/>
      <c r="Z383" s="331">
        <f t="shared" si="70"/>
        <v>759</v>
      </c>
      <c r="AA383" s="330">
        <f t="shared" si="71"/>
        <v>154226067.80000001</v>
      </c>
      <c r="AB383" s="378">
        <f t="shared" si="72"/>
        <v>156022317</v>
      </c>
      <c r="AD383" s="378">
        <f t="shared" si="73"/>
        <v>1796249.1999999881</v>
      </c>
      <c r="AE383" s="378">
        <f t="shared" si="74"/>
        <v>0</v>
      </c>
      <c r="AF383" s="331"/>
      <c r="AH383" s="402">
        <f t="shared" si="69"/>
        <v>3.7785439798733833E-2</v>
      </c>
      <c r="AI383" s="402">
        <f t="shared" si="75"/>
        <v>4.0963935127494744E-2</v>
      </c>
      <c r="AK383" s="330">
        <f>AE383-AA382*'OverNight $'!H382*E383/360</f>
        <v>-13494.780932500002</v>
      </c>
    </row>
    <row r="384" spans="2:37" x14ac:dyDescent="0.25">
      <c r="B384" s="9" t="str">
        <f t="shared" si="62"/>
        <v>1 2026</v>
      </c>
      <c r="C384" s="88">
        <f t="shared" si="76"/>
        <v>46033</v>
      </c>
      <c r="D384" s="88">
        <f t="shared" si="77"/>
        <v>46034</v>
      </c>
      <c r="E384" s="89">
        <f t="shared" si="63"/>
        <v>1</v>
      </c>
      <c r="F384" s="123" t="s">
        <v>7</v>
      </c>
      <c r="H384" s="328">
        <f t="shared" si="64"/>
        <v>46033</v>
      </c>
      <c r="I384" s="329">
        <v>102.78149999999999</v>
      </c>
      <c r="J384" s="400"/>
      <c r="L384" s="330">
        <v>200000</v>
      </c>
      <c r="M384" s="331"/>
      <c r="N384" s="331"/>
      <c r="O384" s="331"/>
      <c r="P384" s="331"/>
      <c r="Q384" s="331"/>
      <c r="R384" s="331"/>
      <c r="S384" s="331"/>
      <c r="T384" s="331"/>
      <c r="U384" s="331"/>
      <c r="V384" s="331"/>
      <c r="W384" s="331"/>
      <c r="X384" s="331"/>
      <c r="Z384" s="331">
        <f t="shared" si="70"/>
        <v>759</v>
      </c>
      <c r="AA384" s="330">
        <f t="shared" si="71"/>
        <v>154226067.80000001</v>
      </c>
      <c r="AB384" s="378">
        <f t="shared" si="72"/>
        <v>156022317</v>
      </c>
      <c r="AD384" s="378">
        <f t="shared" si="73"/>
        <v>1796249.1999999881</v>
      </c>
      <c r="AE384" s="378">
        <f t="shared" si="74"/>
        <v>0</v>
      </c>
      <c r="AF384" s="331"/>
      <c r="AH384" s="402">
        <f t="shared" si="69"/>
        <v>3.7785439798733833E-2</v>
      </c>
      <c r="AI384" s="402">
        <f t="shared" si="75"/>
        <v>4.060460236321848E-2</v>
      </c>
      <c r="AK384" s="330">
        <f>AE384-AA383*'OverNight $'!H383*E384/360</f>
        <v>-13494.780932500002</v>
      </c>
    </row>
    <row r="385" spans="2:37" x14ac:dyDescent="0.25">
      <c r="B385" s="9" t="str">
        <f t="shared" si="62"/>
        <v>1 2026</v>
      </c>
      <c r="C385" s="88">
        <f t="shared" si="76"/>
        <v>46034</v>
      </c>
      <c r="D385" s="88">
        <f t="shared" si="77"/>
        <v>46035</v>
      </c>
      <c r="E385" s="89">
        <f t="shared" si="63"/>
        <v>1</v>
      </c>
      <c r="F385" s="123" t="s">
        <v>7</v>
      </c>
      <c r="H385" s="328">
        <f t="shared" si="64"/>
        <v>46034</v>
      </c>
      <c r="I385" s="329">
        <v>102.81359999999999</v>
      </c>
      <c r="J385" s="400"/>
      <c r="L385" s="330">
        <v>200000</v>
      </c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31"/>
      <c r="Z385" s="331">
        <f t="shared" si="70"/>
        <v>759</v>
      </c>
      <c r="AA385" s="330">
        <f t="shared" si="71"/>
        <v>154226067.80000001</v>
      </c>
      <c r="AB385" s="378">
        <f t="shared" si="72"/>
        <v>156071044.79999998</v>
      </c>
      <c r="AD385" s="378">
        <f t="shared" si="73"/>
        <v>1844976.9999999702</v>
      </c>
      <c r="AE385" s="378">
        <f t="shared" si="74"/>
        <v>48727.799999982119</v>
      </c>
      <c r="AF385" s="331"/>
      <c r="AH385" s="402">
        <f t="shared" si="69"/>
        <v>3.7785439798733833E-2</v>
      </c>
      <c r="AI385" s="402">
        <f t="shared" si="75"/>
        <v>4.124176545817456E-2</v>
      </c>
      <c r="AK385" s="330">
        <f>AE385-AA384*'OverNight $'!H384*E385/360</f>
        <v>35233.019067482121</v>
      </c>
    </row>
    <row r="386" spans="2:37" x14ac:dyDescent="0.25">
      <c r="B386" s="9" t="str">
        <f t="shared" si="62"/>
        <v>1 2026</v>
      </c>
      <c r="C386" s="88">
        <f t="shared" si="76"/>
        <v>46035</v>
      </c>
      <c r="D386" s="88">
        <f t="shared" si="77"/>
        <v>46036</v>
      </c>
      <c r="E386" s="89">
        <f t="shared" si="63"/>
        <v>1</v>
      </c>
      <c r="F386" s="123" t="s">
        <v>7</v>
      </c>
      <c r="H386" s="328">
        <f t="shared" si="64"/>
        <v>46035</v>
      </c>
      <c r="I386" s="329">
        <v>102.82429999999999</v>
      </c>
      <c r="J386" s="400"/>
      <c r="L386" s="330">
        <v>200000</v>
      </c>
      <c r="M386" s="331"/>
      <c r="N386" s="331"/>
      <c r="O386" s="331"/>
      <c r="P386" s="331"/>
      <c r="Q386" s="331"/>
      <c r="R386" s="331"/>
      <c r="S386" s="331"/>
      <c r="T386" s="331"/>
      <c r="U386" s="331"/>
      <c r="V386" s="331"/>
      <c r="W386" s="331"/>
      <c r="X386" s="331"/>
      <c r="Z386" s="331">
        <f t="shared" si="70"/>
        <v>759</v>
      </c>
      <c r="AA386" s="330">
        <f t="shared" si="71"/>
        <v>154226067.80000001</v>
      </c>
      <c r="AB386" s="378">
        <f t="shared" si="72"/>
        <v>156087287.40000001</v>
      </c>
      <c r="AD386" s="378">
        <f t="shared" si="73"/>
        <v>1861219.599999994</v>
      </c>
      <c r="AE386" s="378">
        <f t="shared" si="74"/>
        <v>16242.600000023842</v>
      </c>
      <c r="AF386" s="331"/>
      <c r="AH386" s="402">
        <f t="shared" si="69"/>
        <v>3.7785439798733833E-2</v>
      </c>
      <c r="AI386" s="402">
        <f t="shared" si="75"/>
        <v>4.1213469659061704E-2</v>
      </c>
      <c r="AK386" s="330">
        <f>AE386-AA385*'OverNight $'!H385*E386/360</f>
        <v>2747.8190675238402</v>
      </c>
    </row>
    <row r="387" spans="2:37" x14ac:dyDescent="0.25">
      <c r="B387" s="9" t="str">
        <f t="shared" si="62"/>
        <v>1 2026</v>
      </c>
      <c r="C387" s="88">
        <f t="shared" si="76"/>
        <v>46036</v>
      </c>
      <c r="D387" s="88">
        <f t="shared" si="77"/>
        <v>46037</v>
      </c>
      <c r="E387" s="89">
        <f t="shared" si="63"/>
        <v>1</v>
      </c>
      <c r="F387" s="123" t="s">
        <v>7</v>
      </c>
      <c r="H387" s="328">
        <f t="shared" si="64"/>
        <v>46036</v>
      </c>
      <c r="I387" s="329">
        <v>102.8349</v>
      </c>
      <c r="J387" s="400"/>
      <c r="L387" s="330">
        <v>200000</v>
      </c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/>
      <c r="X387" s="331"/>
      <c r="Z387" s="331">
        <f t="shared" si="70"/>
        <v>759</v>
      </c>
      <c r="AA387" s="330">
        <f t="shared" si="71"/>
        <v>154226067.80000001</v>
      </c>
      <c r="AB387" s="378">
        <f t="shared" si="72"/>
        <v>156103378.19999999</v>
      </c>
      <c r="AD387" s="378">
        <f t="shared" si="73"/>
        <v>1877310.3999999762</v>
      </c>
      <c r="AE387" s="378">
        <f t="shared" si="74"/>
        <v>16090.799999982119</v>
      </c>
      <c r="AF387" s="331"/>
      <c r="AH387" s="402">
        <f t="shared" si="69"/>
        <v>3.7785439798733833E-2</v>
      </c>
      <c r="AI387" s="402">
        <f t="shared" si="75"/>
        <v>4.1182625401466118E-2</v>
      </c>
      <c r="AK387" s="330">
        <f>AE387-AA386*'OverNight $'!H386*E387/360</f>
        <v>2596.019067482117</v>
      </c>
    </row>
    <row r="388" spans="2:37" x14ac:dyDescent="0.25">
      <c r="B388" s="9" t="str">
        <f t="shared" si="62"/>
        <v>1 2026</v>
      </c>
      <c r="C388" s="88">
        <f t="shared" si="76"/>
        <v>46037</v>
      </c>
      <c r="D388" s="88">
        <f t="shared" si="77"/>
        <v>46038</v>
      </c>
      <c r="E388" s="89">
        <f t="shared" si="63"/>
        <v>1</v>
      </c>
      <c r="F388" s="123" t="s">
        <v>7</v>
      </c>
      <c r="H388" s="328">
        <f t="shared" si="64"/>
        <v>46037</v>
      </c>
      <c r="I388" s="329">
        <v>102.8456</v>
      </c>
      <c r="J388" s="400"/>
      <c r="L388" s="330">
        <v>200000</v>
      </c>
      <c r="M388" s="331"/>
      <c r="N388" s="331"/>
      <c r="O388" s="331"/>
      <c r="P388" s="331"/>
      <c r="Q388" s="331"/>
      <c r="R388" s="331"/>
      <c r="S388" s="331"/>
      <c r="T388" s="331"/>
      <c r="U388" s="331"/>
      <c r="V388" s="331"/>
      <c r="W388" s="331"/>
      <c r="X388" s="331"/>
      <c r="Z388" s="331">
        <f t="shared" si="70"/>
        <v>759</v>
      </c>
      <c r="AA388" s="330">
        <f t="shared" si="71"/>
        <v>154226067.80000001</v>
      </c>
      <c r="AB388" s="378">
        <f t="shared" si="72"/>
        <v>156119620.80000001</v>
      </c>
      <c r="AD388" s="378">
        <f t="shared" si="73"/>
        <v>1893553</v>
      </c>
      <c r="AE388" s="378">
        <f t="shared" si="74"/>
        <v>16242.600000023842</v>
      </c>
      <c r="AF388" s="331"/>
      <c r="AH388" s="402">
        <f t="shared" si="69"/>
        <v>3.7785439798733833E-2</v>
      </c>
      <c r="AI388" s="402">
        <f t="shared" si="75"/>
        <v>4.1155310379089989E-2</v>
      </c>
      <c r="AK388" s="330">
        <f>AE388-AA387*'OverNight $'!H387*E388/360</f>
        <v>2747.8190675238402</v>
      </c>
    </row>
    <row r="389" spans="2:37" x14ac:dyDescent="0.25">
      <c r="B389" s="9" t="str">
        <f t="shared" si="62"/>
        <v>1 2026</v>
      </c>
      <c r="C389" s="88">
        <f t="shared" si="76"/>
        <v>46038</v>
      </c>
      <c r="D389" s="88">
        <f t="shared" si="77"/>
        <v>46039</v>
      </c>
      <c r="E389" s="89">
        <f t="shared" si="63"/>
        <v>1</v>
      </c>
      <c r="F389" s="123" t="s">
        <v>7</v>
      </c>
      <c r="H389" s="328">
        <f t="shared" si="64"/>
        <v>46038</v>
      </c>
      <c r="I389" s="329">
        <v>102.8563</v>
      </c>
      <c r="J389" s="400"/>
      <c r="L389" s="330">
        <v>200000</v>
      </c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/>
      <c r="X389" s="331"/>
      <c r="Z389" s="331">
        <f t="shared" si="70"/>
        <v>759</v>
      </c>
      <c r="AA389" s="330">
        <f t="shared" si="71"/>
        <v>154226067.80000001</v>
      </c>
      <c r="AB389" s="378">
        <f t="shared" si="72"/>
        <v>156135863.40000001</v>
      </c>
      <c r="AD389" s="378">
        <f t="shared" si="73"/>
        <v>1909795.599999994</v>
      </c>
      <c r="AE389" s="378">
        <f t="shared" si="74"/>
        <v>16242.59999999404</v>
      </c>
      <c r="AF389" s="331"/>
      <c r="AH389" s="402">
        <f t="shared" si="69"/>
        <v>3.7785439798733833E-2</v>
      </c>
      <c r="AI389" s="402">
        <f t="shared" si="75"/>
        <v>4.1128454432720181E-2</v>
      </c>
      <c r="AK389" s="330">
        <f>AE389-AA388*'OverNight $'!H388*E389/360</f>
        <v>2747.8190674940379</v>
      </c>
    </row>
    <row r="390" spans="2:37" x14ac:dyDescent="0.25">
      <c r="B390" s="9" t="str">
        <f t="shared" si="62"/>
        <v>1 2026</v>
      </c>
      <c r="C390" s="88">
        <f t="shared" si="76"/>
        <v>46039</v>
      </c>
      <c r="D390" s="88">
        <f t="shared" si="77"/>
        <v>46040</v>
      </c>
      <c r="E390" s="89">
        <f t="shared" si="63"/>
        <v>1</v>
      </c>
      <c r="F390" s="123" t="s">
        <v>7</v>
      </c>
      <c r="H390" s="328">
        <f t="shared" si="64"/>
        <v>46039</v>
      </c>
      <c r="I390" s="329">
        <v>102.8563</v>
      </c>
      <c r="J390" s="400"/>
      <c r="L390" s="330">
        <v>200000</v>
      </c>
      <c r="M390" s="331"/>
      <c r="N390" s="331"/>
      <c r="O390" s="331"/>
      <c r="P390" s="331"/>
      <c r="Q390" s="331"/>
      <c r="R390" s="331"/>
      <c r="S390" s="331"/>
      <c r="T390" s="331"/>
      <c r="U390" s="331"/>
      <c r="V390" s="331"/>
      <c r="W390" s="331"/>
      <c r="X390" s="331"/>
      <c r="Z390" s="331">
        <f t="shared" si="70"/>
        <v>759</v>
      </c>
      <c r="AA390" s="330">
        <f t="shared" si="71"/>
        <v>154226067.80000001</v>
      </c>
      <c r="AB390" s="378">
        <f t="shared" si="72"/>
        <v>156135863.40000001</v>
      </c>
      <c r="AD390" s="378">
        <f t="shared" si="73"/>
        <v>1909795.599999994</v>
      </c>
      <c r="AE390" s="378">
        <f t="shared" si="74"/>
        <v>0</v>
      </c>
      <c r="AF390" s="331"/>
      <c r="AH390" s="402">
        <f t="shared" si="69"/>
        <v>3.7785439798733833E-2</v>
      </c>
      <c r="AI390" s="402">
        <f t="shared" si="75"/>
        <v>4.0785717312447511E-2</v>
      </c>
      <c r="AK390" s="330">
        <f>AE390-AA389*'OverNight $'!H389*E390/360</f>
        <v>-13494.780932500002</v>
      </c>
    </row>
    <row r="391" spans="2:37" x14ac:dyDescent="0.25">
      <c r="B391" s="9" t="str">
        <f t="shared" si="62"/>
        <v>1 2026</v>
      </c>
      <c r="C391" s="88">
        <f t="shared" si="76"/>
        <v>46040</v>
      </c>
      <c r="D391" s="88">
        <f t="shared" si="77"/>
        <v>46041</v>
      </c>
      <c r="E391" s="89">
        <f t="shared" si="63"/>
        <v>1</v>
      </c>
      <c r="F391" s="123" t="s">
        <v>7</v>
      </c>
      <c r="H391" s="328">
        <f t="shared" si="64"/>
        <v>46040</v>
      </c>
      <c r="I391" s="329">
        <v>102.8563</v>
      </c>
      <c r="J391" s="400"/>
      <c r="L391" s="330">
        <v>200000</v>
      </c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/>
      <c r="X391" s="331"/>
      <c r="Z391" s="331">
        <f t="shared" si="70"/>
        <v>759</v>
      </c>
      <c r="AA391" s="330">
        <f t="shared" si="71"/>
        <v>154226067.80000001</v>
      </c>
      <c r="AB391" s="378">
        <f t="shared" si="72"/>
        <v>156135863.40000001</v>
      </c>
      <c r="AD391" s="378">
        <f t="shared" si="73"/>
        <v>1909795.599999994</v>
      </c>
      <c r="AE391" s="378">
        <f t="shared" si="74"/>
        <v>0</v>
      </c>
      <c r="AF391" s="331"/>
      <c r="AH391" s="402">
        <f t="shared" si="69"/>
        <v>3.7785439798733833E-2</v>
      </c>
      <c r="AI391" s="402">
        <f t="shared" si="75"/>
        <v>4.0448645268542985E-2</v>
      </c>
      <c r="AK391" s="330">
        <f>AE391-AA390*'OverNight $'!H390*E391/360</f>
        <v>-13494.780932500002</v>
      </c>
    </row>
    <row r="392" spans="2:37" x14ac:dyDescent="0.25">
      <c r="B392" s="9" t="str">
        <f t="shared" si="62"/>
        <v>1 2026</v>
      </c>
      <c r="C392" s="88">
        <f t="shared" si="76"/>
        <v>46041</v>
      </c>
      <c r="D392" s="88">
        <f t="shared" si="77"/>
        <v>46042</v>
      </c>
      <c r="E392" s="89">
        <f t="shared" si="63"/>
        <v>1</v>
      </c>
      <c r="F392" s="123" t="s">
        <v>7</v>
      </c>
      <c r="H392" s="328">
        <f t="shared" si="64"/>
        <v>46041</v>
      </c>
      <c r="I392" s="329">
        <v>102.8884</v>
      </c>
      <c r="J392" s="400"/>
      <c r="L392" s="330">
        <v>200000</v>
      </c>
      <c r="M392" s="331"/>
      <c r="N392" s="331"/>
      <c r="O392" s="331"/>
      <c r="P392" s="331"/>
      <c r="Q392" s="331"/>
      <c r="R392" s="331"/>
      <c r="S392" s="331"/>
      <c r="T392" s="331"/>
      <c r="U392" s="331"/>
      <c r="V392" s="331"/>
      <c r="W392" s="331"/>
      <c r="X392" s="331"/>
      <c r="Z392" s="331">
        <f t="shared" si="70"/>
        <v>759</v>
      </c>
      <c r="AA392" s="330">
        <f t="shared" si="71"/>
        <v>154226067.80000001</v>
      </c>
      <c r="AB392" s="378">
        <f t="shared" si="72"/>
        <v>156184591.20000002</v>
      </c>
      <c r="AD392" s="378">
        <f t="shared" si="73"/>
        <v>1958523.400000006</v>
      </c>
      <c r="AE392" s="378">
        <f t="shared" si="74"/>
        <v>48727.800000011921</v>
      </c>
      <c r="AF392" s="331"/>
      <c r="AH392" s="402">
        <f t="shared" si="69"/>
        <v>3.7785439798733833E-2</v>
      </c>
      <c r="AI392" s="402">
        <f t="shared" si="75"/>
        <v>4.1050528162106144E-2</v>
      </c>
      <c r="AK392" s="330">
        <f>AE392-AA391*'OverNight $'!H391*E392/360</f>
        <v>35233.019067511923</v>
      </c>
    </row>
    <row r="393" spans="2:37" x14ac:dyDescent="0.25">
      <c r="B393" s="9" t="str">
        <f t="shared" si="62"/>
        <v>1 2026</v>
      </c>
      <c r="C393" s="88">
        <f t="shared" si="76"/>
        <v>46042</v>
      </c>
      <c r="D393" s="88">
        <f t="shared" si="77"/>
        <v>46043</v>
      </c>
      <c r="E393" s="89">
        <f t="shared" si="63"/>
        <v>1</v>
      </c>
      <c r="F393" s="123" t="s">
        <v>7</v>
      </c>
      <c r="H393" s="328">
        <f t="shared" si="64"/>
        <v>46042</v>
      </c>
      <c r="I393" s="329">
        <v>102.8991</v>
      </c>
      <c r="J393" s="400"/>
      <c r="L393" s="330">
        <v>200000</v>
      </c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/>
      <c r="X393" s="331"/>
      <c r="Z393" s="331">
        <f t="shared" si="70"/>
        <v>759</v>
      </c>
      <c r="AA393" s="330">
        <f t="shared" si="71"/>
        <v>154226067.80000001</v>
      </c>
      <c r="AB393" s="378">
        <f t="shared" si="72"/>
        <v>156200833.80000001</v>
      </c>
      <c r="AD393" s="378">
        <f t="shared" si="73"/>
        <v>1974766</v>
      </c>
      <c r="AE393" s="378">
        <f t="shared" si="74"/>
        <v>16242.59999999404</v>
      </c>
      <c r="AF393" s="331"/>
      <c r="AH393" s="402">
        <f t="shared" si="69"/>
        <v>3.7785439798733833E-2</v>
      </c>
      <c r="AI393" s="402">
        <f t="shared" si="75"/>
        <v>4.1025397467788882E-2</v>
      </c>
      <c r="AK393" s="330">
        <f>AE393-AA392*'OverNight $'!H392*E393/360</f>
        <v>2747.8190674940379</v>
      </c>
    </row>
    <row r="394" spans="2:37" x14ac:dyDescent="0.25">
      <c r="B394" s="9" t="str">
        <f t="shared" si="62"/>
        <v>1 2026</v>
      </c>
      <c r="C394" s="88">
        <f t="shared" si="76"/>
        <v>46043</v>
      </c>
      <c r="D394" s="88">
        <f t="shared" si="77"/>
        <v>46044</v>
      </c>
      <c r="E394" s="89">
        <f t="shared" si="63"/>
        <v>1</v>
      </c>
      <c r="F394" s="123" t="s">
        <v>7</v>
      </c>
      <c r="H394" s="328">
        <f t="shared" si="64"/>
        <v>46043</v>
      </c>
      <c r="I394" s="329">
        <v>102.90989999999999</v>
      </c>
      <c r="J394" s="400"/>
      <c r="L394" s="330">
        <v>200000</v>
      </c>
      <c r="M394" s="331"/>
      <c r="N394" s="331"/>
      <c r="O394" s="331"/>
      <c r="P394" s="331"/>
      <c r="Q394" s="331"/>
      <c r="R394" s="331"/>
      <c r="S394" s="331"/>
      <c r="T394" s="331"/>
      <c r="U394" s="331"/>
      <c r="V394" s="331"/>
      <c r="W394" s="331"/>
      <c r="X394" s="331"/>
      <c r="Z394" s="331">
        <f t="shared" si="70"/>
        <v>759</v>
      </c>
      <c r="AA394" s="330">
        <f t="shared" si="71"/>
        <v>154226067.80000001</v>
      </c>
      <c r="AB394" s="378">
        <f t="shared" si="72"/>
        <v>156217228.19999999</v>
      </c>
      <c r="AD394" s="378">
        <f t="shared" si="73"/>
        <v>1991160.3999999762</v>
      </c>
      <c r="AE394" s="378">
        <f t="shared" si="74"/>
        <v>16394.399999976158</v>
      </c>
      <c r="AF394" s="331"/>
      <c r="AH394" s="402">
        <f t="shared" si="69"/>
        <v>3.7785439798733833E-2</v>
      </c>
      <c r="AI394" s="402">
        <f t="shared" si="75"/>
        <v>4.1003533084998538E-2</v>
      </c>
      <c r="AK394" s="330">
        <f>AE394-AA393*'OverNight $'!H393*E394/360</f>
        <v>2899.6190674761565</v>
      </c>
    </row>
    <row r="395" spans="2:37" x14ac:dyDescent="0.25">
      <c r="B395" s="9" t="str">
        <f t="shared" si="62"/>
        <v>1 2026</v>
      </c>
      <c r="C395" s="88">
        <f t="shared" si="76"/>
        <v>46044</v>
      </c>
      <c r="D395" s="88">
        <f t="shared" si="77"/>
        <v>46045</v>
      </c>
      <c r="E395" s="89">
        <f t="shared" si="63"/>
        <v>1</v>
      </c>
      <c r="F395" s="123" t="s">
        <v>7</v>
      </c>
      <c r="H395" s="328">
        <f t="shared" si="64"/>
        <v>46044</v>
      </c>
      <c r="I395" s="329">
        <v>102.92059999999999</v>
      </c>
      <c r="J395" s="400"/>
      <c r="L395" s="330">
        <v>200000</v>
      </c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/>
      <c r="X395" s="331"/>
      <c r="Z395" s="331">
        <f t="shared" si="70"/>
        <v>759</v>
      </c>
      <c r="AA395" s="330">
        <f t="shared" si="71"/>
        <v>154226067.80000001</v>
      </c>
      <c r="AB395" s="378">
        <f t="shared" si="72"/>
        <v>156233470.79999998</v>
      </c>
      <c r="AD395" s="378">
        <f t="shared" si="73"/>
        <v>2007402.9999999702</v>
      </c>
      <c r="AE395" s="378">
        <f t="shared" si="74"/>
        <v>16242.59999999404</v>
      </c>
      <c r="AF395" s="331"/>
      <c r="AH395" s="402">
        <f t="shared" si="69"/>
        <v>3.7785439798733833E-2</v>
      </c>
      <c r="AI395" s="402">
        <f t="shared" si="75"/>
        <v>4.0979180442407212E-2</v>
      </c>
      <c r="AK395" s="330">
        <f>AE395-AA394*'OverNight $'!H394*E395/360</f>
        <v>2747.8190674940379</v>
      </c>
    </row>
    <row r="396" spans="2:37" x14ac:dyDescent="0.25">
      <c r="B396" s="9" t="str">
        <f t="shared" si="62"/>
        <v>1 2026</v>
      </c>
      <c r="C396" s="88">
        <f t="shared" si="76"/>
        <v>46045</v>
      </c>
      <c r="D396" s="88">
        <f t="shared" si="77"/>
        <v>46046</v>
      </c>
      <c r="E396" s="89">
        <f t="shared" si="63"/>
        <v>1</v>
      </c>
      <c r="F396" s="123" t="s">
        <v>7</v>
      </c>
      <c r="H396" s="328">
        <f t="shared" si="64"/>
        <v>46045</v>
      </c>
      <c r="I396" s="329">
        <v>102.93129999999999</v>
      </c>
      <c r="J396" s="400"/>
      <c r="L396" s="330">
        <v>200000</v>
      </c>
      <c r="M396" s="331"/>
      <c r="N396" s="331"/>
      <c r="O396" s="331"/>
      <c r="P396" s="331"/>
      <c r="Q396" s="331"/>
      <c r="R396" s="331"/>
      <c r="S396" s="331"/>
      <c r="T396" s="331"/>
      <c r="U396" s="331"/>
      <c r="V396" s="331"/>
      <c r="W396" s="331"/>
      <c r="X396" s="331"/>
      <c r="Z396" s="331">
        <f t="shared" si="70"/>
        <v>759</v>
      </c>
      <c r="AA396" s="330">
        <f t="shared" si="71"/>
        <v>154226067.80000001</v>
      </c>
      <c r="AB396" s="378">
        <f t="shared" si="72"/>
        <v>156249713.39999998</v>
      </c>
      <c r="AD396" s="378">
        <f t="shared" si="73"/>
        <v>2023645.5999999642</v>
      </c>
      <c r="AE396" s="378">
        <f t="shared" si="74"/>
        <v>16242.59999999404</v>
      </c>
      <c r="AF396" s="331"/>
      <c r="AH396" s="402">
        <f t="shared" si="69"/>
        <v>3.7785439798733833E-2</v>
      </c>
      <c r="AI396" s="402">
        <f t="shared" si="75"/>
        <v>4.0955214349698288E-2</v>
      </c>
      <c r="AK396" s="330">
        <f>AE396-AA395*'OverNight $'!H395*E396/360</f>
        <v>2747.8190674940379</v>
      </c>
    </row>
    <row r="397" spans="2:37" x14ac:dyDescent="0.25">
      <c r="B397" s="9" t="str">
        <f t="shared" si="62"/>
        <v>1 2026</v>
      </c>
      <c r="C397" s="88">
        <f t="shared" si="76"/>
        <v>46046</v>
      </c>
      <c r="D397" s="88">
        <f t="shared" si="77"/>
        <v>46047</v>
      </c>
      <c r="E397" s="89">
        <f t="shared" si="63"/>
        <v>1</v>
      </c>
      <c r="F397" s="123" t="s">
        <v>7</v>
      </c>
      <c r="H397" s="328">
        <f t="shared" si="64"/>
        <v>46046</v>
      </c>
      <c r="I397" s="329">
        <v>102.93129999999999</v>
      </c>
      <c r="J397" s="400"/>
      <c r="L397" s="330">
        <v>200000</v>
      </c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/>
      <c r="X397" s="331"/>
      <c r="Z397" s="331">
        <f t="shared" si="70"/>
        <v>759</v>
      </c>
      <c r="AA397" s="330">
        <f t="shared" si="71"/>
        <v>154226067.80000001</v>
      </c>
      <c r="AB397" s="378">
        <f t="shared" si="72"/>
        <v>156249713.39999998</v>
      </c>
      <c r="AD397" s="378">
        <f t="shared" si="73"/>
        <v>2023645.5999999642</v>
      </c>
      <c r="AE397" s="378">
        <f t="shared" si="74"/>
        <v>0</v>
      </c>
      <c r="AF397" s="331"/>
      <c r="AH397" s="402">
        <f t="shared" si="69"/>
        <v>3.7785439798733833E-2</v>
      </c>
      <c r="AI397" s="402">
        <f t="shared" si="75"/>
        <v>4.0632732346944755E-2</v>
      </c>
      <c r="AK397" s="330">
        <f>AE397-AA396*'OverNight $'!H396*E397/360</f>
        <v>-13494.780932500002</v>
      </c>
    </row>
    <row r="398" spans="2:37" x14ac:dyDescent="0.25">
      <c r="B398" s="9" t="str">
        <f t="shared" si="62"/>
        <v>1 2026</v>
      </c>
      <c r="C398" s="88">
        <f t="shared" si="76"/>
        <v>46047</v>
      </c>
      <c r="D398" s="88">
        <f t="shared" si="77"/>
        <v>46048</v>
      </c>
      <c r="E398" s="89">
        <f t="shared" si="63"/>
        <v>1</v>
      </c>
      <c r="F398" s="123" t="s">
        <v>7</v>
      </c>
      <c r="H398" s="328">
        <f t="shared" si="64"/>
        <v>46047</v>
      </c>
      <c r="I398" s="329">
        <v>102.93129999999999</v>
      </c>
      <c r="J398" s="400"/>
      <c r="L398" s="330">
        <v>200000</v>
      </c>
      <c r="M398" s="331"/>
      <c r="N398" s="331"/>
      <c r="O398" s="331"/>
      <c r="P398" s="331"/>
      <c r="Q398" s="331"/>
      <c r="R398" s="331"/>
      <c r="S398" s="331"/>
      <c r="T398" s="331"/>
      <c r="U398" s="331"/>
      <c r="V398" s="331"/>
      <c r="W398" s="331"/>
      <c r="X398" s="331"/>
      <c r="Z398" s="331">
        <f t="shared" si="70"/>
        <v>759</v>
      </c>
      <c r="AA398" s="330">
        <f t="shared" si="71"/>
        <v>154226067.80000001</v>
      </c>
      <c r="AB398" s="378">
        <f t="shared" si="72"/>
        <v>156249713.39999998</v>
      </c>
      <c r="AD398" s="378">
        <f t="shared" si="73"/>
        <v>2023645.5999999642</v>
      </c>
      <c r="AE398" s="378">
        <f t="shared" si="74"/>
        <v>0</v>
      </c>
      <c r="AF398" s="331"/>
      <c r="AH398" s="402">
        <f t="shared" si="69"/>
        <v>3.7785439798733833E-2</v>
      </c>
      <c r="AI398" s="402">
        <f t="shared" si="75"/>
        <v>4.0315289125484252E-2</v>
      </c>
      <c r="AK398" s="330">
        <f>AE398-AA397*'OverNight $'!H397*E398/360</f>
        <v>-13494.780932500002</v>
      </c>
    </row>
    <row r="399" spans="2:37" x14ac:dyDescent="0.25">
      <c r="B399" s="9" t="str">
        <f t="shared" si="62"/>
        <v>1 2026</v>
      </c>
      <c r="C399" s="88">
        <f t="shared" si="76"/>
        <v>46048</v>
      </c>
      <c r="D399" s="88">
        <f t="shared" si="77"/>
        <v>46049</v>
      </c>
      <c r="E399" s="89">
        <f t="shared" si="63"/>
        <v>1</v>
      </c>
      <c r="F399" s="123" t="s">
        <v>7</v>
      </c>
      <c r="H399" s="328">
        <f t="shared" si="64"/>
        <v>46048</v>
      </c>
      <c r="I399" s="329">
        <v>102.9633</v>
      </c>
      <c r="J399" s="400"/>
      <c r="L399" s="330">
        <v>200000</v>
      </c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/>
      <c r="X399" s="331"/>
      <c r="Z399" s="331">
        <f t="shared" si="70"/>
        <v>759</v>
      </c>
      <c r="AA399" s="330">
        <f t="shared" si="71"/>
        <v>154226067.80000001</v>
      </c>
      <c r="AB399" s="378">
        <f t="shared" si="72"/>
        <v>156298289.40000001</v>
      </c>
      <c r="AD399" s="378">
        <f t="shared" si="73"/>
        <v>2072221.599999994</v>
      </c>
      <c r="AE399" s="378">
        <f t="shared" si="74"/>
        <v>48576.000000029802</v>
      </c>
      <c r="AF399" s="331"/>
      <c r="AH399" s="402">
        <f t="shared" si="69"/>
        <v>3.7785439798733833E-2</v>
      </c>
      <c r="AI399" s="402">
        <f t="shared" si="75"/>
        <v>4.0882795388406577E-2</v>
      </c>
      <c r="AK399" s="330">
        <f>AE399-AA398*'OverNight $'!H398*E399/360</f>
        <v>35081.219067529804</v>
      </c>
    </row>
    <row r="400" spans="2:37" x14ac:dyDescent="0.25">
      <c r="B400" s="9" t="str">
        <f t="shared" si="62"/>
        <v>1 2026</v>
      </c>
      <c r="C400" s="88">
        <f t="shared" si="76"/>
        <v>46049</v>
      </c>
      <c r="D400" s="88">
        <f t="shared" si="77"/>
        <v>46050</v>
      </c>
      <c r="E400" s="89">
        <f t="shared" si="63"/>
        <v>1</v>
      </c>
      <c r="F400" s="123" t="s">
        <v>7</v>
      </c>
      <c r="H400" s="328">
        <f t="shared" si="64"/>
        <v>46049</v>
      </c>
      <c r="I400" s="329">
        <v>102.974</v>
      </c>
      <c r="J400" s="400"/>
      <c r="L400" s="330">
        <v>200000</v>
      </c>
      <c r="M400" s="331"/>
      <c r="N400" s="331"/>
      <c r="O400" s="331"/>
      <c r="P400" s="331"/>
      <c r="Q400" s="331"/>
      <c r="R400" s="331"/>
      <c r="S400" s="331"/>
      <c r="T400" s="331"/>
      <c r="U400" s="331"/>
      <c r="V400" s="331"/>
      <c r="W400" s="331"/>
      <c r="X400" s="331"/>
      <c r="Z400" s="331">
        <f t="shared" si="70"/>
        <v>759</v>
      </c>
      <c r="AA400" s="330">
        <f t="shared" si="71"/>
        <v>154226067.80000001</v>
      </c>
      <c r="AB400" s="378">
        <f t="shared" si="72"/>
        <v>156314532.00000003</v>
      </c>
      <c r="AD400" s="378">
        <f t="shared" si="73"/>
        <v>2088464.2000000179</v>
      </c>
      <c r="AE400" s="378">
        <f t="shared" si="74"/>
        <v>16242.600000023842</v>
      </c>
      <c r="AF400" s="331"/>
      <c r="AH400" s="402">
        <f t="shared" si="69"/>
        <v>3.7785439798733833E-2</v>
      </c>
      <c r="AI400" s="402">
        <f t="shared" si="75"/>
        <v>4.0860308137427165E-2</v>
      </c>
      <c r="AK400" s="330">
        <f>AE400-AA399*'OverNight $'!H399*E400/360</f>
        <v>2747.8190675238402</v>
      </c>
    </row>
    <row r="401" spans="2:37" x14ac:dyDescent="0.25">
      <c r="B401" s="9" t="str">
        <f t="shared" si="62"/>
        <v>1 2026</v>
      </c>
      <c r="C401" s="88">
        <f t="shared" si="76"/>
        <v>46050</v>
      </c>
      <c r="D401" s="88">
        <f t="shared" si="77"/>
        <v>46051</v>
      </c>
      <c r="E401" s="89">
        <f t="shared" si="63"/>
        <v>1</v>
      </c>
      <c r="F401" s="123" t="s">
        <v>7</v>
      </c>
      <c r="H401" s="328">
        <f t="shared" si="64"/>
        <v>46050</v>
      </c>
      <c r="I401" s="329">
        <v>102.9847</v>
      </c>
      <c r="J401" s="400"/>
      <c r="L401" s="330">
        <v>200000</v>
      </c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/>
      <c r="X401" s="331"/>
      <c r="Z401" s="331">
        <f t="shared" si="70"/>
        <v>759</v>
      </c>
      <c r="AA401" s="330">
        <f t="shared" si="71"/>
        <v>154226067.80000001</v>
      </c>
      <c r="AB401" s="378">
        <f t="shared" si="72"/>
        <v>156330774.59999999</v>
      </c>
      <c r="AD401" s="378">
        <f t="shared" si="73"/>
        <v>2104706.7999999821</v>
      </c>
      <c r="AE401" s="378">
        <f t="shared" si="74"/>
        <v>16242.599999964237</v>
      </c>
      <c r="AF401" s="331"/>
      <c r="AH401" s="402">
        <f t="shared" si="69"/>
        <v>3.7785439798733833E-2</v>
      </c>
      <c r="AI401" s="402">
        <f t="shared" si="75"/>
        <v>4.0838164203256595E-2</v>
      </c>
      <c r="AK401" s="330">
        <f>AE401-AA400*'OverNight $'!H400*E401/360</f>
        <v>2747.8190674642356</v>
      </c>
    </row>
    <row r="402" spans="2:37" x14ac:dyDescent="0.25">
      <c r="B402" s="9" t="str">
        <f t="shared" si="62"/>
        <v>1 2026</v>
      </c>
      <c r="C402" s="88">
        <f t="shared" si="76"/>
        <v>46051</v>
      </c>
      <c r="D402" s="88">
        <f t="shared" si="77"/>
        <v>46052</v>
      </c>
      <c r="E402" s="89">
        <f t="shared" si="63"/>
        <v>1</v>
      </c>
      <c r="F402" s="123" t="s">
        <v>7</v>
      </c>
      <c r="H402" s="328">
        <f t="shared" si="64"/>
        <v>46051</v>
      </c>
      <c r="I402" s="329">
        <v>102.9954</v>
      </c>
      <c r="J402" s="400"/>
      <c r="L402" s="330">
        <v>200000</v>
      </c>
      <c r="M402" s="331"/>
      <c r="N402" s="331"/>
      <c r="O402" s="331"/>
      <c r="P402" s="331"/>
      <c r="Q402" s="331"/>
      <c r="R402" s="331"/>
      <c r="S402" s="331"/>
      <c r="T402" s="331"/>
      <c r="U402" s="331"/>
      <c r="V402" s="331"/>
      <c r="W402" s="331"/>
      <c r="X402" s="331"/>
      <c r="Z402" s="331">
        <f t="shared" si="70"/>
        <v>759</v>
      </c>
      <c r="AA402" s="330">
        <f t="shared" si="71"/>
        <v>154226067.80000001</v>
      </c>
      <c r="AB402" s="378">
        <f t="shared" si="72"/>
        <v>156347017.20000002</v>
      </c>
      <c r="AD402" s="378">
        <f t="shared" si="73"/>
        <v>2120949.400000006</v>
      </c>
      <c r="AE402" s="378">
        <f t="shared" si="74"/>
        <v>16242.600000023842</v>
      </c>
      <c r="AF402" s="331"/>
      <c r="AH402" s="402">
        <f>AH403</f>
        <v>3.7785439798733833E-2</v>
      </c>
      <c r="AI402" s="402">
        <f t="shared" si="75"/>
        <v>4.0816355783240124E-2</v>
      </c>
      <c r="AK402" s="330">
        <f>AE402-AA401*'OverNight $'!H401*E402/360</f>
        <v>2747.8190675238402</v>
      </c>
    </row>
    <row r="403" spans="2:37" x14ac:dyDescent="0.25">
      <c r="B403" s="9" t="str">
        <f t="shared" si="62"/>
        <v>1 2026</v>
      </c>
      <c r="C403" s="621">
        <f t="shared" si="76"/>
        <v>46052</v>
      </c>
      <c r="D403" s="621">
        <f t="shared" si="77"/>
        <v>46053</v>
      </c>
      <c r="E403" s="622">
        <f t="shared" si="63"/>
        <v>1</v>
      </c>
      <c r="F403" s="404" t="s">
        <v>7</v>
      </c>
      <c r="H403" s="398">
        <f t="shared" si="64"/>
        <v>46052</v>
      </c>
      <c r="I403" s="389">
        <v>103.00620000000001</v>
      </c>
      <c r="J403" s="400"/>
      <c r="L403" s="386">
        <v>200000</v>
      </c>
      <c r="M403" s="387"/>
      <c r="N403" s="387"/>
      <c r="O403" s="387"/>
      <c r="P403" s="387"/>
      <c r="Q403" s="387"/>
      <c r="R403" s="387"/>
      <c r="S403" s="387"/>
      <c r="T403" s="387"/>
      <c r="U403" s="387"/>
      <c r="V403" s="387"/>
      <c r="W403" s="387"/>
      <c r="X403" s="387"/>
      <c r="Z403" s="387">
        <f t="shared" si="70"/>
        <v>759</v>
      </c>
      <c r="AA403" s="386">
        <f t="shared" si="71"/>
        <v>154226067.80000001</v>
      </c>
      <c r="AB403" s="388">
        <f t="shared" si="72"/>
        <v>156363411.59999999</v>
      </c>
      <c r="AC403" s="632"/>
      <c r="AD403" s="388">
        <f t="shared" si="73"/>
        <v>2137343.7999999821</v>
      </c>
      <c r="AE403" s="388">
        <f t="shared" si="74"/>
        <v>16394.399999976158</v>
      </c>
      <c r="AF403" s="388">
        <f>SUM(AE374:AE403)</f>
        <v>490769.40000000596</v>
      </c>
      <c r="AH403" s="391">
        <f>(I403/I373-1)*360/(D403-D373)</f>
        <v>3.7785439798733833E-2</v>
      </c>
      <c r="AI403" s="403">
        <f t="shared" si="75"/>
        <v>4.0797542687139574E-2</v>
      </c>
      <c r="AK403" s="386">
        <f>AE403-AA402*'OverNight $'!H402*E403/360</f>
        <v>2899.6190674761565</v>
      </c>
    </row>
    <row r="404" spans="2:37" x14ac:dyDescent="0.25">
      <c r="B404" s="9" t="str">
        <f t="shared" ref="B404" si="78">CONCATENATE(MONTH(D404)," ",YEAR(D404))</f>
        <v>2 2026</v>
      </c>
      <c r="C404" s="88">
        <f t="shared" ref="C404" si="79">D403</f>
        <v>46053</v>
      </c>
      <c r="D404" s="88">
        <f t="shared" si="77"/>
        <v>46054</v>
      </c>
      <c r="E404" s="89">
        <f t="shared" ref="E404" si="80">D404-C404</f>
        <v>1</v>
      </c>
      <c r="F404" s="123" t="s">
        <v>7</v>
      </c>
      <c r="H404" s="328">
        <f t="shared" si="64"/>
        <v>46053</v>
      </c>
      <c r="I404" s="329">
        <v>103.00620000000001</v>
      </c>
      <c r="J404" s="400"/>
      <c r="L404" s="330">
        <v>200000</v>
      </c>
      <c r="M404" s="331"/>
      <c r="N404" s="331"/>
      <c r="O404" s="331"/>
      <c r="P404" s="331"/>
      <c r="Q404" s="331"/>
      <c r="R404" s="331"/>
      <c r="S404" s="331"/>
      <c r="T404" s="331"/>
      <c r="U404" s="331"/>
      <c r="V404" s="331"/>
      <c r="W404" s="331"/>
      <c r="X404" s="331"/>
      <c r="Z404" s="331">
        <f t="shared" si="70"/>
        <v>759</v>
      </c>
      <c r="AA404" s="330">
        <f t="shared" si="71"/>
        <v>154226067.80000001</v>
      </c>
      <c r="AB404" s="378">
        <f t="shared" si="72"/>
        <v>156363411.59999999</v>
      </c>
      <c r="AD404" s="378">
        <f t="shared" si="73"/>
        <v>2137343.7999999821</v>
      </c>
      <c r="AE404" s="378">
        <f t="shared" si="74"/>
        <v>0</v>
      </c>
      <c r="AF404" s="331"/>
      <c r="AH404" s="402"/>
      <c r="AI404" s="402">
        <f t="shared" si="75"/>
        <v>4.0493083413354947E-2</v>
      </c>
      <c r="AK404" s="330">
        <f>AE404-AA403*'OverNight $'!H403*E404/360</f>
        <v>-13494.780932500002</v>
      </c>
    </row>
    <row r="405" spans="2:37" x14ac:dyDescent="0.25">
      <c r="B405" s="9" t="str">
        <f t="shared" ref="B405:B468" si="81">CONCATENATE(MONTH(D405)," ",YEAR(D405))</f>
        <v>2 2026</v>
      </c>
      <c r="C405" s="88">
        <f t="shared" ref="C405:C468" si="82">D404</f>
        <v>46054</v>
      </c>
      <c r="D405" s="88">
        <f t="shared" si="77"/>
        <v>46055</v>
      </c>
      <c r="E405" s="89">
        <f t="shared" ref="E405:E468" si="83">D405-C405</f>
        <v>1</v>
      </c>
      <c r="F405" s="123" t="s">
        <v>7</v>
      </c>
      <c r="H405" s="328">
        <f t="shared" ref="H405:H468" si="84">C405</f>
        <v>46054</v>
      </c>
      <c r="I405" s="329">
        <v>103.00620000000001</v>
      </c>
      <c r="J405" s="400"/>
      <c r="L405" s="330">
        <v>200000</v>
      </c>
      <c r="M405" s="331"/>
      <c r="N405" s="331"/>
      <c r="O405" s="331"/>
      <c r="P405" s="331"/>
      <c r="Q405" s="331"/>
      <c r="R405" s="331"/>
      <c r="S405" s="331"/>
      <c r="T405" s="331"/>
      <c r="U405" s="331"/>
      <c r="V405" s="331"/>
      <c r="W405" s="331"/>
      <c r="X405" s="331"/>
      <c r="Z405" s="331">
        <f t="shared" si="70"/>
        <v>759</v>
      </c>
      <c r="AA405" s="330">
        <f t="shared" si="71"/>
        <v>154226067.80000001</v>
      </c>
      <c r="AB405" s="378">
        <f t="shared" si="72"/>
        <v>156363411.59999999</v>
      </c>
      <c r="AD405" s="378">
        <f t="shared" si="73"/>
        <v>2137343.7999999821</v>
      </c>
      <c r="AE405" s="378">
        <f t="shared" si="74"/>
        <v>0</v>
      </c>
      <c r="AF405" s="331"/>
      <c r="AH405" s="402"/>
      <c r="AI405" s="402">
        <f t="shared" si="75"/>
        <v>4.0193134647330098E-2</v>
      </c>
      <c r="AK405" s="330">
        <f>AE405-AA404*'OverNight $'!H404*E405/360</f>
        <v>-13494.780932500002</v>
      </c>
    </row>
    <row r="406" spans="2:37" x14ac:dyDescent="0.25">
      <c r="B406" s="9" t="str">
        <f t="shared" si="81"/>
        <v>2 2026</v>
      </c>
      <c r="C406" s="88">
        <f t="shared" si="82"/>
        <v>46055</v>
      </c>
      <c r="D406" s="88">
        <f t="shared" si="77"/>
        <v>46056</v>
      </c>
      <c r="E406" s="89">
        <f t="shared" si="83"/>
        <v>1</v>
      </c>
      <c r="F406" s="123" t="s">
        <v>7</v>
      </c>
      <c r="H406" s="328">
        <f t="shared" si="84"/>
        <v>46055</v>
      </c>
      <c r="I406" s="329">
        <v>103.03830000000001</v>
      </c>
      <c r="J406" s="400"/>
      <c r="L406" s="330">
        <v>200000</v>
      </c>
      <c r="M406" s="331"/>
      <c r="N406" s="331"/>
      <c r="O406" s="331"/>
      <c r="P406" s="331"/>
      <c r="Q406" s="331"/>
      <c r="R406" s="331"/>
      <c r="S406" s="331"/>
      <c r="T406" s="331"/>
      <c r="U406" s="331"/>
      <c r="V406" s="331"/>
      <c r="W406" s="331"/>
      <c r="X406" s="331"/>
      <c r="Z406" s="331">
        <f t="shared" si="70"/>
        <v>759</v>
      </c>
      <c r="AA406" s="330">
        <f t="shared" si="71"/>
        <v>154226067.80000001</v>
      </c>
      <c r="AB406" s="378">
        <f t="shared" si="72"/>
        <v>156412139.40000001</v>
      </c>
      <c r="AD406" s="378">
        <f t="shared" si="73"/>
        <v>2186071.599999994</v>
      </c>
      <c r="AE406" s="378">
        <f t="shared" si="74"/>
        <v>48727.800000011921</v>
      </c>
      <c r="AF406" s="331"/>
      <c r="AH406" s="402"/>
      <c r="AI406" s="402">
        <f t="shared" si="75"/>
        <v>4.0734937762299493E-2</v>
      </c>
      <c r="AK406" s="330">
        <f>AE406-AA405*'OverNight $'!H405*E406/360</f>
        <v>35233.019067511923</v>
      </c>
    </row>
    <row r="407" spans="2:37" x14ac:dyDescent="0.25">
      <c r="B407" s="9" t="str">
        <f t="shared" si="81"/>
        <v>2 2026</v>
      </c>
      <c r="C407" s="88">
        <f t="shared" si="82"/>
        <v>46056</v>
      </c>
      <c r="D407" s="88">
        <f t="shared" si="77"/>
        <v>46057</v>
      </c>
      <c r="E407" s="89">
        <f t="shared" si="83"/>
        <v>1</v>
      </c>
      <c r="F407" s="123" t="s">
        <v>7</v>
      </c>
      <c r="H407" s="328">
        <f t="shared" si="84"/>
        <v>46056</v>
      </c>
      <c r="I407" s="329">
        <v>103.04900000000001</v>
      </c>
      <c r="J407" s="400"/>
      <c r="L407" s="330">
        <v>200000</v>
      </c>
      <c r="M407" s="331"/>
      <c r="N407" s="331"/>
      <c r="O407" s="331"/>
      <c r="P407" s="331"/>
      <c r="Q407" s="331"/>
      <c r="R407" s="331"/>
      <c r="S407" s="331"/>
      <c r="T407" s="331"/>
      <c r="U407" s="331"/>
      <c r="V407" s="331"/>
      <c r="W407" s="331"/>
      <c r="X407" s="331"/>
      <c r="Z407" s="331">
        <f t="shared" si="70"/>
        <v>759</v>
      </c>
      <c r="AA407" s="330">
        <f t="shared" si="71"/>
        <v>154226067.80000001</v>
      </c>
      <c r="AB407" s="378">
        <f t="shared" si="72"/>
        <v>156428382.00000003</v>
      </c>
      <c r="AD407" s="378">
        <f t="shared" si="73"/>
        <v>2202314.2000000179</v>
      </c>
      <c r="AE407" s="378">
        <f t="shared" si="74"/>
        <v>16242.600000023842</v>
      </c>
      <c r="AF407" s="331"/>
      <c r="AH407" s="402"/>
      <c r="AI407" s="402">
        <f t="shared" si="75"/>
        <v>4.0714678747692072E-2</v>
      </c>
      <c r="AK407" s="330">
        <f>AE407-AA406*'OverNight $'!H406*E407/360</f>
        <v>2747.8190675238402</v>
      </c>
    </row>
    <row r="408" spans="2:37" x14ac:dyDescent="0.25">
      <c r="B408" s="9" t="str">
        <f t="shared" si="81"/>
        <v>2 2026</v>
      </c>
      <c r="C408" s="88">
        <f t="shared" si="82"/>
        <v>46057</v>
      </c>
      <c r="D408" s="88">
        <f t="shared" si="77"/>
        <v>46058</v>
      </c>
      <c r="E408" s="89">
        <f t="shared" si="83"/>
        <v>1</v>
      </c>
      <c r="F408" s="123" t="s">
        <v>7</v>
      </c>
      <c r="H408" s="328">
        <f t="shared" si="84"/>
        <v>46057</v>
      </c>
      <c r="I408" s="329">
        <v>103.0599</v>
      </c>
      <c r="J408" s="400"/>
      <c r="L408" s="330">
        <v>200000</v>
      </c>
      <c r="M408" s="331"/>
      <c r="N408" s="331"/>
      <c r="O408" s="331"/>
      <c r="P408" s="331"/>
      <c r="Q408" s="331"/>
      <c r="R408" s="331"/>
      <c r="S408" s="331"/>
      <c r="T408" s="331"/>
      <c r="U408" s="331"/>
      <c r="V408" s="331"/>
      <c r="W408" s="331"/>
      <c r="X408" s="331"/>
      <c r="Z408" s="331"/>
      <c r="AA408" s="331"/>
      <c r="AB408" s="331"/>
      <c r="AD408" s="331"/>
      <c r="AE408" s="331"/>
      <c r="AF408" s="331"/>
      <c r="AH408" s="331"/>
      <c r="AI408" s="331"/>
      <c r="AK408" s="331"/>
    </row>
    <row r="409" spans="2:37" x14ac:dyDescent="0.25">
      <c r="B409" s="9" t="str">
        <f t="shared" si="81"/>
        <v>2 2026</v>
      </c>
      <c r="C409" s="88">
        <f t="shared" si="82"/>
        <v>46058</v>
      </c>
      <c r="D409" s="88">
        <f t="shared" si="77"/>
        <v>46059</v>
      </c>
      <c r="E409" s="89">
        <f t="shared" si="83"/>
        <v>1</v>
      </c>
      <c r="F409" s="123" t="s">
        <v>7</v>
      </c>
      <c r="H409" s="328">
        <f t="shared" si="84"/>
        <v>46058</v>
      </c>
      <c r="I409" s="329"/>
      <c r="J409" s="400"/>
      <c r="L409" s="331"/>
      <c r="M409" s="331"/>
      <c r="N409" s="331"/>
      <c r="O409" s="331"/>
      <c r="P409" s="331"/>
      <c r="Q409" s="331"/>
      <c r="R409" s="331"/>
      <c r="S409" s="331"/>
      <c r="T409" s="331"/>
      <c r="U409" s="331"/>
      <c r="V409" s="331"/>
      <c r="W409" s="331"/>
      <c r="X409" s="331"/>
      <c r="Z409" s="331"/>
      <c r="AA409" s="331"/>
      <c r="AB409" s="331"/>
      <c r="AD409" s="331"/>
      <c r="AE409" s="331"/>
      <c r="AF409" s="331"/>
      <c r="AH409" s="331"/>
      <c r="AI409" s="331"/>
      <c r="AK409" s="331"/>
    </row>
    <row r="410" spans="2:37" x14ac:dyDescent="0.25">
      <c r="B410" s="9" t="str">
        <f t="shared" si="81"/>
        <v>2 2026</v>
      </c>
      <c r="C410" s="88">
        <f t="shared" si="82"/>
        <v>46059</v>
      </c>
      <c r="D410" s="88">
        <f t="shared" si="77"/>
        <v>46060</v>
      </c>
      <c r="E410" s="89">
        <f t="shared" si="83"/>
        <v>1</v>
      </c>
      <c r="F410" s="123" t="s">
        <v>7</v>
      </c>
      <c r="H410" s="328">
        <f t="shared" si="84"/>
        <v>46059</v>
      </c>
      <c r="I410" s="329"/>
      <c r="J410" s="400"/>
      <c r="L410" s="331"/>
      <c r="M410" s="331"/>
      <c r="N410" s="331"/>
      <c r="O410" s="331"/>
      <c r="P410" s="331"/>
      <c r="Q410" s="331"/>
      <c r="R410" s="331"/>
      <c r="S410" s="331"/>
      <c r="T410" s="331"/>
      <c r="U410" s="331"/>
      <c r="V410" s="331"/>
      <c r="W410" s="331"/>
      <c r="X410" s="331"/>
      <c r="Z410" s="331"/>
      <c r="AA410" s="331"/>
      <c r="AB410" s="331"/>
      <c r="AD410" s="331"/>
      <c r="AE410" s="331"/>
      <c r="AF410" s="331"/>
      <c r="AH410" s="331"/>
      <c r="AI410" s="331"/>
      <c r="AK410" s="331"/>
    </row>
    <row r="411" spans="2:37" x14ac:dyDescent="0.25">
      <c r="B411" s="9" t="str">
        <f t="shared" si="81"/>
        <v>2 2026</v>
      </c>
      <c r="C411" s="88">
        <f t="shared" si="82"/>
        <v>46060</v>
      </c>
      <c r="D411" s="88">
        <f t="shared" si="77"/>
        <v>46061</v>
      </c>
      <c r="E411" s="89">
        <f t="shared" si="83"/>
        <v>1</v>
      </c>
      <c r="F411" s="123" t="s">
        <v>7</v>
      </c>
      <c r="H411" s="328">
        <f t="shared" si="84"/>
        <v>46060</v>
      </c>
      <c r="I411" s="329"/>
      <c r="J411" s="400"/>
      <c r="L411" s="331"/>
      <c r="M411" s="331"/>
      <c r="N411" s="331"/>
      <c r="O411" s="331"/>
      <c r="P411" s="331"/>
      <c r="Q411" s="331"/>
      <c r="R411" s="331"/>
      <c r="S411" s="331"/>
      <c r="T411" s="331"/>
      <c r="U411" s="331"/>
      <c r="V411" s="331"/>
      <c r="W411" s="331"/>
      <c r="X411" s="331"/>
      <c r="Z411" s="331"/>
      <c r="AA411" s="331"/>
      <c r="AB411" s="331"/>
      <c r="AD411" s="331"/>
      <c r="AE411" s="331"/>
      <c r="AF411" s="331"/>
      <c r="AH411" s="331"/>
      <c r="AI411" s="331"/>
      <c r="AK411" s="331"/>
    </row>
    <row r="412" spans="2:37" x14ac:dyDescent="0.25">
      <c r="B412" s="9" t="str">
        <f t="shared" si="81"/>
        <v>2 2026</v>
      </c>
      <c r="C412" s="88">
        <f t="shared" si="82"/>
        <v>46061</v>
      </c>
      <c r="D412" s="88">
        <f t="shared" si="77"/>
        <v>46062</v>
      </c>
      <c r="E412" s="89">
        <f t="shared" si="83"/>
        <v>1</v>
      </c>
      <c r="F412" s="123" t="s">
        <v>7</v>
      </c>
      <c r="H412" s="328">
        <f t="shared" si="84"/>
        <v>46061</v>
      </c>
      <c r="I412" s="329"/>
      <c r="J412" s="400"/>
      <c r="L412" s="331"/>
      <c r="M412" s="331"/>
      <c r="N412" s="331"/>
      <c r="O412" s="331"/>
      <c r="P412" s="331"/>
      <c r="Q412" s="331"/>
      <c r="R412" s="331"/>
      <c r="S412" s="331"/>
      <c r="T412" s="331"/>
      <c r="U412" s="331"/>
      <c r="V412" s="331"/>
      <c r="W412" s="331"/>
      <c r="X412" s="331"/>
      <c r="Z412" s="331"/>
      <c r="AA412" s="331"/>
      <c r="AB412" s="331"/>
      <c r="AD412" s="331"/>
      <c r="AE412" s="331"/>
      <c r="AF412" s="331"/>
      <c r="AH412" s="331"/>
      <c r="AI412" s="331"/>
      <c r="AK412" s="331"/>
    </row>
    <row r="413" spans="2:37" x14ac:dyDescent="0.25">
      <c r="B413" s="9" t="str">
        <f t="shared" si="81"/>
        <v>2 2026</v>
      </c>
      <c r="C413" s="88">
        <f t="shared" si="82"/>
        <v>46062</v>
      </c>
      <c r="D413" s="88">
        <f t="shared" si="77"/>
        <v>46063</v>
      </c>
      <c r="E413" s="89">
        <f t="shared" si="83"/>
        <v>1</v>
      </c>
      <c r="F413" s="123" t="s">
        <v>7</v>
      </c>
      <c r="H413" s="328">
        <f t="shared" si="84"/>
        <v>46062</v>
      </c>
      <c r="I413" s="329"/>
      <c r="J413" s="400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/>
      <c r="X413" s="331"/>
      <c r="Z413" s="331"/>
      <c r="AA413" s="331"/>
      <c r="AB413" s="331"/>
      <c r="AD413" s="331"/>
      <c r="AE413" s="331"/>
      <c r="AF413" s="331"/>
      <c r="AH413" s="331"/>
      <c r="AI413" s="331"/>
      <c r="AK413" s="331"/>
    </row>
    <row r="414" spans="2:37" x14ac:dyDescent="0.25">
      <c r="B414" s="9" t="str">
        <f t="shared" si="81"/>
        <v>2 2026</v>
      </c>
      <c r="C414" s="88">
        <f t="shared" si="82"/>
        <v>46063</v>
      </c>
      <c r="D414" s="88">
        <f t="shared" si="77"/>
        <v>46064</v>
      </c>
      <c r="E414" s="89">
        <f t="shared" si="83"/>
        <v>1</v>
      </c>
      <c r="F414" s="123" t="s">
        <v>7</v>
      </c>
      <c r="H414" s="328">
        <f t="shared" si="84"/>
        <v>46063</v>
      </c>
      <c r="I414" s="329"/>
      <c r="J414" s="400"/>
      <c r="L414" s="331"/>
      <c r="M414" s="331"/>
      <c r="N414" s="331"/>
      <c r="O414" s="331"/>
      <c r="P414" s="331"/>
      <c r="Q414" s="331"/>
      <c r="R414" s="331"/>
      <c r="S414" s="331"/>
      <c r="T414" s="331"/>
      <c r="U414" s="331"/>
      <c r="V414" s="331"/>
      <c r="W414" s="331"/>
      <c r="X414" s="331"/>
      <c r="Z414" s="331"/>
      <c r="AA414" s="331"/>
      <c r="AB414" s="331"/>
      <c r="AD414" s="331"/>
      <c r="AE414" s="331"/>
      <c r="AF414" s="331"/>
      <c r="AH414" s="331"/>
      <c r="AI414" s="331"/>
      <c r="AK414" s="331"/>
    </row>
    <row r="415" spans="2:37" x14ac:dyDescent="0.25">
      <c r="B415" s="9" t="str">
        <f t="shared" si="81"/>
        <v>2 2026</v>
      </c>
      <c r="C415" s="88">
        <f t="shared" si="82"/>
        <v>46064</v>
      </c>
      <c r="D415" s="88">
        <f t="shared" si="77"/>
        <v>46065</v>
      </c>
      <c r="E415" s="89">
        <f t="shared" si="83"/>
        <v>1</v>
      </c>
      <c r="F415" s="123" t="s">
        <v>7</v>
      </c>
      <c r="H415" s="328">
        <f t="shared" si="84"/>
        <v>46064</v>
      </c>
      <c r="I415" s="329"/>
      <c r="J415" s="400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/>
      <c r="X415" s="331"/>
      <c r="Z415" s="331"/>
      <c r="AA415" s="331"/>
      <c r="AB415" s="331"/>
      <c r="AD415" s="331"/>
      <c r="AE415" s="331"/>
      <c r="AF415" s="331"/>
      <c r="AH415" s="331"/>
      <c r="AI415" s="331"/>
      <c r="AK415" s="331"/>
    </row>
    <row r="416" spans="2:37" x14ac:dyDescent="0.25">
      <c r="B416" s="9" t="str">
        <f t="shared" si="81"/>
        <v>2 2026</v>
      </c>
      <c r="C416" s="88">
        <f t="shared" si="82"/>
        <v>46065</v>
      </c>
      <c r="D416" s="88">
        <f t="shared" si="77"/>
        <v>46066</v>
      </c>
      <c r="E416" s="89">
        <f t="shared" si="83"/>
        <v>1</v>
      </c>
      <c r="F416" s="123" t="s">
        <v>7</v>
      </c>
      <c r="H416" s="328">
        <f t="shared" si="84"/>
        <v>46065</v>
      </c>
      <c r="I416" s="329"/>
      <c r="J416" s="400"/>
      <c r="L416" s="331"/>
      <c r="M416" s="331"/>
      <c r="N416" s="331"/>
      <c r="O416" s="331"/>
      <c r="P416" s="331"/>
      <c r="Q416" s="331"/>
      <c r="R416" s="331"/>
      <c r="S416" s="331"/>
      <c r="T416" s="331"/>
      <c r="U416" s="331"/>
      <c r="V416" s="331"/>
      <c r="W416" s="331"/>
      <c r="X416" s="331"/>
      <c r="Z416" s="331"/>
      <c r="AA416" s="331"/>
      <c r="AB416" s="331"/>
      <c r="AD416" s="331"/>
      <c r="AE416" s="331"/>
      <c r="AF416" s="331"/>
      <c r="AH416" s="331"/>
      <c r="AI416" s="331"/>
      <c r="AK416" s="331"/>
    </row>
    <row r="417" spans="2:37" x14ac:dyDescent="0.25">
      <c r="B417" s="9" t="str">
        <f t="shared" si="81"/>
        <v>2 2026</v>
      </c>
      <c r="C417" s="88">
        <f t="shared" si="82"/>
        <v>46066</v>
      </c>
      <c r="D417" s="88">
        <f t="shared" si="77"/>
        <v>46067</v>
      </c>
      <c r="E417" s="89">
        <f t="shared" si="83"/>
        <v>1</v>
      </c>
      <c r="F417" s="123" t="s">
        <v>7</v>
      </c>
      <c r="H417" s="328">
        <f t="shared" si="84"/>
        <v>46066</v>
      </c>
      <c r="I417" s="329"/>
      <c r="J417" s="400"/>
      <c r="L417" s="331"/>
      <c r="M417" s="331"/>
      <c r="N417" s="331"/>
      <c r="O417" s="331"/>
      <c r="P417" s="331"/>
      <c r="Q417" s="331"/>
      <c r="R417" s="331"/>
      <c r="S417" s="331"/>
      <c r="T417" s="331"/>
      <c r="U417" s="331"/>
      <c r="V417" s="331"/>
      <c r="W417" s="331"/>
      <c r="X417" s="331"/>
      <c r="Z417" s="331"/>
      <c r="AA417" s="331"/>
      <c r="AB417" s="331"/>
      <c r="AD417" s="331"/>
      <c r="AE417" s="331"/>
      <c r="AF417" s="331"/>
      <c r="AH417" s="331"/>
      <c r="AI417" s="331"/>
      <c r="AK417" s="331"/>
    </row>
    <row r="418" spans="2:37" x14ac:dyDescent="0.25">
      <c r="B418" s="9" t="str">
        <f t="shared" si="81"/>
        <v>2 2026</v>
      </c>
      <c r="C418" s="88">
        <f t="shared" si="82"/>
        <v>46067</v>
      </c>
      <c r="D418" s="88">
        <f t="shared" si="77"/>
        <v>46068</v>
      </c>
      <c r="E418" s="89">
        <f t="shared" si="83"/>
        <v>1</v>
      </c>
      <c r="F418" s="123" t="s">
        <v>7</v>
      </c>
      <c r="H418" s="328">
        <f t="shared" si="84"/>
        <v>46067</v>
      </c>
      <c r="I418" s="329"/>
      <c r="J418" s="400"/>
      <c r="L418" s="331"/>
      <c r="M418" s="331"/>
      <c r="N418" s="331"/>
      <c r="O418" s="331"/>
      <c r="P418" s="331"/>
      <c r="Q418" s="331"/>
      <c r="R418" s="331"/>
      <c r="S418" s="331"/>
      <c r="T418" s="331"/>
      <c r="U418" s="331"/>
      <c r="V418" s="331"/>
      <c r="W418" s="331"/>
      <c r="X418" s="331"/>
      <c r="Z418" s="331"/>
      <c r="AA418" s="331"/>
      <c r="AB418" s="331"/>
      <c r="AD418" s="331"/>
      <c r="AE418" s="331"/>
      <c r="AF418" s="331"/>
      <c r="AH418" s="331"/>
      <c r="AI418" s="331"/>
      <c r="AK418" s="331"/>
    </row>
    <row r="419" spans="2:37" x14ac:dyDescent="0.25">
      <c r="B419" s="9" t="str">
        <f t="shared" si="81"/>
        <v>2 2026</v>
      </c>
      <c r="C419" s="88">
        <f t="shared" si="82"/>
        <v>46068</v>
      </c>
      <c r="D419" s="88">
        <f t="shared" si="77"/>
        <v>46069</v>
      </c>
      <c r="E419" s="89">
        <f t="shared" si="83"/>
        <v>1</v>
      </c>
      <c r="F419" s="123" t="s">
        <v>7</v>
      </c>
      <c r="H419" s="328">
        <f t="shared" si="84"/>
        <v>46068</v>
      </c>
      <c r="I419" s="329"/>
      <c r="J419" s="400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W419" s="331"/>
      <c r="X419" s="331"/>
      <c r="Z419" s="331"/>
      <c r="AA419" s="331"/>
      <c r="AB419" s="331"/>
      <c r="AD419" s="331"/>
      <c r="AE419" s="331"/>
      <c r="AF419" s="331"/>
      <c r="AH419" s="331"/>
      <c r="AI419" s="331"/>
      <c r="AK419" s="331"/>
    </row>
    <row r="420" spans="2:37" x14ac:dyDescent="0.25">
      <c r="B420" s="9" t="str">
        <f t="shared" si="81"/>
        <v>2 2026</v>
      </c>
      <c r="C420" s="88">
        <f t="shared" si="82"/>
        <v>46069</v>
      </c>
      <c r="D420" s="88">
        <f t="shared" si="77"/>
        <v>46070</v>
      </c>
      <c r="E420" s="89">
        <f t="shared" si="83"/>
        <v>1</v>
      </c>
      <c r="F420" s="123" t="s">
        <v>7</v>
      </c>
      <c r="H420" s="328">
        <f t="shared" si="84"/>
        <v>46069</v>
      </c>
      <c r="I420" s="329"/>
      <c r="J420" s="400"/>
      <c r="L420" s="331"/>
      <c r="M420" s="331"/>
      <c r="N420" s="331"/>
      <c r="O420" s="331"/>
      <c r="P420" s="331"/>
      <c r="Q420" s="331"/>
      <c r="R420" s="331"/>
      <c r="S420" s="331"/>
      <c r="T420" s="331"/>
      <c r="U420" s="331"/>
      <c r="V420" s="331"/>
      <c r="W420" s="331"/>
      <c r="X420" s="331"/>
      <c r="Z420" s="331"/>
      <c r="AA420" s="331"/>
      <c r="AB420" s="331"/>
      <c r="AD420" s="331"/>
      <c r="AE420" s="331"/>
      <c r="AF420" s="331"/>
      <c r="AH420" s="331"/>
      <c r="AI420" s="331"/>
      <c r="AK420" s="331"/>
    </row>
    <row r="421" spans="2:37" x14ac:dyDescent="0.25">
      <c r="B421" s="9" t="str">
        <f t="shared" si="81"/>
        <v>2 2026</v>
      </c>
      <c r="C421" s="88">
        <f t="shared" si="82"/>
        <v>46070</v>
      </c>
      <c r="D421" s="88">
        <f t="shared" si="77"/>
        <v>46071</v>
      </c>
      <c r="E421" s="89">
        <f t="shared" si="83"/>
        <v>1</v>
      </c>
      <c r="F421" s="123" t="s">
        <v>7</v>
      </c>
      <c r="H421" s="328">
        <f t="shared" si="84"/>
        <v>46070</v>
      </c>
      <c r="I421" s="329"/>
      <c r="J421" s="400"/>
      <c r="L421" s="331"/>
      <c r="M421" s="331"/>
      <c r="N421" s="331"/>
      <c r="O421" s="331"/>
      <c r="P421" s="331"/>
      <c r="Q421" s="331"/>
      <c r="R421" s="331"/>
      <c r="S421" s="331"/>
      <c r="T421" s="331"/>
      <c r="U421" s="331"/>
      <c r="V421" s="331"/>
      <c r="W421" s="331"/>
      <c r="X421" s="331"/>
      <c r="Z421" s="331"/>
      <c r="AA421" s="331"/>
      <c r="AB421" s="331"/>
      <c r="AD421" s="331"/>
      <c r="AE421" s="331"/>
      <c r="AF421" s="331"/>
      <c r="AH421" s="331"/>
      <c r="AI421" s="331"/>
      <c r="AK421" s="331"/>
    </row>
    <row r="422" spans="2:37" x14ac:dyDescent="0.25">
      <c r="B422" s="9" t="str">
        <f t="shared" si="81"/>
        <v>2 2026</v>
      </c>
      <c r="C422" s="88">
        <f t="shared" si="82"/>
        <v>46071</v>
      </c>
      <c r="D422" s="88">
        <f t="shared" si="77"/>
        <v>46072</v>
      </c>
      <c r="E422" s="89">
        <f t="shared" si="83"/>
        <v>1</v>
      </c>
      <c r="F422" s="123" t="s">
        <v>7</v>
      </c>
      <c r="H422" s="328">
        <f t="shared" si="84"/>
        <v>46071</v>
      </c>
      <c r="I422" s="329"/>
      <c r="J422" s="400"/>
      <c r="L422" s="331"/>
      <c r="M422" s="331"/>
      <c r="N422" s="331"/>
      <c r="O422" s="331"/>
      <c r="P422" s="331"/>
      <c r="Q422" s="331"/>
      <c r="R422" s="331"/>
      <c r="S422" s="331"/>
      <c r="T422" s="331"/>
      <c r="U422" s="331"/>
      <c r="V422" s="331"/>
      <c r="W422" s="331"/>
      <c r="X422" s="331"/>
      <c r="Z422" s="331"/>
      <c r="AA422" s="331"/>
      <c r="AB422" s="331"/>
      <c r="AD422" s="331"/>
      <c r="AE422" s="331"/>
      <c r="AF422" s="331"/>
      <c r="AH422" s="331"/>
      <c r="AI422" s="331"/>
      <c r="AK422" s="331"/>
    </row>
    <row r="423" spans="2:37" x14ac:dyDescent="0.25">
      <c r="B423" s="9" t="str">
        <f t="shared" si="81"/>
        <v>2 2026</v>
      </c>
      <c r="C423" s="88">
        <f t="shared" si="82"/>
        <v>46072</v>
      </c>
      <c r="D423" s="88">
        <f t="shared" si="77"/>
        <v>46073</v>
      </c>
      <c r="E423" s="89">
        <f t="shared" si="83"/>
        <v>1</v>
      </c>
      <c r="F423" s="123" t="s">
        <v>7</v>
      </c>
      <c r="H423" s="328">
        <f t="shared" si="84"/>
        <v>46072</v>
      </c>
      <c r="I423" s="329"/>
      <c r="J423" s="400"/>
      <c r="L423" s="331"/>
      <c r="M423" s="331"/>
      <c r="N423" s="331"/>
      <c r="O423" s="331"/>
      <c r="P423" s="331"/>
      <c r="Q423" s="331"/>
      <c r="R423" s="331"/>
      <c r="S423" s="331"/>
      <c r="T423" s="331"/>
      <c r="U423" s="331"/>
      <c r="V423" s="331"/>
      <c r="W423" s="331"/>
      <c r="X423" s="331"/>
      <c r="Z423" s="331"/>
      <c r="AA423" s="331"/>
      <c r="AB423" s="331"/>
      <c r="AD423" s="331"/>
      <c r="AE423" s="331"/>
      <c r="AF423" s="331"/>
      <c r="AH423" s="331"/>
      <c r="AI423" s="331"/>
      <c r="AK423" s="331"/>
    </row>
    <row r="424" spans="2:37" x14ac:dyDescent="0.25">
      <c r="B424" s="9" t="str">
        <f t="shared" si="81"/>
        <v>2 2026</v>
      </c>
      <c r="C424" s="88">
        <f t="shared" si="82"/>
        <v>46073</v>
      </c>
      <c r="D424" s="88">
        <f t="shared" si="77"/>
        <v>46074</v>
      </c>
      <c r="E424" s="89">
        <f t="shared" si="83"/>
        <v>1</v>
      </c>
      <c r="F424" s="123" t="s">
        <v>7</v>
      </c>
      <c r="H424" s="328">
        <f t="shared" si="84"/>
        <v>46073</v>
      </c>
      <c r="I424" s="329"/>
      <c r="J424" s="400"/>
      <c r="L424" s="331"/>
      <c r="M424" s="331"/>
      <c r="N424" s="331"/>
      <c r="O424" s="331"/>
      <c r="P424" s="331"/>
      <c r="Q424" s="331"/>
      <c r="R424" s="331"/>
      <c r="S424" s="331"/>
      <c r="T424" s="331"/>
      <c r="U424" s="331"/>
      <c r="V424" s="331"/>
      <c r="W424" s="331"/>
      <c r="X424" s="331"/>
      <c r="Z424" s="331"/>
      <c r="AA424" s="331"/>
      <c r="AB424" s="331"/>
      <c r="AD424" s="331"/>
      <c r="AE424" s="331"/>
      <c r="AF424" s="331"/>
      <c r="AH424" s="331"/>
      <c r="AI424" s="331"/>
      <c r="AK424" s="331"/>
    </row>
    <row r="425" spans="2:37" x14ac:dyDescent="0.25">
      <c r="B425" s="9" t="str">
        <f t="shared" si="81"/>
        <v>2 2026</v>
      </c>
      <c r="C425" s="88">
        <f t="shared" si="82"/>
        <v>46074</v>
      </c>
      <c r="D425" s="88">
        <f t="shared" si="77"/>
        <v>46075</v>
      </c>
      <c r="E425" s="89">
        <f t="shared" si="83"/>
        <v>1</v>
      </c>
      <c r="F425" s="123" t="s">
        <v>7</v>
      </c>
      <c r="H425" s="328">
        <f t="shared" si="84"/>
        <v>46074</v>
      </c>
      <c r="I425" s="329"/>
      <c r="J425" s="400"/>
      <c r="L425" s="331"/>
      <c r="M425" s="331"/>
      <c r="N425" s="331"/>
      <c r="O425" s="331"/>
      <c r="P425" s="331"/>
      <c r="Q425" s="331"/>
      <c r="R425" s="331"/>
      <c r="S425" s="331"/>
      <c r="T425" s="331"/>
      <c r="U425" s="331"/>
      <c r="V425" s="331"/>
      <c r="W425" s="331"/>
      <c r="X425" s="331"/>
      <c r="Z425" s="331"/>
      <c r="AA425" s="331"/>
      <c r="AB425" s="331"/>
      <c r="AD425" s="331"/>
      <c r="AE425" s="331"/>
      <c r="AF425" s="331"/>
      <c r="AH425" s="331"/>
      <c r="AI425" s="331"/>
      <c r="AK425" s="331"/>
    </row>
    <row r="426" spans="2:37" x14ac:dyDescent="0.25">
      <c r="B426" s="9" t="str">
        <f t="shared" si="81"/>
        <v>2 2026</v>
      </c>
      <c r="C426" s="88">
        <f t="shared" si="82"/>
        <v>46075</v>
      </c>
      <c r="D426" s="88">
        <f t="shared" si="77"/>
        <v>46076</v>
      </c>
      <c r="E426" s="89">
        <f t="shared" si="83"/>
        <v>1</v>
      </c>
      <c r="F426" s="123" t="s">
        <v>7</v>
      </c>
      <c r="H426" s="328">
        <f t="shared" si="84"/>
        <v>46075</v>
      </c>
      <c r="I426" s="329"/>
      <c r="J426" s="400"/>
      <c r="L426" s="331"/>
      <c r="M426" s="331"/>
      <c r="N426" s="331"/>
      <c r="O426" s="331"/>
      <c r="P426" s="331"/>
      <c r="Q426" s="331"/>
      <c r="R426" s="331"/>
      <c r="S426" s="331"/>
      <c r="T426" s="331"/>
      <c r="U426" s="331"/>
      <c r="V426" s="331"/>
      <c r="W426" s="331"/>
      <c r="X426" s="331"/>
      <c r="Z426" s="331"/>
      <c r="AA426" s="331"/>
      <c r="AB426" s="331"/>
      <c r="AD426" s="331"/>
      <c r="AE426" s="331"/>
      <c r="AF426" s="331"/>
      <c r="AH426" s="331"/>
      <c r="AI426" s="331"/>
      <c r="AK426" s="331"/>
    </row>
    <row r="427" spans="2:37" x14ac:dyDescent="0.25">
      <c r="B427" s="9" t="str">
        <f t="shared" si="81"/>
        <v>2 2026</v>
      </c>
      <c r="C427" s="88">
        <f t="shared" si="82"/>
        <v>46076</v>
      </c>
      <c r="D427" s="88">
        <f t="shared" si="77"/>
        <v>46077</v>
      </c>
      <c r="E427" s="89">
        <f t="shared" si="83"/>
        <v>1</v>
      </c>
      <c r="F427" s="123" t="s">
        <v>7</v>
      </c>
      <c r="H427" s="328">
        <f t="shared" si="84"/>
        <v>46076</v>
      </c>
      <c r="I427" s="329"/>
      <c r="J427" s="400"/>
      <c r="L427" s="331"/>
      <c r="M427" s="331"/>
      <c r="N427" s="331"/>
      <c r="O427" s="331"/>
      <c r="P427" s="331"/>
      <c r="Q427" s="331"/>
      <c r="R427" s="331"/>
      <c r="S427" s="331"/>
      <c r="T427" s="331"/>
      <c r="U427" s="331"/>
      <c r="V427" s="331"/>
      <c r="W427" s="331"/>
      <c r="X427" s="331"/>
      <c r="Z427" s="331"/>
      <c r="AA427" s="331"/>
      <c r="AB427" s="331"/>
      <c r="AD427" s="331"/>
      <c r="AE427" s="331"/>
      <c r="AF427" s="331"/>
      <c r="AH427" s="331"/>
      <c r="AI427" s="331"/>
      <c r="AK427" s="331"/>
    </row>
    <row r="428" spans="2:37" x14ac:dyDescent="0.25">
      <c r="B428" s="9" t="str">
        <f t="shared" si="81"/>
        <v>2 2026</v>
      </c>
      <c r="C428" s="88">
        <f t="shared" si="82"/>
        <v>46077</v>
      </c>
      <c r="D428" s="88">
        <f t="shared" si="77"/>
        <v>46078</v>
      </c>
      <c r="E428" s="89">
        <f t="shared" si="83"/>
        <v>1</v>
      </c>
      <c r="F428" s="123" t="s">
        <v>7</v>
      </c>
      <c r="H428" s="328">
        <f t="shared" si="84"/>
        <v>46077</v>
      </c>
      <c r="I428" s="329"/>
      <c r="J428" s="400"/>
      <c r="L428" s="331"/>
      <c r="M428" s="331"/>
      <c r="N428" s="331"/>
      <c r="O428" s="331"/>
      <c r="P428" s="331"/>
      <c r="Q428" s="331"/>
      <c r="R428" s="331"/>
      <c r="S428" s="331"/>
      <c r="T428" s="331"/>
      <c r="U428" s="331"/>
      <c r="V428" s="331"/>
      <c r="W428" s="331"/>
      <c r="X428" s="331"/>
      <c r="Z428" s="331"/>
      <c r="AA428" s="331"/>
      <c r="AB428" s="331"/>
      <c r="AD428" s="331"/>
      <c r="AE428" s="331"/>
      <c r="AF428" s="331"/>
      <c r="AH428" s="331"/>
      <c r="AI428" s="331"/>
      <c r="AK428" s="331"/>
    </row>
    <row r="429" spans="2:37" x14ac:dyDescent="0.25">
      <c r="B429" s="9" t="str">
        <f t="shared" si="81"/>
        <v>2 2026</v>
      </c>
      <c r="C429" s="88">
        <f t="shared" si="82"/>
        <v>46078</v>
      </c>
      <c r="D429" s="88">
        <f t="shared" si="77"/>
        <v>46079</v>
      </c>
      <c r="E429" s="89">
        <f t="shared" si="83"/>
        <v>1</v>
      </c>
      <c r="F429" s="123" t="s">
        <v>7</v>
      </c>
      <c r="H429" s="328">
        <f t="shared" si="84"/>
        <v>46078</v>
      </c>
      <c r="I429" s="329"/>
      <c r="J429" s="400"/>
      <c r="L429" s="331"/>
      <c r="M429" s="331"/>
      <c r="N429" s="331"/>
      <c r="O429" s="331"/>
      <c r="P429" s="331"/>
      <c r="Q429" s="331"/>
      <c r="R429" s="331"/>
      <c r="S429" s="331"/>
      <c r="T429" s="331"/>
      <c r="U429" s="331"/>
      <c r="V429" s="331"/>
      <c r="W429" s="331"/>
      <c r="X429" s="331"/>
      <c r="Z429" s="331"/>
      <c r="AA429" s="331"/>
      <c r="AB429" s="331"/>
      <c r="AD429" s="331"/>
      <c r="AE429" s="331"/>
      <c r="AF429" s="331"/>
      <c r="AH429" s="331"/>
      <c r="AI429" s="331"/>
      <c r="AK429" s="331"/>
    </row>
    <row r="430" spans="2:37" x14ac:dyDescent="0.25">
      <c r="B430" s="9" t="str">
        <f t="shared" si="81"/>
        <v>2 2026</v>
      </c>
      <c r="C430" s="88">
        <f t="shared" si="82"/>
        <v>46079</v>
      </c>
      <c r="D430" s="88">
        <f t="shared" si="77"/>
        <v>46080</v>
      </c>
      <c r="E430" s="89">
        <f t="shared" si="83"/>
        <v>1</v>
      </c>
      <c r="F430" s="123" t="s">
        <v>7</v>
      </c>
      <c r="H430" s="328">
        <f t="shared" si="84"/>
        <v>46079</v>
      </c>
      <c r="I430" s="329"/>
      <c r="J430" s="400"/>
      <c r="L430" s="331"/>
      <c r="M430" s="331"/>
      <c r="N430" s="331"/>
      <c r="O430" s="331"/>
      <c r="P430" s="331"/>
      <c r="Q430" s="331"/>
      <c r="R430" s="331"/>
      <c r="S430" s="331"/>
      <c r="T430" s="331"/>
      <c r="U430" s="331"/>
      <c r="V430" s="331"/>
      <c r="W430" s="331"/>
      <c r="X430" s="331"/>
      <c r="Z430" s="331"/>
      <c r="AA430" s="331"/>
      <c r="AB430" s="331"/>
      <c r="AD430" s="331"/>
      <c r="AE430" s="331"/>
      <c r="AF430" s="331"/>
      <c r="AH430" s="331"/>
      <c r="AI430" s="331"/>
      <c r="AK430" s="331"/>
    </row>
    <row r="431" spans="2:37" x14ac:dyDescent="0.25">
      <c r="B431" s="9" t="str">
        <f t="shared" si="81"/>
        <v>2 2026</v>
      </c>
      <c r="C431" s="88">
        <f t="shared" si="82"/>
        <v>46080</v>
      </c>
      <c r="D431" s="88">
        <f t="shared" si="77"/>
        <v>46081</v>
      </c>
      <c r="E431" s="89">
        <f t="shared" si="83"/>
        <v>1</v>
      </c>
      <c r="F431" s="123" t="s">
        <v>7</v>
      </c>
      <c r="H431" s="328">
        <f t="shared" si="84"/>
        <v>46080</v>
      </c>
      <c r="I431" s="329"/>
      <c r="J431" s="400"/>
      <c r="L431" s="331"/>
      <c r="M431" s="331"/>
      <c r="N431" s="331"/>
      <c r="O431" s="331"/>
      <c r="P431" s="331"/>
      <c r="Q431" s="331"/>
      <c r="R431" s="331"/>
      <c r="S431" s="331"/>
      <c r="T431" s="331"/>
      <c r="U431" s="331"/>
      <c r="V431" s="331"/>
      <c r="W431" s="331"/>
      <c r="X431" s="331"/>
      <c r="Z431" s="331"/>
      <c r="AA431" s="331"/>
      <c r="AB431" s="331"/>
      <c r="AD431" s="331"/>
      <c r="AE431" s="331"/>
      <c r="AF431" s="331"/>
      <c r="AH431" s="331"/>
      <c r="AI431" s="331"/>
      <c r="AK431" s="331"/>
    </row>
    <row r="432" spans="2:37" x14ac:dyDescent="0.25">
      <c r="B432" s="9" t="str">
        <f t="shared" si="81"/>
        <v>3 2026</v>
      </c>
      <c r="C432" s="88">
        <f t="shared" si="82"/>
        <v>46081</v>
      </c>
      <c r="D432" s="88">
        <f t="shared" si="77"/>
        <v>46082</v>
      </c>
      <c r="E432" s="89">
        <f t="shared" si="83"/>
        <v>1</v>
      </c>
      <c r="F432" s="123" t="s">
        <v>7</v>
      </c>
      <c r="H432" s="328">
        <f t="shared" si="84"/>
        <v>46081</v>
      </c>
      <c r="I432" s="329"/>
      <c r="J432" s="400"/>
      <c r="L432" s="331"/>
      <c r="M432" s="331"/>
      <c r="N432" s="331"/>
      <c r="O432" s="331"/>
      <c r="P432" s="331"/>
      <c r="Q432" s="331"/>
      <c r="R432" s="331"/>
      <c r="S432" s="331"/>
      <c r="T432" s="331"/>
      <c r="U432" s="331"/>
      <c r="V432" s="331"/>
      <c r="W432" s="331"/>
      <c r="X432" s="331"/>
      <c r="Z432" s="331"/>
      <c r="AA432" s="331"/>
      <c r="AB432" s="331"/>
      <c r="AD432" s="331"/>
      <c r="AE432" s="331"/>
      <c r="AF432" s="331"/>
      <c r="AH432" s="331"/>
      <c r="AI432" s="331"/>
      <c r="AK432" s="331"/>
    </row>
    <row r="433" spans="2:37" x14ac:dyDescent="0.25">
      <c r="B433" s="9" t="str">
        <f t="shared" si="81"/>
        <v>3 2026</v>
      </c>
      <c r="C433" s="88">
        <f t="shared" si="82"/>
        <v>46082</v>
      </c>
      <c r="D433" s="88">
        <f t="shared" si="77"/>
        <v>46083</v>
      </c>
      <c r="E433" s="89">
        <f t="shared" si="83"/>
        <v>1</v>
      </c>
      <c r="F433" s="123" t="s">
        <v>7</v>
      </c>
      <c r="H433" s="328">
        <f t="shared" si="84"/>
        <v>46082</v>
      </c>
      <c r="I433" s="329"/>
      <c r="J433" s="400"/>
      <c r="L433" s="331"/>
      <c r="M433" s="331"/>
      <c r="N433" s="331"/>
      <c r="O433" s="331"/>
      <c r="P433" s="331"/>
      <c r="Q433" s="331"/>
      <c r="R433" s="331"/>
      <c r="S433" s="331"/>
      <c r="T433" s="331"/>
      <c r="U433" s="331"/>
      <c r="V433" s="331"/>
      <c r="W433" s="331"/>
      <c r="X433" s="331"/>
      <c r="Z433" s="331"/>
      <c r="AA433" s="331"/>
      <c r="AB433" s="331"/>
      <c r="AD433" s="331"/>
      <c r="AE433" s="331"/>
      <c r="AF433" s="331"/>
      <c r="AH433" s="331"/>
      <c r="AI433" s="331"/>
      <c r="AK433" s="331"/>
    </row>
    <row r="434" spans="2:37" x14ac:dyDescent="0.25">
      <c r="B434" s="9" t="str">
        <f t="shared" si="81"/>
        <v>3 2026</v>
      </c>
      <c r="C434" s="88">
        <f t="shared" si="82"/>
        <v>46083</v>
      </c>
      <c r="D434" s="88">
        <f t="shared" si="77"/>
        <v>46084</v>
      </c>
      <c r="E434" s="89">
        <f t="shared" si="83"/>
        <v>1</v>
      </c>
      <c r="F434" s="123" t="s">
        <v>7</v>
      </c>
      <c r="H434" s="328">
        <f t="shared" si="84"/>
        <v>46083</v>
      </c>
      <c r="I434" s="329"/>
      <c r="J434" s="400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W434" s="331"/>
      <c r="X434" s="331"/>
      <c r="Z434" s="331"/>
      <c r="AA434" s="331"/>
      <c r="AB434" s="331"/>
      <c r="AD434" s="331"/>
      <c r="AE434" s="331"/>
      <c r="AF434" s="331"/>
      <c r="AH434" s="331"/>
      <c r="AI434" s="331"/>
      <c r="AK434" s="331"/>
    </row>
    <row r="435" spans="2:37" x14ac:dyDescent="0.25">
      <c r="B435" s="9" t="str">
        <f t="shared" si="81"/>
        <v>3 2026</v>
      </c>
      <c r="C435" s="88">
        <f t="shared" si="82"/>
        <v>46084</v>
      </c>
      <c r="D435" s="88">
        <f t="shared" si="77"/>
        <v>46085</v>
      </c>
      <c r="E435" s="89">
        <f t="shared" si="83"/>
        <v>1</v>
      </c>
      <c r="F435" s="123" t="s">
        <v>7</v>
      </c>
      <c r="H435" s="328">
        <f t="shared" si="84"/>
        <v>46084</v>
      </c>
      <c r="I435" s="329"/>
      <c r="J435" s="400"/>
      <c r="L435" s="331"/>
      <c r="M435" s="331"/>
      <c r="N435" s="331"/>
      <c r="O435" s="331"/>
      <c r="P435" s="331"/>
      <c r="Q435" s="331"/>
      <c r="R435" s="331"/>
      <c r="S435" s="331"/>
      <c r="T435" s="331"/>
      <c r="U435" s="331"/>
      <c r="V435" s="331"/>
      <c r="W435" s="331"/>
      <c r="X435" s="331"/>
      <c r="Z435" s="331"/>
      <c r="AA435" s="331"/>
      <c r="AB435" s="331"/>
      <c r="AD435" s="331"/>
      <c r="AE435" s="331"/>
      <c r="AF435" s="331"/>
      <c r="AH435" s="331"/>
      <c r="AI435" s="331"/>
      <c r="AK435" s="331"/>
    </row>
    <row r="436" spans="2:37" x14ac:dyDescent="0.25">
      <c r="B436" s="9" t="str">
        <f t="shared" si="81"/>
        <v>3 2026</v>
      </c>
      <c r="C436" s="88">
        <f t="shared" si="82"/>
        <v>46085</v>
      </c>
      <c r="D436" s="88">
        <f t="shared" si="77"/>
        <v>46086</v>
      </c>
      <c r="E436" s="89">
        <f t="shared" si="83"/>
        <v>1</v>
      </c>
      <c r="F436" s="123" t="s">
        <v>7</v>
      </c>
      <c r="H436" s="328">
        <f t="shared" si="84"/>
        <v>46085</v>
      </c>
      <c r="I436" s="329"/>
      <c r="J436" s="400"/>
      <c r="L436" s="331"/>
      <c r="M436" s="331"/>
      <c r="N436" s="331"/>
      <c r="O436" s="331"/>
      <c r="P436" s="331"/>
      <c r="Q436" s="331"/>
      <c r="R436" s="331"/>
      <c r="S436" s="331"/>
      <c r="T436" s="331"/>
      <c r="U436" s="331"/>
      <c r="V436" s="331"/>
      <c r="W436" s="331"/>
      <c r="X436" s="331"/>
      <c r="Z436" s="331"/>
      <c r="AA436" s="331"/>
      <c r="AB436" s="331"/>
      <c r="AD436" s="331"/>
      <c r="AE436" s="331"/>
      <c r="AF436" s="331"/>
      <c r="AH436" s="331"/>
      <c r="AI436" s="331"/>
      <c r="AK436" s="331"/>
    </row>
    <row r="437" spans="2:37" x14ac:dyDescent="0.25">
      <c r="B437" s="9" t="str">
        <f t="shared" si="81"/>
        <v>3 2026</v>
      </c>
      <c r="C437" s="88">
        <f t="shared" si="82"/>
        <v>46086</v>
      </c>
      <c r="D437" s="88">
        <f t="shared" si="77"/>
        <v>46087</v>
      </c>
      <c r="E437" s="89">
        <f t="shared" si="83"/>
        <v>1</v>
      </c>
      <c r="F437" s="123" t="s">
        <v>7</v>
      </c>
      <c r="H437" s="328">
        <f t="shared" si="84"/>
        <v>46086</v>
      </c>
      <c r="I437" s="329"/>
      <c r="J437" s="400"/>
      <c r="L437" s="331"/>
      <c r="M437" s="331"/>
      <c r="N437" s="331"/>
      <c r="O437" s="331"/>
      <c r="P437" s="331"/>
      <c r="Q437" s="331"/>
      <c r="R437" s="331"/>
      <c r="S437" s="331"/>
      <c r="T437" s="331"/>
      <c r="U437" s="331"/>
      <c r="V437" s="331"/>
      <c r="W437" s="331"/>
      <c r="X437" s="331"/>
      <c r="Z437" s="331"/>
      <c r="AA437" s="331"/>
      <c r="AB437" s="331"/>
      <c r="AD437" s="331"/>
      <c r="AE437" s="331"/>
      <c r="AF437" s="331"/>
      <c r="AH437" s="331"/>
      <c r="AI437" s="331"/>
      <c r="AK437" s="331"/>
    </row>
    <row r="438" spans="2:37" x14ac:dyDescent="0.25">
      <c r="B438" s="9" t="str">
        <f t="shared" si="81"/>
        <v>3 2026</v>
      </c>
      <c r="C438" s="88">
        <f t="shared" si="82"/>
        <v>46087</v>
      </c>
      <c r="D438" s="88">
        <f t="shared" si="77"/>
        <v>46088</v>
      </c>
      <c r="E438" s="89">
        <f t="shared" si="83"/>
        <v>1</v>
      </c>
      <c r="F438" s="123" t="s">
        <v>7</v>
      </c>
      <c r="H438" s="328">
        <f t="shared" si="84"/>
        <v>46087</v>
      </c>
      <c r="I438" s="329"/>
      <c r="J438" s="400"/>
      <c r="L438" s="331"/>
      <c r="M438" s="331"/>
      <c r="N438" s="331"/>
      <c r="O438" s="331"/>
      <c r="P438" s="331"/>
      <c r="Q438" s="331"/>
      <c r="R438" s="331"/>
      <c r="S438" s="331"/>
      <c r="T438" s="331"/>
      <c r="U438" s="331"/>
      <c r="V438" s="331"/>
      <c r="W438" s="331"/>
      <c r="X438" s="331"/>
      <c r="Z438" s="331"/>
      <c r="AA438" s="331"/>
      <c r="AB438" s="331"/>
      <c r="AD438" s="331"/>
      <c r="AE438" s="331"/>
      <c r="AF438" s="331"/>
      <c r="AH438" s="331"/>
      <c r="AI438" s="331"/>
      <c r="AK438" s="331"/>
    </row>
    <row r="439" spans="2:37" x14ac:dyDescent="0.25">
      <c r="B439" s="9" t="str">
        <f t="shared" si="81"/>
        <v>3 2026</v>
      </c>
      <c r="C439" s="88">
        <f t="shared" si="82"/>
        <v>46088</v>
      </c>
      <c r="D439" s="88">
        <f t="shared" si="77"/>
        <v>46089</v>
      </c>
      <c r="E439" s="89">
        <f t="shared" si="83"/>
        <v>1</v>
      </c>
      <c r="F439" s="123" t="s">
        <v>7</v>
      </c>
      <c r="H439" s="328">
        <f t="shared" si="84"/>
        <v>46088</v>
      </c>
      <c r="I439" s="329"/>
      <c r="J439" s="400"/>
      <c r="L439" s="331"/>
      <c r="M439" s="331"/>
      <c r="N439" s="331"/>
      <c r="O439" s="331"/>
      <c r="P439" s="331"/>
      <c r="Q439" s="331"/>
      <c r="R439" s="331"/>
      <c r="S439" s="331"/>
      <c r="T439" s="331"/>
      <c r="U439" s="331"/>
      <c r="V439" s="331"/>
      <c r="W439" s="331"/>
      <c r="X439" s="331"/>
      <c r="Z439" s="331"/>
      <c r="AA439" s="331"/>
      <c r="AB439" s="331"/>
      <c r="AD439" s="331"/>
      <c r="AE439" s="331"/>
      <c r="AF439" s="331"/>
      <c r="AH439" s="331"/>
      <c r="AI439" s="331"/>
      <c r="AK439" s="331"/>
    </row>
    <row r="440" spans="2:37" x14ac:dyDescent="0.25">
      <c r="B440" s="9" t="str">
        <f t="shared" si="81"/>
        <v>3 2026</v>
      </c>
      <c r="C440" s="88">
        <f t="shared" si="82"/>
        <v>46089</v>
      </c>
      <c r="D440" s="88">
        <f t="shared" ref="D440:D503" si="85">D439+1</f>
        <v>46090</v>
      </c>
      <c r="E440" s="89">
        <f t="shared" si="83"/>
        <v>1</v>
      </c>
      <c r="F440" s="123" t="s">
        <v>7</v>
      </c>
      <c r="H440" s="328">
        <f t="shared" si="84"/>
        <v>46089</v>
      </c>
      <c r="I440" s="329"/>
      <c r="J440" s="400"/>
      <c r="L440" s="331"/>
      <c r="M440" s="331"/>
      <c r="N440" s="331"/>
      <c r="O440" s="331"/>
      <c r="P440" s="331"/>
      <c r="Q440" s="331"/>
      <c r="R440" s="331"/>
      <c r="S440" s="331"/>
      <c r="T440" s="331"/>
      <c r="U440" s="331"/>
      <c r="V440" s="331"/>
      <c r="W440" s="331"/>
      <c r="X440" s="331"/>
      <c r="Z440" s="331"/>
      <c r="AA440" s="331"/>
      <c r="AB440" s="331"/>
      <c r="AD440" s="331"/>
      <c r="AE440" s="331"/>
      <c r="AF440" s="331"/>
      <c r="AH440" s="331"/>
      <c r="AI440" s="331"/>
      <c r="AK440" s="331"/>
    </row>
    <row r="441" spans="2:37" x14ac:dyDescent="0.25">
      <c r="B441" s="9" t="str">
        <f t="shared" si="81"/>
        <v>3 2026</v>
      </c>
      <c r="C441" s="88">
        <f t="shared" si="82"/>
        <v>46090</v>
      </c>
      <c r="D441" s="88">
        <f t="shared" si="85"/>
        <v>46091</v>
      </c>
      <c r="E441" s="89">
        <f t="shared" si="83"/>
        <v>1</v>
      </c>
      <c r="F441" s="123" t="s">
        <v>7</v>
      </c>
      <c r="H441" s="328">
        <f t="shared" si="84"/>
        <v>46090</v>
      </c>
      <c r="I441" s="329"/>
      <c r="J441" s="400"/>
      <c r="L441" s="331"/>
      <c r="M441" s="331"/>
      <c r="N441" s="331"/>
      <c r="O441" s="331"/>
      <c r="P441" s="331"/>
      <c r="Q441" s="331"/>
      <c r="R441" s="331"/>
      <c r="S441" s="331"/>
      <c r="T441" s="331"/>
      <c r="U441" s="331"/>
      <c r="V441" s="331"/>
      <c r="W441" s="331"/>
      <c r="X441" s="331"/>
      <c r="Z441" s="331"/>
      <c r="AA441" s="331"/>
      <c r="AB441" s="331"/>
      <c r="AD441" s="331"/>
      <c r="AE441" s="331"/>
      <c r="AF441" s="331"/>
      <c r="AH441" s="331"/>
      <c r="AI441" s="331"/>
      <c r="AK441" s="331"/>
    </row>
    <row r="442" spans="2:37" x14ac:dyDescent="0.25">
      <c r="B442" s="9" t="str">
        <f t="shared" si="81"/>
        <v>3 2026</v>
      </c>
      <c r="C442" s="88">
        <f t="shared" si="82"/>
        <v>46091</v>
      </c>
      <c r="D442" s="88">
        <f t="shared" si="85"/>
        <v>46092</v>
      </c>
      <c r="E442" s="89">
        <f t="shared" si="83"/>
        <v>1</v>
      </c>
      <c r="F442" s="123" t="s">
        <v>7</v>
      </c>
      <c r="H442" s="328">
        <f t="shared" si="84"/>
        <v>46091</v>
      </c>
      <c r="I442" s="329"/>
      <c r="J442" s="400"/>
      <c r="L442" s="331"/>
      <c r="M442" s="331"/>
      <c r="N442" s="331"/>
      <c r="O442" s="331"/>
      <c r="P442" s="331"/>
      <c r="Q442" s="331"/>
      <c r="R442" s="331"/>
      <c r="S442" s="331"/>
      <c r="T442" s="331"/>
      <c r="U442" s="331"/>
      <c r="V442" s="331"/>
      <c r="W442" s="331"/>
      <c r="X442" s="331"/>
      <c r="Z442" s="331"/>
      <c r="AA442" s="331"/>
      <c r="AB442" s="331"/>
      <c r="AD442" s="331"/>
      <c r="AE442" s="331"/>
      <c r="AF442" s="331"/>
      <c r="AH442" s="331"/>
      <c r="AI442" s="331"/>
      <c r="AK442" s="331"/>
    </row>
    <row r="443" spans="2:37" x14ac:dyDescent="0.25">
      <c r="B443" s="9" t="str">
        <f t="shared" si="81"/>
        <v>3 2026</v>
      </c>
      <c r="C443" s="88">
        <f t="shared" si="82"/>
        <v>46092</v>
      </c>
      <c r="D443" s="88">
        <f t="shared" si="85"/>
        <v>46093</v>
      </c>
      <c r="E443" s="89">
        <f t="shared" si="83"/>
        <v>1</v>
      </c>
      <c r="F443" s="123" t="s">
        <v>7</v>
      </c>
      <c r="H443" s="328">
        <f t="shared" si="84"/>
        <v>46092</v>
      </c>
      <c r="I443" s="329"/>
      <c r="J443" s="400"/>
      <c r="L443" s="331"/>
      <c r="M443" s="331"/>
      <c r="N443" s="331"/>
      <c r="O443" s="331"/>
      <c r="P443" s="331"/>
      <c r="Q443" s="331"/>
      <c r="R443" s="331"/>
      <c r="S443" s="331"/>
      <c r="T443" s="331"/>
      <c r="U443" s="331"/>
      <c r="V443" s="331"/>
      <c r="W443" s="331"/>
      <c r="X443" s="331"/>
      <c r="Z443" s="331"/>
      <c r="AA443" s="331"/>
      <c r="AB443" s="331"/>
      <c r="AD443" s="331"/>
      <c r="AE443" s="331"/>
      <c r="AF443" s="331"/>
      <c r="AH443" s="331"/>
      <c r="AI443" s="331"/>
      <c r="AK443" s="331"/>
    </row>
    <row r="444" spans="2:37" x14ac:dyDescent="0.25">
      <c r="B444" s="9" t="str">
        <f t="shared" si="81"/>
        <v>3 2026</v>
      </c>
      <c r="C444" s="88">
        <f t="shared" si="82"/>
        <v>46093</v>
      </c>
      <c r="D444" s="88">
        <f t="shared" si="85"/>
        <v>46094</v>
      </c>
      <c r="E444" s="89">
        <f t="shared" si="83"/>
        <v>1</v>
      </c>
      <c r="F444" s="123" t="s">
        <v>7</v>
      </c>
      <c r="H444" s="328">
        <f t="shared" si="84"/>
        <v>46093</v>
      </c>
      <c r="I444" s="329"/>
      <c r="J444" s="400"/>
      <c r="L444" s="331"/>
      <c r="M444" s="331"/>
      <c r="N444" s="331"/>
      <c r="O444" s="331"/>
      <c r="P444" s="331"/>
      <c r="Q444" s="331"/>
      <c r="R444" s="331"/>
      <c r="S444" s="331"/>
      <c r="T444" s="331"/>
      <c r="U444" s="331"/>
      <c r="V444" s="331"/>
      <c r="W444" s="331"/>
      <c r="X444" s="331"/>
      <c r="Z444" s="331"/>
      <c r="AA444" s="331"/>
      <c r="AB444" s="331"/>
      <c r="AD444" s="331"/>
      <c r="AE444" s="331"/>
      <c r="AF444" s="331"/>
      <c r="AH444" s="331"/>
      <c r="AI444" s="331"/>
      <c r="AK444" s="331"/>
    </row>
    <row r="445" spans="2:37" x14ac:dyDescent="0.25">
      <c r="B445" s="9" t="str">
        <f t="shared" si="81"/>
        <v>3 2026</v>
      </c>
      <c r="C445" s="88">
        <f t="shared" si="82"/>
        <v>46094</v>
      </c>
      <c r="D445" s="88">
        <f t="shared" si="85"/>
        <v>46095</v>
      </c>
      <c r="E445" s="89">
        <f t="shared" si="83"/>
        <v>1</v>
      </c>
      <c r="F445" s="123" t="s">
        <v>7</v>
      </c>
      <c r="H445" s="328">
        <f t="shared" si="84"/>
        <v>46094</v>
      </c>
      <c r="I445" s="329"/>
      <c r="J445" s="400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/>
      <c r="X445" s="331"/>
      <c r="Z445" s="331"/>
      <c r="AA445" s="331"/>
      <c r="AB445" s="331"/>
      <c r="AD445" s="331"/>
      <c r="AE445" s="331"/>
      <c r="AF445" s="331"/>
      <c r="AH445" s="331"/>
      <c r="AI445" s="331"/>
      <c r="AK445" s="331"/>
    </row>
    <row r="446" spans="2:37" x14ac:dyDescent="0.25">
      <c r="B446" s="9" t="str">
        <f t="shared" si="81"/>
        <v>3 2026</v>
      </c>
      <c r="C446" s="88">
        <f t="shared" si="82"/>
        <v>46095</v>
      </c>
      <c r="D446" s="88">
        <f t="shared" si="85"/>
        <v>46096</v>
      </c>
      <c r="E446" s="89">
        <f t="shared" si="83"/>
        <v>1</v>
      </c>
      <c r="F446" s="123" t="s">
        <v>7</v>
      </c>
      <c r="H446" s="328">
        <f t="shared" si="84"/>
        <v>46095</v>
      </c>
      <c r="I446" s="329"/>
      <c r="J446" s="400"/>
      <c r="L446" s="331"/>
      <c r="M446" s="331"/>
      <c r="N446" s="331"/>
      <c r="O446" s="331"/>
      <c r="P446" s="331"/>
      <c r="Q446" s="331"/>
      <c r="R446" s="331"/>
      <c r="S446" s="331"/>
      <c r="T446" s="331"/>
      <c r="U446" s="331"/>
      <c r="V446" s="331"/>
      <c r="W446" s="331"/>
      <c r="X446" s="331"/>
      <c r="Z446" s="331"/>
      <c r="AA446" s="331"/>
      <c r="AB446" s="331"/>
      <c r="AD446" s="331"/>
      <c r="AE446" s="331"/>
      <c r="AF446" s="331"/>
      <c r="AH446" s="331"/>
      <c r="AI446" s="331"/>
      <c r="AK446" s="331"/>
    </row>
    <row r="447" spans="2:37" x14ac:dyDescent="0.25">
      <c r="B447" s="9" t="str">
        <f t="shared" si="81"/>
        <v>3 2026</v>
      </c>
      <c r="C447" s="88">
        <f t="shared" si="82"/>
        <v>46096</v>
      </c>
      <c r="D447" s="88">
        <f t="shared" si="85"/>
        <v>46097</v>
      </c>
      <c r="E447" s="89">
        <f t="shared" si="83"/>
        <v>1</v>
      </c>
      <c r="F447" s="123" t="s">
        <v>7</v>
      </c>
      <c r="H447" s="328">
        <f t="shared" si="84"/>
        <v>46096</v>
      </c>
      <c r="I447" s="329"/>
      <c r="J447" s="400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/>
      <c r="X447" s="331"/>
      <c r="Z447" s="331"/>
      <c r="AA447" s="331"/>
      <c r="AB447" s="331"/>
      <c r="AD447" s="331"/>
      <c r="AE447" s="331"/>
      <c r="AF447" s="331"/>
      <c r="AH447" s="331"/>
      <c r="AI447" s="331"/>
      <c r="AK447" s="331"/>
    </row>
    <row r="448" spans="2:37" x14ac:dyDescent="0.25">
      <c r="B448" s="9" t="str">
        <f t="shared" si="81"/>
        <v>3 2026</v>
      </c>
      <c r="C448" s="88">
        <f t="shared" si="82"/>
        <v>46097</v>
      </c>
      <c r="D448" s="88">
        <f t="shared" si="85"/>
        <v>46098</v>
      </c>
      <c r="E448" s="89">
        <f t="shared" si="83"/>
        <v>1</v>
      </c>
      <c r="F448" s="123" t="s">
        <v>7</v>
      </c>
      <c r="H448" s="328">
        <f t="shared" si="84"/>
        <v>46097</v>
      </c>
      <c r="I448" s="329"/>
      <c r="J448" s="400"/>
      <c r="L448" s="331"/>
      <c r="M448" s="331"/>
      <c r="N448" s="331"/>
      <c r="O448" s="331"/>
      <c r="P448" s="331"/>
      <c r="Q448" s="331"/>
      <c r="R448" s="331"/>
      <c r="S448" s="331"/>
      <c r="T448" s="331"/>
      <c r="U448" s="331"/>
      <c r="V448" s="331"/>
      <c r="W448" s="331"/>
      <c r="X448" s="331"/>
      <c r="Z448" s="331"/>
      <c r="AA448" s="331"/>
      <c r="AB448" s="331"/>
      <c r="AD448" s="331"/>
      <c r="AE448" s="331"/>
      <c r="AF448" s="331"/>
      <c r="AH448" s="331"/>
      <c r="AI448" s="331"/>
      <c r="AK448" s="331"/>
    </row>
    <row r="449" spans="2:37" x14ac:dyDescent="0.25">
      <c r="B449" s="9" t="str">
        <f t="shared" si="81"/>
        <v>3 2026</v>
      </c>
      <c r="C449" s="88">
        <f t="shared" si="82"/>
        <v>46098</v>
      </c>
      <c r="D449" s="88">
        <f t="shared" si="85"/>
        <v>46099</v>
      </c>
      <c r="E449" s="89">
        <f t="shared" si="83"/>
        <v>1</v>
      </c>
      <c r="F449" s="123" t="s">
        <v>7</v>
      </c>
      <c r="H449" s="328">
        <f t="shared" si="84"/>
        <v>46098</v>
      </c>
      <c r="I449" s="329"/>
      <c r="J449" s="400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/>
      <c r="X449" s="331"/>
      <c r="Z449" s="331"/>
      <c r="AA449" s="331"/>
      <c r="AB449" s="331"/>
      <c r="AD449" s="331"/>
      <c r="AE449" s="331"/>
      <c r="AF449" s="331"/>
      <c r="AH449" s="331"/>
      <c r="AI449" s="331"/>
      <c r="AK449" s="331"/>
    </row>
    <row r="450" spans="2:37" x14ac:dyDescent="0.25">
      <c r="B450" s="9" t="str">
        <f t="shared" si="81"/>
        <v>3 2026</v>
      </c>
      <c r="C450" s="88">
        <f t="shared" si="82"/>
        <v>46099</v>
      </c>
      <c r="D450" s="88">
        <f t="shared" si="85"/>
        <v>46100</v>
      </c>
      <c r="E450" s="89">
        <f t="shared" si="83"/>
        <v>1</v>
      </c>
      <c r="F450" s="123" t="s">
        <v>7</v>
      </c>
      <c r="H450" s="328">
        <f t="shared" si="84"/>
        <v>46099</v>
      </c>
      <c r="I450" s="329"/>
      <c r="J450" s="400"/>
      <c r="L450" s="331"/>
      <c r="M450" s="331"/>
      <c r="N450" s="331"/>
      <c r="O450" s="331"/>
      <c r="P450" s="331"/>
      <c r="Q450" s="331"/>
      <c r="R450" s="331"/>
      <c r="S450" s="331"/>
      <c r="T450" s="331"/>
      <c r="U450" s="331"/>
      <c r="V450" s="331"/>
      <c r="W450" s="331"/>
      <c r="X450" s="331"/>
      <c r="Z450" s="331"/>
      <c r="AA450" s="331"/>
      <c r="AB450" s="331"/>
      <c r="AD450" s="331"/>
      <c r="AE450" s="331"/>
      <c r="AF450" s="331"/>
      <c r="AH450" s="331"/>
      <c r="AI450" s="331"/>
      <c r="AK450" s="331"/>
    </row>
    <row r="451" spans="2:37" x14ac:dyDescent="0.25">
      <c r="B451" s="9" t="str">
        <f t="shared" si="81"/>
        <v>3 2026</v>
      </c>
      <c r="C451" s="88">
        <f t="shared" si="82"/>
        <v>46100</v>
      </c>
      <c r="D451" s="88">
        <f t="shared" si="85"/>
        <v>46101</v>
      </c>
      <c r="E451" s="89">
        <f t="shared" si="83"/>
        <v>1</v>
      </c>
      <c r="F451" s="123" t="s">
        <v>7</v>
      </c>
      <c r="H451" s="328">
        <f t="shared" si="84"/>
        <v>46100</v>
      </c>
      <c r="I451" s="329"/>
      <c r="J451" s="400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/>
      <c r="X451" s="331"/>
      <c r="Z451" s="331"/>
      <c r="AA451" s="331"/>
      <c r="AB451" s="331"/>
      <c r="AD451" s="331"/>
      <c r="AE451" s="331"/>
      <c r="AF451" s="331"/>
      <c r="AH451" s="331"/>
      <c r="AI451" s="331"/>
      <c r="AK451" s="331"/>
    </row>
    <row r="452" spans="2:37" x14ac:dyDescent="0.25">
      <c r="B452" s="9" t="str">
        <f t="shared" si="81"/>
        <v>3 2026</v>
      </c>
      <c r="C452" s="88">
        <f t="shared" si="82"/>
        <v>46101</v>
      </c>
      <c r="D452" s="88">
        <f t="shared" si="85"/>
        <v>46102</v>
      </c>
      <c r="E452" s="89">
        <f t="shared" si="83"/>
        <v>1</v>
      </c>
      <c r="F452" s="123" t="s">
        <v>7</v>
      </c>
      <c r="H452" s="328">
        <f t="shared" si="84"/>
        <v>46101</v>
      </c>
      <c r="I452" s="329"/>
      <c r="J452" s="400"/>
      <c r="L452" s="331"/>
      <c r="M452" s="331"/>
      <c r="N452" s="331"/>
      <c r="O452" s="331"/>
      <c r="P452" s="331"/>
      <c r="Q452" s="331"/>
      <c r="R452" s="331"/>
      <c r="S452" s="331"/>
      <c r="T452" s="331"/>
      <c r="U452" s="331"/>
      <c r="V452" s="331"/>
      <c r="W452" s="331"/>
      <c r="X452" s="331"/>
      <c r="Z452" s="331"/>
      <c r="AA452" s="331"/>
      <c r="AB452" s="331"/>
      <c r="AD452" s="331"/>
      <c r="AE452" s="331"/>
      <c r="AF452" s="331"/>
      <c r="AH452" s="331"/>
      <c r="AI452" s="331"/>
      <c r="AK452" s="331"/>
    </row>
    <row r="453" spans="2:37" x14ac:dyDescent="0.25">
      <c r="B453" s="9" t="str">
        <f t="shared" si="81"/>
        <v>3 2026</v>
      </c>
      <c r="C453" s="88">
        <f t="shared" si="82"/>
        <v>46102</v>
      </c>
      <c r="D453" s="88">
        <f t="shared" si="85"/>
        <v>46103</v>
      </c>
      <c r="E453" s="89">
        <f t="shared" si="83"/>
        <v>1</v>
      </c>
      <c r="F453" s="123" t="s">
        <v>7</v>
      </c>
      <c r="H453" s="328">
        <f t="shared" si="84"/>
        <v>46102</v>
      </c>
      <c r="I453" s="329"/>
      <c r="J453" s="400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/>
      <c r="X453" s="331"/>
      <c r="Z453" s="331"/>
      <c r="AA453" s="331"/>
      <c r="AB453" s="331"/>
      <c r="AD453" s="331"/>
      <c r="AE453" s="331"/>
      <c r="AF453" s="331"/>
      <c r="AH453" s="331"/>
      <c r="AI453" s="331"/>
      <c r="AK453" s="331"/>
    </row>
    <row r="454" spans="2:37" x14ac:dyDescent="0.25">
      <c r="B454" s="9" t="str">
        <f t="shared" si="81"/>
        <v>3 2026</v>
      </c>
      <c r="C454" s="88">
        <f t="shared" si="82"/>
        <v>46103</v>
      </c>
      <c r="D454" s="88">
        <f t="shared" si="85"/>
        <v>46104</v>
      </c>
      <c r="E454" s="89">
        <f t="shared" si="83"/>
        <v>1</v>
      </c>
      <c r="F454" s="123" t="s">
        <v>7</v>
      </c>
      <c r="H454" s="328">
        <f t="shared" si="84"/>
        <v>46103</v>
      </c>
      <c r="I454" s="329"/>
      <c r="J454" s="400"/>
      <c r="L454" s="331"/>
      <c r="M454" s="331"/>
      <c r="N454" s="331"/>
      <c r="O454" s="331"/>
      <c r="P454" s="331"/>
      <c r="Q454" s="331"/>
      <c r="R454" s="331"/>
      <c r="S454" s="331"/>
      <c r="T454" s="331"/>
      <c r="U454" s="331"/>
      <c r="V454" s="331"/>
      <c r="W454" s="331"/>
      <c r="X454" s="331"/>
      <c r="Z454" s="331"/>
      <c r="AA454" s="331"/>
      <c r="AB454" s="331"/>
      <c r="AD454" s="331"/>
      <c r="AE454" s="331"/>
      <c r="AF454" s="331"/>
      <c r="AH454" s="331"/>
      <c r="AI454" s="331"/>
      <c r="AK454" s="331"/>
    </row>
    <row r="455" spans="2:37" x14ac:dyDescent="0.25">
      <c r="B455" s="9" t="str">
        <f t="shared" si="81"/>
        <v>3 2026</v>
      </c>
      <c r="C455" s="88">
        <f t="shared" si="82"/>
        <v>46104</v>
      </c>
      <c r="D455" s="88">
        <f t="shared" si="85"/>
        <v>46105</v>
      </c>
      <c r="E455" s="89">
        <f t="shared" si="83"/>
        <v>1</v>
      </c>
      <c r="F455" s="123" t="s">
        <v>7</v>
      </c>
      <c r="H455" s="328">
        <f t="shared" si="84"/>
        <v>46104</v>
      </c>
      <c r="I455" s="329"/>
      <c r="J455" s="400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/>
      <c r="X455" s="331"/>
      <c r="Z455" s="331"/>
      <c r="AA455" s="331"/>
      <c r="AB455" s="331"/>
      <c r="AD455" s="331"/>
      <c r="AE455" s="331"/>
      <c r="AF455" s="331"/>
      <c r="AH455" s="331"/>
      <c r="AI455" s="331"/>
      <c r="AK455" s="331"/>
    </row>
    <row r="456" spans="2:37" x14ac:dyDescent="0.25">
      <c r="B456" s="9" t="str">
        <f t="shared" si="81"/>
        <v>3 2026</v>
      </c>
      <c r="C456" s="88">
        <f t="shared" si="82"/>
        <v>46105</v>
      </c>
      <c r="D456" s="88">
        <f t="shared" si="85"/>
        <v>46106</v>
      </c>
      <c r="E456" s="89">
        <f t="shared" si="83"/>
        <v>1</v>
      </c>
      <c r="F456" s="123" t="s">
        <v>7</v>
      </c>
      <c r="H456" s="328">
        <f t="shared" si="84"/>
        <v>46105</v>
      </c>
      <c r="I456" s="329"/>
      <c r="J456" s="400"/>
      <c r="L456" s="331"/>
      <c r="M456" s="331"/>
      <c r="N456" s="331"/>
      <c r="O456" s="331"/>
      <c r="P456" s="331"/>
      <c r="Q456" s="331"/>
      <c r="R456" s="331"/>
      <c r="S456" s="331"/>
      <c r="T456" s="331"/>
      <c r="U456" s="331"/>
      <c r="V456" s="331"/>
      <c r="W456" s="331"/>
      <c r="X456" s="331"/>
      <c r="Z456" s="331"/>
      <c r="AA456" s="331"/>
      <c r="AB456" s="331"/>
      <c r="AD456" s="331"/>
      <c r="AE456" s="331"/>
      <c r="AF456" s="331"/>
      <c r="AH456" s="331"/>
      <c r="AI456" s="331"/>
      <c r="AK456" s="331"/>
    </row>
    <row r="457" spans="2:37" x14ac:dyDescent="0.25">
      <c r="B457" s="9" t="str">
        <f t="shared" si="81"/>
        <v>3 2026</v>
      </c>
      <c r="C457" s="88">
        <f t="shared" si="82"/>
        <v>46106</v>
      </c>
      <c r="D457" s="88">
        <f t="shared" si="85"/>
        <v>46107</v>
      </c>
      <c r="E457" s="89">
        <f t="shared" si="83"/>
        <v>1</v>
      </c>
      <c r="F457" s="123" t="s">
        <v>7</v>
      </c>
      <c r="H457" s="328">
        <f t="shared" si="84"/>
        <v>46106</v>
      </c>
      <c r="I457" s="329"/>
      <c r="J457" s="400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/>
      <c r="X457" s="331"/>
      <c r="Z457" s="331"/>
      <c r="AA457" s="331"/>
      <c r="AB457" s="331"/>
      <c r="AD457" s="331"/>
      <c r="AE457" s="331"/>
      <c r="AF457" s="331"/>
      <c r="AH457" s="331"/>
      <c r="AI457" s="331"/>
      <c r="AK457" s="331"/>
    </row>
    <row r="458" spans="2:37" x14ac:dyDescent="0.25">
      <c r="B458" s="9" t="str">
        <f t="shared" si="81"/>
        <v>3 2026</v>
      </c>
      <c r="C458" s="88">
        <f t="shared" si="82"/>
        <v>46107</v>
      </c>
      <c r="D458" s="88">
        <f t="shared" si="85"/>
        <v>46108</v>
      </c>
      <c r="E458" s="89">
        <f t="shared" si="83"/>
        <v>1</v>
      </c>
      <c r="F458" s="123" t="s">
        <v>7</v>
      </c>
      <c r="H458" s="328">
        <f t="shared" si="84"/>
        <v>46107</v>
      </c>
      <c r="I458" s="329"/>
      <c r="J458" s="400"/>
      <c r="L458" s="331"/>
      <c r="M458" s="331"/>
      <c r="N458" s="331"/>
      <c r="O458" s="331"/>
      <c r="P458" s="331"/>
      <c r="Q458" s="331"/>
      <c r="R458" s="331"/>
      <c r="S458" s="331"/>
      <c r="T458" s="331"/>
      <c r="U458" s="331"/>
      <c r="V458" s="331"/>
      <c r="W458" s="331"/>
      <c r="X458" s="331"/>
      <c r="Z458" s="331"/>
      <c r="AA458" s="331"/>
      <c r="AB458" s="331"/>
      <c r="AD458" s="331"/>
      <c r="AE458" s="331"/>
      <c r="AF458" s="331"/>
      <c r="AH458" s="331"/>
      <c r="AI458" s="331"/>
      <c r="AK458" s="331"/>
    </row>
    <row r="459" spans="2:37" x14ac:dyDescent="0.25">
      <c r="B459" s="9" t="str">
        <f t="shared" si="81"/>
        <v>3 2026</v>
      </c>
      <c r="C459" s="88">
        <f t="shared" si="82"/>
        <v>46108</v>
      </c>
      <c r="D459" s="88">
        <f t="shared" si="85"/>
        <v>46109</v>
      </c>
      <c r="E459" s="89">
        <f t="shared" si="83"/>
        <v>1</v>
      </c>
      <c r="F459" s="123" t="s">
        <v>7</v>
      </c>
      <c r="H459" s="328">
        <f t="shared" si="84"/>
        <v>46108</v>
      </c>
      <c r="I459" s="329"/>
      <c r="J459" s="400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/>
      <c r="X459" s="331"/>
      <c r="Z459" s="331"/>
      <c r="AA459" s="331"/>
      <c r="AB459" s="331"/>
      <c r="AD459" s="331"/>
      <c r="AE459" s="331"/>
      <c r="AF459" s="331"/>
      <c r="AH459" s="331"/>
      <c r="AI459" s="331"/>
      <c r="AK459" s="331"/>
    </row>
    <row r="460" spans="2:37" x14ac:dyDescent="0.25">
      <c r="B460" s="9" t="str">
        <f t="shared" si="81"/>
        <v>3 2026</v>
      </c>
      <c r="C460" s="88">
        <f t="shared" si="82"/>
        <v>46109</v>
      </c>
      <c r="D460" s="88">
        <f t="shared" si="85"/>
        <v>46110</v>
      </c>
      <c r="E460" s="89">
        <f t="shared" si="83"/>
        <v>1</v>
      </c>
      <c r="F460" s="123" t="s">
        <v>7</v>
      </c>
      <c r="H460" s="328">
        <f t="shared" si="84"/>
        <v>46109</v>
      </c>
      <c r="I460" s="329"/>
      <c r="J460" s="400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W460" s="331"/>
      <c r="X460" s="331"/>
      <c r="Z460" s="331"/>
      <c r="AA460" s="331"/>
      <c r="AB460" s="331"/>
      <c r="AD460" s="331"/>
      <c r="AE460" s="331"/>
      <c r="AF460" s="331"/>
      <c r="AH460" s="331"/>
      <c r="AI460" s="331"/>
      <c r="AK460" s="331"/>
    </row>
    <row r="461" spans="2:37" x14ac:dyDescent="0.25">
      <c r="B461" s="9" t="str">
        <f t="shared" si="81"/>
        <v>3 2026</v>
      </c>
      <c r="C461" s="88">
        <f t="shared" si="82"/>
        <v>46110</v>
      </c>
      <c r="D461" s="88">
        <f t="shared" si="85"/>
        <v>46111</v>
      </c>
      <c r="E461" s="89">
        <f t="shared" si="83"/>
        <v>1</v>
      </c>
      <c r="F461" s="123" t="s">
        <v>7</v>
      </c>
      <c r="H461" s="328">
        <f t="shared" si="84"/>
        <v>46110</v>
      </c>
      <c r="I461" s="329"/>
      <c r="J461" s="400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/>
      <c r="X461" s="331"/>
      <c r="Z461" s="331"/>
      <c r="AA461" s="331"/>
      <c r="AB461" s="331"/>
      <c r="AD461" s="331"/>
      <c r="AE461" s="331"/>
      <c r="AF461" s="331"/>
      <c r="AH461" s="331"/>
      <c r="AI461" s="331"/>
      <c r="AK461" s="331"/>
    </row>
    <row r="462" spans="2:37" x14ac:dyDescent="0.25">
      <c r="B462" s="9" t="str">
        <f t="shared" si="81"/>
        <v>3 2026</v>
      </c>
      <c r="C462" s="88">
        <f t="shared" si="82"/>
        <v>46111</v>
      </c>
      <c r="D462" s="88">
        <f t="shared" si="85"/>
        <v>46112</v>
      </c>
      <c r="E462" s="89">
        <f t="shared" si="83"/>
        <v>1</v>
      </c>
      <c r="F462" s="123" t="s">
        <v>7</v>
      </c>
      <c r="H462" s="328">
        <f t="shared" si="84"/>
        <v>46111</v>
      </c>
      <c r="I462" s="329"/>
      <c r="J462" s="400"/>
      <c r="L462" s="331"/>
      <c r="M462" s="331"/>
      <c r="N462" s="331"/>
      <c r="O462" s="331"/>
      <c r="P462" s="331"/>
      <c r="Q462" s="331"/>
      <c r="R462" s="331"/>
      <c r="S462" s="331"/>
      <c r="T462" s="331"/>
      <c r="U462" s="331"/>
      <c r="V462" s="331"/>
      <c r="W462" s="331"/>
      <c r="X462" s="331"/>
      <c r="Z462" s="331"/>
      <c r="AA462" s="331"/>
      <c r="AB462" s="331"/>
      <c r="AD462" s="331"/>
      <c r="AE462" s="331"/>
      <c r="AF462" s="331"/>
      <c r="AH462" s="331"/>
      <c r="AI462" s="331"/>
      <c r="AK462" s="331"/>
    </row>
    <row r="463" spans="2:37" x14ac:dyDescent="0.25">
      <c r="B463" s="9" t="str">
        <f t="shared" si="81"/>
        <v>4 2026</v>
      </c>
      <c r="C463" s="88">
        <f t="shared" si="82"/>
        <v>46112</v>
      </c>
      <c r="D463" s="88">
        <f t="shared" si="85"/>
        <v>46113</v>
      </c>
      <c r="E463" s="89">
        <f t="shared" si="83"/>
        <v>1</v>
      </c>
      <c r="F463" s="123" t="s">
        <v>7</v>
      </c>
      <c r="H463" s="328">
        <f t="shared" si="84"/>
        <v>46112</v>
      </c>
      <c r="I463" s="329"/>
      <c r="J463" s="400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/>
      <c r="X463" s="331"/>
      <c r="Z463" s="331"/>
      <c r="AA463" s="331"/>
      <c r="AB463" s="331"/>
      <c r="AD463" s="331"/>
      <c r="AE463" s="331"/>
      <c r="AF463" s="331"/>
      <c r="AH463" s="331"/>
      <c r="AI463" s="331"/>
      <c r="AK463" s="331"/>
    </row>
    <row r="464" spans="2:37" x14ac:dyDescent="0.25">
      <c r="B464" s="9" t="str">
        <f t="shared" si="81"/>
        <v>4 2026</v>
      </c>
      <c r="C464" s="88">
        <f t="shared" si="82"/>
        <v>46113</v>
      </c>
      <c r="D464" s="88">
        <f t="shared" si="85"/>
        <v>46114</v>
      </c>
      <c r="E464" s="89">
        <f t="shared" si="83"/>
        <v>1</v>
      </c>
      <c r="F464" s="123" t="s">
        <v>7</v>
      </c>
      <c r="H464" s="328">
        <f t="shared" si="84"/>
        <v>46113</v>
      </c>
      <c r="I464" s="329"/>
      <c r="J464" s="400"/>
      <c r="L464" s="331"/>
      <c r="M464" s="331"/>
      <c r="N464" s="331"/>
      <c r="O464" s="331"/>
      <c r="P464" s="331"/>
      <c r="Q464" s="331"/>
      <c r="R464" s="331"/>
      <c r="S464" s="331"/>
      <c r="T464" s="331"/>
      <c r="U464" s="331"/>
      <c r="V464" s="331"/>
      <c r="W464" s="331"/>
      <c r="X464" s="331"/>
      <c r="Z464" s="331"/>
      <c r="AA464" s="331"/>
      <c r="AB464" s="331"/>
      <c r="AD464" s="331"/>
      <c r="AE464" s="331"/>
      <c r="AF464" s="331"/>
      <c r="AH464" s="331"/>
      <c r="AI464" s="331"/>
      <c r="AK464" s="331"/>
    </row>
    <row r="465" spans="2:37" x14ac:dyDescent="0.25">
      <c r="B465" s="9" t="str">
        <f t="shared" si="81"/>
        <v>4 2026</v>
      </c>
      <c r="C465" s="88">
        <f t="shared" si="82"/>
        <v>46114</v>
      </c>
      <c r="D465" s="88">
        <f t="shared" si="85"/>
        <v>46115</v>
      </c>
      <c r="E465" s="89">
        <f t="shared" si="83"/>
        <v>1</v>
      </c>
      <c r="F465" s="123" t="s">
        <v>7</v>
      </c>
      <c r="H465" s="328">
        <f t="shared" si="84"/>
        <v>46114</v>
      </c>
      <c r="I465" s="329"/>
      <c r="J465" s="400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/>
      <c r="X465" s="331"/>
      <c r="Z465" s="331"/>
      <c r="AA465" s="331"/>
      <c r="AB465" s="331"/>
      <c r="AD465" s="331"/>
      <c r="AE465" s="331"/>
      <c r="AF465" s="331"/>
      <c r="AH465" s="331"/>
      <c r="AI465" s="331"/>
      <c r="AK465" s="331"/>
    </row>
    <row r="466" spans="2:37" x14ac:dyDescent="0.25">
      <c r="B466" s="9" t="str">
        <f t="shared" si="81"/>
        <v>4 2026</v>
      </c>
      <c r="C466" s="88">
        <f t="shared" si="82"/>
        <v>46115</v>
      </c>
      <c r="D466" s="88">
        <f t="shared" si="85"/>
        <v>46116</v>
      </c>
      <c r="E466" s="89">
        <f t="shared" si="83"/>
        <v>1</v>
      </c>
      <c r="F466" s="123" t="s">
        <v>7</v>
      </c>
      <c r="H466" s="328">
        <f t="shared" si="84"/>
        <v>46115</v>
      </c>
      <c r="I466" s="329"/>
      <c r="J466" s="400"/>
      <c r="L466" s="331"/>
      <c r="M466" s="331"/>
      <c r="N466" s="331"/>
      <c r="O466" s="331"/>
      <c r="P466" s="331"/>
      <c r="Q466" s="331"/>
      <c r="R466" s="331"/>
      <c r="S466" s="331"/>
      <c r="T466" s="331"/>
      <c r="U466" s="331"/>
      <c r="V466" s="331"/>
      <c r="W466" s="331"/>
      <c r="X466" s="331"/>
      <c r="Z466" s="331"/>
      <c r="AA466" s="331"/>
      <c r="AB466" s="331"/>
      <c r="AD466" s="331"/>
      <c r="AE466" s="331"/>
      <c r="AF466" s="331"/>
      <c r="AH466" s="331"/>
      <c r="AI466" s="331"/>
      <c r="AK466" s="331"/>
    </row>
    <row r="467" spans="2:37" x14ac:dyDescent="0.25">
      <c r="B467" s="9" t="str">
        <f t="shared" si="81"/>
        <v>4 2026</v>
      </c>
      <c r="C467" s="88">
        <f t="shared" si="82"/>
        <v>46116</v>
      </c>
      <c r="D467" s="88">
        <f t="shared" si="85"/>
        <v>46117</v>
      </c>
      <c r="E467" s="89">
        <f t="shared" si="83"/>
        <v>1</v>
      </c>
      <c r="F467" s="123" t="s">
        <v>7</v>
      </c>
      <c r="H467" s="328">
        <f t="shared" si="84"/>
        <v>46116</v>
      </c>
      <c r="I467" s="329"/>
      <c r="J467" s="400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/>
      <c r="X467" s="331"/>
      <c r="Z467" s="331"/>
      <c r="AA467" s="331"/>
      <c r="AB467" s="331"/>
      <c r="AD467" s="331"/>
      <c r="AE467" s="331"/>
      <c r="AF467" s="331"/>
      <c r="AH467" s="331"/>
      <c r="AI467" s="331"/>
      <c r="AK467" s="331"/>
    </row>
    <row r="468" spans="2:37" x14ac:dyDescent="0.25">
      <c r="B468" s="9" t="str">
        <f t="shared" si="81"/>
        <v>4 2026</v>
      </c>
      <c r="C468" s="88">
        <f t="shared" si="82"/>
        <v>46117</v>
      </c>
      <c r="D468" s="88">
        <f t="shared" si="85"/>
        <v>46118</v>
      </c>
      <c r="E468" s="89">
        <f t="shared" si="83"/>
        <v>1</v>
      </c>
      <c r="F468" s="123" t="s">
        <v>7</v>
      </c>
      <c r="H468" s="328">
        <f t="shared" si="84"/>
        <v>46117</v>
      </c>
      <c r="I468" s="329"/>
      <c r="J468" s="400"/>
      <c r="L468" s="331"/>
      <c r="M468" s="331"/>
      <c r="N468" s="331"/>
      <c r="O468" s="331"/>
      <c r="P468" s="331"/>
      <c r="Q468" s="331"/>
      <c r="R468" s="331"/>
      <c r="S468" s="331"/>
      <c r="T468" s="331"/>
      <c r="U468" s="331"/>
      <c r="V468" s="331"/>
      <c r="W468" s="331"/>
      <c r="X468" s="331"/>
      <c r="Z468" s="331"/>
      <c r="AA468" s="331"/>
      <c r="AB468" s="331"/>
      <c r="AD468" s="331"/>
      <c r="AE468" s="331"/>
      <c r="AF468" s="331"/>
      <c r="AH468" s="331"/>
      <c r="AI468" s="331"/>
      <c r="AK468" s="331"/>
    </row>
    <row r="469" spans="2:37" x14ac:dyDescent="0.25">
      <c r="B469" s="9" t="str">
        <f t="shared" ref="B469:B532" si="86">CONCATENATE(MONTH(D469)," ",YEAR(D469))</f>
        <v>4 2026</v>
      </c>
      <c r="C469" s="88">
        <f t="shared" ref="C469:C532" si="87">D468</f>
        <v>46118</v>
      </c>
      <c r="D469" s="88">
        <f t="shared" si="85"/>
        <v>46119</v>
      </c>
      <c r="E469" s="89">
        <f t="shared" ref="E469:E532" si="88">D469-C469</f>
        <v>1</v>
      </c>
      <c r="F469" s="123" t="s">
        <v>7</v>
      </c>
      <c r="H469" s="328">
        <f t="shared" ref="H469:H532" si="89">C469</f>
        <v>46118</v>
      </c>
      <c r="I469" s="329"/>
      <c r="J469" s="400"/>
      <c r="L469" s="331"/>
      <c r="M469" s="331"/>
      <c r="N469" s="331"/>
      <c r="O469" s="331"/>
      <c r="P469" s="331"/>
      <c r="Q469" s="331"/>
      <c r="R469" s="331"/>
      <c r="S469" s="331"/>
      <c r="T469" s="331"/>
      <c r="U469" s="331"/>
      <c r="V469" s="331"/>
      <c r="W469" s="331"/>
      <c r="X469" s="331"/>
      <c r="Z469" s="331"/>
      <c r="AA469" s="331"/>
      <c r="AB469" s="331"/>
      <c r="AD469" s="331"/>
      <c r="AE469" s="331"/>
      <c r="AF469" s="331"/>
      <c r="AH469" s="331"/>
      <c r="AI469" s="331"/>
      <c r="AK469" s="331"/>
    </row>
    <row r="470" spans="2:37" x14ac:dyDescent="0.25">
      <c r="B470" s="9" t="str">
        <f t="shared" si="86"/>
        <v>4 2026</v>
      </c>
      <c r="C470" s="88">
        <f t="shared" si="87"/>
        <v>46119</v>
      </c>
      <c r="D470" s="88">
        <f t="shared" si="85"/>
        <v>46120</v>
      </c>
      <c r="E470" s="89">
        <f t="shared" si="88"/>
        <v>1</v>
      </c>
      <c r="F470" s="123" t="s">
        <v>7</v>
      </c>
      <c r="H470" s="328">
        <f t="shared" si="89"/>
        <v>46119</v>
      </c>
      <c r="I470" s="329"/>
      <c r="J470" s="400"/>
      <c r="L470" s="331"/>
      <c r="M470" s="331"/>
      <c r="N470" s="331"/>
      <c r="O470" s="331"/>
      <c r="P470" s="331"/>
      <c r="Q470" s="331"/>
      <c r="R470" s="331"/>
      <c r="S470" s="331"/>
      <c r="T470" s="331"/>
      <c r="U470" s="331"/>
      <c r="V470" s="331"/>
      <c r="W470" s="331"/>
      <c r="X470" s="331"/>
      <c r="Z470" s="331"/>
      <c r="AA470" s="331"/>
      <c r="AB470" s="331"/>
      <c r="AD470" s="331"/>
      <c r="AE470" s="331"/>
      <c r="AF470" s="331"/>
      <c r="AH470" s="331"/>
      <c r="AI470" s="331"/>
      <c r="AK470" s="331"/>
    </row>
    <row r="471" spans="2:37" x14ac:dyDescent="0.25">
      <c r="B471" s="9" t="str">
        <f t="shared" si="86"/>
        <v>4 2026</v>
      </c>
      <c r="C471" s="88">
        <f t="shared" si="87"/>
        <v>46120</v>
      </c>
      <c r="D471" s="88">
        <f t="shared" si="85"/>
        <v>46121</v>
      </c>
      <c r="E471" s="89">
        <f t="shared" si="88"/>
        <v>1</v>
      </c>
      <c r="F471" s="123" t="s">
        <v>7</v>
      </c>
      <c r="H471" s="328">
        <f t="shared" si="89"/>
        <v>46120</v>
      </c>
      <c r="I471" s="329"/>
      <c r="J471" s="400"/>
      <c r="L471" s="331"/>
      <c r="M471" s="331"/>
      <c r="N471" s="331"/>
      <c r="O471" s="331"/>
      <c r="P471" s="331"/>
      <c r="Q471" s="331"/>
      <c r="R471" s="331"/>
      <c r="S471" s="331"/>
      <c r="T471" s="331"/>
      <c r="U471" s="331"/>
      <c r="V471" s="331"/>
      <c r="W471" s="331"/>
      <c r="X471" s="331"/>
      <c r="Z471" s="331"/>
      <c r="AA471" s="331"/>
      <c r="AB471" s="331"/>
      <c r="AD471" s="331"/>
      <c r="AE471" s="331"/>
      <c r="AF471" s="331"/>
      <c r="AH471" s="331"/>
      <c r="AI471" s="331"/>
      <c r="AK471" s="331"/>
    </row>
    <row r="472" spans="2:37" x14ac:dyDescent="0.25">
      <c r="B472" s="9" t="str">
        <f t="shared" si="86"/>
        <v>4 2026</v>
      </c>
      <c r="C472" s="88">
        <f t="shared" si="87"/>
        <v>46121</v>
      </c>
      <c r="D472" s="88">
        <f t="shared" si="85"/>
        <v>46122</v>
      </c>
      <c r="E472" s="89">
        <f t="shared" si="88"/>
        <v>1</v>
      </c>
      <c r="F472" s="123" t="s">
        <v>7</v>
      </c>
      <c r="H472" s="328">
        <f t="shared" si="89"/>
        <v>46121</v>
      </c>
      <c r="I472" s="329"/>
      <c r="J472" s="400"/>
      <c r="L472" s="331"/>
      <c r="M472" s="331"/>
      <c r="N472" s="331"/>
      <c r="O472" s="331"/>
      <c r="P472" s="331"/>
      <c r="Q472" s="331"/>
      <c r="R472" s="331"/>
      <c r="S472" s="331"/>
      <c r="T472" s="331"/>
      <c r="U472" s="331"/>
      <c r="V472" s="331"/>
      <c r="W472" s="331"/>
      <c r="X472" s="331"/>
      <c r="Z472" s="331"/>
      <c r="AA472" s="331"/>
      <c r="AB472" s="331"/>
      <c r="AD472" s="331"/>
      <c r="AE472" s="331"/>
      <c r="AF472" s="331"/>
      <c r="AH472" s="331"/>
      <c r="AI472" s="331"/>
      <c r="AK472" s="331"/>
    </row>
    <row r="473" spans="2:37" x14ac:dyDescent="0.25">
      <c r="B473" s="9" t="str">
        <f t="shared" si="86"/>
        <v>4 2026</v>
      </c>
      <c r="C473" s="88">
        <f t="shared" si="87"/>
        <v>46122</v>
      </c>
      <c r="D473" s="88">
        <f t="shared" si="85"/>
        <v>46123</v>
      </c>
      <c r="E473" s="89">
        <f t="shared" si="88"/>
        <v>1</v>
      </c>
      <c r="F473" s="123" t="s">
        <v>7</v>
      </c>
      <c r="H473" s="328">
        <f t="shared" si="89"/>
        <v>46122</v>
      </c>
      <c r="I473" s="329"/>
      <c r="J473" s="400"/>
      <c r="L473" s="331"/>
      <c r="M473" s="331"/>
      <c r="N473" s="331"/>
      <c r="O473" s="331"/>
      <c r="P473" s="331"/>
      <c r="Q473" s="331"/>
      <c r="R473" s="331"/>
      <c r="S473" s="331"/>
      <c r="T473" s="331"/>
      <c r="U473" s="331"/>
      <c r="V473" s="331"/>
      <c r="W473" s="331"/>
      <c r="X473" s="331"/>
      <c r="Z473" s="331"/>
      <c r="AA473" s="331"/>
      <c r="AB473" s="331"/>
      <c r="AD473" s="331"/>
      <c r="AE473" s="331"/>
      <c r="AF473" s="331"/>
      <c r="AH473" s="331"/>
      <c r="AI473" s="331"/>
      <c r="AK473" s="331"/>
    </row>
    <row r="474" spans="2:37" x14ac:dyDescent="0.25">
      <c r="B474" s="9" t="str">
        <f t="shared" si="86"/>
        <v>4 2026</v>
      </c>
      <c r="C474" s="88">
        <f t="shared" si="87"/>
        <v>46123</v>
      </c>
      <c r="D474" s="88">
        <f t="shared" si="85"/>
        <v>46124</v>
      </c>
      <c r="E474" s="89">
        <f t="shared" si="88"/>
        <v>1</v>
      </c>
      <c r="F474" s="123" t="s">
        <v>7</v>
      </c>
      <c r="H474" s="328">
        <f t="shared" si="89"/>
        <v>46123</v>
      </c>
      <c r="I474" s="329"/>
      <c r="J474" s="400"/>
      <c r="L474" s="331"/>
      <c r="M474" s="331"/>
      <c r="N474" s="331"/>
      <c r="O474" s="331"/>
      <c r="P474" s="331"/>
      <c r="Q474" s="331"/>
      <c r="R474" s="331"/>
      <c r="S474" s="331"/>
      <c r="T474" s="331"/>
      <c r="U474" s="331"/>
      <c r="V474" s="331"/>
      <c r="W474" s="331"/>
      <c r="X474" s="331"/>
      <c r="Z474" s="331"/>
      <c r="AA474" s="331"/>
      <c r="AB474" s="331"/>
      <c r="AD474" s="331"/>
      <c r="AE474" s="331"/>
      <c r="AF474" s="331"/>
      <c r="AH474" s="331"/>
      <c r="AI474" s="331"/>
      <c r="AK474" s="331"/>
    </row>
    <row r="475" spans="2:37" x14ac:dyDescent="0.25">
      <c r="B475" s="9" t="str">
        <f t="shared" si="86"/>
        <v>4 2026</v>
      </c>
      <c r="C475" s="88">
        <f t="shared" si="87"/>
        <v>46124</v>
      </c>
      <c r="D475" s="88">
        <f t="shared" si="85"/>
        <v>46125</v>
      </c>
      <c r="E475" s="89">
        <f t="shared" si="88"/>
        <v>1</v>
      </c>
      <c r="F475" s="123" t="s">
        <v>7</v>
      </c>
      <c r="H475" s="328">
        <f t="shared" si="89"/>
        <v>46124</v>
      </c>
      <c r="I475" s="329"/>
      <c r="J475" s="400"/>
      <c r="L475" s="331"/>
      <c r="M475" s="331"/>
      <c r="N475" s="331"/>
      <c r="O475" s="331"/>
      <c r="P475" s="331"/>
      <c r="Q475" s="331"/>
      <c r="R475" s="331"/>
      <c r="S475" s="331"/>
      <c r="T475" s="331"/>
      <c r="U475" s="331"/>
      <c r="V475" s="331"/>
      <c r="W475" s="331"/>
      <c r="X475" s="331"/>
      <c r="Z475" s="331"/>
      <c r="AA475" s="331"/>
      <c r="AB475" s="331"/>
      <c r="AD475" s="331"/>
      <c r="AE475" s="331"/>
      <c r="AF475" s="331"/>
      <c r="AH475" s="331"/>
      <c r="AI475" s="331"/>
      <c r="AK475" s="331"/>
    </row>
    <row r="476" spans="2:37" x14ac:dyDescent="0.25">
      <c r="B476" s="9" t="str">
        <f t="shared" si="86"/>
        <v>4 2026</v>
      </c>
      <c r="C476" s="88">
        <f t="shared" si="87"/>
        <v>46125</v>
      </c>
      <c r="D476" s="88">
        <f t="shared" si="85"/>
        <v>46126</v>
      </c>
      <c r="E476" s="89">
        <f t="shared" si="88"/>
        <v>1</v>
      </c>
      <c r="F476" s="123" t="s">
        <v>7</v>
      </c>
      <c r="H476" s="328">
        <f t="shared" si="89"/>
        <v>46125</v>
      </c>
      <c r="I476" s="329"/>
      <c r="J476" s="400"/>
      <c r="L476" s="331"/>
      <c r="M476" s="331"/>
      <c r="N476" s="331"/>
      <c r="O476" s="331"/>
      <c r="P476" s="331"/>
      <c r="Q476" s="331"/>
      <c r="R476" s="331"/>
      <c r="S476" s="331"/>
      <c r="T476" s="331"/>
      <c r="U476" s="331"/>
      <c r="V476" s="331"/>
      <c r="W476" s="331"/>
      <c r="X476" s="331"/>
      <c r="Z476" s="331"/>
      <c r="AA476" s="331"/>
      <c r="AB476" s="331"/>
      <c r="AD476" s="331"/>
      <c r="AE476" s="331"/>
      <c r="AF476" s="331"/>
      <c r="AH476" s="331"/>
      <c r="AI476" s="331"/>
      <c r="AK476" s="331"/>
    </row>
    <row r="477" spans="2:37" x14ac:dyDescent="0.25">
      <c r="B477" s="9" t="str">
        <f t="shared" si="86"/>
        <v>4 2026</v>
      </c>
      <c r="C477" s="88">
        <f t="shared" si="87"/>
        <v>46126</v>
      </c>
      <c r="D477" s="88">
        <f t="shared" si="85"/>
        <v>46127</v>
      </c>
      <c r="E477" s="89">
        <f t="shared" si="88"/>
        <v>1</v>
      </c>
      <c r="F477" s="123" t="s">
        <v>7</v>
      </c>
      <c r="H477" s="328">
        <f t="shared" si="89"/>
        <v>46126</v>
      </c>
      <c r="I477" s="329"/>
      <c r="J477" s="400"/>
      <c r="L477" s="331"/>
      <c r="M477" s="331"/>
      <c r="N477" s="331"/>
      <c r="O477" s="331"/>
      <c r="P477" s="331"/>
      <c r="Q477" s="331"/>
      <c r="R477" s="331"/>
      <c r="S477" s="331"/>
      <c r="T477" s="331"/>
      <c r="U477" s="331"/>
      <c r="V477" s="331"/>
      <c r="W477" s="331"/>
      <c r="X477" s="331"/>
      <c r="Z477" s="331"/>
      <c r="AA477" s="331"/>
      <c r="AB477" s="331"/>
      <c r="AD477" s="331"/>
      <c r="AE477" s="331"/>
      <c r="AF477" s="331"/>
      <c r="AH477" s="331"/>
      <c r="AI477" s="331"/>
      <c r="AK477" s="331"/>
    </row>
    <row r="478" spans="2:37" x14ac:dyDescent="0.25">
      <c r="B478" s="9" t="str">
        <f t="shared" si="86"/>
        <v>4 2026</v>
      </c>
      <c r="C478" s="88">
        <f t="shared" si="87"/>
        <v>46127</v>
      </c>
      <c r="D478" s="88">
        <f t="shared" si="85"/>
        <v>46128</v>
      </c>
      <c r="E478" s="89">
        <f t="shared" si="88"/>
        <v>1</v>
      </c>
      <c r="F478" s="123" t="s">
        <v>7</v>
      </c>
      <c r="H478" s="328">
        <f t="shared" si="89"/>
        <v>46127</v>
      </c>
      <c r="I478" s="329"/>
      <c r="J478" s="400"/>
      <c r="L478" s="331"/>
      <c r="M478" s="331"/>
      <c r="N478" s="331"/>
      <c r="O478" s="331"/>
      <c r="P478" s="331"/>
      <c r="Q478" s="331"/>
      <c r="R478" s="331"/>
      <c r="S478" s="331"/>
      <c r="T478" s="331"/>
      <c r="U478" s="331"/>
      <c r="V478" s="331"/>
      <c r="W478" s="331"/>
      <c r="X478" s="331"/>
      <c r="Z478" s="331"/>
      <c r="AA478" s="331"/>
      <c r="AB478" s="331"/>
      <c r="AD478" s="331"/>
      <c r="AE478" s="331"/>
      <c r="AF478" s="331"/>
      <c r="AH478" s="331"/>
      <c r="AI478" s="331"/>
      <c r="AK478" s="331"/>
    </row>
    <row r="479" spans="2:37" x14ac:dyDescent="0.25">
      <c r="B479" s="9" t="str">
        <f t="shared" si="86"/>
        <v>4 2026</v>
      </c>
      <c r="C479" s="88">
        <f t="shared" si="87"/>
        <v>46128</v>
      </c>
      <c r="D479" s="88">
        <f t="shared" si="85"/>
        <v>46129</v>
      </c>
      <c r="E479" s="89">
        <f t="shared" si="88"/>
        <v>1</v>
      </c>
      <c r="F479" s="123" t="s">
        <v>7</v>
      </c>
      <c r="H479" s="328">
        <f t="shared" si="89"/>
        <v>46128</v>
      </c>
      <c r="I479" s="329"/>
      <c r="J479" s="400"/>
      <c r="L479" s="331"/>
      <c r="M479" s="331"/>
      <c r="N479" s="331"/>
      <c r="O479" s="331"/>
      <c r="P479" s="331"/>
      <c r="Q479" s="331"/>
      <c r="R479" s="331"/>
      <c r="S479" s="331"/>
      <c r="T479" s="331"/>
      <c r="U479" s="331"/>
      <c r="V479" s="331"/>
      <c r="W479" s="331"/>
      <c r="X479" s="331"/>
      <c r="Z479" s="331"/>
      <c r="AA479" s="331"/>
      <c r="AB479" s="331"/>
      <c r="AD479" s="331"/>
      <c r="AE479" s="331"/>
      <c r="AF479" s="331"/>
      <c r="AH479" s="331"/>
      <c r="AI479" s="331"/>
      <c r="AK479" s="331"/>
    </row>
    <row r="480" spans="2:37" x14ac:dyDescent="0.25">
      <c r="B480" s="9" t="str">
        <f t="shared" si="86"/>
        <v>4 2026</v>
      </c>
      <c r="C480" s="88">
        <f t="shared" si="87"/>
        <v>46129</v>
      </c>
      <c r="D480" s="88">
        <f t="shared" si="85"/>
        <v>46130</v>
      </c>
      <c r="E480" s="89">
        <f t="shared" si="88"/>
        <v>1</v>
      </c>
      <c r="F480" s="123" t="s">
        <v>7</v>
      </c>
      <c r="H480" s="328">
        <f t="shared" si="89"/>
        <v>46129</v>
      </c>
      <c r="I480" s="329"/>
      <c r="J480" s="400"/>
      <c r="L480" s="331"/>
      <c r="M480" s="331"/>
      <c r="N480" s="331"/>
      <c r="O480" s="331"/>
      <c r="P480" s="331"/>
      <c r="Q480" s="331"/>
      <c r="R480" s="331"/>
      <c r="S480" s="331"/>
      <c r="T480" s="331"/>
      <c r="U480" s="331"/>
      <c r="V480" s="331"/>
      <c r="W480" s="331"/>
      <c r="X480" s="331"/>
      <c r="Z480" s="331"/>
      <c r="AA480" s="331"/>
      <c r="AB480" s="331"/>
      <c r="AD480" s="331"/>
      <c r="AE480" s="331"/>
      <c r="AF480" s="331"/>
      <c r="AH480" s="331"/>
      <c r="AI480" s="331"/>
      <c r="AK480" s="331"/>
    </row>
    <row r="481" spans="2:37" x14ac:dyDescent="0.25">
      <c r="B481" s="9" t="str">
        <f t="shared" si="86"/>
        <v>4 2026</v>
      </c>
      <c r="C481" s="88">
        <f t="shared" si="87"/>
        <v>46130</v>
      </c>
      <c r="D481" s="88">
        <f t="shared" si="85"/>
        <v>46131</v>
      </c>
      <c r="E481" s="89">
        <f t="shared" si="88"/>
        <v>1</v>
      </c>
      <c r="F481" s="123" t="s">
        <v>7</v>
      </c>
      <c r="H481" s="328">
        <f t="shared" si="89"/>
        <v>46130</v>
      </c>
      <c r="I481" s="329"/>
      <c r="J481" s="400"/>
      <c r="L481" s="331"/>
      <c r="M481" s="331"/>
      <c r="N481" s="331"/>
      <c r="O481" s="331"/>
      <c r="P481" s="331"/>
      <c r="Q481" s="331"/>
      <c r="R481" s="331"/>
      <c r="S481" s="331"/>
      <c r="T481" s="331"/>
      <c r="U481" s="331"/>
      <c r="V481" s="331"/>
      <c r="W481" s="331"/>
      <c r="X481" s="331"/>
      <c r="Z481" s="331"/>
      <c r="AA481" s="331"/>
      <c r="AB481" s="331"/>
      <c r="AD481" s="331"/>
      <c r="AE481" s="331"/>
      <c r="AF481" s="331"/>
      <c r="AH481" s="331"/>
      <c r="AI481" s="331"/>
      <c r="AK481" s="331"/>
    </row>
    <row r="482" spans="2:37" x14ac:dyDescent="0.25">
      <c r="B482" s="9" t="str">
        <f t="shared" si="86"/>
        <v>4 2026</v>
      </c>
      <c r="C482" s="88">
        <f t="shared" si="87"/>
        <v>46131</v>
      </c>
      <c r="D482" s="88">
        <f t="shared" si="85"/>
        <v>46132</v>
      </c>
      <c r="E482" s="89">
        <f t="shared" si="88"/>
        <v>1</v>
      </c>
      <c r="F482" s="123" t="s">
        <v>7</v>
      </c>
      <c r="H482" s="328">
        <f t="shared" si="89"/>
        <v>46131</v>
      </c>
      <c r="I482" s="329"/>
      <c r="J482" s="400"/>
      <c r="L482" s="331"/>
      <c r="M482" s="331"/>
      <c r="N482" s="331"/>
      <c r="O482" s="331"/>
      <c r="P482" s="331"/>
      <c r="Q482" s="331"/>
      <c r="R482" s="331"/>
      <c r="S482" s="331"/>
      <c r="T482" s="331"/>
      <c r="U482" s="331"/>
      <c r="V482" s="331"/>
      <c r="W482" s="331"/>
      <c r="X482" s="331"/>
      <c r="Z482" s="331"/>
      <c r="AA482" s="331"/>
      <c r="AB482" s="331"/>
      <c r="AD482" s="331"/>
      <c r="AE482" s="331"/>
      <c r="AF482" s="331"/>
      <c r="AH482" s="331"/>
      <c r="AI482" s="331"/>
      <c r="AK482" s="331"/>
    </row>
    <row r="483" spans="2:37" x14ac:dyDescent="0.25">
      <c r="B483" s="9" t="str">
        <f t="shared" si="86"/>
        <v>4 2026</v>
      </c>
      <c r="C483" s="88">
        <f t="shared" si="87"/>
        <v>46132</v>
      </c>
      <c r="D483" s="88">
        <f t="shared" si="85"/>
        <v>46133</v>
      </c>
      <c r="E483" s="89">
        <f t="shared" si="88"/>
        <v>1</v>
      </c>
      <c r="F483" s="123" t="s">
        <v>7</v>
      </c>
      <c r="H483" s="328">
        <f t="shared" si="89"/>
        <v>46132</v>
      </c>
      <c r="I483" s="329"/>
      <c r="J483" s="400"/>
      <c r="L483" s="331"/>
      <c r="M483" s="331"/>
      <c r="N483" s="331"/>
      <c r="O483" s="331"/>
      <c r="P483" s="331"/>
      <c r="Q483" s="331"/>
      <c r="R483" s="331"/>
      <c r="S483" s="331"/>
      <c r="T483" s="331"/>
      <c r="U483" s="331"/>
      <c r="V483" s="331"/>
      <c r="W483" s="331"/>
      <c r="X483" s="331"/>
      <c r="Z483" s="331"/>
      <c r="AA483" s="331"/>
      <c r="AB483" s="331"/>
      <c r="AD483" s="331"/>
      <c r="AE483" s="331"/>
      <c r="AF483" s="331"/>
      <c r="AH483" s="331"/>
      <c r="AI483" s="331"/>
      <c r="AK483" s="331"/>
    </row>
    <row r="484" spans="2:37" x14ac:dyDescent="0.25">
      <c r="B484" s="9" t="str">
        <f t="shared" si="86"/>
        <v>4 2026</v>
      </c>
      <c r="C484" s="88">
        <f t="shared" si="87"/>
        <v>46133</v>
      </c>
      <c r="D484" s="88">
        <f t="shared" si="85"/>
        <v>46134</v>
      </c>
      <c r="E484" s="89">
        <f t="shared" si="88"/>
        <v>1</v>
      </c>
      <c r="F484" s="123" t="s">
        <v>7</v>
      </c>
      <c r="H484" s="328">
        <f t="shared" si="89"/>
        <v>46133</v>
      </c>
      <c r="I484" s="329"/>
      <c r="J484" s="400"/>
      <c r="L484" s="331"/>
      <c r="M484" s="331"/>
      <c r="N484" s="331"/>
      <c r="O484" s="331"/>
      <c r="P484" s="331"/>
      <c r="Q484" s="331"/>
      <c r="R484" s="331"/>
      <c r="S484" s="331"/>
      <c r="T484" s="331"/>
      <c r="U484" s="331"/>
      <c r="V484" s="331"/>
      <c r="W484" s="331"/>
      <c r="X484" s="331"/>
      <c r="Z484" s="331"/>
      <c r="AA484" s="331"/>
      <c r="AB484" s="331"/>
      <c r="AD484" s="331"/>
      <c r="AE484" s="331"/>
      <c r="AF484" s="331"/>
      <c r="AH484" s="331"/>
      <c r="AI484" s="331"/>
      <c r="AK484" s="331"/>
    </row>
    <row r="485" spans="2:37" x14ac:dyDescent="0.25">
      <c r="B485" s="9" t="str">
        <f t="shared" si="86"/>
        <v>4 2026</v>
      </c>
      <c r="C485" s="88">
        <f t="shared" si="87"/>
        <v>46134</v>
      </c>
      <c r="D485" s="88">
        <f t="shared" si="85"/>
        <v>46135</v>
      </c>
      <c r="E485" s="89">
        <f t="shared" si="88"/>
        <v>1</v>
      </c>
      <c r="F485" s="123" t="s">
        <v>7</v>
      </c>
      <c r="H485" s="328">
        <f t="shared" si="89"/>
        <v>46134</v>
      </c>
      <c r="I485" s="329"/>
      <c r="J485" s="400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W485" s="331"/>
      <c r="X485" s="331"/>
      <c r="Z485" s="331"/>
      <c r="AA485" s="331"/>
      <c r="AB485" s="331"/>
      <c r="AD485" s="331"/>
      <c r="AE485" s="331"/>
      <c r="AF485" s="331"/>
      <c r="AH485" s="331"/>
      <c r="AI485" s="331"/>
      <c r="AK485" s="331"/>
    </row>
    <row r="486" spans="2:37" x14ac:dyDescent="0.25">
      <c r="B486" s="9" t="str">
        <f t="shared" si="86"/>
        <v>4 2026</v>
      </c>
      <c r="C486" s="88">
        <f t="shared" si="87"/>
        <v>46135</v>
      </c>
      <c r="D486" s="88">
        <f t="shared" si="85"/>
        <v>46136</v>
      </c>
      <c r="E486" s="89">
        <f t="shared" si="88"/>
        <v>1</v>
      </c>
      <c r="F486" s="123" t="s">
        <v>7</v>
      </c>
      <c r="H486" s="328">
        <f t="shared" si="89"/>
        <v>46135</v>
      </c>
      <c r="I486" s="329"/>
      <c r="J486" s="400"/>
      <c r="L486" s="331"/>
      <c r="M486" s="331"/>
      <c r="N486" s="331"/>
      <c r="O486" s="331"/>
      <c r="P486" s="331"/>
      <c r="Q486" s="331"/>
      <c r="R486" s="331"/>
      <c r="S486" s="331"/>
      <c r="T486" s="331"/>
      <c r="U486" s="331"/>
      <c r="V486" s="331"/>
      <c r="W486" s="331"/>
      <c r="X486" s="331"/>
      <c r="Z486" s="331"/>
      <c r="AA486" s="331"/>
      <c r="AB486" s="331"/>
      <c r="AD486" s="331"/>
      <c r="AE486" s="331"/>
      <c r="AF486" s="331"/>
      <c r="AH486" s="331"/>
      <c r="AI486" s="331"/>
      <c r="AK486" s="331"/>
    </row>
    <row r="487" spans="2:37" x14ac:dyDescent="0.25">
      <c r="B487" s="9" t="str">
        <f t="shared" si="86"/>
        <v>4 2026</v>
      </c>
      <c r="C487" s="88">
        <f t="shared" si="87"/>
        <v>46136</v>
      </c>
      <c r="D487" s="88">
        <f t="shared" si="85"/>
        <v>46137</v>
      </c>
      <c r="E487" s="89">
        <f t="shared" si="88"/>
        <v>1</v>
      </c>
      <c r="F487" s="123" t="s">
        <v>7</v>
      </c>
      <c r="H487" s="328">
        <f t="shared" si="89"/>
        <v>46136</v>
      </c>
      <c r="I487" s="329"/>
      <c r="J487" s="400"/>
      <c r="L487" s="331"/>
      <c r="M487" s="331"/>
      <c r="N487" s="331"/>
      <c r="O487" s="331"/>
      <c r="P487" s="331"/>
      <c r="Q487" s="331"/>
      <c r="R487" s="331"/>
      <c r="S487" s="331"/>
      <c r="T487" s="331"/>
      <c r="U487" s="331"/>
      <c r="V487" s="331"/>
      <c r="W487" s="331"/>
      <c r="X487" s="331"/>
      <c r="Z487" s="331"/>
      <c r="AA487" s="331"/>
      <c r="AB487" s="331"/>
      <c r="AD487" s="331"/>
      <c r="AE487" s="331"/>
      <c r="AF487" s="331"/>
      <c r="AH487" s="331"/>
      <c r="AI487" s="331"/>
      <c r="AK487" s="331"/>
    </row>
    <row r="488" spans="2:37" x14ac:dyDescent="0.25">
      <c r="B488" s="9" t="str">
        <f t="shared" si="86"/>
        <v>4 2026</v>
      </c>
      <c r="C488" s="88">
        <f t="shared" si="87"/>
        <v>46137</v>
      </c>
      <c r="D488" s="88">
        <f t="shared" si="85"/>
        <v>46138</v>
      </c>
      <c r="E488" s="89">
        <f t="shared" si="88"/>
        <v>1</v>
      </c>
      <c r="F488" s="123" t="s">
        <v>7</v>
      </c>
      <c r="H488" s="328">
        <f t="shared" si="89"/>
        <v>46137</v>
      </c>
      <c r="I488" s="329"/>
      <c r="J488" s="400"/>
      <c r="L488" s="331"/>
      <c r="M488" s="331"/>
      <c r="N488" s="331"/>
      <c r="O488" s="331"/>
      <c r="P488" s="331"/>
      <c r="Q488" s="331"/>
      <c r="R488" s="331"/>
      <c r="S488" s="331"/>
      <c r="T488" s="331"/>
      <c r="U488" s="331"/>
      <c r="V488" s="331"/>
      <c r="W488" s="331"/>
      <c r="X488" s="331"/>
      <c r="Z488" s="331"/>
      <c r="AA488" s="331"/>
      <c r="AB488" s="331"/>
      <c r="AD488" s="331"/>
      <c r="AE488" s="331"/>
      <c r="AF488" s="331"/>
      <c r="AH488" s="331"/>
      <c r="AI488" s="331"/>
      <c r="AK488" s="331"/>
    </row>
    <row r="489" spans="2:37" x14ac:dyDescent="0.25">
      <c r="B489" s="9" t="str">
        <f t="shared" si="86"/>
        <v>4 2026</v>
      </c>
      <c r="C489" s="88">
        <f t="shared" si="87"/>
        <v>46138</v>
      </c>
      <c r="D489" s="88">
        <f t="shared" si="85"/>
        <v>46139</v>
      </c>
      <c r="E489" s="89">
        <f t="shared" si="88"/>
        <v>1</v>
      </c>
      <c r="F489" s="123" t="s">
        <v>7</v>
      </c>
      <c r="H489" s="328">
        <f t="shared" si="89"/>
        <v>46138</v>
      </c>
      <c r="I489" s="329"/>
      <c r="J489" s="400"/>
      <c r="L489" s="331"/>
      <c r="M489" s="331"/>
      <c r="N489" s="331"/>
      <c r="O489" s="331"/>
      <c r="P489" s="331"/>
      <c r="Q489" s="331"/>
      <c r="R489" s="331"/>
      <c r="S489" s="331"/>
      <c r="T489" s="331"/>
      <c r="U489" s="331"/>
      <c r="V489" s="331"/>
      <c r="W489" s="331"/>
      <c r="X489" s="331"/>
      <c r="Z489" s="331"/>
      <c r="AA489" s="331"/>
      <c r="AB489" s="331"/>
      <c r="AD489" s="331"/>
      <c r="AE489" s="331"/>
      <c r="AF489" s="331"/>
      <c r="AH489" s="331"/>
      <c r="AI489" s="331"/>
      <c r="AK489" s="331"/>
    </row>
    <row r="490" spans="2:37" x14ac:dyDescent="0.25">
      <c r="B490" s="9" t="str">
        <f t="shared" si="86"/>
        <v>4 2026</v>
      </c>
      <c r="C490" s="88">
        <f t="shared" si="87"/>
        <v>46139</v>
      </c>
      <c r="D490" s="88">
        <f t="shared" si="85"/>
        <v>46140</v>
      </c>
      <c r="E490" s="89">
        <f t="shared" si="88"/>
        <v>1</v>
      </c>
      <c r="F490" s="123" t="s">
        <v>7</v>
      </c>
      <c r="H490" s="328">
        <f t="shared" si="89"/>
        <v>46139</v>
      </c>
      <c r="I490" s="329"/>
      <c r="J490" s="400"/>
      <c r="L490" s="331"/>
      <c r="M490" s="331"/>
      <c r="N490" s="331"/>
      <c r="O490" s="331"/>
      <c r="P490" s="331"/>
      <c r="Q490" s="331"/>
      <c r="R490" s="331"/>
      <c r="S490" s="331"/>
      <c r="T490" s="331"/>
      <c r="U490" s="331"/>
      <c r="V490" s="331"/>
      <c r="W490" s="331"/>
      <c r="X490" s="331"/>
      <c r="Z490" s="331"/>
      <c r="AA490" s="331"/>
      <c r="AB490" s="331"/>
      <c r="AD490" s="331"/>
      <c r="AE490" s="331"/>
      <c r="AF490" s="331"/>
      <c r="AH490" s="331"/>
      <c r="AI490" s="331"/>
      <c r="AK490" s="331"/>
    </row>
    <row r="491" spans="2:37" x14ac:dyDescent="0.25">
      <c r="B491" s="9" t="str">
        <f t="shared" si="86"/>
        <v>4 2026</v>
      </c>
      <c r="C491" s="88">
        <f t="shared" si="87"/>
        <v>46140</v>
      </c>
      <c r="D491" s="88">
        <f t="shared" si="85"/>
        <v>46141</v>
      </c>
      <c r="E491" s="89">
        <f t="shared" si="88"/>
        <v>1</v>
      </c>
      <c r="F491" s="123" t="s">
        <v>7</v>
      </c>
      <c r="H491" s="328">
        <f t="shared" si="89"/>
        <v>46140</v>
      </c>
      <c r="I491" s="329"/>
      <c r="J491" s="400"/>
      <c r="L491" s="331"/>
      <c r="M491" s="331"/>
      <c r="N491" s="331"/>
      <c r="O491" s="331"/>
      <c r="P491" s="331"/>
      <c r="Q491" s="331"/>
      <c r="R491" s="331"/>
      <c r="S491" s="331"/>
      <c r="T491" s="331"/>
      <c r="U491" s="331"/>
      <c r="V491" s="331"/>
      <c r="W491" s="331"/>
      <c r="X491" s="331"/>
      <c r="Z491" s="331"/>
      <c r="AA491" s="331"/>
      <c r="AB491" s="331"/>
      <c r="AD491" s="331"/>
      <c r="AE491" s="331"/>
      <c r="AF491" s="331"/>
      <c r="AH491" s="331"/>
      <c r="AI491" s="331"/>
      <c r="AK491" s="331"/>
    </row>
    <row r="492" spans="2:37" x14ac:dyDescent="0.25">
      <c r="B492" s="9" t="str">
        <f t="shared" si="86"/>
        <v>4 2026</v>
      </c>
      <c r="C492" s="88">
        <f t="shared" si="87"/>
        <v>46141</v>
      </c>
      <c r="D492" s="88">
        <f t="shared" si="85"/>
        <v>46142</v>
      </c>
      <c r="E492" s="89">
        <f t="shared" si="88"/>
        <v>1</v>
      </c>
      <c r="F492" s="123" t="s">
        <v>7</v>
      </c>
      <c r="H492" s="328">
        <f t="shared" si="89"/>
        <v>46141</v>
      </c>
      <c r="I492" s="329"/>
      <c r="J492" s="400"/>
      <c r="L492" s="331"/>
      <c r="M492" s="331"/>
      <c r="N492" s="331"/>
      <c r="O492" s="331"/>
      <c r="P492" s="331"/>
      <c r="Q492" s="331"/>
      <c r="R492" s="331"/>
      <c r="S492" s="331"/>
      <c r="T492" s="331"/>
      <c r="U492" s="331"/>
      <c r="V492" s="331"/>
      <c r="W492" s="331"/>
      <c r="X492" s="331"/>
      <c r="Z492" s="331"/>
      <c r="AA492" s="331"/>
      <c r="AB492" s="331"/>
      <c r="AD492" s="331"/>
      <c r="AE492" s="331"/>
      <c r="AF492" s="331"/>
      <c r="AH492" s="331"/>
      <c r="AI492" s="331"/>
      <c r="AK492" s="331"/>
    </row>
    <row r="493" spans="2:37" x14ac:dyDescent="0.25">
      <c r="B493" s="9" t="str">
        <f t="shared" si="86"/>
        <v>5 2026</v>
      </c>
      <c r="C493" s="88">
        <f t="shared" si="87"/>
        <v>46142</v>
      </c>
      <c r="D493" s="88">
        <f t="shared" si="85"/>
        <v>46143</v>
      </c>
      <c r="E493" s="89">
        <f t="shared" si="88"/>
        <v>1</v>
      </c>
      <c r="F493" s="123" t="s">
        <v>7</v>
      </c>
      <c r="H493" s="328">
        <f t="shared" si="89"/>
        <v>46142</v>
      </c>
      <c r="I493" s="329"/>
      <c r="J493" s="400"/>
      <c r="L493" s="331"/>
      <c r="M493" s="331"/>
      <c r="N493" s="331"/>
      <c r="O493" s="331"/>
      <c r="P493" s="331"/>
      <c r="Q493" s="331"/>
      <c r="R493" s="331"/>
      <c r="S493" s="331"/>
      <c r="T493" s="331"/>
      <c r="U493" s="331"/>
      <c r="V493" s="331"/>
      <c r="W493" s="331"/>
      <c r="X493" s="331"/>
      <c r="Z493" s="331"/>
      <c r="AA493" s="331"/>
      <c r="AB493" s="331"/>
      <c r="AD493" s="331"/>
      <c r="AE493" s="331"/>
      <c r="AF493" s="331"/>
      <c r="AH493" s="331"/>
      <c r="AI493" s="331"/>
      <c r="AK493" s="331"/>
    </row>
    <row r="494" spans="2:37" x14ac:dyDescent="0.25">
      <c r="B494" s="9" t="str">
        <f t="shared" si="86"/>
        <v>5 2026</v>
      </c>
      <c r="C494" s="88">
        <f t="shared" si="87"/>
        <v>46143</v>
      </c>
      <c r="D494" s="88">
        <f t="shared" si="85"/>
        <v>46144</v>
      </c>
      <c r="E494" s="89">
        <f t="shared" si="88"/>
        <v>1</v>
      </c>
      <c r="F494" s="123" t="s">
        <v>7</v>
      </c>
      <c r="H494" s="328">
        <f t="shared" si="89"/>
        <v>46143</v>
      </c>
      <c r="I494" s="329"/>
      <c r="J494" s="400"/>
      <c r="L494" s="331"/>
      <c r="M494" s="331"/>
      <c r="N494" s="331"/>
      <c r="O494" s="331"/>
      <c r="P494" s="331"/>
      <c r="Q494" s="331"/>
      <c r="R494" s="331"/>
      <c r="S494" s="331"/>
      <c r="T494" s="331"/>
      <c r="U494" s="331"/>
      <c r="V494" s="331"/>
      <c r="W494" s="331"/>
      <c r="X494" s="331"/>
      <c r="Z494" s="331"/>
      <c r="AA494" s="331"/>
      <c r="AB494" s="331"/>
      <c r="AD494" s="331"/>
      <c r="AE494" s="331"/>
      <c r="AF494" s="331"/>
      <c r="AH494" s="331"/>
      <c r="AI494" s="331"/>
      <c r="AK494" s="331"/>
    </row>
    <row r="495" spans="2:37" x14ac:dyDescent="0.25">
      <c r="B495" s="9" t="str">
        <f t="shared" si="86"/>
        <v>5 2026</v>
      </c>
      <c r="C495" s="88">
        <f t="shared" si="87"/>
        <v>46144</v>
      </c>
      <c r="D495" s="88">
        <f t="shared" si="85"/>
        <v>46145</v>
      </c>
      <c r="E495" s="89">
        <f t="shared" si="88"/>
        <v>1</v>
      </c>
      <c r="F495" s="123" t="s">
        <v>7</v>
      </c>
      <c r="H495" s="328">
        <f t="shared" si="89"/>
        <v>46144</v>
      </c>
      <c r="I495" s="329"/>
      <c r="J495" s="400"/>
      <c r="L495" s="331"/>
      <c r="M495" s="331"/>
      <c r="N495" s="331"/>
      <c r="O495" s="331"/>
      <c r="P495" s="331"/>
      <c r="Q495" s="331"/>
      <c r="R495" s="331"/>
      <c r="S495" s="331"/>
      <c r="T495" s="331"/>
      <c r="U495" s="331"/>
      <c r="V495" s="331"/>
      <c r="W495" s="331"/>
      <c r="X495" s="331"/>
      <c r="Z495" s="331"/>
      <c r="AA495" s="331"/>
      <c r="AB495" s="331"/>
      <c r="AD495" s="331"/>
      <c r="AE495" s="331"/>
      <c r="AF495" s="331"/>
      <c r="AH495" s="331"/>
      <c r="AI495" s="331"/>
      <c r="AK495" s="331"/>
    </row>
    <row r="496" spans="2:37" x14ac:dyDescent="0.25">
      <c r="B496" s="9" t="str">
        <f t="shared" si="86"/>
        <v>5 2026</v>
      </c>
      <c r="C496" s="88">
        <f t="shared" si="87"/>
        <v>46145</v>
      </c>
      <c r="D496" s="88">
        <f t="shared" si="85"/>
        <v>46146</v>
      </c>
      <c r="E496" s="89">
        <f t="shared" si="88"/>
        <v>1</v>
      </c>
      <c r="F496" s="123" t="s">
        <v>7</v>
      </c>
      <c r="H496" s="328">
        <f t="shared" si="89"/>
        <v>46145</v>
      </c>
      <c r="I496" s="329"/>
      <c r="J496" s="400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W496" s="331"/>
      <c r="X496" s="331"/>
      <c r="Z496" s="331"/>
      <c r="AA496" s="331"/>
      <c r="AB496" s="331"/>
      <c r="AD496" s="331"/>
      <c r="AE496" s="331"/>
      <c r="AF496" s="331"/>
      <c r="AH496" s="331"/>
      <c r="AI496" s="331"/>
      <c r="AK496" s="331"/>
    </row>
    <row r="497" spans="2:37" x14ac:dyDescent="0.25">
      <c r="B497" s="9" t="str">
        <f t="shared" si="86"/>
        <v>5 2026</v>
      </c>
      <c r="C497" s="88">
        <f t="shared" si="87"/>
        <v>46146</v>
      </c>
      <c r="D497" s="88">
        <f t="shared" si="85"/>
        <v>46147</v>
      </c>
      <c r="E497" s="89">
        <f t="shared" si="88"/>
        <v>1</v>
      </c>
      <c r="F497" s="123" t="s">
        <v>7</v>
      </c>
      <c r="H497" s="328">
        <f t="shared" si="89"/>
        <v>46146</v>
      </c>
      <c r="I497" s="329"/>
      <c r="J497" s="400"/>
      <c r="L497" s="331"/>
      <c r="M497" s="331"/>
      <c r="N497" s="331"/>
      <c r="O497" s="331"/>
      <c r="P497" s="331"/>
      <c r="Q497" s="331"/>
      <c r="R497" s="331"/>
      <c r="S497" s="331"/>
      <c r="T497" s="331"/>
      <c r="U497" s="331"/>
      <c r="V497" s="331"/>
      <c r="W497" s="331"/>
      <c r="X497" s="331"/>
      <c r="Z497" s="331"/>
      <c r="AA497" s="331"/>
      <c r="AB497" s="331"/>
      <c r="AD497" s="331"/>
      <c r="AE497" s="331"/>
      <c r="AF497" s="331"/>
      <c r="AH497" s="331"/>
      <c r="AI497" s="331"/>
      <c r="AK497" s="331"/>
    </row>
    <row r="498" spans="2:37" x14ac:dyDescent="0.25">
      <c r="B498" s="9" t="str">
        <f t="shared" si="86"/>
        <v>5 2026</v>
      </c>
      <c r="C498" s="88">
        <f t="shared" si="87"/>
        <v>46147</v>
      </c>
      <c r="D498" s="88">
        <f t="shared" si="85"/>
        <v>46148</v>
      </c>
      <c r="E498" s="89">
        <f t="shared" si="88"/>
        <v>1</v>
      </c>
      <c r="F498" s="123" t="s">
        <v>7</v>
      </c>
      <c r="H498" s="328">
        <f t="shared" si="89"/>
        <v>46147</v>
      </c>
      <c r="I498" s="329"/>
      <c r="J498" s="400"/>
      <c r="L498" s="331"/>
      <c r="M498" s="331"/>
      <c r="N498" s="331"/>
      <c r="O498" s="331"/>
      <c r="P498" s="331"/>
      <c r="Q498" s="331"/>
      <c r="R498" s="331"/>
      <c r="S498" s="331"/>
      <c r="T498" s="331"/>
      <c r="U498" s="331"/>
      <c r="V498" s="331"/>
      <c r="W498" s="331"/>
      <c r="X498" s="331"/>
      <c r="Z498" s="331"/>
      <c r="AA498" s="331"/>
      <c r="AB498" s="331"/>
      <c r="AD498" s="331"/>
      <c r="AE498" s="331"/>
      <c r="AF498" s="331"/>
      <c r="AH498" s="331"/>
      <c r="AI498" s="331"/>
      <c r="AK498" s="331"/>
    </row>
    <row r="499" spans="2:37" x14ac:dyDescent="0.25">
      <c r="B499" s="9" t="str">
        <f t="shared" si="86"/>
        <v>5 2026</v>
      </c>
      <c r="C499" s="88">
        <f t="shared" si="87"/>
        <v>46148</v>
      </c>
      <c r="D499" s="88">
        <f t="shared" si="85"/>
        <v>46149</v>
      </c>
      <c r="E499" s="89">
        <f t="shared" si="88"/>
        <v>1</v>
      </c>
      <c r="F499" s="123" t="s">
        <v>7</v>
      </c>
      <c r="H499" s="328">
        <f t="shared" si="89"/>
        <v>46148</v>
      </c>
      <c r="I499" s="329"/>
      <c r="J499" s="400"/>
      <c r="L499" s="331"/>
      <c r="M499" s="331"/>
      <c r="N499" s="331"/>
      <c r="O499" s="331"/>
      <c r="P499" s="331"/>
      <c r="Q499" s="331"/>
      <c r="R499" s="331"/>
      <c r="S499" s="331"/>
      <c r="T499" s="331"/>
      <c r="U499" s="331"/>
      <c r="V499" s="331"/>
      <c r="W499" s="331"/>
      <c r="X499" s="331"/>
      <c r="Z499" s="331"/>
      <c r="AA499" s="331"/>
      <c r="AB499" s="331"/>
      <c r="AD499" s="331"/>
      <c r="AE499" s="331"/>
      <c r="AF499" s="331"/>
      <c r="AH499" s="331"/>
      <c r="AI499" s="331"/>
      <c r="AK499" s="331"/>
    </row>
    <row r="500" spans="2:37" x14ac:dyDescent="0.25">
      <c r="B500" s="9" t="str">
        <f t="shared" si="86"/>
        <v>5 2026</v>
      </c>
      <c r="C500" s="88">
        <f t="shared" si="87"/>
        <v>46149</v>
      </c>
      <c r="D500" s="88">
        <f t="shared" si="85"/>
        <v>46150</v>
      </c>
      <c r="E500" s="89">
        <f t="shared" si="88"/>
        <v>1</v>
      </c>
      <c r="F500" s="123" t="s">
        <v>7</v>
      </c>
      <c r="H500" s="328">
        <f t="shared" si="89"/>
        <v>46149</v>
      </c>
      <c r="I500" s="329"/>
      <c r="J500" s="400"/>
      <c r="L500" s="331"/>
      <c r="M500" s="331"/>
      <c r="N500" s="331"/>
      <c r="O500" s="331"/>
      <c r="P500" s="331"/>
      <c r="Q500" s="331"/>
      <c r="R500" s="331"/>
      <c r="S500" s="331"/>
      <c r="T500" s="331"/>
      <c r="U500" s="331"/>
      <c r="V500" s="331"/>
      <c r="W500" s="331"/>
      <c r="X500" s="331"/>
      <c r="Z500" s="331"/>
      <c r="AA500" s="331"/>
      <c r="AB500" s="331"/>
      <c r="AD500" s="331"/>
      <c r="AE500" s="331"/>
      <c r="AF500" s="331"/>
      <c r="AH500" s="331"/>
      <c r="AI500" s="331"/>
      <c r="AK500" s="331"/>
    </row>
    <row r="501" spans="2:37" x14ac:dyDescent="0.25">
      <c r="B501" s="9" t="str">
        <f t="shared" si="86"/>
        <v>5 2026</v>
      </c>
      <c r="C501" s="88">
        <f t="shared" si="87"/>
        <v>46150</v>
      </c>
      <c r="D501" s="88">
        <f t="shared" si="85"/>
        <v>46151</v>
      </c>
      <c r="E501" s="89">
        <f t="shared" si="88"/>
        <v>1</v>
      </c>
      <c r="F501" s="123" t="s">
        <v>7</v>
      </c>
      <c r="H501" s="328">
        <f t="shared" si="89"/>
        <v>46150</v>
      </c>
      <c r="I501" s="329"/>
      <c r="J501" s="400"/>
      <c r="L501" s="331"/>
      <c r="M501" s="331"/>
      <c r="N501" s="331"/>
      <c r="O501" s="331"/>
      <c r="P501" s="331"/>
      <c r="Q501" s="331"/>
      <c r="R501" s="331"/>
      <c r="S501" s="331"/>
      <c r="T501" s="331"/>
      <c r="U501" s="331"/>
      <c r="V501" s="331"/>
      <c r="W501" s="331"/>
      <c r="X501" s="331"/>
      <c r="Z501" s="331"/>
      <c r="AA501" s="331"/>
      <c r="AB501" s="331"/>
      <c r="AD501" s="331"/>
      <c r="AE501" s="331"/>
      <c r="AF501" s="331"/>
      <c r="AH501" s="331"/>
      <c r="AI501" s="331"/>
      <c r="AK501" s="331"/>
    </row>
    <row r="502" spans="2:37" x14ac:dyDescent="0.25">
      <c r="B502" s="9" t="str">
        <f t="shared" si="86"/>
        <v>5 2026</v>
      </c>
      <c r="C502" s="88">
        <f t="shared" si="87"/>
        <v>46151</v>
      </c>
      <c r="D502" s="88">
        <f t="shared" si="85"/>
        <v>46152</v>
      </c>
      <c r="E502" s="89">
        <f t="shared" si="88"/>
        <v>1</v>
      </c>
      <c r="F502" s="123" t="s">
        <v>7</v>
      </c>
      <c r="H502" s="328">
        <f t="shared" si="89"/>
        <v>46151</v>
      </c>
      <c r="I502" s="329"/>
      <c r="J502" s="400"/>
      <c r="L502" s="331"/>
      <c r="M502" s="331"/>
      <c r="N502" s="331"/>
      <c r="O502" s="331"/>
      <c r="P502" s="331"/>
      <c r="Q502" s="331"/>
      <c r="R502" s="331"/>
      <c r="S502" s="331"/>
      <c r="T502" s="331"/>
      <c r="U502" s="331"/>
      <c r="V502" s="331"/>
      <c r="W502" s="331"/>
      <c r="X502" s="331"/>
      <c r="Z502" s="331"/>
      <c r="AA502" s="331"/>
      <c r="AB502" s="331"/>
      <c r="AD502" s="331"/>
      <c r="AE502" s="331"/>
      <c r="AF502" s="331"/>
      <c r="AH502" s="331"/>
      <c r="AI502" s="331"/>
      <c r="AK502" s="331"/>
    </row>
    <row r="503" spans="2:37" x14ac:dyDescent="0.25">
      <c r="B503" s="9" t="str">
        <f t="shared" si="86"/>
        <v>5 2026</v>
      </c>
      <c r="C503" s="88">
        <f t="shared" si="87"/>
        <v>46152</v>
      </c>
      <c r="D503" s="88">
        <f t="shared" si="85"/>
        <v>46153</v>
      </c>
      <c r="E503" s="89">
        <f t="shared" si="88"/>
        <v>1</v>
      </c>
      <c r="F503" s="123" t="s">
        <v>7</v>
      </c>
      <c r="H503" s="328">
        <f t="shared" si="89"/>
        <v>46152</v>
      </c>
      <c r="I503" s="329"/>
      <c r="J503" s="400"/>
      <c r="L503" s="331"/>
      <c r="M503" s="331"/>
      <c r="N503" s="331"/>
      <c r="O503" s="331"/>
      <c r="P503" s="331"/>
      <c r="Q503" s="331"/>
      <c r="R503" s="331"/>
      <c r="S503" s="331"/>
      <c r="T503" s="331"/>
      <c r="U503" s="331"/>
      <c r="V503" s="331"/>
      <c r="W503" s="331"/>
      <c r="X503" s="331"/>
      <c r="Z503" s="331"/>
      <c r="AA503" s="331"/>
      <c r="AB503" s="331"/>
      <c r="AD503" s="331"/>
      <c r="AE503" s="331"/>
      <c r="AF503" s="331"/>
      <c r="AH503" s="331"/>
      <c r="AI503" s="331"/>
      <c r="AK503" s="331"/>
    </row>
    <row r="504" spans="2:37" x14ac:dyDescent="0.25">
      <c r="B504" s="9" t="str">
        <f t="shared" si="86"/>
        <v>5 2026</v>
      </c>
      <c r="C504" s="88">
        <f t="shared" si="87"/>
        <v>46153</v>
      </c>
      <c r="D504" s="88">
        <f t="shared" ref="D504:D567" si="90">D503+1</f>
        <v>46154</v>
      </c>
      <c r="E504" s="89">
        <f t="shared" si="88"/>
        <v>1</v>
      </c>
      <c r="F504" s="123" t="s">
        <v>7</v>
      </c>
      <c r="H504" s="328">
        <f t="shared" si="89"/>
        <v>46153</v>
      </c>
      <c r="I504" s="329"/>
      <c r="J504" s="400"/>
      <c r="L504" s="331"/>
      <c r="M504" s="331"/>
      <c r="N504" s="331"/>
      <c r="O504" s="331"/>
      <c r="P504" s="331"/>
      <c r="Q504" s="331"/>
      <c r="R504" s="331"/>
      <c r="S504" s="331"/>
      <c r="T504" s="331"/>
      <c r="U504" s="331"/>
      <c r="V504" s="331"/>
      <c r="W504" s="331"/>
      <c r="X504" s="331"/>
      <c r="Z504" s="331"/>
      <c r="AA504" s="331"/>
      <c r="AB504" s="331"/>
      <c r="AD504" s="331"/>
      <c r="AE504" s="331"/>
      <c r="AF504" s="331"/>
      <c r="AH504" s="331"/>
      <c r="AI504" s="331"/>
      <c r="AK504" s="331"/>
    </row>
    <row r="505" spans="2:37" x14ac:dyDescent="0.25">
      <c r="B505" s="9" t="str">
        <f t="shared" si="86"/>
        <v>5 2026</v>
      </c>
      <c r="C505" s="88">
        <f t="shared" si="87"/>
        <v>46154</v>
      </c>
      <c r="D505" s="88">
        <f t="shared" si="90"/>
        <v>46155</v>
      </c>
      <c r="E505" s="89">
        <f t="shared" si="88"/>
        <v>1</v>
      </c>
      <c r="F505" s="123" t="s">
        <v>7</v>
      </c>
      <c r="H505" s="328">
        <f t="shared" si="89"/>
        <v>46154</v>
      </c>
      <c r="I505" s="329"/>
      <c r="J505" s="400"/>
      <c r="L505" s="331"/>
      <c r="M505" s="331"/>
      <c r="N505" s="331"/>
      <c r="O505" s="331"/>
      <c r="P505" s="331"/>
      <c r="Q505" s="331"/>
      <c r="R505" s="331"/>
      <c r="S505" s="331"/>
      <c r="T505" s="331"/>
      <c r="U505" s="331"/>
      <c r="V505" s="331"/>
      <c r="W505" s="331"/>
      <c r="X505" s="331"/>
      <c r="Z505" s="331"/>
      <c r="AA505" s="331"/>
      <c r="AB505" s="331"/>
      <c r="AD505" s="331"/>
      <c r="AE505" s="331"/>
      <c r="AF505" s="331"/>
      <c r="AH505" s="331"/>
      <c r="AI505" s="331"/>
      <c r="AK505" s="331"/>
    </row>
    <row r="506" spans="2:37" x14ac:dyDescent="0.25">
      <c r="B506" s="9" t="str">
        <f t="shared" si="86"/>
        <v>5 2026</v>
      </c>
      <c r="C506" s="88">
        <f t="shared" si="87"/>
        <v>46155</v>
      </c>
      <c r="D506" s="88">
        <f t="shared" si="90"/>
        <v>46156</v>
      </c>
      <c r="E506" s="89">
        <f t="shared" si="88"/>
        <v>1</v>
      </c>
      <c r="F506" s="123" t="s">
        <v>7</v>
      </c>
      <c r="H506" s="328">
        <f t="shared" si="89"/>
        <v>46155</v>
      </c>
      <c r="I506" s="329"/>
      <c r="J506" s="400"/>
      <c r="L506" s="331"/>
      <c r="M506" s="331"/>
      <c r="N506" s="331"/>
      <c r="O506" s="331"/>
      <c r="P506" s="331"/>
      <c r="Q506" s="331"/>
      <c r="R506" s="331"/>
      <c r="S506" s="331"/>
      <c r="T506" s="331"/>
      <c r="U506" s="331"/>
      <c r="V506" s="331"/>
      <c r="W506" s="331"/>
      <c r="X506" s="331"/>
      <c r="Z506" s="331"/>
      <c r="AA506" s="331"/>
      <c r="AB506" s="331"/>
      <c r="AD506" s="331"/>
      <c r="AE506" s="331"/>
      <c r="AF506" s="331"/>
      <c r="AH506" s="331"/>
      <c r="AI506" s="331"/>
      <c r="AK506" s="331"/>
    </row>
    <row r="507" spans="2:37" x14ac:dyDescent="0.25">
      <c r="B507" s="9" t="str">
        <f t="shared" si="86"/>
        <v>5 2026</v>
      </c>
      <c r="C507" s="88">
        <f t="shared" si="87"/>
        <v>46156</v>
      </c>
      <c r="D507" s="88">
        <f t="shared" si="90"/>
        <v>46157</v>
      </c>
      <c r="E507" s="89">
        <f t="shared" si="88"/>
        <v>1</v>
      </c>
      <c r="F507" s="123" t="s">
        <v>7</v>
      </c>
      <c r="H507" s="328">
        <f t="shared" si="89"/>
        <v>46156</v>
      </c>
      <c r="I507" s="329"/>
      <c r="J507" s="400"/>
      <c r="L507" s="331"/>
      <c r="M507" s="331"/>
      <c r="N507" s="331"/>
      <c r="O507" s="331"/>
      <c r="P507" s="331"/>
      <c r="Q507" s="331"/>
      <c r="R507" s="331"/>
      <c r="S507" s="331"/>
      <c r="T507" s="331"/>
      <c r="U507" s="331"/>
      <c r="V507" s="331"/>
      <c r="W507" s="331"/>
      <c r="X507" s="331"/>
      <c r="Z507" s="331"/>
      <c r="AA507" s="331"/>
      <c r="AB507" s="331"/>
      <c r="AD507" s="331"/>
      <c r="AE507" s="331"/>
      <c r="AF507" s="331"/>
      <c r="AH507" s="331"/>
      <c r="AI507" s="331"/>
      <c r="AK507" s="331"/>
    </row>
    <row r="508" spans="2:37" x14ac:dyDescent="0.25">
      <c r="B508" s="9" t="str">
        <f t="shared" si="86"/>
        <v>5 2026</v>
      </c>
      <c r="C508" s="88">
        <f t="shared" si="87"/>
        <v>46157</v>
      </c>
      <c r="D508" s="88">
        <f t="shared" si="90"/>
        <v>46158</v>
      </c>
      <c r="E508" s="89">
        <f t="shared" si="88"/>
        <v>1</v>
      </c>
      <c r="F508" s="123" t="s">
        <v>7</v>
      </c>
      <c r="H508" s="328">
        <f t="shared" si="89"/>
        <v>46157</v>
      </c>
      <c r="I508" s="329"/>
      <c r="J508" s="400"/>
      <c r="L508" s="331"/>
      <c r="M508" s="331"/>
      <c r="N508" s="331"/>
      <c r="O508" s="331"/>
      <c r="P508" s="331"/>
      <c r="Q508" s="331"/>
      <c r="R508" s="331"/>
      <c r="S508" s="331"/>
      <c r="T508" s="331"/>
      <c r="U508" s="331"/>
      <c r="V508" s="331"/>
      <c r="W508" s="331"/>
      <c r="X508" s="331"/>
      <c r="Z508" s="331"/>
      <c r="AA508" s="331"/>
      <c r="AB508" s="331"/>
      <c r="AD508" s="331"/>
      <c r="AE508" s="331"/>
      <c r="AF508" s="331"/>
      <c r="AH508" s="331"/>
      <c r="AI508" s="331"/>
      <c r="AK508" s="331"/>
    </row>
    <row r="509" spans="2:37" x14ac:dyDescent="0.25">
      <c r="B509" s="9" t="str">
        <f t="shared" si="86"/>
        <v>5 2026</v>
      </c>
      <c r="C509" s="88">
        <f t="shared" si="87"/>
        <v>46158</v>
      </c>
      <c r="D509" s="88">
        <f t="shared" si="90"/>
        <v>46159</v>
      </c>
      <c r="E509" s="89">
        <f t="shared" si="88"/>
        <v>1</v>
      </c>
      <c r="F509" s="123" t="s">
        <v>7</v>
      </c>
      <c r="H509" s="328">
        <f t="shared" si="89"/>
        <v>46158</v>
      </c>
      <c r="I509" s="329"/>
      <c r="J509" s="400"/>
      <c r="L509" s="331"/>
      <c r="M509" s="331"/>
      <c r="N509" s="331"/>
      <c r="O509" s="331"/>
      <c r="P509" s="331"/>
      <c r="Q509" s="331"/>
      <c r="R509" s="331"/>
      <c r="S509" s="331"/>
      <c r="T509" s="331"/>
      <c r="U509" s="331"/>
      <c r="V509" s="331"/>
      <c r="W509" s="331"/>
      <c r="X509" s="331"/>
      <c r="Z509" s="331"/>
      <c r="AA509" s="331"/>
      <c r="AB509" s="331"/>
      <c r="AD509" s="331"/>
      <c r="AE509" s="331"/>
      <c r="AF509" s="331"/>
      <c r="AH509" s="331"/>
      <c r="AI509" s="331"/>
      <c r="AK509" s="331"/>
    </row>
    <row r="510" spans="2:37" x14ac:dyDescent="0.25">
      <c r="B510" s="9" t="str">
        <f t="shared" si="86"/>
        <v>5 2026</v>
      </c>
      <c r="C510" s="88">
        <f t="shared" si="87"/>
        <v>46159</v>
      </c>
      <c r="D510" s="88">
        <f t="shared" si="90"/>
        <v>46160</v>
      </c>
      <c r="E510" s="89">
        <f t="shared" si="88"/>
        <v>1</v>
      </c>
      <c r="F510" s="123" t="s">
        <v>7</v>
      </c>
      <c r="H510" s="328">
        <f t="shared" si="89"/>
        <v>46159</v>
      </c>
      <c r="I510" s="329"/>
      <c r="J510" s="400"/>
      <c r="L510" s="331"/>
      <c r="M510" s="331"/>
      <c r="N510" s="331"/>
      <c r="O510" s="331"/>
      <c r="P510" s="331"/>
      <c r="Q510" s="331"/>
      <c r="R510" s="331"/>
      <c r="S510" s="331"/>
      <c r="T510" s="331"/>
      <c r="U510" s="331"/>
      <c r="V510" s="331"/>
      <c r="W510" s="331"/>
      <c r="X510" s="331"/>
      <c r="Z510" s="331"/>
      <c r="AA510" s="331"/>
      <c r="AB510" s="331"/>
      <c r="AD510" s="331"/>
      <c r="AE510" s="331"/>
      <c r="AF510" s="331"/>
      <c r="AH510" s="331"/>
      <c r="AI510" s="331"/>
      <c r="AK510" s="331"/>
    </row>
    <row r="511" spans="2:37" x14ac:dyDescent="0.25">
      <c r="B511" s="9" t="str">
        <f t="shared" si="86"/>
        <v>5 2026</v>
      </c>
      <c r="C511" s="88">
        <f t="shared" si="87"/>
        <v>46160</v>
      </c>
      <c r="D511" s="88">
        <f t="shared" si="90"/>
        <v>46161</v>
      </c>
      <c r="E511" s="89">
        <f t="shared" si="88"/>
        <v>1</v>
      </c>
      <c r="F511" s="123" t="s">
        <v>7</v>
      </c>
      <c r="H511" s="328">
        <f t="shared" si="89"/>
        <v>46160</v>
      </c>
      <c r="I511" s="329"/>
      <c r="J511" s="400"/>
      <c r="L511" s="331"/>
      <c r="M511" s="331"/>
      <c r="N511" s="331"/>
      <c r="O511" s="331"/>
      <c r="P511" s="331"/>
      <c r="Q511" s="331"/>
      <c r="R511" s="331"/>
      <c r="S511" s="331"/>
      <c r="T511" s="331"/>
      <c r="U511" s="331"/>
      <c r="V511" s="331"/>
      <c r="W511" s="331"/>
      <c r="X511" s="331"/>
      <c r="Z511" s="331"/>
      <c r="AA511" s="331"/>
      <c r="AB511" s="331"/>
      <c r="AD511" s="331"/>
      <c r="AE511" s="331"/>
      <c r="AF511" s="331"/>
      <c r="AH511" s="331"/>
      <c r="AI511" s="331"/>
      <c r="AK511" s="331"/>
    </row>
    <row r="512" spans="2:37" x14ac:dyDescent="0.25">
      <c r="B512" s="9" t="str">
        <f t="shared" si="86"/>
        <v>5 2026</v>
      </c>
      <c r="C512" s="88">
        <f t="shared" si="87"/>
        <v>46161</v>
      </c>
      <c r="D512" s="88">
        <f t="shared" si="90"/>
        <v>46162</v>
      </c>
      <c r="E512" s="89">
        <f t="shared" si="88"/>
        <v>1</v>
      </c>
      <c r="F512" s="123" t="s">
        <v>7</v>
      </c>
      <c r="H512" s="328">
        <f t="shared" si="89"/>
        <v>46161</v>
      </c>
      <c r="I512" s="329"/>
      <c r="J512" s="400"/>
      <c r="L512" s="331"/>
      <c r="M512" s="331"/>
      <c r="N512" s="331"/>
      <c r="O512" s="331"/>
      <c r="P512" s="331"/>
      <c r="Q512" s="331"/>
      <c r="R512" s="331"/>
      <c r="S512" s="331"/>
      <c r="T512" s="331"/>
      <c r="U512" s="331"/>
      <c r="V512" s="331"/>
      <c r="W512" s="331"/>
      <c r="X512" s="331"/>
      <c r="Z512" s="331"/>
      <c r="AA512" s="331"/>
      <c r="AB512" s="331"/>
      <c r="AD512" s="331"/>
      <c r="AE512" s="331"/>
      <c r="AF512" s="331"/>
      <c r="AH512" s="331"/>
      <c r="AI512" s="331"/>
      <c r="AK512" s="331"/>
    </row>
    <row r="513" spans="2:37" x14ac:dyDescent="0.25">
      <c r="B513" s="9" t="str">
        <f t="shared" si="86"/>
        <v>5 2026</v>
      </c>
      <c r="C513" s="88">
        <f t="shared" si="87"/>
        <v>46162</v>
      </c>
      <c r="D513" s="88">
        <f t="shared" si="90"/>
        <v>46163</v>
      </c>
      <c r="E513" s="89">
        <f t="shared" si="88"/>
        <v>1</v>
      </c>
      <c r="F513" s="123" t="s">
        <v>7</v>
      </c>
      <c r="H513" s="328">
        <f t="shared" si="89"/>
        <v>46162</v>
      </c>
      <c r="I513" s="329"/>
      <c r="J513" s="400"/>
      <c r="L513" s="331"/>
      <c r="M513" s="331"/>
      <c r="N513" s="331"/>
      <c r="O513" s="331"/>
      <c r="P513" s="331"/>
      <c r="Q513" s="331"/>
      <c r="R513" s="331"/>
      <c r="S513" s="331"/>
      <c r="T513" s="331"/>
      <c r="U513" s="331"/>
      <c r="V513" s="331"/>
      <c r="W513" s="331"/>
      <c r="X513" s="331"/>
      <c r="Z513" s="331"/>
      <c r="AA513" s="331"/>
      <c r="AB513" s="331"/>
      <c r="AD513" s="331"/>
      <c r="AE513" s="331"/>
      <c r="AF513" s="331"/>
      <c r="AH513" s="331"/>
      <c r="AI513" s="331"/>
      <c r="AK513" s="331"/>
    </row>
    <row r="514" spans="2:37" x14ac:dyDescent="0.25">
      <c r="B514" s="9" t="str">
        <f t="shared" si="86"/>
        <v>5 2026</v>
      </c>
      <c r="C514" s="88">
        <f t="shared" si="87"/>
        <v>46163</v>
      </c>
      <c r="D514" s="88">
        <f t="shared" si="90"/>
        <v>46164</v>
      </c>
      <c r="E514" s="89">
        <f t="shared" si="88"/>
        <v>1</v>
      </c>
      <c r="F514" s="123" t="s">
        <v>7</v>
      </c>
      <c r="H514" s="328">
        <f t="shared" si="89"/>
        <v>46163</v>
      </c>
      <c r="I514" s="329"/>
      <c r="J514" s="400"/>
      <c r="L514" s="331"/>
      <c r="M514" s="331"/>
      <c r="N514" s="331"/>
      <c r="O514" s="331"/>
      <c r="P514" s="331"/>
      <c r="Q514" s="331"/>
      <c r="R514" s="331"/>
      <c r="S514" s="331"/>
      <c r="T514" s="331"/>
      <c r="U514" s="331"/>
      <c r="V514" s="331"/>
      <c r="W514" s="331"/>
      <c r="X514" s="331"/>
      <c r="Z514" s="331"/>
      <c r="AA514" s="331"/>
      <c r="AB514" s="331"/>
      <c r="AD514" s="331"/>
      <c r="AE514" s="331"/>
      <c r="AF514" s="331"/>
      <c r="AH514" s="331"/>
      <c r="AI514" s="331"/>
      <c r="AK514" s="331"/>
    </row>
    <row r="515" spans="2:37" x14ac:dyDescent="0.25">
      <c r="B515" s="9" t="str">
        <f t="shared" si="86"/>
        <v>5 2026</v>
      </c>
      <c r="C515" s="88">
        <f t="shared" si="87"/>
        <v>46164</v>
      </c>
      <c r="D515" s="88">
        <f t="shared" si="90"/>
        <v>46165</v>
      </c>
      <c r="E515" s="89">
        <f t="shared" si="88"/>
        <v>1</v>
      </c>
      <c r="F515" s="123" t="s">
        <v>7</v>
      </c>
      <c r="H515" s="328">
        <f t="shared" si="89"/>
        <v>46164</v>
      </c>
      <c r="I515" s="329"/>
      <c r="J515" s="400"/>
      <c r="L515" s="331"/>
      <c r="M515" s="331"/>
      <c r="N515" s="331"/>
      <c r="O515" s="331"/>
      <c r="P515" s="331"/>
      <c r="Q515" s="331"/>
      <c r="R515" s="331"/>
      <c r="S515" s="331"/>
      <c r="T515" s="331"/>
      <c r="U515" s="331"/>
      <c r="V515" s="331"/>
      <c r="W515" s="331"/>
      <c r="X515" s="331"/>
      <c r="Z515" s="331"/>
      <c r="AA515" s="331"/>
      <c r="AB515" s="331"/>
      <c r="AD515" s="331"/>
      <c r="AE515" s="331"/>
      <c r="AF515" s="331"/>
      <c r="AH515" s="331"/>
      <c r="AI515" s="331"/>
      <c r="AK515" s="331"/>
    </row>
    <row r="516" spans="2:37" x14ac:dyDescent="0.25">
      <c r="B516" s="9" t="str">
        <f t="shared" si="86"/>
        <v>5 2026</v>
      </c>
      <c r="C516" s="88">
        <f t="shared" si="87"/>
        <v>46165</v>
      </c>
      <c r="D516" s="88">
        <f t="shared" si="90"/>
        <v>46166</v>
      </c>
      <c r="E516" s="89">
        <f t="shared" si="88"/>
        <v>1</v>
      </c>
      <c r="F516" s="123" t="s">
        <v>7</v>
      </c>
      <c r="H516" s="328">
        <f t="shared" si="89"/>
        <v>46165</v>
      </c>
      <c r="I516" s="329"/>
      <c r="J516" s="400"/>
      <c r="L516" s="331"/>
      <c r="M516" s="331"/>
      <c r="N516" s="331"/>
      <c r="O516" s="331"/>
      <c r="P516" s="331"/>
      <c r="Q516" s="331"/>
      <c r="R516" s="331"/>
      <c r="S516" s="331"/>
      <c r="T516" s="331"/>
      <c r="U516" s="331"/>
      <c r="V516" s="331"/>
      <c r="W516" s="331"/>
      <c r="X516" s="331"/>
      <c r="Z516" s="331"/>
      <c r="AA516" s="331"/>
      <c r="AB516" s="331"/>
      <c r="AD516" s="331"/>
      <c r="AE516" s="331"/>
      <c r="AF516" s="331"/>
      <c r="AH516" s="331"/>
      <c r="AI516" s="331"/>
      <c r="AK516" s="331"/>
    </row>
    <row r="517" spans="2:37" x14ac:dyDescent="0.25">
      <c r="B517" s="9" t="str">
        <f t="shared" si="86"/>
        <v>5 2026</v>
      </c>
      <c r="C517" s="88">
        <f t="shared" si="87"/>
        <v>46166</v>
      </c>
      <c r="D517" s="88">
        <f t="shared" si="90"/>
        <v>46167</v>
      </c>
      <c r="E517" s="89">
        <f t="shared" si="88"/>
        <v>1</v>
      </c>
      <c r="F517" s="123" t="s">
        <v>7</v>
      </c>
      <c r="H517" s="328">
        <f t="shared" si="89"/>
        <v>46166</v>
      </c>
      <c r="I517" s="329"/>
      <c r="J517" s="400"/>
      <c r="L517" s="331"/>
      <c r="M517" s="331"/>
      <c r="N517" s="331"/>
      <c r="O517" s="331"/>
      <c r="P517" s="331"/>
      <c r="Q517" s="331"/>
      <c r="R517" s="331"/>
      <c r="S517" s="331"/>
      <c r="T517" s="331"/>
      <c r="U517" s="331"/>
      <c r="V517" s="331"/>
      <c r="W517" s="331"/>
      <c r="X517" s="331"/>
      <c r="Z517" s="331"/>
      <c r="AA517" s="331"/>
      <c r="AB517" s="331"/>
      <c r="AD517" s="331"/>
      <c r="AE517" s="331"/>
      <c r="AF517" s="331"/>
      <c r="AH517" s="331"/>
      <c r="AI517" s="331"/>
      <c r="AK517" s="331"/>
    </row>
    <row r="518" spans="2:37" x14ac:dyDescent="0.25">
      <c r="B518" s="9" t="str">
        <f t="shared" si="86"/>
        <v>5 2026</v>
      </c>
      <c r="C518" s="88">
        <f t="shared" si="87"/>
        <v>46167</v>
      </c>
      <c r="D518" s="88">
        <f t="shared" si="90"/>
        <v>46168</v>
      </c>
      <c r="E518" s="89">
        <f t="shared" si="88"/>
        <v>1</v>
      </c>
      <c r="F518" s="123" t="s">
        <v>7</v>
      </c>
      <c r="H518" s="328">
        <f t="shared" si="89"/>
        <v>46167</v>
      </c>
      <c r="I518" s="329"/>
      <c r="J518" s="400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W518" s="331"/>
      <c r="X518" s="331"/>
      <c r="Z518" s="331"/>
      <c r="AA518" s="331"/>
      <c r="AB518" s="331"/>
      <c r="AD518" s="331"/>
      <c r="AE518" s="331"/>
      <c r="AF518" s="331"/>
      <c r="AH518" s="331"/>
      <c r="AI518" s="331"/>
      <c r="AK518" s="331"/>
    </row>
    <row r="519" spans="2:37" x14ac:dyDescent="0.25">
      <c r="B519" s="9" t="str">
        <f t="shared" si="86"/>
        <v>5 2026</v>
      </c>
      <c r="C519" s="88">
        <f t="shared" si="87"/>
        <v>46168</v>
      </c>
      <c r="D519" s="88">
        <f t="shared" si="90"/>
        <v>46169</v>
      </c>
      <c r="E519" s="89">
        <f t="shared" si="88"/>
        <v>1</v>
      </c>
      <c r="F519" s="123" t="s">
        <v>7</v>
      </c>
      <c r="H519" s="328">
        <f t="shared" si="89"/>
        <v>46168</v>
      </c>
      <c r="I519" s="329"/>
      <c r="J519" s="400"/>
      <c r="L519" s="331"/>
      <c r="M519" s="331"/>
      <c r="N519" s="331"/>
      <c r="O519" s="331"/>
      <c r="P519" s="331"/>
      <c r="Q519" s="331"/>
      <c r="R519" s="331"/>
      <c r="S519" s="331"/>
      <c r="T519" s="331"/>
      <c r="U519" s="331"/>
      <c r="V519" s="331"/>
      <c r="W519" s="331"/>
      <c r="X519" s="331"/>
      <c r="Z519" s="331"/>
      <c r="AA519" s="331"/>
      <c r="AB519" s="331"/>
      <c r="AD519" s="331"/>
      <c r="AE519" s="331"/>
      <c r="AF519" s="331"/>
      <c r="AH519" s="331"/>
      <c r="AI519" s="331"/>
      <c r="AK519" s="331"/>
    </row>
    <row r="520" spans="2:37" x14ac:dyDescent="0.25">
      <c r="B520" s="9" t="str">
        <f t="shared" si="86"/>
        <v>5 2026</v>
      </c>
      <c r="C520" s="88">
        <f t="shared" si="87"/>
        <v>46169</v>
      </c>
      <c r="D520" s="88">
        <f t="shared" si="90"/>
        <v>46170</v>
      </c>
      <c r="E520" s="89">
        <f t="shared" si="88"/>
        <v>1</v>
      </c>
      <c r="F520" s="123" t="s">
        <v>7</v>
      </c>
      <c r="H520" s="328">
        <f t="shared" si="89"/>
        <v>46169</v>
      </c>
      <c r="I520" s="329"/>
      <c r="J520" s="400"/>
      <c r="L520" s="331"/>
      <c r="M520" s="331"/>
      <c r="N520" s="331"/>
      <c r="O520" s="331"/>
      <c r="P520" s="331"/>
      <c r="Q520" s="331"/>
      <c r="R520" s="331"/>
      <c r="S520" s="331"/>
      <c r="T520" s="331"/>
      <c r="U520" s="331"/>
      <c r="V520" s="331"/>
      <c r="W520" s="331"/>
      <c r="X520" s="331"/>
      <c r="Z520" s="331"/>
      <c r="AA520" s="331"/>
      <c r="AB520" s="331"/>
      <c r="AD520" s="331"/>
      <c r="AE520" s="331"/>
      <c r="AF520" s="331"/>
      <c r="AH520" s="331"/>
      <c r="AI520" s="331"/>
      <c r="AK520" s="331"/>
    </row>
    <row r="521" spans="2:37" x14ac:dyDescent="0.25">
      <c r="B521" s="9" t="str">
        <f t="shared" si="86"/>
        <v>5 2026</v>
      </c>
      <c r="C521" s="88">
        <f t="shared" si="87"/>
        <v>46170</v>
      </c>
      <c r="D521" s="88">
        <f t="shared" si="90"/>
        <v>46171</v>
      </c>
      <c r="E521" s="89">
        <f t="shared" si="88"/>
        <v>1</v>
      </c>
      <c r="F521" s="123" t="s">
        <v>7</v>
      </c>
      <c r="H521" s="328">
        <f t="shared" si="89"/>
        <v>46170</v>
      </c>
      <c r="I521" s="329"/>
      <c r="J521" s="400"/>
      <c r="L521" s="331"/>
      <c r="M521" s="331"/>
      <c r="N521" s="331"/>
      <c r="O521" s="331"/>
      <c r="P521" s="331"/>
      <c r="Q521" s="331"/>
      <c r="R521" s="331"/>
      <c r="S521" s="331"/>
      <c r="T521" s="331"/>
      <c r="U521" s="331"/>
      <c r="V521" s="331"/>
      <c r="W521" s="331"/>
      <c r="X521" s="331"/>
      <c r="Z521" s="331"/>
      <c r="AA521" s="331"/>
      <c r="AB521" s="331"/>
      <c r="AD521" s="331"/>
      <c r="AE521" s="331"/>
      <c r="AF521" s="331"/>
      <c r="AH521" s="331"/>
      <c r="AI521" s="331"/>
      <c r="AK521" s="331"/>
    </row>
    <row r="522" spans="2:37" x14ac:dyDescent="0.25">
      <c r="B522" s="9" t="str">
        <f t="shared" si="86"/>
        <v>5 2026</v>
      </c>
      <c r="C522" s="88">
        <f t="shared" si="87"/>
        <v>46171</v>
      </c>
      <c r="D522" s="88">
        <f t="shared" si="90"/>
        <v>46172</v>
      </c>
      <c r="E522" s="89">
        <f t="shared" si="88"/>
        <v>1</v>
      </c>
      <c r="F522" s="123" t="s">
        <v>7</v>
      </c>
      <c r="H522" s="328">
        <f t="shared" si="89"/>
        <v>46171</v>
      </c>
      <c r="I522" s="329"/>
      <c r="J522" s="400"/>
      <c r="L522" s="331"/>
      <c r="M522" s="331"/>
      <c r="N522" s="331"/>
      <c r="O522" s="331"/>
      <c r="P522" s="331"/>
      <c r="Q522" s="331"/>
      <c r="R522" s="331"/>
      <c r="S522" s="331"/>
      <c r="T522" s="331"/>
      <c r="U522" s="331"/>
      <c r="V522" s="331"/>
      <c r="W522" s="331"/>
      <c r="X522" s="331"/>
      <c r="Z522" s="331"/>
      <c r="AA522" s="331"/>
      <c r="AB522" s="331"/>
      <c r="AD522" s="331"/>
      <c r="AE522" s="331"/>
      <c r="AF522" s="331"/>
      <c r="AH522" s="331"/>
      <c r="AI522" s="331"/>
      <c r="AK522" s="331"/>
    </row>
    <row r="523" spans="2:37" x14ac:dyDescent="0.25">
      <c r="B523" s="9" t="str">
        <f t="shared" si="86"/>
        <v>5 2026</v>
      </c>
      <c r="C523" s="88">
        <f t="shared" si="87"/>
        <v>46172</v>
      </c>
      <c r="D523" s="88">
        <f t="shared" si="90"/>
        <v>46173</v>
      </c>
      <c r="E523" s="89">
        <f t="shared" si="88"/>
        <v>1</v>
      </c>
      <c r="F523" s="123" t="s">
        <v>7</v>
      </c>
      <c r="H523" s="328">
        <f t="shared" si="89"/>
        <v>46172</v>
      </c>
      <c r="I523" s="329"/>
      <c r="J523" s="400"/>
      <c r="L523" s="331"/>
      <c r="M523" s="331"/>
      <c r="N523" s="331"/>
      <c r="O523" s="331"/>
      <c r="P523" s="331"/>
      <c r="Q523" s="331"/>
      <c r="R523" s="331"/>
      <c r="S523" s="331"/>
      <c r="T523" s="331"/>
      <c r="U523" s="331"/>
      <c r="V523" s="331"/>
      <c r="W523" s="331"/>
      <c r="X523" s="331"/>
      <c r="Z523" s="331"/>
      <c r="AA523" s="331"/>
      <c r="AB523" s="331"/>
      <c r="AD523" s="331"/>
      <c r="AE523" s="331"/>
      <c r="AF523" s="331"/>
      <c r="AH523" s="331"/>
      <c r="AI523" s="331"/>
      <c r="AK523" s="331"/>
    </row>
    <row r="524" spans="2:37" x14ac:dyDescent="0.25">
      <c r="B524" s="9" t="str">
        <f t="shared" si="86"/>
        <v>6 2026</v>
      </c>
      <c r="C524" s="88">
        <f t="shared" si="87"/>
        <v>46173</v>
      </c>
      <c r="D524" s="88">
        <f t="shared" si="90"/>
        <v>46174</v>
      </c>
      <c r="E524" s="89">
        <f t="shared" si="88"/>
        <v>1</v>
      </c>
      <c r="F524" s="123" t="s">
        <v>7</v>
      </c>
      <c r="H524" s="328">
        <f t="shared" si="89"/>
        <v>46173</v>
      </c>
      <c r="I524" s="329"/>
      <c r="J524" s="400"/>
      <c r="L524" s="331"/>
      <c r="M524" s="331"/>
      <c r="N524" s="331"/>
      <c r="O524" s="331"/>
      <c r="P524" s="331"/>
      <c r="Q524" s="331"/>
      <c r="R524" s="331"/>
      <c r="S524" s="331"/>
      <c r="T524" s="331"/>
      <c r="U524" s="331"/>
      <c r="V524" s="331"/>
      <c r="W524" s="331"/>
      <c r="X524" s="331"/>
      <c r="Z524" s="331"/>
      <c r="AA524" s="331"/>
      <c r="AB524" s="331"/>
      <c r="AD524" s="331"/>
      <c r="AE524" s="331"/>
      <c r="AF524" s="331"/>
      <c r="AH524" s="331"/>
      <c r="AI524" s="331"/>
      <c r="AK524" s="331"/>
    </row>
    <row r="525" spans="2:37" x14ac:dyDescent="0.25">
      <c r="B525" s="9" t="str">
        <f t="shared" si="86"/>
        <v>6 2026</v>
      </c>
      <c r="C525" s="88">
        <f t="shared" si="87"/>
        <v>46174</v>
      </c>
      <c r="D525" s="88">
        <f t="shared" si="90"/>
        <v>46175</v>
      </c>
      <c r="E525" s="89">
        <f t="shared" si="88"/>
        <v>1</v>
      </c>
      <c r="F525" s="123" t="s">
        <v>7</v>
      </c>
      <c r="H525" s="328">
        <f t="shared" si="89"/>
        <v>46174</v>
      </c>
      <c r="I525" s="329"/>
      <c r="J525" s="400"/>
      <c r="L525" s="331"/>
      <c r="M525" s="331"/>
      <c r="N525" s="331"/>
      <c r="O525" s="331"/>
      <c r="P525" s="331"/>
      <c r="Q525" s="331"/>
      <c r="R525" s="331"/>
      <c r="S525" s="331"/>
      <c r="T525" s="331"/>
      <c r="U525" s="331"/>
      <c r="V525" s="331"/>
      <c r="W525" s="331"/>
      <c r="X525" s="331"/>
      <c r="Z525" s="331"/>
      <c r="AA525" s="331"/>
      <c r="AB525" s="331"/>
      <c r="AD525" s="331"/>
      <c r="AE525" s="331"/>
      <c r="AF525" s="331"/>
      <c r="AH525" s="331"/>
      <c r="AI525" s="331"/>
      <c r="AK525" s="331"/>
    </row>
    <row r="526" spans="2:37" x14ac:dyDescent="0.25">
      <c r="B526" s="9" t="str">
        <f t="shared" si="86"/>
        <v>6 2026</v>
      </c>
      <c r="C526" s="88">
        <f t="shared" si="87"/>
        <v>46175</v>
      </c>
      <c r="D526" s="88">
        <f t="shared" si="90"/>
        <v>46176</v>
      </c>
      <c r="E526" s="89">
        <f t="shared" si="88"/>
        <v>1</v>
      </c>
      <c r="F526" s="123" t="s">
        <v>7</v>
      </c>
      <c r="H526" s="328">
        <f t="shared" si="89"/>
        <v>46175</v>
      </c>
      <c r="I526" s="329"/>
      <c r="J526" s="400"/>
      <c r="L526" s="331"/>
      <c r="M526" s="331"/>
      <c r="N526" s="331"/>
      <c r="O526" s="331"/>
      <c r="P526" s="331"/>
      <c r="Q526" s="331"/>
      <c r="R526" s="331"/>
      <c r="S526" s="331"/>
      <c r="T526" s="331"/>
      <c r="U526" s="331"/>
      <c r="V526" s="331"/>
      <c r="W526" s="331"/>
      <c r="X526" s="331"/>
      <c r="Z526" s="331"/>
      <c r="AA526" s="331"/>
      <c r="AB526" s="331"/>
      <c r="AD526" s="331"/>
      <c r="AE526" s="331"/>
      <c r="AF526" s="331"/>
      <c r="AH526" s="331"/>
      <c r="AI526" s="331"/>
      <c r="AK526" s="331"/>
    </row>
    <row r="527" spans="2:37" x14ac:dyDescent="0.25">
      <c r="B527" s="9" t="str">
        <f t="shared" si="86"/>
        <v>6 2026</v>
      </c>
      <c r="C527" s="88">
        <f t="shared" si="87"/>
        <v>46176</v>
      </c>
      <c r="D527" s="88">
        <f t="shared" si="90"/>
        <v>46177</v>
      </c>
      <c r="E527" s="89">
        <f t="shared" si="88"/>
        <v>1</v>
      </c>
      <c r="F527" s="123" t="s">
        <v>7</v>
      </c>
      <c r="H527" s="328">
        <f t="shared" si="89"/>
        <v>46176</v>
      </c>
      <c r="I527" s="329"/>
      <c r="J527" s="400"/>
      <c r="L527" s="331"/>
      <c r="M527" s="331"/>
      <c r="N527" s="331"/>
      <c r="O527" s="331"/>
      <c r="P527" s="331"/>
      <c r="Q527" s="331"/>
      <c r="R527" s="331"/>
      <c r="S527" s="331"/>
      <c r="T527" s="331"/>
      <c r="U527" s="331"/>
      <c r="V527" s="331"/>
      <c r="W527" s="331"/>
      <c r="X527" s="331"/>
      <c r="Z527" s="331"/>
      <c r="AA527" s="331"/>
      <c r="AB527" s="331"/>
      <c r="AD527" s="331"/>
      <c r="AE527" s="331"/>
      <c r="AF527" s="331"/>
      <c r="AH527" s="331"/>
      <c r="AI527" s="331"/>
      <c r="AK527" s="331"/>
    </row>
    <row r="528" spans="2:37" x14ac:dyDescent="0.25">
      <c r="B528" s="9" t="str">
        <f t="shared" si="86"/>
        <v>6 2026</v>
      </c>
      <c r="C528" s="88">
        <f t="shared" si="87"/>
        <v>46177</v>
      </c>
      <c r="D528" s="88">
        <f t="shared" si="90"/>
        <v>46178</v>
      </c>
      <c r="E528" s="89">
        <f t="shared" si="88"/>
        <v>1</v>
      </c>
      <c r="F528" s="123" t="s">
        <v>7</v>
      </c>
      <c r="H528" s="328">
        <f t="shared" si="89"/>
        <v>46177</v>
      </c>
      <c r="I528" s="329"/>
      <c r="J528" s="400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W528" s="331"/>
      <c r="X528" s="331"/>
      <c r="Z528" s="331"/>
      <c r="AA528" s="331"/>
      <c r="AB528" s="331"/>
      <c r="AD528" s="331"/>
      <c r="AE528" s="331"/>
      <c r="AF528" s="331"/>
      <c r="AH528" s="331"/>
      <c r="AI528" s="331"/>
      <c r="AK528" s="331"/>
    </row>
    <row r="529" spans="2:37" x14ac:dyDescent="0.25">
      <c r="B529" s="9" t="str">
        <f t="shared" si="86"/>
        <v>6 2026</v>
      </c>
      <c r="C529" s="88">
        <f t="shared" si="87"/>
        <v>46178</v>
      </c>
      <c r="D529" s="88">
        <f t="shared" si="90"/>
        <v>46179</v>
      </c>
      <c r="E529" s="89">
        <f t="shared" si="88"/>
        <v>1</v>
      </c>
      <c r="F529" s="123" t="s">
        <v>7</v>
      </c>
      <c r="H529" s="328">
        <f t="shared" si="89"/>
        <v>46178</v>
      </c>
      <c r="I529" s="329"/>
      <c r="J529" s="400"/>
      <c r="L529" s="331"/>
      <c r="M529" s="331"/>
      <c r="N529" s="331"/>
      <c r="O529" s="331"/>
      <c r="P529" s="331"/>
      <c r="Q529" s="331"/>
      <c r="R529" s="331"/>
      <c r="S529" s="331"/>
      <c r="T529" s="331"/>
      <c r="U529" s="331"/>
      <c r="V529" s="331"/>
      <c r="W529" s="331"/>
      <c r="X529" s="331"/>
      <c r="Z529" s="331"/>
      <c r="AA529" s="331"/>
      <c r="AB529" s="331"/>
      <c r="AD529" s="331"/>
      <c r="AE529" s="331"/>
      <c r="AF529" s="331"/>
      <c r="AH529" s="331"/>
      <c r="AI529" s="331"/>
      <c r="AK529" s="331"/>
    </row>
    <row r="530" spans="2:37" x14ac:dyDescent="0.25">
      <c r="B530" s="9" t="str">
        <f t="shared" si="86"/>
        <v>6 2026</v>
      </c>
      <c r="C530" s="88">
        <f t="shared" si="87"/>
        <v>46179</v>
      </c>
      <c r="D530" s="88">
        <f t="shared" si="90"/>
        <v>46180</v>
      </c>
      <c r="E530" s="89">
        <f t="shared" si="88"/>
        <v>1</v>
      </c>
      <c r="F530" s="123" t="s">
        <v>7</v>
      </c>
      <c r="H530" s="328">
        <f t="shared" si="89"/>
        <v>46179</v>
      </c>
      <c r="I530" s="329"/>
      <c r="J530" s="400"/>
      <c r="L530" s="331"/>
      <c r="M530" s="331"/>
      <c r="N530" s="331"/>
      <c r="O530" s="331"/>
      <c r="P530" s="331"/>
      <c r="Q530" s="331"/>
      <c r="R530" s="331"/>
      <c r="S530" s="331"/>
      <c r="T530" s="331"/>
      <c r="U530" s="331"/>
      <c r="V530" s="331"/>
      <c r="W530" s="331"/>
      <c r="X530" s="331"/>
      <c r="Z530" s="331"/>
      <c r="AA530" s="331"/>
      <c r="AB530" s="331"/>
      <c r="AD530" s="331"/>
      <c r="AE530" s="331"/>
      <c r="AF530" s="331"/>
      <c r="AH530" s="331"/>
      <c r="AI530" s="331"/>
      <c r="AK530" s="331"/>
    </row>
    <row r="531" spans="2:37" x14ac:dyDescent="0.25">
      <c r="B531" s="9" t="str">
        <f t="shared" si="86"/>
        <v>6 2026</v>
      </c>
      <c r="C531" s="88">
        <f t="shared" si="87"/>
        <v>46180</v>
      </c>
      <c r="D531" s="88">
        <f t="shared" si="90"/>
        <v>46181</v>
      </c>
      <c r="E531" s="89">
        <f t="shared" si="88"/>
        <v>1</v>
      </c>
      <c r="F531" s="123" t="s">
        <v>7</v>
      </c>
      <c r="H531" s="328">
        <f t="shared" si="89"/>
        <v>46180</v>
      </c>
      <c r="I531" s="329"/>
      <c r="J531" s="400"/>
      <c r="L531" s="331"/>
      <c r="M531" s="331"/>
      <c r="N531" s="331"/>
      <c r="O531" s="331"/>
      <c r="P531" s="331"/>
      <c r="Q531" s="331"/>
      <c r="R531" s="331"/>
      <c r="S531" s="331"/>
      <c r="T531" s="331"/>
      <c r="U531" s="331"/>
      <c r="V531" s="331"/>
      <c r="W531" s="331"/>
      <c r="X531" s="331"/>
      <c r="Z531" s="331"/>
      <c r="AA531" s="331"/>
      <c r="AB531" s="331"/>
      <c r="AD531" s="331"/>
      <c r="AE531" s="331"/>
      <c r="AF531" s="331"/>
      <c r="AH531" s="331"/>
      <c r="AI531" s="331"/>
      <c r="AK531" s="331"/>
    </row>
    <row r="532" spans="2:37" x14ac:dyDescent="0.25">
      <c r="B532" s="9" t="str">
        <f t="shared" si="86"/>
        <v>6 2026</v>
      </c>
      <c r="C532" s="88">
        <f t="shared" si="87"/>
        <v>46181</v>
      </c>
      <c r="D532" s="88">
        <f t="shared" si="90"/>
        <v>46182</v>
      </c>
      <c r="E532" s="89">
        <f t="shared" si="88"/>
        <v>1</v>
      </c>
      <c r="F532" s="123" t="s">
        <v>7</v>
      </c>
      <c r="H532" s="328">
        <f t="shared" si="89"/>
        <v>46181</v>
      </c>
      <c r="I532" s="329"/>
      <c r="J532" s="400"/>
      <c r="L532" s="331"/>
      <c r="M532" s="331"/>
      <c r="N532" s="331"/>
      <c r="O532" s="331"/>
      <c r="P532" s="331"/>
      <c r="Q532" s="331"/>
      <c r="R532" s="331"/>
      <c r="S532" s="331"/>
      <c r="T532" s="331"/>
      <c r="U532" s="331"/>
      <c r="V532" s="331"/>
      <c r="W532" s="331"/>
      <c r="X532" s="331"/>
      <c r="Z532" s="331"/>
      <c r="AA532" s="331"/>
      <c r="AB532" s="331"/>
      <c r="AD532" s="331"/>
      <c r="AE532" s="331"/>
      <c r="AF532" s="331"/>
      <c r="AH532" s="331"/>
      <c r="AI532" s="331"/>
      <c r="AK532" s="331"/>
    </row>
    <row r="533" spans="2:37" x14ac:dyDescent="0.25">
      <c r="B533" s="9" t="str">
        <f t="shared" ref="B533:B596" si="91">CONCATENATE(MONTH(D533)," ",YEAR(D533))</f>
        <v>6 2026</v>
      </c>
      <c r="C533" s="88">
        <f t="shared" ref="C533:C596" si="92">D532</f>
        <v>46182</v>
      </c>
      <c r="D533" s="88">
        <f t="shared" si="90"/>
        <v>46183</v>
      </c>
      <c r="E533" s="89">
        <f t="shared" ref="E533:E596" si="93">D533-C533</f>
        <v>1</v>
      </c>
      <c r="F533" s="123" t="s">
        <v>7</v>
      </c>
      <c r="H533" s="328">
        <f t="shared" ref="H533:H596" si="94">C533</f>
        <v>46182</v>
      </c>
      <c r="I533" s="329"/>
      <c r="J533" s="400"/>
      <c r="L533" s="331"/>
      <c r="M533" s="331"/>
      <c r="N533" s="331"/>
      <c r="O533" s="331"/>
      <c r="P533" s="331"/>
      <c r="Q533" s="331"/>
      <c r="R533" s="331"/>
      <c r="S533" s="331"/>
      <c r="T533" s="331"/>
      <c r="U533" s="331"/>
      <c r="V533" s="331"/>
      <c r="W533" s="331"/>
      <c r="X533" s="331"/>
      <c r="Z533" s="331"/>
      <c r="AA533" s="331"/>
      <c r="AB533" s="331"/>
      <c r="AD533" s="331"/>
      <c r="AE533" s="331"/>
      <c r="AF533" s="331"/>
      <c r="AH533" s="331"/>
      <c r="AI533" s="331"/>
      <c r="AK533" s="331"/>
    </row>
    <row r="534" spans="2:37" x14ac:dyDescent="0.25">
      <c r="B534" s="9" t="str">
        <f t="shared" si="91"/>
        <v>6 2026</v>
      </c>
      <c r="C534" s="88">
        <f t="shared" si="92"/>
        <v>46183</v>
      </c>
      <c r="D534" s="88">
        <f t="shared" si="90"/>
        <v>46184</v>
      </c>
      <c r="E534" s="89">
        <f t="shared" si="93"/>
        <v>1</v>
      </c>
      <c r="F534" s="123" t="s">
        <v>7</v>
      </c>
      <c r="H534" s="328">
        <f t="shared" si="94"/>
        <v>46183</v>
      </c>
      <c r="I534" s="329"/>
      <c r="J534" s="400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1"/>
      <c r="Z534" s="331"/>
      <c r="AA534" s="331"/>
      <c r="AB534" s="331"/>
      <c r="AD534" s="331"/>
      <c r="AE534" s="331"/>
      <c r="AF534" s="331"/>
      <c r="AH534" s="331"/>
      <c r="AI534" s="331"/>
      <c r="AK534" s="331"/>
    </row>
    <row r="535" spans="2:37" x14ac:dyDescent="0.25">
      <c r="B535" s="9" t="str">
        <f t="shared" si="91"/>
        <v>6 2026</v>
      </c>
      <c r="C535" s="88">
        <f t="shared" si="92"/>
        <v>46184</v>
      </c>
      <c r="D535" s="88">
        <f t="shared" si="90"/>
        <v>46185</v>
      </c>
      <c r="E535" s="89">
        <f t="shared" si="93"/>
        <v>1</v>
      </c>
      <c r="F535" s="123" t="s">
        <v>7</v>
      </c>
      <c r="H535" s="328">
        <f t="shared" si="94"/>
        <v>46184</v>
      </c>
      <c r="I535" s="329"/>
      <c r="J535" s="400"/>
      <c r="L535" s="331"/>
      <c r="M535" s="331"/>
      <c r="N535" s="331"/>
      <c r="O535" s="331"/>
      <c r="P535" s="331"/>
      <c r="Q535" s="331"/>
      <c r="R535" s="331"/>
      <c r="S535" s="331"/>
      <c r="T535" s="331"/>
      <c r="U535" s="331"/>
      <c r="V535" s="331"/>
      <c r="W535" s="331"/>
      <c r="X535" s="331"/>
      <c r="Z535" s="331"/>
      <c r="AA535" s="331"/>
      <c r="AB535" s="331"/>
      <c r="AD535" s="331"/>
      <c r="AE535" s="331"/>
      <c r="AF535" s="331"/>
      <c r="AH535" s="331"/>
      <c r="AI535" s="331"/>
      <c r="AK535" s="331"/>
    </row>
    <row r="536" spans="2:37" x14ac:dyDescent="0.25">
      <c r="B536" s="9" t="str">
        <f t="shared" si="91"/>
        <v>6 2026</v>
      </c>
      <c r="C536" s="88">
        <f t="shared" si="92"/>
        <v>46185</v>
      </c>
      <c r="D536" s="88">
        <f t="shared" si="90"/>
        <v>46186</v>
      </c>
      <c r="E536" s="89">
        <f t="shared" si="93"/>
        <v>1</v>
      </c>
      <c r="F536" s="123" t="s">
        <v>7</v>
      </c>
      <c r="H536" s="328">
        <f t="shared" si="94"/>
        <v>46185</v>
      </c>
      <c r="I536" s="329"/>
      <c r="J536" s="400"/>
      <c r="L536" s="331"/>
      <c r="M536" s="331"/>
      <c r="N536" s="331"/>
      <c r="O536" s="331"/>
      <c r="P536" s="331"/>
      <c r="Q536" s="331"/>
      <c r="R536" s="331"/>
      <c r="S536" s="331"/>
      <c r="T536" s="331"/>
      <c r="U536" s="331"/>
      <c r="V536" s="331"/>
      <c r="W536" s="331"/>
      <c r="X536" s="331"/>
      <c r="Z536" s="331"/>
      <c r="AA536" s="331"/>
      <c r="AB536" s="331"/>
      <c r="AD536" s="331"/>
      <c r="AE536" s="331"/>
      <c r="AF536" s="331"/>
      <c r="AH536" s="331"/>
      <c r="AI536" s="331"/>
      <c r="AK536" s="331"/>
    </row>
    <row r="537" spans="2:37" x14ac:dyDescent="0.25">
      <c r="B537" s="9" t="str">
        <f t="shared" si="91"/>
        <v>6 2026</v>
      </c>
      <c r="C537" s="88">
        <f t="shared" si="92"/>
        <v>46186</v>
      </c>
      <c r="D537" s="88">
        <f t="shared" si="90"/>
        <v>46187</v>
      </c>
      <c r="E537" s="89">
        <f t="shared" si="93"/>
        <v>1</v>
      </c>
      <c r="F537" s="123" t="s">
        <v>7</v>
      </c>
      <c r="H537" s="328">
        <f t="shared" si="94"/>
        <v>46186</v>
      </c>
      <c r="I537" s="329"/>
      <c r="J537" s="400"/>
      <c r="L537" s="331"/>
      <c r="M537" s="331"/>
      <c r="N537" s="331"/>
      <c r="O537" s="331"/>
      <c r="P537" s="331"/>
      <c r="Q537" s="331"/>
      <c r="R537" s="331"/>
      <c r="S537" s="331"/>
      <c r="T537" s="331"/>
      <c r="U537" s="331"/>
      <c r="V537" s="331"/>
      <c r="W537" s="331"/>
      <c r="X537" s="331"/>
      <c r="Z537" s="331"/>
      <c r="AA537" s="331"/>
      <c r="AB537" s="331"/>
      <c r="AD537" s="331"/>
      <c r="AE537" s="331"/>
      <c r="AF537" s="331"/>
      <c r="AH537" s="331"/>
      <c r="AI537" s="331"/>
      <c r="AK537" s="331"/>
    </row>
    <row r="538" spans="2:37" x14ac:dyDescent="0.25">
      <c r="B538" s="9" t="str">
        <f t="shared" si="91"/>
        <v>6 2026</v>
      </c>
      <c r="C538" s="88">
        <f t="shared" si="92"/>
        <v>46187</v>
      </c>
      <c r="D538" s="88">
        <f t="shared" si="90"/>
        <v>46188</v>
      </c>
      <c r="E538" s="89">
        <f t="shared" si="93"/>
        <v>1</v>
      </c>
      <c r="F538" s="123" t="s">
        <v>7</v>
      </c>
      <c r="H538" s="328">
        <f t="shared" si="94"/>
        <v>46187</v>
      </c>
      <c r="I538" s="329"/>
      <c r="J538" s="400"/>
      <c r="L538" s="331"/>
      <c r="M538" s="331"/>
      <c r="N538" s="331"/>
      <c r="O538" s="331"/>
      <c r="P538" s="331"/>
      <c r="Q538" s="331"/>
      <c r="R538" s="331"/>
      <c r="S538" s="331"/>
      <c r="T538" s="331"/>
      <c r="U538" s="331"/>
      <c r="V538" s="331"/>
      <c r="W538" s="331"/>
      <c r="X538" s="331"/>
      <c r="Z538" s="331"/>
      <c r="AA538" s="331"/>
      <c r="AB538" s="331"/>
      <c r="AD538" s="331"/>
      <c r="AE538" s="331"/>
      <c r="AF538" s="331"/>
      <c r="AH538" s="331"/>
      <c r="AI538" s="331"/>
      <c r="AK538" s="331"/>
    </row>
    <row r="539" spans="2:37" x14ac:dyDescent="0.25">
      <c r="B539" s="9" t="str">
        <f t="shared" si="91"/>
        <v>6 2026</v>
      </c>
      <c r="C539" s="88">
        <f t="shared" si="92"/>
        <v>46188</v>
      </c>
      <c r="D539" s="88">
        <f t="shared" si="90"/>
        <v>46189</v>
      </c>
      <c r="E539" s="89">
        <f t="shared" si="93"/>
        <v>1</v>
      </c>
      <c r="F539" s="123" t="s">
        <v>7</v>
      </c>
      <c r="H539" s="328">
        <f t="shared" si="94"/>
        <v>46188</v>
      </c>
      <c r="I539" s="329"/>
      <c r="J539" s="400"/>
      <c r="L539" s="331"/>
      <c r="M539" s="331"/>
      <c r="N539" s="331"/>
      <c r="O539" s="331"/>
      <c r="P539" s="331"/>
      <c r="Q539" s="331"/>
      <c r="R539" s="331"/>
      <c r="S539" s="331"/>
      <c r="T539" s="331"/>
      <c r="U539" s="331"/>
      <c r="V539" s="331"/>
      <c r="W539" s="331"/>
      <c r="X539" s="331"/>
      <c r="Z539" s="331"/>
      <c r="AA539" s="331"/>
      <c r="AB539" s="331"/>
      <c r="AD539" s="331"/>
      <c r="AE539" s="331"/>
      <c r="AF539" s="331"/>
      <c r="AH539" s="331"/>
      <c r="AI539" s="331"/>
      <c r="AK539" s="331"/>
    </row>
    <row r="540" spans="2:37" x14ac:dyDescent="0.25">
      <c r="B540" s="9" t="str">
        <f t="shared" si="91"/>
        <v>6 2026</v>
      </c>
      <c r="C540" s="88">
        <f t="shared" si="92"/>
        <v>46189</v>
      </c>
      <c r="D540" s="88">
        <f t="shared" si="90"/>
        <v>46190</v>
      </c>
      <c r="E540" s="89">
        <f t="shared" si="93"/>
        <v>1</v>
      </c>
      <c r="F540" s="123" t="s">
        <v>7</v>
      </c>
      <c r="H540" s="328">
        <f t="shared" si="94"/>
        <v>46189</v>
      </c>
      <c r="I540" s="329"/>
      <c r="J540" s="400"/>
      <c r="L540" s="331"/>
      <c r="M540" s="331"/>
      <c r="N540" s="331"/>
      <c r="O540" s="331"/>
      <c r="P540" s="331"/>
      <c r="Q540" s="331"/>
      <c r="R540" s="331"/>
      <c r="S540" s="331"/>
      <c r="T540" s="331"/>
      <c r="U540" s="331"/>
      <c r="V540" s="331"/>
      <c r="W540" s="331"/>
      <c r="X540" s="331"/>
      <c r="Z540" s="331"/>
      <c r="AA540" s="331"/>
      <c r="AB540" s="331"/>
      <c r="AD540" s="331"/>
      <c r="AE540" s="331"/>
      <c r="AF540" s="331"/>
      <c r="AH540" s="331"/>
      <c r="AI540" s="331"/>
      <c r="AK540" s="331"/>
    </row>
    <row r="541" spans="2:37" x14ac:dyDescent="0.25">
      <c r="B541" s="9" t="str">
        <f t="shared" si="91"/>
        <v>6 2026</v>
      </c>
      <c r="C541" s="88">
        <f t="shared" si="92"/>
        <v>46190</v>
      </c>
      <c r="D541" s="88">
        <f t="shared" si="90"/>
        <v>46191</v>
      </c>
      <c r="E541" s="89">
        <f t="shared" si="93"/>
        <v>1</v>
      </c>
      <c r="F541" s="123" t="s">
        <v>7</v>
      </c>
      <c r="H541" s="328">
        <f t="shared" si="94"/>
        <v>46190</v>
      </c>
      <c r="I541" s="329"/>
      <c r="J541" s="400"/>
      <c r="L541" s="331"/>
      <c r="M541" s="331"/>
      <c r="N541" s="331"/>
      <c r="O541" s="331"/>
      <c r="P541" s="331"/>
      <c r="Q541" s="331"/>
      <c r="R541" s="331"/>
      <c r="S541" s="331"/>
      <c r="T541" s="331"/>
      <c r="U541" s="331"/>
      <c r="V541" s="331"/>
      <c r="W541" s="331"/>
      <c r="X541" s="331"/>
      <c r="Z541" s="331"/>
      <c r="AA541" s="331"/>
      <c r="AB541" s="331"/>
      <c r="AD541" s="331"/>
      <c r="AE541" s="331"/>
      <c r="AF541" s="331"/>
      <c r="AH541" s="331"/>
      <c r="AI541" s="331"/>
      <c r="AK541" s="331"/>
    </row>
    <row r="542" spans="2:37" x14ac:dyDescent="0.25">
      <c r="B542" s="9" t="str">
        <f t="shared" si="91"/>
        <v>6 2026</v>
      </c>
      <c r="C542" s="88">
        <f t="shared" si="92"/>
        <v>46191</v>
      </c>
      <c r="D542" s="88">
        <f t="shared" si="90"/>
        <v>46192</v>
      </c>
      <c r="E542" s="89">
        <f t="shared" si="93"/>
        <v>1</v>
      </c>
      <c r="F542" s="123" t="s">
        <v>7</v>
      </c>
      <c r="H542" s="328">
        <f t="shared" si="94"/>
        <v>46191</v>
      </c>
      <c r="I542" s="329"/>
      <c r="J542" s="400"/>
      <c r="L542" s="331"/>
      <c r="M542" s="331"/>
      <c r="N542" s="331"/>
      <c r="O542" s="331"/>
      <c r="P542" s="331"/>
      <c r="Q542" s="331"/>
      <c r="R542" s="331"/>
      <c r="S542" s="331"/>
      <c r="T542" s="331"/>
      <c r="U542" s="331"/>
      <c r="V542" s="331"/>
      <c r="W542" s="331"/>
      <c r="X542" s="331"/>
      <c r="Z542" s="331"/>
      <c r="AA542" s="331"/>
      <c r="AB542" s="331"/>
      <c r="AD542" s="331"/>
      <c r="AE542" s="331"/>
      <c r="AF542" s="331"/>
      <c r="AH542" s="331"/>
      <c r="AI542" s="331"/>
      <c r="AK542" s="331"/>
    </row>
    <row r="543" spans="2:37" x14ac:dyDescent="0.25">
      <c r="B543" s="9" t="str">
        <f t="shared" si="91"/>
        <v>6 2026</v>
      </c>
      <c r="C543" s="88">
        <f t="shared" si="92"/>
        <v>46192</v>
      </c>
      <c r="D543" s="88">
        <f t="shared" si="90"/>
        <v>46193</v>
      </c>
      <c r="E543" s="89">
        <f t="shared" si="93"/>
        <v>1</v>
      </c>
      <c r="F543" s="123" t="s">
        <v>7</v>
      </c>
      <c r="H543" s="328">
        <f t="shared" si="94"/>
        <v>46192</v>
      </c>
      <c r="I543" s="329"/>
      <c r="J543" s="400"/>
      <c r="L543" s="331"/>
      <c r="M543" s="331"/>
      <c r="N543" s="331"/>
      <c r="O543" s="331"/>
      <c r="P543" s="331"/>
      <c r="Q543" s="331"/>
      <c r="R543" s="331"/>
      <c r="S543" s="331"/>
      <c r="T543" s="331"/>
      <c r="U543" s="331"/>
      <c r="V543" s="331"/>
      <c r="W543" s="331"/>
      <c r="X543" s="331"/>
      <c r="Z543" s="331"/>
      <c r="AA543" s="331"/>
      <c r="AB543" s="331"/>
      <c r="AD543" s="331"/>
      <c r="AE543" s="331"/>
      <c r="AF543" s="331"/>
      <c r="AH543" s="331"/>
      <c r="AI543" s="331"/>
      <c r="AK543" s="331"/>
    </row>
    <row r="544" spans="2:37" x14ac:dyDescent="0.25">
      <c r="B544" s="9" t="str">
        <f t="shared" si="91"/>
        <v>6 2026</v>
      </c>
      <c r="C544" s="88">
        <f t="shared" si="92"/>
        <v>46193</v>
      </c>
      <c r="D544" s="88">
        <f t="shared" si="90"/>
        <v>46194</v>
      </c>
      <c r="E544" s="89">
        <f t="shared" si="93"/>
        <v>1</v>
      </c>
      <c r="F544" s="123" t="s">
        <v>7</v>
      </c>
      <c r="H544" s="328">
        <f t="shared" si="94"/>
        <v>46193</v>
      </c>
      <c r="I544" s="329"/>
      <c r="J544" s="400"/>
      <c r="L544" s="331"/>
      <c r="M544" s="331"/>
      <c r="N544" s="331"/>
      <c r="O544" s="331"/>
      <c r="P544" s="331"/>
      <c r="Q544" s="331"/>
      <c r="R544" s="331"/>
      <c r="S544" s="331"/>
      <c r="T544" s="331"/>
      <c r="U544" s="331"/>
      <c r="V544" s="331"/>
      <c r="W544" s="331"/>
      <c r="X544" s="331"/>
      <c r="Z544" s="331"/>
      <c r="AA544" s="331"/>
      <c r="AB544" s="331"/>
      <c r="AD544" s="331"/>
      <c r="AE544" s="331"/>
      <c r="AF544" s="331"/>
      <c r="AH544" s="331"/>
      <c r="AI544" s="331"/>
      <c r="AK544" s="331"/>
    </row>
    <row r="545" spans="2:37" x14ac:dyDescent="0.25">
      <c r="B545" s="9" t="str">
        <f t="shared" si="91"/>
        <v>6 2026</v>
      </c>
      <c r="C545" s="88">
        <f t="shared" si="92"/>
        <v>46194</v>
      </c>
      <c r="D545" s="88">
        <f t="shared" si="90"/>
        <v>46195</v>
      </c>
      <c r="E545" s="89">
        <f t="shared" si="93"/>
        <v>1</v>
      </c>
      <c r="F545" s="123" t="s">
        <v>7</v>
      </c>
      <c r="H545" s="328">
        <f t="shared" si="94"/>
        <v>46194</v>
      </c>
      <c r="I545" s="329"/>
      <c r="J545" s="400"/>
      <c r="L545" s="331"/>
      <c r="M545" s="331"/>
      <c r="N545" s="331"/>
      <c r="O545" s="331"/>
      <c r="P545" s="331"/>
      <c r="Q545" s="331"/>
      <c r="R545" s="331"/>
      <c r="S545" s="331"/>
      <c r="T545" s="331"/>
      <c r="U545" s="331"/>
      <c r="V545" s="331"/>
      <c r="W545" s="331"/>
      <c r="X545" s="331"/>
      <c r="Z545" s="331"/>
      <c r="AA545" s="331"/>
      <c r="AB545" s="331"/>
      <c r="AD545" s="331"/>
      <c r="AE545" s="331"/>
      <c r="AF545" s="331"/>
      <c r="AH545" s="331"/>
      <c r="AI545" s="331"/>
      <c r="AK545" s="331"/>
    </row>
    <row r="546" spans="2:37" x14ac:dyDescent="0.25">
      <c r="B546" s="9" t="str">
        <f t="shared" si="91"/>
        <v>6 2026</v>
      </c>
      <c r="C546" s="88">
        <f t="shared" si="92"/>
        <v>46195</v>
      </c>
      <c r="D546" s="88">
        <f t="shared" si="90"/>
        <v>46196</v>
      </c>
      <c r="E546" s="89">
        <f t="shared" si="93"/>
        <v>1</v>
      </c>
      <c r="F546" s="123" t="s">
        <v>7</v>
      </c>
      <c r="H546" s="328">
        <f t="shared" si="94"/>
        <v>46195</v>
      </c>
      <c r="I546" s="329"/>
      <c r="J546" s="400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W546" s="331"/>
      <c r="X546" s="331"/>
      <c r="Z546" s="331"/>
      <c r="AA546" s="331"/>
      <c r="AB546" s="331"/>
      <c r="AD546" s="331"/>
      <c r="AE546" s="331"/>
      <c r="AF546" s="331"/>
      <c r="AH546" s="331"/>
      <c r="AI546" s="331"/>
      <c r="AK546" s="331"/>
    </row>
    <row r="547" spans="2:37" x14ac:dyDescent="0.25">
      <c r="B547" s="9" t="str">
        <f t="shared" si="91"/>
        <v>6 2026</v>
      </c>
      <c r="C547" s="88">
        <f t="shared" si="92"/>
        <v>46196</v>
      </c>
      <c r="D547" s="88">
        <f t="shared" si="90"/>
        <v>46197</v>
      </c>
      <c r="E547" s="89">
        <f t="shared" si="93"/>
        <v>1</v>
      </c>
      <c r="F547" s="123" t="s">
        <v>7</v>
      </c>
      <c r="H547" s="328">
        <f t="shared" si="94"/>
        <v>46196</v>
      </c>
      <c r="I547" s="329"/>
      <c r="J547" s="400"/>
      <c r="L547" s="331"/>
      <c r="M547" s="331"/>
      <c r="N547" s="331"/>
      <c r="O547" s="331"/>
      <c r="P547" s="331"/>
      <c r="Q547" s="331"/>
      <c r="R547" s="331"/>
      <c r="S547" s="331"/>
      <c r="T547" s="331"/>
      <c r="U547" s="331"/>
      <c r="V547" s="331"/>
      <c r="W547" s="331"/>
      <c r="X547" s="331"/>
      <c r="Z547" s="331"/>
      <c r="AA547" s="331"/>
      <c r="AB547" s="331"/>
      <c r="AD547" s="331"/>
      <c r="AE547" s="331"/>
      <c r="AF547" s="331"/>
      <c r="AH547" s="331"/>
      <c r="AI547" s="331"/>
      <c r="AK547" s="331"/>
    </row>
    <row r="548" spans="2:37" x14ac:dyDescent="0.25">
      <c r="B548" s="9" t="str">
        <f t="shared" si="91"/>
        <v>6 2026</v>
      </c>
      <c r="C548" s="88">
        <f t="shared" si="92"/>
        <v>46197</v>
      </c>
      <c r="D548" s="88">
        <f t="shared" si="90"/>
        <v>46198</v>
      </c>
      <c r="E548" s="89">
        <f t="shared" si="93"/>
        <v>1</v>
      </c>
      <c r="F548" s="123" t="s">
        <v>7</v>
      </c>
      <c r="H548" s="328">
        <f t="shared" si="94"/>
        <v>46197</v>
      </c>
      <c r="I548" s="329"/>
      <c r="J548" s="400"/>
      <c r="L548" s="331"/>
      <c r="M548" s="331"/>
      <c r="N548" s="331"/>
      <c r="O548" s="331"/>
      <c r="P548" s="331"/>
      <c r="Q548" s="331"/>
      <c r="R548" s="331"/>
      <c r="S548" s="331"/>
      <c r="T548" s="331"/>
      <c r="U548" s="331"/>
      <c r="V548" s="331"/>
      <c r="W548" s="331"/>
      <c r="X548" s="331"/>
      <c r="Z548" s="331"/>
      <c r="AA548" s="331"/>
      <c r="AB548" s="331"/>
      <c r="AD548" s="331"/>
      <c r="AE548" s="331"/>
      <c r="AF548" s="331"/>
      <c r="AH548" s="331"/>
      <c r="AI548" s="331"/>
      <c r="AK548" s="331"/>
    </row>
    <row r="549" spans="2:37" x14ac:dyDescent="0.25">
      <c r="B549" s="9" t="str">
        <f t="shared" si="91"/>
        <v>6 2026</v>
      </c>
      <c r="C549" s="88">
        <f t="shared" si="92"/>
        <v>46198</v>
      </c>
      <c r="D549" s="88">
        <f t="shared" si="90"/>
        <v>46199</v>
      </c>
      <c r="E549" s="89">
        <f t="shared" si="93"/>
        <v>1</v>
      </c>
      <c r="F549" s="123" t="s">
        <v>7</v>
      </c>
      <c r="H549" s="328">
        <f t="shared" si="94"/>
        <v>46198</v>
      </c>
      <c r="I549" s="329"/>
      <c r="J549" s="400"/>
      <c r="L549" s="331"/>
      <c r="M549" s="331"/>
      <c r="N549" s="331"/>
      <c r="O549" s="331"/>
      <c r="P549" s="331"/>
      <c r="Q549" s="331"/>
      <c r="R549" s="331"/>
      <c r="S549" s="331"/>
      <c r="T549" s="331"/>
      <c r="U549" s="331"/>
      <c r="V549" s="331"/>
      <c r="W549" s="331"/>
      <c r="X549" s="331"/>
      <c r="Z549" s="331"/>
      <c r="AA549" s="331"/>
      <c r="AB549" s="331"/>
      <c r="AD549" s="331"/>
      <c r="AE549" s="331"/>
      <c r="AF549" s="331"/>
      <c r="AH549" s="331"/>
      <c r="AI549" s="331"/>
      <c r="AK549" s="331"/>
    </row>
    <row r="550" spans="2:37" x14ac:dyDescent="0.25">
      <c r="B550" s="9" t="str">
        <f t="shared" si="91"/>
        <v>6 2026</v>
      </c>
      <c r="C550" s="88">
        <f t="shared" si="92"/>
        <v>46199</v>
      </c>
      <c r="D550" s="88">
        <f t="shared" si="90"/>
        <v>46200</v>
      </c>
      <c r="E550" s="89">
        <f t="shared" si="93"/>
        <v>1</v>
      </c>
      <c r="F550" s="123" t="s">
        <v>7</v>
      </c>
      <c r="H550" s="328">
        <f t="shared" si="94"/>
        <v>46199</v>
      </c>
      <c r="I550" s="329"/>
      <c r="J550" s="400"/>
      <c r="L550" s="331"/>
      <c r="M550" s="331"/>
      <c r="N550" s="331"/>
      <c r="O550" s="331"/>
      <c r="P550" s="331"/>
      <c r="Q550" s="331"/>
      <c r="R550" s="331"/>
      <c r="S550" s="331"/>
      <c r="T550" s="331"/>
      <c r="U550" s="331"/>
      <c r="V550" s="331"/>
      <c r="W550" s="331"/>
      <c r="X550" s="331"/>
      <c r="Z550" s="331"/>
      <c r="AA550" s="331"/>
      <c r="AB550" s="331"/>
      <c r="AD550" s="331"/>
      <c r="AE550" s="331"/>
      <c r="AF550" s="331"/>
      <c r="AH550" s="331"/>
      <c r="AI550" s="331"/>
      <c r="AK550" s="331"/>
    </row>
    <row r="551" spans="2:37" x14ac:dyDescent="0.25">
      <c r="B551" s="9" t="str">
        <f t="shared" si="91"/>
        <v>6 2026</v>
      </c>
      <c r="C551" s="88">
        <f t="shared" si="92"/>
        <v>46200</v>
      </c>
      <c r="D551" s="88">
        <f t="shared" si="90"/>
        <v>46201</v>
      </c>
      <c r="E551" s="89">
        <f t="shared" si="93"/>
        <v>1</v>
      </c>
      <c r="F551" s="123" t="s">
        <v>7</v>
      </c>
      <c r="H551" s="328">
        <f t="shared" si="94"/>
        <v>46200</v>
      </c>
      <c r="I551" s="329"/>
      <c r="J551" s="400"/>
      <c r="L551" s="331"/>
      <c r="M551" s="331"/>
      <c r="N551" s="331"/>
      <c r="O551" s="331"/>
      <c r="P551" s="331"/>
      <c r="Q551" s="331"/>
      <c r="R551" s="331"/>
      <c r="S551" s="331"/>
      <c r="T551" s="331"/>
      <c r="U551" s="331"/>
      <c r="V551" s="331"/>
      <c r="W551" s="331"/>
      <c r="X551" s="331"/>
      <c r="Z551" s="331"/>
      <c r="AA551" s="331"/>
      <c r="AB551" s="331"/>
      <c r="AD551" s="331"/>
      <c r="AE551" s="331"/>
      <c r="AF551" s="331"/>
      <c r="AH551" s="331"/>
      <c r="AI551" s="331"/>
      <c r="AK551" s="331"/>
    </row>
    <row r="552" spans="2:37" x14ac:dyDescent="0.25">
      <c r="B552" s="9" t="str">
        <f t="shared" si="91"/>
        <v>6 2026</v>
      </c>
      <c r="C552" s="88">
        <f t="shared" si="92"/>
        <v>46201</v>
      </c>
      <c r="D552" s="88">
        <f t="shared" si="90"/>
        <v>46202</v>
      </c>
      <c r="E552" s="89">
        <f t="shared" si="93"/>
        <v>1</v>
      </c>
      <c r="F552" s="123" t="s">
        <v>7</v>
      </c>
      <c r="H552" s="328">
        <f t="shared" si="94"/>
        <v>46201</v>
      </c>
      <c r="I552" s="329"/>
      <c r="J552" s="400"/>
      <c r="L552" s="331"/>
      <c r="M552" s="331"/>
      <c r="N552" s="331"/>
      <c r="O552" s="331"/>
      <c r="P552" s="331"/>
      <c r="Q552" s="331"/>
      <c r="R552" s="331"/>
      <c r="S552" s="331"/>
      <c r="T552" s="331"/>
      <c r="U552" s="331"/>
      <c r="V552" s="331"/>
      <c r="W552" s="331"/>
      <c r="X552" s="331"/>
      <c r="Z552" s="331"/>
      <c r="AA552" s="331"/>
      <c r="AB552" s="331"/>
      <c r="AD552" s="331"/>
      <c r="AE552" s="331"/>
      <c r="AF552" s="331"/>
      <c r="AH552" s="331"/>
      <c r="AI552" s="331"/>
      <c r="AK552" s="331"/>
    </row>
    <row r="553" spans="2:37" x14ac:dyDescent="0.25">
      <c r="B553" s="9" t="str">
        <f t="shared" si="91"/>
        <v>6 2026</v>
      </c>
      <c r="C553" s="88">
        <f t="shared" si="92"/>
        <v>46202</v>
      </c>
      <c r="D553" s="88">
        <f t="shared" si="90"/>
        <v>46203</v>
      </c>
      <c r="E553" s="89">
        <f t="shared" si="93"/>
        <v>1</v>
      </c>
      <c r="F553" s="123" t="s">
        <v>7</v>
      </c>
      <c r="H553" s="328">
        <f t="shared" si="94"/>
        <v>46202</v>
      </c>
      <c r="I553" s="329"/>
      <c r="J553" s="400"/>
      <c r="L553" s="331"/>
      <c r="M553" s="331"/>
      <c r="N553" s="331"/>
      <c r="O553" s="331"/>
      <c r="P553" s="331"/>
      <c r="Q553" s="331"/>
      <c r="R553" s="331"/>
      <c r="S553" s="331"/>
      <c r="T553" s="331"/>
      <c r="U553" s="331"/>
      <c r="V553" s="331"/>
      <c r="W553" s="331"/>
      <c r="X553" s="331"/>
      <c r="Z553" s="331"/>
      <c r="AA553" s="331"/>
      <c r="AB553" s="331"/>
      <c r="AD553" s="331"/>
      <c r="AE553" s="331"/>
      <c r="AF553" s="331"/>
      <c r="AH553" s="331"/>
      <c r="AI553" s="331"/>
      <c r="AK553" s="331"/>
    </row>
    <row r="554" spans="2:37" x14ac:dyDescent="0.25">
      <c r="B554" s="9" t="str">
        <f t="shared" si="91"/>
        <v>7 2026</v>
      </c>
      <c r="C554" s="88">
        <f t="shared" si="92"/>
        <v>46203</v>
      </c>
      <c r="D554" s="88">
        <f t="shared" si="90"/>
        <v>46204</v>
      </c>
      <c r="E554" s="89">
        <f t="shared" si="93"/>
        <v>1</v>
      </c>
      <c r="F554" s="123" t="s">
        <v>7</v>
      </c>
      <c r="H554" s="328">
        <f t="shared" si="94"/>
        <v>46203</v>
      </c>
      <c r="I554" s="329"/>
      <c r="J554" s="400"/>
      <c r="L554" s="331"/>
      <c r="M554" s="331"/>
      <c r="N554" s="331"/>
      <c r="O554" s="331"/>
      <c r="P554" s="331"/>
      <c r="Q554" s="331"/>
      <c r="R554" s="331"/>
      <c r="S554" s="331"/>
      <c r="T554" s="331"/>
      <c r="U554" s="331"/>
      <c r="V554" s="331"/>
      <c r="W554" s="331"/>
      <c r="X554" s="331"/>
      <c r="Z554" s="331"/>
      <c r="AA554" s="331"/>
      <c r="AB554" s="331"/>
      <c r="AD554" s="331"/>
      <c r="AE554" s="331"/>
      <c r="AF554" s="331"/>
      <c r="AH554" s="331"/>
      <c r="AI554" s="331"/>
      <c r="AK554" s="331"/>
    </row>
    <row r="555" spans="2:37" x14ac:dyDescent="0.25">
      <c r="B555" s="9" t="str">
        <f t="shared" si="91"/>
        <v>7 2026</v>
      </c>
      <c r="C555" s="88">
        <f t="shared" si="92"/>
        <v>46204</v>
      </c>
      <c r="D555" s="88">
        <f t="shared" si="90"/>
        <v>46205</v>
      </c>
      <c r="E555" s="89">
        <f t="shared" si="93"/>
        <v>1</v>
      </c>
      <c r="F555" s="123" t="s">
        <v>7</v>
      </c>
      <c r="H555" s="328">
        <f t="shared" si="94"/>
        <v>46204</v>
      </c>
      <c r="I555" s="329"/>
      <c r="J555" s="400"/>
      <c r="L555" s="331"/>
      <c r="M555" s="331"/>
      <c r="N555" s="331"/>
      <c r="O555" s="331"/>
      <c r="P555" s="331"/>
      <c r="Q555" s="331"/>
      <c r="R555" s="331"/>
      <c r="S555" s="331"/>
      <c r="T555" s="331"/>
      <c r="U555" s="331"/>
      <c r="V555" s="331"/>
      <c r="W555" s="331"/>
      <c r="X555" s="331"/>
      <c r="Z555" s="331"/>
      <c r="AA555" s="331"/>
      <c r="AB555" s="331"/>
      <c r="AD555" s="331"/>
      <c r="AE555" s="331"/>
      <c r="AF555" s="331"/>
      <c r="AH555" s="331"/>
      <c r="AI555" s="331"/>
      <c r="AK555" s="331"/>
    </row>
    <row r="556" spans="2:37" x14ac:dyDescent="0.25">
      <c r="B556" s="9" t="str">
        <f t="shared" si="91"/>
        <v>7 2026</v>
      </c>
      <c r="C556" s="88">
        <f t="shared" si="92"/>
        <v>46205</v>
      </c>
      <c r="D556" s="88">
        <f t="shared" si="90"/>
        <v>46206</v>
      </c>
      <c r="E556" s="89">
        <f t="shared" si="93"/>
        <v>1</v>
      </c>
      <c r="F556" s="123" t="s">
        <v>7</v>
      </c>
      <c r="H556" s="328">
        <f t="shared" si="94"/>
        <v>46205</v>
      </c>
      <c r="I556" s="329"/>
      <c r="J556" s="400"/>
      <c r="L556" s="331"/>
      <c r="M556" s="331"/>
      <c r="N556" s="331"/>
      <c r="O556" s="331"/>
      <c r="P556" s="331"/>
      <c r="Q556" s="331"/>
      <c r="R556" s="331"/>
      <c r="S556" s="331"/>
      <c r="T556" s="331"/>
      <c r="U556" s="331"/>
      <c r="V556" s="331"/>
      <c r="W556" s="331"/>
      <c r="X556" s="331"/>
      <c r="Z556" s="331"/>
      <c r="AA556" s="331"/>
      <c r="AB556" s="331"/>
      <c r="AD556" s="331"/>
      <c r="AE556" s="331"/>
      <c r="AF556" s="331"/>
      <c r="AH556" s="331"/>
      <c r="AI556" s="331"/>
      <c r="AK556" s="331"/>
    </row>
    <row r="557" spans="2:37" x14ac:dyDescent="0.25">
      <c r="B557" s="9" t="str">
        <f t="shared" si="91"/>
        <v>7 2026</v>
      </c>
      <c r="C557" s="88">
        <f t="shared" si="92"/>
        <v>46206</v>
      </c>
      <c r="D557" s="88">
        <f t="shared" si="90"/>
        <v>46207</v>
      </c>
      <c r="E557" s="89">
        <f t="shared" si="93"/>
        <v>1</v>
      </c>
      <c r="F557" s="123" t="s">
        <v>7</v>
      </c>
      <c r="H557" s="328">
        <f t="shared" si="94"/>
        <v>46206</v>
      </c>
      <c r="I557" s="329"/>
      <c r="J557" s="400"/>
      <c r="L557" s="331"/>
      <c r="M557" s="331"/>
      <c r="N557" s="331"/>
      <c r="O557" s="331"/>
      <c r="P557" s="331"/>
      <c r="Q557" s="331"/>
      <c r="R557" s="331"/>
      <c r="S557" s="331"/>
      <c r="T557" s="331"/>
      <c r="U557" s="331"/>
      <c r="V557" s="331"/>
      <c r="W557" s="331"/>
      <c r="X557" s="331"/>
      <c r="Z557" s="331"/>
      <c r="AA557" s="331"/>
      <c r="AB557" s="331"/>
      <c r="AD557" s="331"/>
      <c r="AE557" s="331"/>
      <c r="AF557" s="331"/>
      <c r="AH557" s="331"/>
      <c r="AI557" s="331"/>
      <c r="AK557" s="331"/>
    </row>
    <row r="558" spans="2:37" x14ac:dyDescent="0.25">
      <c r="B558" s="9" t="str">
        <f t="shared" si="91"/>
        <v>7 2026</v>
      </c>
      <c r="C558" s="88">
        <f t="shared" si="92"/>
        <v>46207</v>
      </c>
      <c r="D558" s="88">
        <f t="shared" si="90"/>
        <v>46208</v>
      </c>
      <c r="E558" s="89">
        <f t="shared" si="93"/>
        <v>1</v>
      </c>
      <c r="F558" s="123" t="s">
        <v>7</v>
      </c>
      <c r="H558" s="328">
        <f t="shared" si="94"/>
        <v>46207</v>
      </c>
      <c r="I558" s="329"/>
      <c r="J558" s="400"/>
      <c r="L558" s="331"/>
      <c r="M558" s="331"/>
      <c r="N558" s="331"/>
      <c r="O558" s="331"/>
      <c r="P558" s="331"/>
      <c r="Q558" s="331"/>
      <c r="R558" s="331"/>
      <c r="S558" s="331"/>
      <c r="T558" s="331"/>
      <c r="U558" s="331"/>
      <c r="V558" s="331"/>
      <c r="W558" s="331"/>
      <c r="X558" s="331"/>
      <c r="Z558" s="331"/>
      <c r="AA558" s="331"/>
      <c r="AB558" s="331"/>
      <c r="AD558" s="331"/>
      <c r="AE558" s="331"/>
      <c r="AF558" s="331"/>
      <c r="AH558" s="331"/>
      <c r="AI558" s="331"/>
      <c r="AK558" s="331"/>
    </row>
    <row r="559" spans="2:37" x14ac:dyDescent="0.25">
      <c r="B559" s="9" t="str">
        <f t="shared" si="91"/>
        <v>7 2026</v>
      </c>
      <c r="C559" s="88">
        <f t="shared" si="92"/>
        <v>46208</v>
      </c>
      <c r="D559" s="88">
        <f t="shared" si="90"/>
        <v>46209</v>
      </c>
      <c r="E559" s="89">
        <f t="shared" si="93"/>
        <v>1</v>
      </c>
      <c r="F559" s="123" t="s">
        <v>7</v>
      </c>
      <c r="H559" s="328">
        <f t="shared" si="94"/>
        <v>46208</v>
      </c>
      <c r="I559" s="329"/>
      <c r="J559" s="400"/>
      <c r="L559" s="331"/>
      <c r="M559" s="331"/>
      <c r="N559" s="331"/>
      <c r="O559" s="331"/>
      <c r="P559" s="331"/>
      <c r="Q559" s="331"/>
      <c r="R559" s="331"/>
      <c r="S559" s="331"/>
      <c r="T559" s="331"/>
      <c r="U559" s="331"/>
      <c r="V559" s="331"/>
      <c r="W559" s="331"/>
      <c r="X559" s="331"/>
      <c r="Z559" s="331"/>
      <c r="AA559" s="331"/>
      <c r="AB559" s="331"/>
      <c r="AD559" s="331"/>
      <c r="AE559" s="331"/>
      <c r="AF559" s="331"/>
      <c r="AH559" s="331"/>
      <c r="AI559" s="331"/>
      <c r="AK559" s="331"/>
    </row>
    <row r="560" spans="2:37" x14ac:dyDescent="0.25">
      <c r="B560" s="9" t="str">
        <f t="shared" si="91"/>
        <v>7 2026</v>
      </c>
      <c r="C560" s="88">
        <f t="shared" si="92"/>
        <v>46209</v>
      </c>
      <c r="D560" s="88">
        <f t="shared" si="90"/>
        <v>46210</v>
      </c>
      <c r="E560" s="89">
        <f t="shared" si="93"/>
        <v>1</v>
      </c>
      <c r="F560" s="123" t="s">
        <v>7</v>
      </c>
      <c r="H560" s="328">
        <f t="shared" si="94"/>
        <v>46209</v>
      </c>
      <c r="I560" s="329"/>
      <c r="J560" s="400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W560" s="331"/>
      <c r="X560" s="331"/>
      <c r="Z560" s="331"/>
      <c r="AA560" s="331"/>
      <c r="AB560" s="331"/>
      <c r="AD560" s="331"/>
      <c r="AE560" s="331"/>
      <c r="AF560" s="331"/>
      <c r="AH560" s="331"/>
      <c r="AI560" s="331"/>
      <c r="AK560" s="331"/>
    </row>
    <row r="561" spans="2:37" x14ac:dyDescent="0.25">
      <c r="B561" s="9" t="str">
        <f t="shared" si="91"/>
        <v>7 2026</v>
      </c>
      <c r="C561" s="88">
        <f t="shared" si="92"/>
        <v>46210</v>
      </c>
      <c r="D561" s="88">
        <f t="shared" si="90"/>
        <v>46211</v>
      </c>
      <c r="E561" s="89">
        <f t="shared" si="93"/>
        <v>1</v>
      </c>
      <c r="F561" s="123" t="s">
        <v>7</v>
      </c>
      <c r="H561" s="328">
        <f t="shared" si="94"/>
        <v>46210</v>
      </c>
      <c r="I561" s="329"/>
      <c r="J561" s="400"/>
      <c r="L561" s="331"/>
      <c r="M561" s="331"/>
      <c r="N561" s="331"/>
      <c r="O561" s="331"/>
      <c r="P561" s="331"/>
      <c r="Q561" s="331"/>
      <c r="R561" s="331"/>
      <c r="S561" s="331"/>
      <c r="T561" s="331"/>
      <c r="U561" s="331"/>
      <c r="V561" s="331"/>
      <c r="W561" s="331"/>
      <c r="X561" s="331"/>
      <c r="Z561" s="331"/>
      <c r="AA561" s="331"/>
      <c r="AB561" s="331"/>
      <c r="AD561" s="331"/>
      <c r="AE561" s="331"/>
      <c r="AF561" s="331"/>
      <c r="AH561" s="331"/>
      <c r="AI561" s="331"/>
      <c r="AK561" s="331"/>
    </row>
    <row r="562" spans="2:37" x14ac:dyDescent="0.25">
      <c r="B562" s="9" t="str">
        <f t="shared" si="91"/>
        <v>7 2026</v>
      </c>
      <c r="C562" s="88">
        <f t="shared" si="92"/>
        <v>46211</v>
      </c>
      <c r="D562" s="88">
        <f t="shared" si="90"/>
        <v>46212</v>
      </c>
      <c r="E562" s="89">
        <f t="shared" si="93"/>
        <v>1</v>
      </c>
      <c r="F562" s="123" t="s">
        <v>7</v>
      </c>
      <c r="H562" s="328">
        <f t="shared" si="94"/>
        <v>46211</v>
      </c>
      <c r="I562" s="329"/>
      <c r="J562" s="400"/>
      <c r="L562" s="331"/>
      <c r="M562" s="331"/>
      <c r="N562" s="331"/>
      <c r="O562" s="331"/>
      <c r="P562" s="331"/>
      <c r="Q562" s="331"/>
      <c r="R562" s="331"/>
      <c r="S562" s="331"/>
      <c r="T562" s="331"/>
      <c r="U562" s="331"/>
      <c r="V562" s="331"/>
      <c r="W562" s="331"/>
      <c r="X562" s="331"/>
      <c r="Z562" s="331"/>
      <c r="AA562" s="331"/>
      <c r="AB562" s="331"/>
      <c r="AD562" s="331"/>
      <c r="AE562" s="331"/>
      <c r="AF562" s="331"/>
      <c r="AH562" s="331"/>
      <c r="AI562" s="331"/>
      <c r="AK562" s="331"/>
    </row>
    <row r="563" spans="2:37" x14ac:dyDescent="0.25">
      <c r="B563" s="9" t="str">
        <f t="shared" si="91"/>
        <v>7 2026</v>
      </c>
      <c r="C563" s="88">
        <f t="shared" si="92"/>
        <v>46212</v>
      </c>
      <c r="D563" s="88">
        <f t="shared" si="90"/>
        <v>46213</v>
      </c>
      <c r="E563" s="89">
        <f t="shared" si="93"/>
        <v>1</v>
      </c>
      <c r="F563" s="123" t="s">
        <v>7</v>
      </c>
      <c r="H563" s="328">
        <f t="shared" si="94"/>
        <v>46212</v>
      </c>
      <c r="I563" s="329"/>
      <c r="J563" s="400"/>
      <c r="L563" s="331"/>
      <c r="M563" s="331"/>
      <c r="N563" s="331"/>
      <c r="O563" s="331"/>
      <c r="P563" s="331"/>
      <c r="Q563" s="331"/>
      <c r="R563" s="331"/>
      <c r="S563" s="331"/>
      <c r="T563" s="331"/>
      <c r="U563" s="331"/>
      <c r="V563" s="331"/>
      <c r="W563" s="331"/>
      <c r="X563" s="331"/>
      <c r="Z563" s="331"/>
      <c r="AA563" s="331"/>
      <c r="AB563" s="331"/>
      <c r="AD563" s="331"/>
      <c r="AE563" s="331"/>
      <c r="AF563" s="331"/>
      <c r="AH563" s="331"/>
      <c r="AI563" s="331"/>
      <c r="AK563" s="331"/>
    </row>
    <row r="564" spans="2:37" x14ac:dyDescent="0.25">
      <c r="B564" s="9" t="str">
        <f t="shared" si="91"/>
        <v>7 2026</v>
      </c>
      <c r="C564" s="88">
        <f t="shared" si="92"/>
        <v>46213</v>
      </c>
      <c r="D564" s="88">
        <f t="shared" si="90"/>
        <v>46214</v>
      </c>
      <c r="E564" s="89">
        <f t="shared" si="93"/>
        <v>1</v>
      </c>
      <c r="F564" s="123" t="s">
        <v>7</v>
      </c>
      <c r="H564" s="328">
        <f t="shared" si="94"/>
        <v>46213</v>
      </c>
      <c r="I564" s="329"/>
      <c r="J564" s="400"/>
      <c r="L564" s="331"/>
      <c r="M564" s="331"/>
      <c r="N564" s="331"/>
      <c r="O564" s="331"/>
      <c r="P564" s="331"/>
      <c r="Q564" s="331"/>
      <c r="R564" s="331"/>
      <c r="S564" s="331"/>
      <c r="T564" s="331"/>
      <c r="U564" s="331"/>
      <c r="V564" s="331"/>
      <c r="W564" s="331"/>
      <c r="X564" s="331"/>
      <c r="Z564" s="331"/>
      <c r="AA564" s="331"/>
      <c r="AB564" s="331"/>
      <c r="AD564" s="331"/>
      <c r="AE564" s="331"/>
      <c r="AF564" s="331"/>
      <c r="AH564" s="331"/>
      <c r="AI564" s="331"/>
      <c r="AK564" s="331"/>
    </row>
    <row r="565" spans="2:37" x14ac:dyDescent="0.25">
      <c r="B565" s="9" t="str">
        <f t="shared" si="91"/>
        <v>7 2026</v>
      </c>
      <c r="C565" s="88">
        <f t="shared" si="92"/>
        <v>46214</v>
      </c>
      <c r="D565" s="88">
        <f t="shared" si="90"/>
        <v>46215</v>
      </c>
      <c r="E565" s="89">
        <f t="shared" si="93"/>
        <v>1</v>
      </c>
      <c r="F565" s="123" t="s">
        <v>7</v>
      </c>
      <c r="H565" s="328">
        <f t="shared" si="94"/>
        <v>46214</v>
      </c>
      <c r="I565" s="329"/>
      <c r="J565" s="400"/>
      <c r="L565" s="331"/>
      <c r="M565" s="331"/>
      <c r="N565" s="331"/>
      <c r="O565" s="331"/>
      <c r="P565" s="331"/>
      <c r="Q565" s="331"/>
      <c r="R565" s="331"/>
      <c r="S565" s="331"/>
      <c r="T565" s="331"/>
      <c r="U565" s="331"/>
      <c r="V565" s="331"/>
      <c r="W565" s="331"/>
      <c r="X565" s="331"/>
      <c r="Z565" s="331"/>
      <c r="AA565" s="331"/>
      <c r="AB565" s="331"/>
      <c r="AD565" s="331"/>
      <c r="AE565" s="331"/>
      <c r="AF565" s="331"/>
      <c r="AH565" s="331"/>
      <c r="AI565" s="331"/>
      <c r="AK565" s="331"/>
    </row>
    <row r="566" spans="2:37" x14ac:dyDescent="0.25">
      <c r="B566" s="9" t="str">
        <f t="shared" si="91"/>
        <v>7 2026</v>
      </c>
      <c r="C566" s="88">
        <f t="shared" si="92"/>
        <v>46215</v>
      </c>
      <c r="D566" s="88">
        <f t="shared" si="90"/>
        <v>46216</v>
      </c>
      <c r="E566" s="89">
        <f t="shared" si="93"/>
        <v>1</v>
      </c>
      <c r="F566" s="123" t="s">
        <v>7</v>
      </c>
      <c r="H566" s="328">
        <f t="shared" si="94"/>
        <v>46215</v>
      </c>
      <c r="I566" s="329"/>
      <c r="J566" s="400"/>
      <c r="L566" s="331"/>
      <c r="M566" s="331"/>
      <c r="N566" s="331"/>
      <c r="O566" s="331"/>
      <c r="P566" s="331"/>
      <c r="Q566" s="331"/>
      <c r="R566" s="331"/>
      <c r="S566" s="331"/>
      <c r="T566" s="331"/>
      <c r="U566" s="331"/>
      <c r="V566" s="331"/>
      <c r="W566" s="331"/>
      <c r="X566" s="331"/>
      <c r="Z566" s="331"/>
      <c r="AA566" s="331"/>
      <c r="AB566" s="331"/>
      <c r="AD566" s="331"/>
      <c r="AE566" s="331"/>
      <c r="AF566" s="331"/>
      <c r="AH566" s="331"/>
      <c r="AI566" s="331"/>
      <c r="AK566" s="331"/>
    </row>
    <row r="567" spans="2:37" x14ac:dyDescent="0.25">
      <c r="B567" s="9" t="str">
        <f t="shared" si="91"/>
        <v>7 2026</v>
      </c>
      <c r="C567" s="88">
        <f t="shared" si="92"/>
        <v>46216</v>
      </c>
      <c r="D567" s="88">
        <f t="shared" si="90"/>
        <v>46217</v>
      </c>
      <c r="E567" s="89">
        <f t="shared" si="93"/>
        <v>1</v>
      </c>
      <c r="F567" s="123" t="s">
        <v>7</v>
      </c>
      <c r="H567" s="328">
        <f t="shared" si="94"/>
        <v>46216</v>
      </c>
      <c r="I567" s="329"/>
      <c r="J567" s="400"/>
      <c r="L567" s="331"/>
      <c r="M567" s="331"/>
      <c r="N567" s="331"/>
      <c r="O567" s="331"/>
      <c r="P567" s="331"/>
      <c r="Q567" s="331"/>
      <c r="R567" s="331"/>
      <c r="S567" s="331"/>
      <c r="T567" s="331"/>
      <c r="U567" s="331"/>
      <c r="V567" s="331"/>
      <c r="W567" s="331"/>
      <c r="X567" s="331"/>
      <c r="Z567" s="331"/>
      <c r="AA567" s="331"/>
      <c r="AB567" s="331"/>
      <c r="AD567" s="331"/>
      <c r="AE567" s="331"/>
      <c r="AF567" s="331"/>
      <c r="AH567" s="331"/>
      <c r="AI567" s="331"/>
      <c r="AK567" s="331"/>
    </row>
    <row r="568" spans="2:37" x14ac:dyDescent="0.25">
      <c r="B568" s="9" t="str">
        <f t="shared" si="91"/>
        <v>7 2026</v>
      </c>
      <c r="C568" s="88">
        <f t="shared" si="92"/>
        <v>46217</v>
      </c>
      <c r="D568" s="88">
        <f t="shared" ref="D568:D631" si="95">D567+1</f>
        <v>46218</v>
      </c>
      <c r="E568" s="89">
        <f t="shared" si="93"/>
        <v>1</v>
      </c>
      <c r="F568" s="123" t="s">
        <v>7</v>
      </c>
      <c r="H568" s="328">
        <f t="shared" si="94"/>
        <v>46217</v>
      </c>
      <c r="I568" s="329"/>
      <c r="J568" s="400"/>
      <c r="L568" s="331"/>
      <c r="M568" s="331"/>
      <c r="N568" s="331"/>
      <c r="O568" s="331"/>
      <c r="P568" s="331"/>
      <c r="Q568" s="331"/>
      <c r="R568" s="331"/>
      <c r="S568" s="331"/>
      <c r="T568" s="331"/>
      <c r="U568" s="331"/>
      <c r="V568" s="331"/>
      <c r="W568" s="331"/>
      <c r="X568" s="331"/>
      <c r="Z568" s="331"/>
      <c r="AA568" s="331"/>
      <c r="AB568" s="331"/>
      <c r="AD568" s="331"/>
      <c r="AE568" s="331"/>
      <c r="AF568" s="331"/>
      <c r="AH568" s="331"/>
      <c r="AI568" s="331"/>
      <c r="AK568" s="331"/>
    </row>
    <row r="569" spans="2:37" x14ac:dyDescent="0.25">
      <c r="B569" s="9" t="str">
        <f t="shared" si="91"/>
        <v>7 2026</v>
      </c>
      <c r="C569" s="88">
        <f t="shared" si="92"/>
        <v>46218</v>
      </c>
      <c r="D569" s="88">
        <f t="shared" si="95"/>
        <v>46219</v>
      </c>
      <c r="E569" s="89">
        <f t="shared" si="93"/>
        <v>1</v>
      </c>
      <c r="F569" s="123" t="s">
        <v>7</v>
      </c>
      <c r="H569" s="328">
        <f t="shared" si="94"/>
        <v>46218</v>
      </c>
      <c r="I569" s="329"/>
      <c r="J569" s="400"/>
      <c r="L569" s="331"/>
      <c r="M569" s="331"/>
      <c r="N569" s="331"/>
      <c r="O569" s="331"/>
      <c r="P569" s="331"/>
      <c r="Q569" s="331"/>
      <c r="R569" s="331"/>
      <c r="S569" s="331"/>
      <c r="T569" s="331"/>
      <c r="U569" s="331"/>
      <c r="V569" s="331"/>
      <c r="W569" s="331"/>
      <c r="X569" s="331"/>
      <c r="Z569" s="331"/>
      <c r="AA569" s="331"/>
      <c r="AB569" s="331"/>
      <c r="AD569" s="331"/>
      <c r="AE569" s="331"/>
      <c r="AF569" s="331"/>
      <c r="AH569" s="331"/>
      <c r="AI569" s="331"/>
      <c r="AK569" s="331"/>
    </row>
    <row r="570" spans="2:37" x14ac:dyDescent="0.25">
      <c r="B570" s="9" t="str">
        <f t="shared" si="91"/>
        <v>7 2026</v>
      </c>
      <c r="C570" s="88">
        <f t="shared" si="92"/>
        <v>46219</v>
      </c>
      <c r="D570" s="88">
        <f t="shared" si="95"/>
        <v>46220</v>
      </c>
      <c r="E570" s="89">
        <f t="shared" si="93"/>
        <v>1</v>
      </c>
      <c r="F570" s="123" t="s">
        <v>7</v>
      </c>
      <c r="H570" s="328">
        <f t="shared" si="94"/>
        <v>46219</v>
      </c>
      <c r="I570" s="329"/>
      <c r="J570" s="400"/>
      <c r="L570" s="331"/>
      <c r="M570" s="331"/>
      <c r="N570" s="331"/>
      <c r="O570" s="331"/>
      <c r="P570" s="331"/>
      <c r="Q570" s="331"/>
      <c r="R570" s="331"/>
      <c r="S570" s="331"/>
      <c r="T570" s="331"/>
      <c r="U570" s="331"/>
      <c r="V570" s="331"/>
      <c r="W570" s="331"/>
      <c r="X570" s="331"/>
      <c r="Z570" s="331"/>
      <c r="AA570" s="331"/>
      <c r="AB570" s="331"/>
      <c r="AD570" s="331"/>
      <c r="AE570" s="331"/>
      <c r="AF570" s="331"/>
      <c r="AH570" s="331"/>
      <c r="AI570" s="331"/>
      <c r="AK570" s="331"/>
    </row>
    <row r="571" spans="2:37" x14ac:dyDescent="0.25">
      <c r="B571" s="9" t="str">
        <f t="shared" si="91"/>
        <v>7 2026</v>
      </c>
      <c r="C571" s="88">
        <f t="shared" si="92"/>
        <v>46220</v>
      </c>
      <c r="D571" s="88">
        <f t="shared" si="95"/>
        <v>46221</v>
      </c>
      <c r="E571" s="89">
        <f t="shared" si="93"/>
        <v>1</v>
      </c>
      <c r="F571" s="123" t="s">
        <v>7</v>
      </c>
      <c r="H571" s="328">
        <f t="shared" si="94"/>
        <v>46220</v>
      </c>
      <c r="I571" s="329"/>
      <c r="J571" s="400"/>
      <c r="L571" s="331"/>
      <c r="M571" s="331"/>
      <c r="N571" s="331"/>
      <c r="O571" s="331"/>
      <c r="P571" s="331"/>
      <c r="Q571" s="331"/>
      <c r="R571" s="331"/>
      <c r="S571" s="331"/>
      <c r="T571" s="331"/>
      <c r="U571" s="331"/>
      <c r="V571" s="331"/>
      <c r="W571" s="331"/>
      <c r="X571" s="331"/>
      <c r="Z571" s="331"/>
      <c r="AA571" s="331"/>
      <c r="AB571" s="331"/>
      <c r="AD571" s="331"/>
      <c r="AE571" s="331"/>
      <c r="AF571" s="331"/>
      <c r="AH571" s="331"/>
      <c r="AI571" s="331"/>
      <c r="AK571" s="331"/>
    </row>
    <row r="572" spans="2:37" x14ac:dyDescent="0.25">
      <c r="B572" s="9" t="str">
        <f t="shared" si="91"/>
        <v>7 2026</v>
      </c>
      <c r="C572" s="88">
        <f t="shared" si="92"/>
        <v>46221</v>
      </c>
      <c r="D572" s="88">
        <f t="shared" si="95"/>
        <v>46222</v>
      </c>
      <c r="E572" s="89">
        <f t="shared" si="93"/>
        <v>1</v>
      </c>
      <c r="F572" s="123" t="s">
        <v>7</v>
      </c>
      <c r="H572" s="328">
        <f t="shared" si="94"/>
        <v>46221</v>
      </c>
      <c r="I572" s="329"/>
      <c r="J572" s="400"/>
      <c r="L572" s="331"/>
      <c r="M572" s="331"/>
      <c r="N572" s="331"/>
      <c r="O572" s="331"/>
      <c r="P572" s="331"/>
      <c r="Q572" s="331"/>
      <c r="R572" s="331"/>
      <c r="S572" s="331"/>
      <c r="T572" s="331"/>
      <c r="U572" s="331"/>
      <c r="V572" s="331"/>
      <c r="W572" s="331"/>
      <c r="X572" s="331"/>
      <c r="Z572" s="331"/>
      <c r="AA572" s="331"/>
      <c r="AB572" s="331"/>
      <c r="AD572" s="331"/>
      <c r="AE572" s="331"/>
      <c r="AF572" s="331"/>
      <c r="AH572" s="331"/>
      <c r="AI572" s="331"/>
      <c r="AK572" s="331"/>
    </row>
    <row r="573" spans="2:37" x14ac:dyDescent="0.25">
      <c r="B573" s="9" t="str">
        <f t="shared" si="91"/>
        <v>7 2026</v>
      </c>
      <c r="C573" s="88">
        <f t="shared" si="92"/>
        <v>46222</v>
      </c>
      <c r="D573" s="88">
        <f t="shared" si="95"/>
        <v>46223</v>
      </c>
      <c r="E573" s="89">
        <f t="shared" si="93"/>
        <v>1</v>
      </c>
      <c r="F573" s="123" t="s">
        <v>7</v>
      </c>
      <c r="H573" s="328">
        <f t="shared" si="94"/>
        <v>46222</v>
      </c>
      <c r="I573" s="329"/>
      <c r="J573" s="400"/>
      <c r="L573" s="331"/>
      <c r="M573" s="331"/>
      <c r="N573" s="331"/>
      <c r="O573" s="331"/>
      <c r="P573" s="331"/>
      <c r="Q573" s="331"/>
      <c r="R573" s="331"/>
      <c r="S573" s="331"/>
      <c r="T573" s="331"/>
      <c r="U573" s="331"/>
      <c r="V573" s="331"/>
      <c r="W573" s="331"/>
      <c r="X573" s="331"/>
      <c r="Z573" s="331"/>
      <c r="AA573" s="331"/>
      <c r="AB573" s="331"/>
      <c r="AD573" s="331"/>
      <c r="AE573" s="331"/>
      <c r="AF573" s="331"/>
      <c r="AH573" s="331"/>
      <c r="AI573" s="331"/>
      <c r="AK573" s="331"/>
    </row>
    <row r="574" spans="2:37" x14ac:dyDescent="0.25">
      <c r="B574" s="9" t="str">
        <f t="shared" si="91"/>
        <v>7 2026</v>
      </c>
      <c r="C574" s="88">
        <f t="shared" si="92"/>
        <v>46223</v>
      </c>
      <c r="D574" s="88">
        <f t="shared" si="95"/>
        <v>46224</v>
      </c>
      <c r="E574" s="89">
        <f t="shared" si="93"/>
        <v>1</v>
      </c>
      <c r="F574" s="123" t="s">
        <v>7</v>
      </c>
      <c r="H574" s="328">
        <f t="shared" si="94"/>
        <v>46223</v>
      </c>
      <c r="I574" s="329"/>
      <c r="J574" s="400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W574" s="331"/>
      <c r="X574" s="331"/>
      <c r="Z574" s="331"/>
      <c r="AA574" s="331"/>
      <c r="AB574" s="331"/>
      <c r="AD574" s="331"/>
      <c r="AE574" s="331"/>
      <c r="AF574" s="331"/>
      <c r="AH574" s="331"/>
      <c r="AI574" s="331"/>
      <c r="AK574" s="331"/>
    </row>
    <row r="575" spans="2:37" x14ac:dyDescent="0.25">
      <c r="B575" s="9" t="str">
        <f t="shared" si="91"/>
        <v>7 2026</v>
      </c>
      <c r="C575" s="88">
        <f t="shared" si="92"/>
        <v>46224</v>
      </c>
      <c r="D575" s="88">
        <f t="shared" si="95"/>
        <v>46225</v>
      </c>
      <c r="E575" s="89">
        <f t="shared" si="93"/>
        <v>1</v>
      </c>
      <c r="F575" s="123" t="s">
        <v>7</v>
      </c>
      <c r="H575" s="328">
        <f t="shared" si="94"/>
        <v>46224</v>
      </c>
      <c r="I575" s="329"/>
      <c r="J575" s="400"/>
      <c r="L575" s="331"/>
      <c r="M575" s="331"/>
      <c r="N575" s="331"/>
      <c r="O575" s="331"/>
      <c r="P575" s="331"/>
      <c r="Q575" s="331"/>
      <c r="R575" s="331"/>
      <c r="S575" s="331"/>
      <c r="T575" s="331"/>
      <c r="U575" s="331"/>
      <c r="V575" s="331"/>
      <c r="W575" s="331"/>
      <c r="X575" s="331"/>
      <c r="Z575" s="331"/>
      <c r="AA575" s="331"/>
      <c r="AB575" s="331"/>
      <c r="AD575" s="331"/>
      <c r="AE575" s="331"/>
      <c r="AF575" s="331"/>
      <c r="AH575" s="331"/>
      <c r="AI575" s="331"/>
      <c r="AK575" s="331"/>
    </row>
    <row r="576" spans="2:37" x14ac:dyDescent="0.25">
      <c r="B576" s="9" t="str">
        <f t="shared" si="91"/>
        <v>7 2026</v>
      </c>
      <c r="C576" s="88">
        <f t="shared" si="92"/>
        <v>46225</v>
      </c>
      <c r="D576" s="88">
        <f t="shared" si="95"/>
        <v>46226</v>
      </c>
      <c r="E576" s="89">
        <f t="shared" si="93"/>
        <v>1</v>
      </c>
      <c r="F576" s="123" t="s">
        <v>7</v>
      </c>
      <c r="H576" s="328">
        <f t="shared" si="94"/>
        <v>46225</v>
      </c>
      <c r="I576" s="329"/>
      <c r="J576" s="400"/>
      <c r="L576" s="331"/>
      <c r="M576" s="331"/>
      <c r="N576" s="331"/>
      <c r="O576" s="331"/>
      <c r="P576" s="331"/>
      <c r="Q576" s="331"/>
      <c r="R576" s="331"/>
      <c r="S576" s="331"/>
      <c r="T576" s="331"/>
      <c r="U576" s="331"/>
      <c r="V576" s="331"/>
      <c r="W576" s="331"/>
      <c r="X576" s="331"/>
      <c r="Z576" s="331"/>
      <c r="AA576" s="331"/>
      <c r="AB576" s="331"/>
      <c r="AD576" s="331"/>
      <c r="AE576" s="331"/>
      <c r="AF576" s="331"/>
      <c r="AH576" s="331"/>
      <c r="AI576" s="331"/>
      <c r="AK576" s="331"/>
    </row>
    <row r="577" spans="2:37" x14ac:dyDescent="0.25">
      <c r="B577" s="9" t="str">
        <f t="shared" si="91"/>
        <v>7 2026</v>
      </c>
      <c r="C577" s="88">
        <f t="shared" si="92"/>
        <v>46226</v>
      </c>
      <c r="D577" s="88">
        <f t="shared" si="95"/>
        <v>46227</v>
      </c>
      <c r="E577" s="89">
        <f t="shared" si="93"/>
        <v>1</v>
      </c>
      <c r="F577" s="123" t="s">
        <v>7</v>
      </c>
      <c r="H577" s="328">
        <f t="shared" si="94"/>
        <v>46226</v>
      </c>
      <c r="I577" s="329"/>
      <c r="J577" s="400"/>
      <c r="L577" s="331"/>
      <c r="M577" s="331"/>
      <c r="N577" s="331"/>
      <c r="O577" s="331"/>
      <c r="P577" s="331"/>
      <c r="Q577" s="331"/>
      <c r="R577" s="331"/>
      <c r="S577" s="331"/>
      <c r="T577" s="331"/>
      <c r="U577" s="331"/>
      <c r="V577" s="331"/>
      <c r="W577" s="331"/>
      <c r="X577" s="331"/>
      <c r="Z577" s="331"/>
      <c r="AA577" s="331"/>
      <c r="AB577" s="331"/>
      <c r="AD577" s="331"/>
      <c r="AE577" s="331"/>
      <c r="AF577" s="331"/>
      <c r="AH577" s="331"/>
      <c r="AI577" s="331"/>
      <c r="AK577" s="331"/>
    </row>
    <row r="578" spans="2:37" x14ac:dyDescent="0.25">
      <c r="B578" s="9" t="str">
        <f t="shared" si="91"/>
        <v>7 2026</v>
      </c>
      <c r="C578" s="88">
        <f t="shared" si="92"/>
        <v>46227</v>
      </c>
      <c r="D578" s="88">
        <f t="shared" si="95"/>
        <v>46228</v>
      </c>
      <c r="E578" s="89">
        <f t="shared" si="93"/>
        <v>1</v>
      </c>
      <c r="F578" s="123" t="s">
        <v>7</v>
      </c>
      <c r="H578" s="328">
        <f t="shared" si="94"/>
        <v>46227</v>
      </c>
      <c r="I578" s="329"/>
      <c r="J578" s="400"/>
      <c r="L578" s="331"/>
      <c r="M578" s="331"/>
      <c r="N578" s="331"/>
      <c r="O578" s="331"/>
      <c r="P578" s="331"/>
      <c r="Q578" s="331"/>
      <c r="R578" s="331"/>
      <c r="S578" s="331"/>
      <c r="T578" s="331"/>
      <c r="U578" s="331"/>
      <c r="V578" s="331"/>
      <c r="W578" s="331"/>
      <c r="X578" s="331"/>
      <c r="Z578" s="331"/>
      <c r="AA578" s="331"/>
      <c r="AB578" s="331"/>
      <c r="AD578" s="331"/>
      <c r="AE578" s="331"/>
      <c r="AF578" s="331"/>
      <c r="AH578" s="331"/>
      <c r="AI578" s="331"/>
      <c r="AK578" s="331"/>
    </row>
    <row r="579" spans="2:37" x14ac:dyDescent="0.25">
      <c r="B579" s="9" t="str">
        <f t="shared" si="91"/>
        <v>7 2026</v>
      </c>
      <c r="C579" s="88">
        <f t="shared" si="92"/>
        <v>46228</v>
      </c>
      <c r="D579" s="88">
        <f t="shared" si="95"/>
        <v>46229</v>
      </c>
      <c r="E579" s="89">
        <f t="shared" si="93"/>
        <v>1</v>
      </c>
      <c r="F579" s="123" t="s">
        <v>7</v>
      </c>
      <c r="H579" s="328">
        <f t="shared" si="94"/>
        <v>46228</v>
      </c>
      <c r="I579" s="329"/>
      <c r="J579" s="400"/>
      <c r="L579" s="331"/>
      <c r="M579" s="331"/>
      <c r="N579" s="331"/>
      <c r="O579" s="331"/>
      <c r="P579" s="331"/>
      <c r="Q579" s="331"/>
      <c r="R579" s="331"/>
      <c r="S579" s="331"/>
      <c r="T579" s="331"/>
      <c r="U579" s="331"/>
      <c r="V579" s="331"/>
      <c r="W579" s="331"/>
      <c r="X579" s="331"/>
      <c r="Z579" s="331"/>
      <c r="AA579" s="331"/>
      <c r="AB579" s="331"/>
      <c r="AD579" s="331"/>
      <c r="AE579" s="331"/>
      <c r="AF579" s="331"/>
      <c r="AH579" s="331"/>
      <c r="AI579" s="331"/>
      <c r="AK579" s="331"/>
    </row>
    <row r="580" spans="2:37" x14ac:dyDescent="0.25">
      <c r="B580" s="9" t="str">
        <f t="shared" si="91"/>
        <v>7 2026</v>
      </c>
      <c r="C580" s="88">
        <f t="shared" si="92"/>
        <v>46229</v>
      </c>
      <c r="D580" s="88">
        <f t="shared" si="95"/>
        <v>46230</v>
      </c>
      <c r="E580" s="89">
        <f t="shared" si="93"/>
        <v>1</v>
      </c>
      <c r="F580" s="123" t="s">
        <v>7</v>
      </c>
      <c r="H580" s="328">
        <f t="shared" si="94"/>
        <v>46229</v>
      </c>
      <c r="I580" s="329"/>
      <c r="J580" s="400"/>
      <c r="L580" s="331"/>
      <c r="M580" s="331"/>
      <c r="N580" s="331"/>
      <c r="O580" s="331"/>
      <c r="P580" s="331"/>
      <c r="Q580" s="331"/>
      <c r="R580" s="331"/>
      <c r="S580" s="331"/>
      <c r="T580" s="331"/>
      <c r="U580" s="331"/>
      <c r="V580" s="331"/>
      <c r="W580" s="331"/>
      <c r="X580" s="331"/>
      <c r="Z580" s="331"/>
      <c r="AA580" s="331"/>
      <c r="AB580" s="331"/>
      <c r="AD580" s="331"/>
      <c r="AE580" s="331"/>
      <c r="AF580" s="331"/>
      <c r="AH580" s="331"/>
      <c r="AI580" s="331"/>
      <c r="AK580" s="331"/>
    </row>
    <row r="581" spans="2:37" x14ac:dyDescent="0.25">
      <c r="B581" s="9" t="str">
        <f t="shared" si="91"/>
        <v>7 2026</v>
      </c>
      <c r="C581" s="88">
        <f t="shared" si="92"/>
        <v>46230</v>
      </c>
      <c r="D581" s="88">
        <f t="shared" si="95"/>
        <v>46231</v>
      </c>
      <c r="E581" s="89">
        <f t="shared" si="93"/>
        <v>1</v>
      </c>
      <c r="F581" s="123" t="s">
        <v>7</v>
      </c>
      <c r="H581" s="328">
        <f t="shared" si="94"/>
        <v>46230</v>
      </c>
      <c r="I581" s="329"/>
      <c r="J581" s="400"/>
      <c r="L581" s="331"/>
      <c r="M581" s="331"/>
      <c r="N581" s="331"/>
      <c r="O581" s="331"/>
      <c r="P581" s="331"/>
      <c r="Q581" s="331"/>
      <c r="R581" s="331"/>
      <c r="S581" s="331"/>
      <c r="T581" s="331"/>
      <c r="U581" s="331"/>
      <c r="V581" s="331"/>
      <c r="W581" s="331"/>
      <c r="X581" s="331"/>
      <c r="Z581" s="331"/>
      <c r="AA581" s="331"/>
      <c r="AB581" s="331"/>
      <c r="AD581" s="331"/>
      <c r="AE581" s="331"/>
      <c r="AF581" s="331"/>
      <c r="AH581" s="331"/>
      <c r="AI581" s="331"/>
      <c r="AK581" s="331"/>
    </row>
    <row r="582" spans="2:37" x14ac:dyDescent="0.25">
      <c r="B582" s="9" t="str">
        <f t="shared" si="91"/>
        <v>7 2026</v>
      </c>
      <c r="C582" s="88">
        <f t="shared" si="92"/>
        <v>46231</v>
      </c>
      <c r="D582" s="88">
        <f t="shared" si="95"/>
        <v>46232</v>
      </c>
      <c r="E582" s="89">
        <f t="shared" si="93"/>
        <v>1</v>
      </c>
      <c r="F582" s="123" t="s">
        <v>7</v>
      </c>
      <c r="H582" s="328">
        <f t="shared" si="94"/>
        <v>46231</v>
      </c>
      <c r="I582" s="329"/>
      <c r="J582" s="400"/>
      <c r="L582" s="331"/>
      <c r="M582" s="331"/>
      <c r="N582" s="331"/>
      <c r="O582" s="331"/>
      <c r="P582" s="331"/>
      <c r="Q582" s="331"/>
      <c r="R582" s="331"/>
      <c r="S582" s="331"/>
      <c r="T582" s="331"/>
      <c r="U582" s="331"/>
      <c r="V582" s="331"/>
      <c r="W582" s="331"/>
      <c r="X582" s="331"/>
      <c r="Z582" s="331"/>
      <c r="AA582" s="331"/>
      <c r="AB582" s="331"/>
      <c r="AD582" s="331"/>
      <c r="AE582" s="331"/>
      <c r="AF582" s="331"/>
      <c r="AH582" s="331"/>
      <c r="AI582" s="331"/>
      <c r="AK582" s="331"/>
    </row>
    <row r="583" spans="2:37" x14ac:dyDescent="0.25">
      <c r="B583" s="9" t="str">
        <f t="shared" si="91"/>
        <v>7 2026</v>
      </c>
      <c r="C583" s="88">
        <f t="shared" si="92"/>
        <v>46232</v>
      </c>
      <c r="D583" s="88">
        <f t="shared" si="95"/>
        <v>46233</v>
      </c>
      <c r="E583" s="89">
        <f t="shared" si="93"/>
        <v>1</v>
      </c>
      <c r="F583" s="123" t="s">
        <v>7</v>
      </c>
      <c r="H583" s="328">
        <f t="shared" si="94"/>
        <v>46232</v>
      </c>
      <c r="I583" s="329"/>
      <c r="J583" s="400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W583" s="331"/>
      <c r="X583" s="331"/>
      <c r="Z583" s="331"/>
      <c r="AA583" s="331"/>
      <c r="AB583" s="331"/>
      <c r="AD583" s="331"/>
      <c r="AE583" s="331"/>
      <c r="AF583" s="331"/>
      <c r="AH583" s="331"/>
      <c r="AI583" s="331"/>
      <c r="AK583" s="331"/>
    </row>
    <row r="584" spans="2:37" x14ac:dyDescent="0.25">
      <c r="B584" s="9" t="str">
        <f t="shared" si="91"/>
        <v>7 2026</v>
      </c>
      <c r="C584" s="88">
        <f t="shared" si="92"/>
        <v>46233</v>
      </c>
      <c r="D584" s="88">
        <f t="shared" si="95"/>
        <v>46234</v>
      </c>
      <c r="E584" s="89">
        <f t="shared" si="93"/>
        <v>1</v>
      </c>
      <c r="F584" s="123" t="s">
        <v>7</v>
      </c>
      <c r="H584" s="328">
        <f t="shared" si="94"/>
        <v>46233</v>
      </c>
      <c r="I584" s="329"/>
      <c r="J584" s="400"/>
      <c r="L584" s="331"/>
      <c r="M584" s="331"/>
      <c r="N584" s="331"/>
      <c r="O584" s="331"/>
      <c r="P584" s="331"/>
      <c r="Q584" s="331"/>
      <c r="R584" s="331"/>
      <c r="S584" s="331"/>
      <c r="T584" s="331"/>
      <c r="U584" s="331"/>
      <c r="V584" s="331"/>
      <c r="W584" s="331"/>
      <c r="X584" s="331"/>
      <c r="Z584" s="331"/>
      <c r="AA584" s="331"/>
      <c r="AB584" s="331"/>
      <c r="AD584" s="331"/>
      <c r="AE584" s="331"/>
      <c r="AF584" s="331"/>
      <c r="AH584" s="331"/>
      <c r="AI584" s="331"/>
      <c r="AK584" s="331"/>
    </row>
    <row r="585" spans="2:37" x14ac:dyDescent="0.25">
      <c r="B585" s="9" t="str">
        <f t="shared" si="91"/>
        <v>8 2026</v>
      </c>
      <c r="C585" s="88">
        <f t="shared" si="92"/>
        <v>46234</v>
      </c>
      <c r="D585" s="88">
        <f t="shared" si="95"/>
        <v>46235</v>
      </c>
      <c r="E585" s="89">
        <f t="shared" si="93"/>
        <v>1</v>
      </c>
      <c r="F585" s="123" t="s">
        <v>7</v>
      </c>
      <c r="H585" s="328">
        <f t="shared" si="94"/>
        <v>46234</v>
      </c>
      <c r="I585" s="329"/>
      <c r="J585" s="400"/>
      <c r="L585" s="331"/>
      <c r="M585" s="331"/>
      <c r="N585" s="331"/>
      <c r="O585" s="331"/>
      <c r="P585" s="331"/>
      <c r="Q585" s="331"/>
      <c r="R585" s="331"/>
      <c r="S585" s="331"/>
      <c r="T585" s="331"/>
      <c r="U585" s="331"/>
      <c r="V585" s="331"/>
      <c r="W585" s="331"/>
      <c r="X585" s="331"/>
      <c r="Z585" s="331"/>
      <c r="AA585" s="331"/>
      <c r="AB585" s="331"/>
      <c r="AD585" s="331"/>
      <c r="AE585" s="331"/>
      <c r="AF585" s="331"/>
      <c r="AH585" s="331"/>
      <c r="AI585" s="331"/>
      <c r="AK585" s="331"/>
    </row>
    <row r="586" spans="2:37" x14ac:dyDescent="0.25">
      <c r="B586" s="9" t="str">
        <f t="shared" si="91"/>
        <v>8 2026</v>
      </c>
      <c r="C586" s="88">
        <f t="shared" si="92"/>
        <v>46235</v>
      </c>
      <c r="D586" s="88">
        <f t="shared" si="95"/>
        <v>46236</v>
      </c>
      <c r="E586" s="89">
        <f t="shared" si="93"/>
        <v>1</v>
      </c>
      <c r="F586" s="123" t="s">
        <v>7</v>
      </c>
      <c r="H586" s="328">
        <f t="shared" si="94"/>
        <v>46235</v>
      </c>
      <c r="I586" s="329"/>
      <c r="J586" s="400"/>
      <c r="L586" s="331"/>
      <c r="M586" s="331"/>
      <c r="N586" s="331"/>
      <c r="O586" s="331"/>
      <c r="P586" s="331"/>
      <c r="Q586" s="331"/>
      <c r="R586" s="331"/>
      <c r="S586" s="331"/>
      <c r="T586" s="331"/>
      <c r="U586" s="331"/>
      <c r="V586" s="331"/>
      <c r="W586" s="331"/>
      <c r="X586" s="331"/>
      <c r="Z586" s="331"/>
      <c r="AA586" s="331"/>
      <c r="AB586" s="331"/>
      <c r="AD586" s="331"/>
      <c r="AE586" s="331"/>
      <c r="AF586" s="331"/>
      <c r="AH586" s="331"/>
      <c r="AI586" s="331"/>
      <c r="AK586" s="331"/>
    </row>
    <row r="587" spans="2:37" x14ac:dyDescent="0.25">
      <c r="B587" s="9" t="str">
        <f t="shared" si="91"/>
        <v>8 2026</v>
      </c>
      <c r="C587" s="88">
        <f t="shared" si="92"/>
        <v>46236</v>
      </c>
      <c r="D587" s="88">
        <f t="shared" si="95"/>
        <v>46237</v>
      </c>
      <c r="E587" s="89">
        <f t="shared" si="93"/>
        <v>1</v>
      </c>
      <c r="F587" s="123" t="s">
        <v>7</v>
      </c>
      <c r="H587" s="328">
        <f t="shared" si="94"/>
        <v>46236</v>
      </c>
      <c r="I587" s="329"/>
      <c r="J587" s="400"/>
      <c r="L587" s="331"/>
      <c r="M587" s="331"/>
      <c r="N587" s="331"/>
      <c r="O587" s="331"/>
      <c r="P587" s="331"/>
      <c r="Q587" s="331"/>
      <c r="R587" s="331"/>
      <c r="S587" s="331"/>
      <c r="T587" s="331"/>
      <c r="U587" s="331"/>
      <c r="V587" s="331"/>
      <c r="W587" s="331"/>
      <c r="X587" s="331"/>
      <c r="Z587" s="331"/>
      <c r="AA587" s="331"/>
      <c r="AB587" s="331"/>
      <c r="AD587" s="331"/>
      <c r="AE587" s="331"/>
      <c r="AF587" s="331"/>
      <c r="AH587" s="331"/>
      <c r="AI587" s="331"/>
      <c r="AK587" s="331"/>
    </row>
    <row r="588" spans="2:37" x14ac:dyDescent="0.25">
      <c r="B588" s="9" t="str">
        <f t="shared" si="91"/>
        <v>8 2026</v>
      </c>
      <c r="C588" s="88">
        <f t="shared" si="92"/>
        <v>46237</v>
      </c>
      <c r="D588" s="88">
        <f t="shared" si="95"/>
        <v>46238</v>
      </c>
      <c r="E588" s="89">
        <f t="shared" si="93"/>
        <v>1</v>
      </c>
      <c r="F588" s="123" t="s">
        <v>7</v>
      </c>
      <c r="H588" s="328">
        <f t="shared" si="94"/>
        <v>46237</v>
      </c>
      <c r="I588" s="329"/>
      <c r="J588" s="400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31"/>
      <c r="W588" s="331"/>
      <c r="X588" s="331"/>
      <c r="Z588" s="331"/>
      <c r="AA588" s="331"/>
      <c r="AB588" s="331"/>
      <c r="AD588" s="331"/>
      <c r="AE588" s="331"/>
      <c r="AF588" s="331"/>
      <c r="AH588" s="331"/>
      <c r="AI588" s="331"/>
      <c r="AK588" s="331"/>
    </row>
    <row r="589" spans="2:37" x14ac:dyDescent="0.25">
      <c r="B589" s="9" t="str">
        <f t="shared" si="91"/>
        <v>8 2026</v>
      </c>
      <c r="C589" s="88">
        <f t="shared" si="92"/>
        <v>46238</v>
      </c>
      <c r="D589" s="88">
        <f t="shared" si="95"/>
        <v>46239</v>
      </c>
      <c r="E589" s="89">
        <f t="shared" si="93"/>
        <v>1</v>
      </c>
      <c r="F589" s="123" t="s">
        <v>7</v>
      </c>
      <c r="H589" s="328">
        <f t="shared" si="94"/>
        <v>46238</v>
      </c>
      <c r="I589" s="329"/>
      <c r="J589" s="400"/>
      <c r="L589" s="331"/>
      <c r="M589" s="331"/>
      <c r="N589" s="331"/>
      <c r="O589" s="331"/>
      <c r="P589" s="331"/>
      <c r="Q589" s="331"/>
      <c r="R589" s="331"/>
      <c r="S589" s="331"/>
      <c r="T589" s="331"/>
      <c r="U589" s="331"/>
      <c r="V589" s="331"/>
      <c r="W589" s="331"/>
      <c r="X589" s="331"/>
      <c r="Z589" s="331"/>
      <c r="AA589" s="331"/>
      <c r="AB589" s="331"/>
      <c r="AD589" s="331"/>
      <c r="AE589" s="331"/>
      <c r="AF589" s="331"/>
      <c r="AH589" s="331"/>
      <c r="AI589" s="331"/>
      <c r="AK589" s="331"/>
    </row>
    <row r="590" spans="2:37" x14ac:dyDescent="0.25">
      <c r="B590" s="9" t="str">
        <f t="shared" si="91"/>
        <v>8 2026</v>
      </c>
      <c r="C590" s="88">
        <f t="shared" si="92"/>
        <v>46239</v>
      </c>
      <c r="D590" s="88">
        <f t="shared" si="95"/>
        <v>46240</v>
      </c>
      <c r="E590" s="89">
        <f t="shared" si="93"/>
        <v>1</v>
      </c>
      <c r="F590" s="123" t="s">
        <v>7</v>
      </c>
      <c r="H590" s="328">
        <f t="shared" si="94"/>
        <v>46239</v>
      </c>
      <c r="I590" s="329"/>
      <c r="J590" s="400"/>
      <c r="L590" s="331"/>
      <c r="M590" s="331"/>
      <c r="N590" s="331"/>
      <c r="O590" s="331"/>
      <c r="P590" s="331"/>
      <c r="Q590" s="331"/>
      <c r="R590" s="331"/>
      <c r="S590" s="331"/>
      <c r="T590" s="331"/>
      <c r="U590" s="331"/>
      <c r="V590" s="331"/>
      <c r="W590" s="331"/>
      <c r="X590" s="331"/>
      <c r="Z590" s="331"/>
      <c r="AA590" s="331"/>
      <c r="AB590" s="331"/>
      <c r="AD590" s="331"/>
      <c r="AE590" s="331"/>
      <c r="AF590" s="331"/>
      <c r="AH590" s="331"/>
      <c r="AI590" s="331"/>
      <c r="AK590" s="331"/>
    </row>
    <row r="591" spans="2:37" x14ac:dyDescent="0.25">
      <c r="B591" s="9" t="str">
        <f t="shared" si="91"/>
        <v>8 2026</v>
      </c>
      <c r="C591" s="88">
        <f t="shared" si="92"/>
        <v>46240</v>
      </c>
      <c r="D591" s="88">
        <f t="shared" si="95"/>
        <v>46241</v>
      </c>
      <c r="E591" s="89">
        <f t="shared" si="93"/>
        <v>1</v>
      </c>
      <c r="F591" s="123" t="s">
        <v>7</v>
      </c>
      <c r="H591" s="328">
        <f t="shared" si="94"/>
        <v>46240</v>
      </c>
      <c r="I591" s="329"/>
      <c r="J591" s="400"/>
      <c r="L591" s="331"/>
      <c r="M591" s="331"/>
      <c r="N591" s="331"/>
      <c r="O591" s="331"/>
      <c r="P591" s="331"/>
      <c r="Q591" s="331"/>
      <c r="R591" s="331"/>
      <c r="S591" s="331"/>
      <c r="T591" s="331"/>
      <c r="U591" s="331"/>
      <c r="V591" s="331"/>
      <c r="W591" s="331"/>
      <c r="X591" s="331"/>
      <c r="Z591" s="331"/>
      <c r="AA591" s="331"/>
      <c r="AB591" s="331"/>
      <c r="AD591" s="331"/>
      <c r="AE591" s="331"/>
      <c r="AF591" s="331"/>
      <c r="AH591" s="331"/>
      <c r="AI591" s="331"/>
      <c r="AK591" s="331"/>
    </row>
    <row r="592" spans="2:37" x14ac:dyDescent="0.25">
      <c r="B592" s="9" t="str">
        <f t="shared" si="91"/>
        <v>8 2026</v>
      </c>
      <c r="C592" s="88">
        <f t="shared" si="92"/>
        <v>46241</v>
      </c>
      <c r="D592" s="88">
        <f t="shared" si="95"/>
        <v>46242</v>
      </c>
      <c r="E592" s="89">
        <f t="shared" si="93"/>
        <v>1</v>
      </c>
      <c r="F592" s="123" t="s">
        <v>7</v>
      </c>
      <c r="H592" s="328">
        <f t="shared" si="94"/>
        <v>46241</v>
      </c>
      <c r="I592" s="329"/>
      <c r="J592" s="400"/>
      <c r="L592" s="331"/>
      <c r="M592" s="331"/>
      <c r="N592" s="331"/>
      <c r="O592" s="331"/>
      <c r="P592" s="331"/>
      <c r="Q592" s="331"/>
      <c r="R592" s="331"/>
      <c r="S592" s="331"/>
      <c r="T592" s="331"/>
      <c r="U592" s="331"/>
      <c r="V592" s="331"/>
      <c r="W592" s="331"/>
      <c r="X592" s="331"/>
      <c r="Z592" s="331"/>
      <c r="AA592" s="331"/>
      <c r="AB592" s="331"/>
      <c r="AD592" s="331"/>
      <c r="AE592" s="331"/>
      <c r="AF592" s="331"/>
      <c r="AH592" s="331"/>
      <c r="AI592" s="331"/>
      <c r="AK592" s="331"/>
    </row>
    <row r="593" spans="2:37" x14ac:dyDescent="0.25">
      <c r="B593" s="9" t="str">
        <f t="shared" si="91"/>
        <v>8 2026</v>
      </c>
      <c r="C593" s="88">
        <f t="shared" si="92"/>
        <v>46242</v>
      </c>
      <c r="D593" s="88">
        <f t="shared" si="95"/>
        <v>46243</v>
      </c>
      <c r="E593" s="89">
        <f t="shared" si="93"/>
        <v>1</v>
      </c>
      <c r="F593" s="123" t="s">
        <v>7</v>
      </c>
      <c r="H593" s="328">
        <f t="shared" si="94"/>
        <v>46242</v>
      </c>
      <c r="I593" s="329"/>
      <c r="J593" s="400"/>
      <c r="L593" s="331"/>
      <c r="M593" s="331"/>
      <c r="N593" s="331"/>
      <c r="O593" s="331"/>
      <c r="P593" s="331"/>
      <c r="Q593" s="331"/>
      <c r="R593" s="331"/>
      <c r="S593" s="331"/>
      <c r="T593" s="331"/>
      <c r="U593" s="331"/>
      <c r="V593" s="331"/>
      <c r="W593" s="331"/>
      <c r="X593" s="331"/>
      <c r="Z593" s="331"/>
      <c r="AA593" s="331"/>
      <c r="AB593" s="331"/>
      <c r="AD593" s="331"/>
      <c r="AE593" s="331"/>
      <c r="AF593" s="331"/>
      <c r="AH593" s="331"/>
      <c r="AI593" s="331"/>
      <c r="AK593" s="331"/>
    </row>
    <row r="594" spans="2:37" x14ac:dyDescent="0.25">
      <c r="B594" s="9" t="str">
        <f t="shared" si="91"/>
        <v>8 2026</v>
      </c>
      <c r="C594" s="88">
        <f t="shared" si="92"/>
        <v>46243</v>
      </c>
      <c r="D594" s="88">
        <f t="shared" si="95"/>
        <v>46244</v>
      </c>
      <c r="E594" s="89">
        <f t="shared" si="93"/>
        <v>1</v>
      </c>
      <c r="F594" s="123" t="s">
        <v>7</v>
      </c>
      <c r="H594" s="328">
        <f t="shared" si="94"/>
        <v>46243</v>
      </c>
      <c r="I594" s="329"/>
      <c r="J594" s="400"/>
      <c r="L594" s="331"/>
      <c r="M594" s="331"/>
      <c r="N594" s="331"/>
      <c r="O594" s="331"/>
      <c r="P594" s="331"/>
      <c r="Q594" s="331"/>
      <c r="R594" s="331"/>
      <c r="S594" s="331"/>
      <c r="T594" s="331"/>
      <c r="U594" s="331"/>
      <c r="V594" s="331"/>
      <c r="W594" s="331"/>
      <c r="X594" s="331"/>
      <c r="Z594" s="331"/>
      <c r="AA594" s="331"/>
      <c r="AB594" s="331"/>
      <c r="AD594" s="331"/>
      <c r="AE594" s="331"/>
      <c r="AF594" s="331"/>
      <c r="AH594" s="331"/>
      <c r="AI594" s="331"/>
      <c r="AK594" s="331"/>
    </row>
    <row r="595" spans="2:37" x14ac:dyDescent="0.25">
      <c r="B595" s="9" t="str">
        <f t="shared" si="91"/>
        <v>8 2026</v>
      </c>
      <c r="C595" s="88">
        <f t="shared" si="92"/>
        <v>46244</v>
      </c>
      <c r="D595" s="88">
        <f t="shared" si="95"/>
        <v>46245</v>
      </c>
      <c r="E595" s="89">
        <f t="shared" si="93"/>
        <v>1</v>
      </c>
      <c r="F595" s="123" t="s">
        <v>7</v>
      </c>
      <c r="H595" s="328">
        <f t="shared" si="94"/>
        <v>46244</v>
      </c>
      <c r="I595" s="329"/>
      <c r="J595" s="400"/>
      <c r="L595" s="331"/>
      <c r="M595" s="331"/>
      <c r="N595" s="331"/>
      <c r="O595" s="331"/>
      <c r="P595" s="331"/>
      <c r="Q595" s="331"/>
      <c r="R595" s="331"/>
      <c r="S595" s="331"/>
      <c r="T595" s="331"/>
      <c r="U595" s="331"/>
      <c r="V595" s="331"/>
      <c r="W595" s="331"/>
      <c r="X595" s="331"/>
      <c r="Z595" s="331"/>
      <c r="AA595" s="331"/>
      <c r="AB595" s="331"/>
      <c r="AD595" s="331"/>
      <c r="AE595" s="331"/>
      <c r="AF595" s="331"/>
      <c r="AH595" s="331"/>
      <c r="AI595" s="331"/>
      <c r="AK595" s="331"/>
    </row>
    <row r="596" spans="2:37" x14ac:dyDescent="0.25">
      <c r="B596" s="9" t="str">
        <f t="shared" si="91"/>
        <v>8 2026</v>
      </c>
      <c r="C596" s="88">
        <f t="shared" si="92"/>
        <v>46245</v>
      </c>
      <c r="D596" s="88">
        <f t="shared" si="95"/>
        <v>46246</v>
      </c>
      <c r="E596" s="89">
        <f t="shared" si="93"/>
        <v>1</v>
      </c>
      <c r="F596" s="123" t="s">
        <v>7</v>
      </c>
      <c r="H596" s="328">
        <f t="shared" si="94"/>
        <v>46245</v>
      </c>
      <c r="I596" s="329"/>
      <c r="J596" s="400"/>
      <c r="L596" s="331"/>
      <c r="M596" s="331"/>
      <c r="N596" s="331"/>
      <c r="O596" s="331"/>
      <c r="P596" s="331"/>
      <c r="Q596" s="331"/>
      <c r="R596" s="331"/>
      <c r="S596" s="331"/>
      <c r="T596" s="331"/>
      <c r="U596" s="331"/>
      <c r="V596" s="331"/>
      <c r="W596" s="331"/>
      <c r="X596" s="331"/>
      <c r="Z596" s="331"/>
      <c r="AA596" s="331"/>
      <c r="AB596" s="331"/>
      <c r="AD596" s="331"/>
      <c r="AE596" s="331"/>
      <c r="AF596" s="331"/>
      <c r="AH596" s="331"/>
      <c r="AI596" s="331"/>
      <c r="AK596" s="331"/>
    </row>
    <row r="597" spans="2:37" x14ac:dyDescent="0.25">
      <c r="B597" s="9" t="str">
        <f t="shared" ref="B597:B660" si="96">CONCATENATE(MONTH(D597)," ",YEAR(D597))</f>
        <v>8 2026</v>
      </c>
      <c r="C597" s="88">
        <f t="shared" ref="C597:C660" si="97">D596</f>
        <v>46246</v>
      </c>
      <c r="D597" s="88">
        <f t="shared" si="95"/>
        <v>46247</v>
      </c>
      <c r="E597" s="89">
        <f t="shared" ref="E597:E660" si="98">D597-C597</f>
        <v>1</v>
      </c>
      <c r="F597" s="123" t="s">
        <v>7</v>
      </c>
      <c r="H597" s="328">
        <f t="shared" ref="H597:H660" si="99">C597</f>
        <v>46246</v>
      </c>
      <c r="I597" s="329"/>
      <c r="J597" s="400"/>
      <c r="L597" s="331"/>
      <c r="M597" s="331"/>
      <c r="N597" s="331"/>
      <c r="O597" s="331"/>
      <c r="P597" s="331"/>
      <c r="Q597" s="331"/>
      <c r="R597" s="331"/>
      <c r="S597" s="331"/>
      <c r="T597" s="331"/>
      <c r="U597" s="331"/>
      <c r="V597" s="331"/>
      <c r="W597" s="331"/>
      <c r="X597" s="331"/>
      <c r="Z597" s="331"/>
      <c r="AA597" s="331"/>
      <c r="AB597" s="331"/>
      <c r="AD597" s="331"/>
      <c r="AE597" s="331"/>
      <c r="AF597" s="331"/>
      <c r="AH597" s="331"/>
      <c r="AI597" s="331"/>
      <c r="AK597" s="331"/>
    </row>
    <row r="598" spans="2:37" x14ac:dyDescent="0.25">
      <c r="B598" s="9" t="str">
        <f t="shared" si="96"/>
        <v>8 2026</v>
      </c>
      <c r="C598" s="88">
        <f t="shared" si="97"/>
        <v>46247</v>
      </c>
      <c r="D598" s="88">
        <f t="shared" si="95"/>
        <v>46248</v>
      </c>
      <c r="E598" s="89">
        <f t="shared" si="98"/>
        <v>1</v>
      </c>
      <c r="F598" s="123" t="s">
        <v>7</v>
      </c>
      <c r="H598" s="328">
        <f t="shared" si="99"/>
        <v>46247</v>
      </c>
      <c r="I598" s="329"/>
      <c r="J598" s="400"/>
      <c r="L598" s="331"/>
      <c r="M598" s="331"/>
      <c r="N598" s="331"/>
      <c r="O598" s="331"/>
      <c r="P598" s="331"/>
      <c r="Q598" s="331"/>
      <c r="R598" s="331"/>
      <c r="S598" s="331"/>
      <c r="T598" s="331"/>
      <c r="U598" s="331"/>
      <c r="V598" s="331"/>
      <c r="W598" s="331"/>
      <c r="X598" s="331"/>
      <c r="Z598" s="331"/>
      <c r="AA598" s="331"/>
      <c r="AB598" s="331"/>
      <c r="AD598" s="331"/>
      <c r="AE598" s="331"/>
      <c r="AF598" s="331"/>
      <c r="AH598" s="331"/>
      <c r="AI598" s="331"/>
      <c r="AK598" s="331"/>
    </row>
    <row r="599" spans="2:37" x14ac:dyDescent="0.25">
      <c r="B599" s="9" t="str">
        <f t="shared" si="96"/>
        <v>8 2026</v>
      </c>
      <c r="C599" s="88">
        <f t="shared" si="97"/>
        <v>46248</v>
      </c>
      <c r="D599" s="88">
        <f t="shared" si="95"/>
        <v>46249</v>
      </c>
      <c r="E599" s="89">
        <f t="shared" si="98"/>
        <v>1</v>
      </c>
      <c r="F599" s="123" t="s">
        <v>7</v>
      </c>
      <c r="H599" s="328">
        <f t="shared" si="99"/>
        <v>46248</v>
      </c>
      <c r="I599" s="329"/>
      <c r="J599" s="400"/>
      <c r="L599" s="331"/>
      <c r="M599" s="331"/>
      <c r="N599" s="331"/>
      <c r="O599" s="331"/>
      <c r="P599" s="331"/>
      <c r="Q599" s="331"/>
      <c r="R599" s="331"/>
      <c r="S599" s="331"/>
      <c r="T599" s="331"/>
      <c r="U599" s="331"/>
      <c r="V599" s="331"/>
      <c r="W599" s="331"/>
      <c r="X599" s="331"/>
      <c r="Z599" s="331"/>
      <c r="AA599" s="331"/>
      <c r="AB599" s="331"/>
      <c r="AD599" s="331"/>
      <c r="AE599" s="331"/>
      <c r="AF599" s="331"/>
      <c r="AH599" s="331"/>
      <c r="AI599" s="331"/>
      <c r="AK599" s="331"/>
    </row>
    <row r="600" spans="2:37" x14ac:dyDescent="0.25">
      <c r="B600" s="9" t="str">
        <f t="shared" si="96"/>
        <v>8 2026</v>
      </c>
      <c r="C600" s="88">
        <f t="shared" si="97"/>
        <v>46249</v>
      </c>
      <c r="D600" s="88">
        <f t="shared" si="95"/>
        <v>46250</v>
      </c>
      <c r="E600" s="89">
        <f t="shared" si="98"/>
        <v>1</v>
      </c>
      <c r="F600" s="123" t="s">
        <v>7</v>
      </c>
      <c r="H600" s="328">
        <f t="shared" si="99"/>
        <v>46249</v>
      </c>
      <c r="I600" s="329"/>
      <c r="J600" s="400"/>
      <c r="L600" s="331"/>
      <c r="M600" s="331"/>
      <c r="N600" s="331"/>
      <c r="O600" s="331"/>
      <c r="P600" s="331"/>
      <c r="Q600" s="331"/>
      <c r="R600" s="331"/>
      <c r="S600" s="331"/>
      <c r="T600" s="331"/>
      <c r="U600" s="331"/>
      <c r="V600" s="331"/>
      <c r="W600" s="331"/>
      <c r="X600" s="331"/>
      <c r="Z600" s="331"/>
      <c r="AA600" s="331"/>
      <c r="AB600" s="331"/>
      <c r="AD600" s="331"/>
      <c r="AE600" s="331"/>
      <c r="AF600" s="331"/>
      <c r="AH600" s="331"/>
      <c r="AI600" s="331"/>
      <c r="AK600" s="331"/>
    </row>
    <row r="601" spans="2:37" x14ac:dyDescent="0.25">
      <c r="B601" s="9" t="str">
        <f t="shared" si="96"/>
        <v>8 2026</v>
      </c>
      <c r="C601" s="88">
        <f t="shared" si="97"/>
        <v>46250</v>
      </c>
      <c r="D601" s="88">
        <f t="shared" si="95"/>
        <v>46251</v>
      </c>
      <c r="E601" s="89">
        <f t="shared" si="98"/>
        <v>1</v>
      </c>
      <c r="F601" s="123" t="s">
        <v>7</v>
      </c>
      <c r="H601" s="328">
        <f t="shared" si="99"/>
        <v>46250</v>
      </c>
      <c r="I601" s="329"/>
      <c r="J601" s="400"/>
      <c r="L601" s="331"/>
      <c r="M601" s="331"/>
      <c r="N601" s="331"/>
      <c r="O601" s="331"/>
      <c r="P601" s="331"/>
      <c r="Q601" s="331"/>
      <c r="R601" s="331"/>
      <c r="S601" s="331"/>
      <c r="T601" s="331"/>
      <c r="U601" s="331"/>
      <c r="V601" s="331"/>
      <c r="W601" s="331"/>
      <c r="X601" s="331"/>
      <c r="Z601" s="331"/>
      <c r="AA601" s="331"/>
      <c r="AB601" s="331"/>
      <c r="AD601" s="331"/>
      <c r="AE601" s="331"/>
      <c r="AF601" s="331"/>
      <c r="AH601" s="331"/>
      <c r="AI601" s="331"/>
      <c r="AK601" s="331"/>
    </row>
    <row r="602" spans="2:37" x14ac:dyDescent="0.25">
      <c r="B602" s="9" t="str">
        <f t="shared" si="96"/>
        <v>8 2026</v>
      </c>
      <c r="C602" s="88">
        <f t="shared" si="97"/>
        <v>46251</v>
      </c>
      <c r="D602" s="88">
        <f t="shared" si="95"/>
        <v>46252</v>
      </c>
      <c r="E602" s="89">
        <f t="shared" si="98"/>
        <v>1</v>
      </c>
      <c r="F602" s="123" t="s">
        <v>7</v>
      </c>
      <c r="H602" s="328">
        <f t="shared" si="99"/>
        <v>46251</v>
      </c>
      <c r="I602" s="329"/>
      <c r="J602" s="400"/>
      <c r="L602" s="331"/>
      <c r="M602" s="331"/>
      <c r="N602" s="331"/>
      <c r="O602" s="331"/>
      <c r="P602" s="331"/>
      <c r="Q602" s="331"/>
      <c r="R602" s="331"/>
      <c r="S602" s="331"/>
      <c r="T602" s="331"/>
      <c r="U602" s="331"/>
      <c r="V602" s="331"/>
      <c r="W602" s="331"/>
      <c r="X602" s="331"/>
      <c r="Z602" s="331"/>
      <c r="AA602" s="331"/>
      <c r="AB602" s="331"/>
      <c r="AD602" s="331"/>
      <c r="AE602" s="331"/>
      <c r="AF602" s="331"/>
      <c r="AH602" s="331"/>
      <c r="AI602" s="331"/>
      <c r="AK602" s="331"/>
    </row>
    <row r="603" spans="2:37" x14ac:dyDescent="0.25">
      <c r="B603" s="9" t="str">
        <f t="shared" si="96"/>
        <v>8 2026</v>
      </c>
      <c r="C603" s="88">
        <f t="shared" si="97"/>
        <v>46252</v>
      </c>
      <c r="D603" s="88">
        <f t="shared" si="95"/>
        <v>46253</v>
      </c>
      <c r="E603" s="89">
        <f t="shared" si="98"/>
        <v>1</v>
      </c>
      <c r="F603" s="123" t="s">
        <v>7</v>
      </c>
      <c r="H603" s="328">
        <f t="shared" si="99"/>
        <v>46252</v>
      </c>
      <c r="I603" s="329"/>
      <c r="J603" s="400"/>
      <c r="L603" s="331"/>
      <c r="M603" s="331"/>
      <c r="N603" s="331"/>
      <c r="O603" s="331"/>
      <c r="P603" s="331"/>
      <c r="Q603" s="331"/>
      <c r="R603" s="331"/>
      <c r="S603" s="331"/>
      <c r="T603" s="331"/>
      <c r="U603" s="331"/>
      <c r="V603" s="331"/>
      <c r="W603" s="331"/>
      <c r="X603" s="331"/>
      <c r="Z603" s="331"/>
      <c r="AA603" s="331"/>
      <c r="AB603" s="331"/>
      <c r="AD603" s="331"/>
      <c r="AE603" s="331"/>
      <c r="AF603" s="331"/>
      <c r="AH603" s="331"/>
      <c r="AI603" s="331"/>
      <c r="AK603" s="331"/>
    </row>
    <row r="604" spans="2:37" x14ac:dyDescent="0.25">
      <c r="B604" s="9" t="str">
        <f t="shared" si="96"/>
        <v>8 2026</v>
      </c>
      <c r="C604" s="88">
        <f t="shared" si="97"/>
        <v>46253</v>
      </c>
      <c r="D604" s="88">
        <f t="shared" si="95"/>
        <v>46254</v>
      </c>
      <c r="E604" s="89">
        <f t="shared" si="98"/>
        <v>1</v>
      </c>
      <c r="F604" s="123" t="s">
        <v>7</v>
      </c>
      <c r="H604" s="328">
        <f t="shared" si="99"/>
        <v>46253</v>
      </c>
      <c r="I604" s="329"/>
      <c r="J604" s="400"/>
      <c r="L604" s="331"/>
      <c r="M604" s="331"/>
      <c r="N604" s="331"/>
      <c r="O604" s="331"/>
      <c r="P604" s="331"/>
      <c r="Q604" s="331"/>
      <c r="R604" s="331"/>
      <c r="S604" s="331"/>
      <c r="T604" s="331"/>
      <c r="U604" s="331"/>
      <c r="V604" s="331"/>
      <c r="W604" s="331"/>
      <c r="X604" s="331"/>
      <c r="Z604" s="331"/>
      <c r="AA604" s="331"/>
      <c r="AB604" s="331"/>
      <c r="AD604" s="331"/>
      <c r="AE604" s="331"/>
      <c r="AF604" s="331"/>
      <c r="AH604" s="331"/>
      <c r="AI604" s="331"/>
      <c r="AK604" s="331"/>
    </row>
    <row r="605" spans="2:37" x14ac:dyDescent="0.25">
      <c r="B605" s="9" t="str">
        <f t="shared" si="96"/>
        <v>8 2026</v>
      </c>
      <c r="C605" s="88">
        <f t="shared" si="97"/>
        <v>46254</v>
      </c>
      <c r="D605" s="88">
        <f t="shared" si="95"/>
        <v>46255</v>
      </c>
      <c r="E605" s="89">
        <f t="shared" si="98"/>
        <v>1</v>
      </c>
      <c r="F605" s="123" t="s">
        <v>7</v>
      </c>
      <c r="H605" s="328">
        <f t="shared" si="99"/>
        <v>46254</v>
      </c>
      <c r="I605" s="329"/>
      <c r="J605" s="400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W605" s="331"/>
      <c r="X605" s="331"/>
      <c r="Z605" s="331"/>
      <c r="AA605" s="331"/>
      <c r="AB605" s="331"/>
      <c r="AD605" s="331"/>
      <c r="AE605" s="331"/>
      <c r="AF605" s="331"/>
      <c r="AH605" s="331"/>
      <c r="AI605" s="331"/>
      <c r="AK605" s="331"/>
    </row>
    <row r="606" spans="2:37" x14ac:dyDescent="0.25">
      <c r="B606" s="9" t="str">
        <f t="shared" si="96"/>
        <v>8 2026</v>
      </c>
      <c r="C606" s="88">
        <f t="shared" si="97"/>
        <v>46255</v>
      </c>
      <c r="D606" s="88">
        <f t="shared" si="95"/>
        <v>46256</v>
      </c>
      <c r="E606" s="89">
        <f t="shared" si="98"/>
        <v>1</v>
      </c>
      <c r="F606" s="123" t="s">
        <v>7</v>
      </c>
      <c r="H606" s="328">
        <f t="shared" si="99"/>
        <v>46255</v>
      </c>
      <c r="I606" s="329"/>
      <c r="J606" s="400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W606" s="331"/>
      <c r="X606" s="331"/>
      <c r="Z606" s="331"/>
      <c r="AA606" s="331"/>
      <c r="AB606" s="331"/>
      <c r="AD606" s="331"/>
      <c r="AE606" s="331"/>
      <c r="AF606" s="331"/>
      <c r="AH606" s="331"/>
      <c r="AI606" s="331"/>
      <c r="AK606" s="331"/>
    </row>
    <row r="607" spans="2:37" x14ac:dyDescent="0.25">
      <c r="B607" s="9" t="str">
        <f t="shared" si="96"/>
        <v>8 2026</v>
      </c>
      <c r="C607" s="88">
        <f t="shared" si="97"/>
        <v>46256</v>
      </c>
      <c r="D607" s="88">
        <f t="shared" si="95"/>
        <v>46257</v>
      </c>
      <c r="E607" s="89">
        <f t="shared" si="98"/>
        <v>1</v>
      </c>
      <c r="F607" s="123" t="s">
        <v>7</v>
      </c>
      <c r="H607" s="328">
        <f t="shared" si="99"/>
        <v>46256</v>
      </c>
      <c r="I607" s="329"/>
      <c r="J607" s="400"/>
      <c r="L607" s="331"/>
      <c r="M607" s="331"/>
      <c r="N607" s="331"/>
      <c r="O607" s="331"/>
      <c r="P607" s="331"/>
      <c r="Q607" s="331"/>
      <c r="R607" s="331"/>
      <c r="S607" s="331"/>
      <c r="T607" s="331"/>
      <c r="U607" s="331"/>
      <c r="V607" s="331"/>
      <c r="W607" s="331"/>
      <c r="X607" s="331"/>
      <c r="Z607" s="331"/>
      <c r="AA607" s="331"/>
      <c r="AB607" s="331"/>
      <c r="AD607" s="331"/>
      <c r="AE607" s="331"/>
      <c r="AF607" s="331"/>
      <c r="AH607" s="331"/>
      <c r="AI607" s="331"/>
      <c r="AK607" s="331"/>
    </row>
    <row r="608" spans="2:37" x14ac:dyDescent="0.25">
      <c r="B608" s="9" t="str">
        <f t="shared" si="96"/>
        <v>8 2026</v>
      </c>
      <c r="C608" s="88">
        <f t="shared" si="97"/>
        <v>46257</v>
      </c>
      <c r="D608" s="88">
        <f t="shared" si="95"/>
        <v>46258</v>
      </c>
      <c r="E608" s="89">
        <f t="shared" si="98"/>
        <v>1</v>
      </c>
      <c r="F608" s="123" t="s">
        <v>7</v>
      </c>
      <c r="H608" s="328">
        <f t="shared" si="99"/>
        <v>46257</v>
      </c>
      <c r="I608" s="329"/>
      <c r="J608" s="400"/>
      <c r="L608" s="331"/>
      <c r="M608" s="331"/>
      <c r="N608" s="331"/>
      <c r="O608" s="331"/>
      <c r="P608" s="331"/>
      <c r="Q608" s="331"/>
      <c r="R608" s="331"/>
      <c r="S608" s="331"/>
      <c r="T608" s="331"/>
      <c r="U608" s="331"/>
      <c r="V608" s="331"/>
      <c r="W608" s="331"/>
      <c r="X608" s="331"/>
      <c r="Z608" s="331"/>
      <c r="AA608" s="331"/>
      <c r="AB608" s="331"/>
      <c r="AD608" s="331"/>
      <c r="AE608" s="331"/>
      <c r="AF608" s="331"/>
      <c r="AH608" s="331"/>
      <c r="AI608" s="331"/>
      <c r="AK608" s="331"/>
    </row>
    <row r="609" spans="2:37" x14ac:dyDescent="0.25">
      <c r="B609" s="9" t="str">
        <f t="shared" si="96"/>
        <v>8 2026</v>
      </c>
      <c r="C609" s="88">
        <f t="shared" si="97"/>
        <v>46258</v>
      </c>
      <c r="D609" s="88">
        <f t="shared" si="95"/>
        <v>46259</v>
      </c>
      <c r="E609" s="89">
        <f t="shared" si="98"/>
        <v>1</v>
      </c>
      <c r="F609" s="123" t="s">
        <v>7</v>
      </c>
      <c r="H609" s="328">
        <f t="shared" si="99"/>
        <v>46258</v>
      </c>
      <c r="I609" s="329"/>
      <c r="J609" s="400"/>
      <c r="L609" s="331"/>
      <c r="M609" s="331"/>
      <c r="N609" s="331"/>
      <c r="O609" s="331"/>
      <c r="P609" s="331"/>
      <c r="Q609" s="331"/>
      <c r="R609" s="331"/>
      <c r="S609" s="331"/>
      <c r="T609" s="331"/>
      <c r="U609" s="331"/>
      <c r="V609" s="331"/>
      <c r="W609" s="331"/>
      <c r="X609" s="331"/>
      <c r="Z609" s="331"/>
      <c r="AA609" s="331"/>
      <c r="AB609" s="331"/>
      <c r="AD609" s="331"/>
      <c r="AE609" s="331"/>
      <c r="AF609" s="331"/>
      <c r="AH609" s="331"/>
      <c r="AI609" s="331"/>
      <c r="AK609" s="331"/>
    </row>
    <row r="610" spans="2:37" x14ac:dyDescent="0.25">
      <c r="B610" s="9" t="str">
        <f t="shared" si="96"/>
        <v>8 2026</v>
      </c>
      <c r="C610" s="88">
        <f t="shared" si="97"/>
        <v>46259</v>
      </c>
      <c r="D610" s="88">
        <f t="shared" si="95"/>
        <v>46260</v>
      </c>
      <c r="E610" s="89">
        <f t="shared" si="98"/>
        <v>1</v>
      </c>
      <c r="F610" s="123" t="s">
        <v>7</v>
      </c>
      <c r="H610" s="328">
        <f t="shared" si="99"/>
        <v>46259</v>
      </c>
      <c r="I610" s="329"/>
      <c r="J610" s="400"/>
      <c r="L610" s="331"/>
      <c r="M610" s="331"/>
      <c r="N610" s="331"/>
      <c r="O610" s="331"/>
      <c r="P610" s="331"/>
      <c r="Q610" s="331"/>
      <c r="R610" s="331"/>
      <c r="S610" s="331"/>
      <c r="T610" s="331"/>
      <c r="U610" s="331"/>
      <c r="V610" s="331"/>
      <c r="W610" s="331"/>
      <c r="X610" s="331"/>
      <c r="Z610" s="331"/>
      <c r="AA610" s="331"/>
      <c r="AB610" s="331"/>
      <c r="AD610" s="331"/>
      <c r="AE610" s="331"/>
      <c r="AF610" s="331"/>
      <c r="AH610" s="331"/>
      <c r="AI610" s="331"/>
      <c r="AK610" s="331"/>
    </row>
    <row r="611" spans="2:37" x14ac:dyDescent="0.25">
      <c r="B611" s="9" t="str">
        <f t="shared" si="96"/>
        <v>8 2026</v>
      </c>
      <c r="C611" s="88">
        <f t="shared" si="97"/>
        <v>46260</v>
      </c>
      <c r="D611" s="88">
        <f t="shared" si="95"/>
        <v>46261</v>
      </c>
      <c r="E611" s="89">
        <f t="shared" si="98"/>
        <v>1</v>
      </c>
      <c r="F611" s="123" t="s">
        <v>7</v>
      </c>
      <c r="H611" s="328">
        <f t="shared" si="99"/>
        <v>46260</v>
      </c>
      <c r="I611" s="329"/>
      <c r="J611" s="400"/>
      <c r="L611" s="331"/>
      <c r="M611" s="331"/>
      <c r="N611" s="331"/>
      <c r="O611" s="331"/>
      <c r="P611" s="331"/>
      <c r="Q611" s="331"/>
      <c r="R611" s="331"/>
      <c r="S611" s="331"/>
      <c r="T611" s="331"/>
      <c r="U611" s="331"/>
      <c r="V611" s="331"/>
      <c r="W611" s="331"/>
      <c r="X611" s="331"/>
      <c r="Z611" s="331"/>
      <c r="AA611" s="331"/>
      <c r="AB611" s="331"/>
      <c r="AD611" s="331"/>
      <c r="AE611" s="331"/>
      <c r="AF611" s="331"/>
      <c r="AH611" s="331"/>
      <c r="AI611" s="331"/>
      <c r="AK611" s="331"/>
    </row>
    <row r="612" spans="2:37" x14ac:dyDescent="0.25">
      <c r="B612" s="9" t="str">
        <f t="shared" si="96"/>
        <v>8 2026</v>
      </c>
      <c r="C612" s="88">
        <f t="shared" si="97"/>
        <v>46261</v>
      </c>
      <c r="D612" s="88">
        <f t="shared" si="95"/>
        <v>46262</v>
      </c>
      <c r="E612" s="89">
        <f t="shared" si="98"/>
        <v>1</v>
      </c>
      <c r="F612" s="123" t="s">
        <v>7</v>
      </c>
      <c r="H612" s="328">
        <f t="shared" si="99"/>
        <v>46261</v>
      </c>
      <c r="I612" s="329"/>
      <c r="J612" s="400"/>
      <c r="L612" s="331"/>
      <c r="M612" s="331"/>
      <c r="N612" s="331"/>
      <c r="O612" s="331"/>
      <c r="P612" s="331"/>
      <c r="Q612" s="331"/>
      <c r="R612" s="331"/>
      <c r="S612" s="331"/>
      <c r="T612" s="331"/>
      <c r="U612" s="331"/>
      <c r="V612" s="331"/>
      <c r="W612" s="331"/>
      <c r="X612" s="331"/>
      <c r="Z612" s="331"/>
      <c r="AA612" s="331"/>
      <c r="AB612" s="331"/>
      <c r="AD612" s="331"/>
      <c r="AE612" s="331"/>
      <c r="AF612" s="331"/>
      <c r="AH612" s="331"/>
      <c r="AI612" s="331"/>
      <c r="AK612" s="331"/>
    </row>
    <row r="613" spans="2:37" x14ac:dyDescent="0.25">
      <c r="B613" s="9" t="str">
        <f t="shared" si="96"/>
        <v>8 2026</v>
      </c>
      <c r="C613" s="88">
        <f t="shared" si="97"/>
        <v>46262</v>
      </c>
      <c r="D613" s="88">
        <f t="shared" si="95"/>
        <v>46263</v>
      </c>
      <c r="E613" s="89">
        <f t="shared" si="98"/>
        <v>1</v>
      </c>
      <c r="F613" s="123" t="s">
        <v>7</v>
      </c>
      <c r="H613" s="328">
        <f t="shared" si="99"/>
        <v>46262</v>
      </c>
      <c r="I613" s="329"/>
      <c r="J613" s="400"/>
      <c r="L613" s="331"/>
      <c r="M613" s="331"/>
      <c r="N613" s="331"/>
      <c r="O613" s="331"/>
      <c r="P613" s="331"/>
      <c r="Q613" s="331"/>
      <c r="R613" s="331"/>
      <c r="S613" s="331"/>
      <c r="T613" s="331"/>
      <c r="U613" s="331"/>
      <c r="V613" s="331"/>
      <c r="W613" s="331"/>
      <c r="X613" s="331"/>
      <c r="Z613" s="331"/>
      <c r="AA613" s="331"/>
      <c r="AB613" s="331"/>
      <c r="AD613" s="331"/>
      <c r="AE613" s="331"/>
      <c r="AF613" s="331"/>
      <c r="AH613" s="331"/>
      <c r="AI613" s="331"/>
      <c r="AK613" s="331"/>
    </row>
    <row r="614" spans="2:37" x14ac:dyDescent="0.25">
      <c r="B614" s="9" t="str">
        <f t="shared" si="96"/>
        <v>8 2026</v>
      </c>
      <c r="C614" s="88">
        <f t="shared" si="97"/>
        <v>46263</v>
      </c>
      <c r="D614" s="88">
        <f t="shared" si="95"/>
        <v>46264</v>
      </c>
      <c r="E614" s="89">
        <f t="shared" si="98"/>
        <v>1</v>
      </c>
      <c r="F614" s="123" t="s">
        <v>7</v>
      </c>
      <c r="H614" s="328">
        <f t="shared" si="99"/>
        <v>46263</v>
      </c>
      <c r="I614" s="329"/>
      <c r="J614" s="400"/>
      <c r="L614" s="331"/>
      <c r="M614" s="331"/>
      <c r="N614" s="331"/>
      <c r="O614" s="331"/>
      <c r="P614" s="331"/>
      <c r="Q614" s="331"/>
      <c r="R614" s="331"/>
      <c r="S614" s="331"/>
      <c r="T614" s="331"/>
      <c r="U614" s="331"/>
      <c r="V614" s="331"/>
      <c r="W614" s="331"/>
      <c r="X614" s="331"/>
      <c r="Z614" s="331"/>
      <c r="AA614" s="331"/>
      <c r="AB614" s="331"/>
      <c r="AD614" s="331"/>
      <c r="AE614" s="331"/>
      <c r="AF614" s="331"/>
      <c r="AH614" s="331"/>
      <c r="AI614" s="331"/>
      <c r="AK614" s="331"/>
    </row>
    <row r="615" spans="2:37" x14ac:dyDescent="0.25">
      <c r="B615" s="9" t="str">
        <f t="shared" si="96"/>
        <v>8 2026</v>
      </c>
      <c r="C615" s="88">
        <f t="shared" si="97"/>
        <v>46264</v>
      </c>
      <c r="D615" s="88">
        <f t="shared" si="95"/>
        <v>46265</v>
      </c>
      <c r="E615" s="89">
        <f t="shared" si="98"/>
        <v>1</v>
      </c>
      <c r="F615" s="123" t="s">
        <v>7</v>
      </c>
      <c r="H615" s="328">
        <f t="shared" si="99"/>
        <v>46264</v>
      </c>
      <c r="I615" s="329"/>
      <c r="J615" s="400"/>
      <c r="L615" s="331"/>
      <c r="M615" s="331"/>
      <c r="N615" s="331"/>
      <c r="O615" s="331"/>
      <c r="P615" s="331"/>
      <c r="Q615" s="331"/>
      <c r="R615" s="331"/>
      <c r="S615" s="331"/>
      <c r="T615" s="331"/>
      <c r="U615" s="331"/>
      <c r="V615" s="331"/>
      <c r="W615" s="331"/>
      <c r="X615" s="331"/>
      <c r="Z615" s="331"/>
      <c r="AA615" s="331"/>
      <c r="AB615" s="331"/>
      <c r="AD615" s="331"/>
      <c r="AE615" s="331"/>
      <c r="AF615" s="331"/>
      <c r="AH615" s="331"/>
      <c r="AI615" s="331"/>
      <c r="AK615" s="331"/>
    </row>
    <row r="616" spans="2:37" x14ac:dyDescent="0.25">
      <c r="B616" s="9" t="str">
        <f t="shared" si="96"/>
        <v>9 2026</v>
      </c>
      <c r="C616" s="88">
        <f t="shared" si="97"/>
        <v>46265</v>
      </c>
      <c r="D616" s="88">
        <f t="shared" si="95"/>
        <v>46266</v>
      </c>
      <c r="E616" s="89">
        <f t="shared" si="98"/>
        <v>1</v>
      </c>
      <c r="F616" s="123" t="s">
        <v>7</v>
      </c>
      <c r="H616" s="328">
        <f t="shared" si="99"/>
        <v>46265</v>
      </c>
      <c r="I616" s="329"/>
      <c r="J616" s="400"/>
      <c r="L616" s="331"/>
      <c r="M616" s="331"/>
      <c r="N616" s="331"/>
      <c r="O616" s="331"/>
      <c r="P616" s="331"/>
      <c r="Q616" s="331"/>
      <c r="R616" s="331"/>
      <c r="S616" s="331"/>
      <c r="T616" s="331"/>
      <c r="U616" s="331"/>
      <c r="V616" s="331"/>
      <c r="W616" s="331"/>
      <c r="X616" s="331"/>
      <c r="Z616" s="331"/>
      <c r="AA616" s="331"/>
      <c r="AB616" s="331"/>
      <c r="AD616" s="331"/>
      <c r="AE616" s="331"/>
      <c r="AF616" s="331"/>
      <c r="AH616" s="331"/>
      <c r="AI616" s="331"/>
      <c r="AK616" s="331"/>
    </row>
    <row r="617" spans="2:37" x14ac:dyDescent="0.25">
      <c r="B617" s="9" t="str">
        <f t="shared" si="96"/>
        <v>9 2026</v>
      </c>
      <c r="C617" s="88">
        <f t="shared" si="97"/>
        <v>46266</v>
      </c>
      <c r="D617" s="88">
        <f t="shared" si="95"/>
        <v>46267</v>
      </c>
      <c r="E617" s="89">
        <f t="shared" si="98"/>
        <v>1</v>
      </c>
      <c r="F617" s="123" t="s">
        <v>7</v>
      </c>
      <c r="H617" s="328">
        <f t="shared" si="99"/>
        <v>46266</v>
      </c>
      <c r="I617" s="329"/>
      <c r="J617" s="400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W617" s="331"/>
      <c r="X617" s="331"/>
      <c r="Z617" s="331"/>
      <c r="AA617" s="331"/>
      <c r="AB617" s="331"/>
      <c r="AD617" s="331"/>
      <c r="AE617" s="331"/>
      <c r="AF617" s="331"/>
      <c r="AH617" s="331"/>
      <c r="AI617" s="331"/>
      <c r="AK617" s="331"/>
    </row>
    <row r="618" spans="2:37" x14ac:dyDescent="0.25">
      <c r="B618" s="9" t="str">
        <f t="shared" si="96"/>
        <v>9 2026</v>
      </c>
      <c r="C618" s="88">
        <f t="shared" si="97"/>
        <v>46267</v>
      </c>
      <c r="D618" s="88">
        <f t="shared" si="95"/>
        <v>46268</v>
      </c>
      <c r="E618" s="89">
        <f t="shared" si="98"/>
        <v>1</v>
      </c>
      <c r="F618" s="123" t="s">
        <v>7</v>
      </c>
      <c r="H618" s="328">
        <f t="shared" si="99"/>
        <v>46267</v>
      </c>
      <c r="I618" s="329"/>
      <c r="J618" s="400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W618" s="331"/>
      <c r="X618" s="331"/>
      <c r="Z618" s="331"/>
      <c r="AA618" s="331"/>
      <c r="AB618" s="331"/>
      <c r="AD618" s="331"/>
      <c r="AE618" s="331"/>
      <c r="AF618" s="331"/>
      <c r="AH618" s="331"/>
      <c r="AI618" s="331"/>
      <c r="AK618" s="331"/>
    </row>
    <row r="619" spans="2:37" x14ac:dyDescent="0.25">
      <c r="B619" s="9" t="str">
        <f t="shared" si="96"/>
        <v>9 2026</v>
      </c>
      <c r="C619" s="88">
        <f t="shared" si="97"/>
        <v>46268</v>
      </c>
      <c r="D619" s="88">
        <f t="shared" si="95"/>
        <v>46269</v>
      </c>
      <c r="E619" s="89">
        <f t="shared" si="98"/>
        <v>1</v>
      </c>
      <c r="F619" s="123" t="s">
        <v>7</v>
      </c>
      <c r="H619" s="328">
        <f t="shared" si="99"/>
        <v>46268</v>
      </c>
      <c r="I619" s="329"/>
      <c r="J619" s="400"/>
      <c r="L619" s="331"/>
      <c r="M619" s="331"/>
      <c r="N619" s="331"/>
      <c r="O619" s="331"/>
      <c r="P619" s="331"/>
      <c r="Q619" s="331"/>
      <c r="R619" s="331"/>
      <c r="S619" s="331"/>
      <c r="T619" s="331"/>
      <c r="U619" s="331"/>
      <c r="V619" s="331"/>
      <c r="W619" s="331"/>
      <c r="X619" s="331"/>
      <c r="Z619" s="331"/>
      <c r="AA619" s="331"/>
      <c r="AB619" s="331"/>
      <c r="AD619" s="331"/>
      <c r="AE619" s="331"/>
      <c r="AF619" s="331"/>
      <c r="AH619" s="331"/>
      <c r="AI619" s="331"/>
      <c r="AK619" s="331"/>
    </row>
    <row r="620" spans="2:37" x14ac:dyDescent="0.25">
      <c r="B620" s="9" t="str">
        <f t="shared" si="96"/>
        <v>9 2026</v>
      </c>
      <c r="C620" s="88">
        <f t="shared" si="97"/>
        <v>46269</v>
      </c>
      <c r="D620" s="88">
        <f t="shared" si="95"/>
        <v>46270</v>
      </c>
      <c r="E620" s="89">
        <f t="shared" si="98"/>
        <v>1</v>
      </c>
      <c r="F620" s="123" t="s">
        <v>7</v>
      </c>
      <c r="H620" s="328">
        <f t="shared" si="99"/>
        <v>46269</v>
      </c>
      <c r="I620" s="329"/>
      <c r="J620" s="400"/>
      <c r="L620" s="331"/>
      <c r="M620" s="331"/>
      <c r="N620" s="331"/>
      <c r="O620" s="331"/>
      <c r="P620" s="331"/>
      <c r="Q620" s="331"/>
      <c r="R620" s="331"/>
      <c r="S620" s="331"/>
      <c r="T620" s="331"/>
      <c r="U620" s="331"/>
      <c r="V620" s="331"/>
      <c r="W620" s="331"/>
      <c r="X620" s="331"/>
      <c r="Z620" s="331"/>
      <c r="AA620" s="331"/>
      <c r="AB620" s="331"/>
      <c r="AD620" s="331"/>
      <c r="AE620" s="331"/>
      <c r="AF620" s="331"/>
      <c r="AH620" s="331"/>
      <c r="AI620" s="331"/>
      <c r="AK620" s="331"/>
    </row>
    <row r="621" spans="2:37" x14ac:dyDescent="0.25">
      <c r="B621" s="9" t="str">
        <f t="shared" si="96"/>
        <v>9 2026</v>
      </c>
      <c r="C621" s="88">
        <f t="shared" si="97"/>
        <v>46270</v>
      </c>
      <c r="D621" s="88">
        <f t="shared" si="95"/>
        <v>46271</v>
      </c>
      <c r="E621" s="89">
        <f t="shared" si="98"/>
        <v>1</v>
      </c>
      <c r="F621" s="123" t="s">
        <v>7</v>
      </c>
      <c r="H621" s="328">
        <f t="shared" si="99"/>
        <v>46270</v>
      </c>
      <c r="I621" s="329"/>
      <c r="J621" s="400"/>
      <c r="L621" s="331"/>
      <c r="M621" s="331"/>
      <c r="N621" s="331"/>
      <c r="O621" s="331"/>
      <c r="P621" s="331"/>
      <c r="Q621" s="331"/>
      <c r="R621" s="331"/>
      <c r="S621" s="331"/>
      <c r="T621" s="331"/>
      <c r="U621" s="331"/>
      <c r="V621" s="331"/>
      <c r="W621" s="331"/>
      <c r="X621" s="331"/>
      <c r="Z621" s="331"/>
      <c r="AA621" s="331"/>
      <c r="AB621" s="331"/>
      <c r="AD621" s="331"/>
      <c r="AE621" s="331"/>
      <c r="AF621" s="331"/>
      <c r="AH621" s="331"/>
      <c r="AI621" s="331"/>
      <c r="AK621" s="331"/>
    </row>
    <row r="622" spans="2:37" x14ac:dyDescent="0.25">
      <c r="B622" s="9" t="str">
        <f t="shared" si="96"/>
        <v>9 2026</v>
      </c>
      <c r="C622" s="88">
        <f t="shared" si="97"/>
        <v>46271</v>
      </c>
      <c r="D622" s="88">
        <f t="shared" si="95"/>
        <v>46272</v>
      </c>
      <c r="E622" s="89">
        <f t="shared" si="98"/>
        <v>1</v>
      </c>
      <c r="F622" s="123" t="s">
        <v>7</v>
      </c>
      <c r="H622" s="328">
        <f t="shared" si="99"/>
        <v>46271</v>
      </c>
      <c r="I622" s="329"/>
      <c r="J622" s="400"/>
      <c r="L622" s="331"/>
      <c r="M622" s="331"/>
      <c r="N622" s="331"/>
      <c r="O622" s="331"/>
      <c r="P622" s="331"/>
      <c r="Q622" s="331"/>
      <c r="R622" s="331"/>
      <c r="S622" s="331"/>
      <c r="T622" s="331"/>
      <c r="U622" s="331"/>
      <c r="V622" s="331"/>
      <c r="W622" s="331"/>
      <c r="X622" s="331"/>
      <c r="Z622" s="331"/>
      <c r="AA622" s="331"/>
      <c r="AB622" s="331"/>
      <c r="AD622" s="331"/>
      <c r="AE622" s="331"/>
      <c r="AF622" s="331"/>
      <c r="AH622" s="331"/>
      <c r="AI622" s="331"/>
      <c r="AK622" s="331"/>
    </row>
    <row r="623" spans="2:37" x14ac:dyDescent="0.25">
      <c r="B623" s="9" t="str">
        <f t="shared" si="96"/>
        <v>9 2026</v>
      </c>
      <c r="C623" s="88">
        <f t="shared" si="97"/>
        <v>46272</v>
      </c>
      <c r="D623" s="88">
        <f t="shared" si="95"/>
        <v>46273</v>
      </c>
      <c r="E623" s="89">
        <f t="shared" si="98"/>
        <v>1</v>
      </c>
      <c r="F623" s="123" t="s">
        <v>7</v>
      </c>
      <c r="H623" s="328">
        <f t="shared" si="99"/>
        <v>46272</v>
      </c>
      <c r="I623" s="329"/>
      <c r="J623" s="400"/>
      <c r="L623" s="331"/>
      <c r="M623" s="331"/>
      <c r="N623" s="331"/>
      <c r="O623" s="331"/>
      <c r="P623" s="331"/>
      <c r="Q623" s="331"/>
      <c r="R623" s="331"/>
      <c r="S623" s="331"/>
      <c r="T623" s="331"/>
      <c r="U623" s="331"/>
      <c r="V623" s="331"/>
      <c r="W623" s="331"/>
      <c r="X623" s="331"/>
      <c r="Z623" s="331"/>
      <c r="AA623" s="331"/>
      <c r="AB623" s="331"/>
      <c r="AD623" s="331"/>
      <c r="AE623" s="331"/>
      <c r="AF623" s="331"/>
      <c r="AH623" s="331"/>
      <c r="AI623" s="331"/>
      <c r="AK623" s="331"/>
    </row>
    <row r="624" spans="2:37" x14ac:dyDescent="0.25">
      <c r="B624" s="9" t="str">
        <f t="shared" si="96"/>
        <v>9 2026</v>
      </c>
      <c r="C624" s="88">
        <f t="shared" si="97"/>
        <v>46273</v>
      </c>
      <c r="D624" s="88">
        <f t="shared" si="95"/>
        <v>46274</v>
      </c>
      <c r="E624" s="89">
        <f t="shared" si="98"/>
        <v>1</v>
      </c>
      <c r="F624" s="123" t="s">
        <v>7</v>
      </c>
      <c r="H624" s="328">
        <f t="shared" si="99"/>
        <v>46273</v>
      </c>
      <c r="I624" s="329"/>
      <c r="J624" s="400"/>
      <c r="L624" s="331"/>
      <c r="M624" s="331"/>
      <c r="N624" s="331"/>
      <c r="O624" s="331"/>
      <c r="P624" s="331"/>
      <c r="Q624" s="331"/>
      <c r="R624" s="331"/>
      <c r="S624" s="331"/>
      <c r="T624" s="331"/>
      <c r="U624" s="331"/>
      <c r="V624" s="331"/>
      <c r="W624" s="331"/>
      <c r="X624" s="331"/>
      <c r="Z624" s="331"/>
      <c r="AA624" s="331"/>
      <c r="AB624" s="331"/>
      <c r="AD624" s="331"/>
      <c r="AE624" s="331"/>
      <c r="AF624" s="331"/>
      <c r="AH624" s="331"/>
      <c r="AI624" s="331"/>
      <c r="AK624" s="331"/>
    </row>
    <row r="625" spans="2:37" x14ac:dyDescent="0.25">
      <c r="B625" s="9" t="str">
        <f t="shared" si="96"/>
        <v>9 2026</v>
      </c>
      <c r="C625" s="88">
        <f t="shared" si="97"/>
        <v>46274</v>
      </c>
      <c r="D625" s="88">
        <f t="shared" si="95"/>
        <v>46275</v>
      </c>
      <c r="E625" s="89">
        <f t="shared" si="98"/>
        <v>1</v>
      </c>
      <c r="F625" s="123" t="s">
        <v>7</v>
      </c>
      <c r="H625" s="328">
        <f t="shared" si="99"/>
        <v>46274</v>
      </c>
      <c r="I625" s="329"/>
      <c r="J625" s="400"/>
      <c r="L625" s="331"/>
      <c r="M625" s="331"/>
      <c r="N625" s="331"/>
      <c r="O625" s="331"/>
      <c r="P625" s="331"/>
      <c r="Q625" s="331"/>
      <c r="R625" s="331"/>
      <c r="S625" s="331"/>
      <c r="T625" s="331"/>
      <c r="U625" s="331"/>
      <c r="V625" s="331"/>
      <c r="W625" s="331"/>
      <c r="X625" s="331"/>
      <c r="Z625" s="331"/>
      <c r="AA625" s="331"/>
      <c r="AB625" s="331"/>
      <c r="AD625" s="331"/>
      <c r="AE625" s="331"/>
      <c r="AF625" s="331"/>
      <c r="AH625" s="331"/>
      <c r="AI625" s="331"/>
      <c r="AK625" s="331"/>
    </row>
    <row r="626" spans="2:37" x14ac:dyDescent="0.25">
      <c r="B626" s="9" t="str">
        <f t="shared" si="96"/>
        <v>9 2026</v>
      </c>
      <c r="C626" s="88">
        <f t="shared" si="97"/>
        <v>46275</v>
      </c>
      <c r="D626" s="88">
        <f t="shared" si="95"/>
        <v>46276</v>
      </c>
      <c r="E626" s="89">
        <f t="shared" si="98"/>
        <v>1</v>
      </c>
      <c r="F626" s="123" t="s">
        <v>7</v>
      </c>
      <c r="H626" s="328">
        <f t="shared" si="99"/>
        <v>46275</v>
      </c>
      <c r="I626" s="329"/>
      <c r="J626" s="400"/>
      <c r="L626" s="331"/>
      <c r="M626" s="331"/>
      <c r="N626" s="331"/>
      <c r="O626" s="331"/>
      <c r="P626" s="331"/>
      <c r="Q626" s="331"/>
      <c r="R626" s="331"/>
      <c r="S626" s="331"/>
      <c r="T626" s="331"/>
      <c r="U626" s="331"/>
      <c r="V626" s="331"/>
      <c r="W626" s="331"/>
      <c r="X626" s="331"/>
      <c r="Z626" s="331"/>
      <c r="AA626" s="331"/>
      <c r="AB626" s="331"/>
      <c r="AD626" s="331"/>
      <c r="AE626" s="331"/>
      <c r="AF626" s="331"/>
      <c r="AH626" s="331"/>
      <c r="AI626" s="331"/>
      <c r="AK626" s="331"/>
    </row>
    <row r="627" spans="2:37" x14ac:dyDescent="0.25">
      <c r="B627" s="9" t="str">
        <f t="shared" si="96"/>
        <v>9 2026</v>
      </c>
      <c r="C627" s="88">
        <f t="shared" si="97"/>
        <v>46276</v>
      </c>
      <c r="D627" s="88">
        <f t="shared" si="95"/>
        <v>46277</v>
      </c>
      <c r="E627" s="89">
        <f t="shared" si="98"/>
        <v>1</v>
      </c>
      <c r="F627" s="123" t="s">
        <v>7</v>
      </c>
      <c r="H627" s="328">
        <f t="shared" si="99"/>
        <v>46276</v>
      </c>
      <c r="I627" s="329"/>
      <c r="J627" s="400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W627" s="331"/>
      <c r="X627" s="331"/>
      <c r="Z627" s="331"/>
      <c r="AA627" s="331"/>
      <c r="AB627" s="331"/>
      <c r="AD627" s="331"/>
      <c r="AE627" s="331"/>
      <c r="AF627" s="331"/>
      <c r="AH627" s="331"/>
      <c r="AI627" s="331"/>
      <c r="AK627" s="331"/>
    </row>
    <row r="628" spans="2:37" x14ac:dyDescent="0.25">
      <c r="B628" s="9" t="str">
        <f t="shared" si="96"/>
        <v>9 2026</v>
      </c>
      <c r="C628" s="88">
        <f t="shared" si="97"/>
        <v>46277</v>
      </c>
      <c r="D628" s="88">
        <f t="shared" si="95"/>
        <v>46278</v>
      </c>
      <c r="E628" s="89">
        <f t="shared" si="98"/>
        <v>1</v>
      </c>
      <c r="F628" s="123" t="s">
        <v>7</v>
      </c>
      <c r="H628" s="328">
        <f t="shared" si="99"/>
        <v>46277</v>
      </c>
      <c r="I628" s="329"/>
      <c r="J628" s="400"/>
      <c r="L628" s="331"/>
      <c r="M628" s="331"/>
      <c r="N628" s="331"/>
      <c r="O628" s="331"/>
      <c r="P628" s="331"/>
      <c r="Q628" s="331"/>
      <c r="R628" s="331"/>
      <c r="S628" s="331"/>
      <c r="T628" s="331"/>
      <c r="U628" s="331"/>
      <c r="V628" s="331"/>
      <c r="W628" s="331"/>
      <c r="X628" s="331"/>
      <c r="Z628" s="331"/>
      <c r="AA628" s="331"/>
      <c r="AB628" s="331"/>
      <c r="AD628" s="331"/>
      <c r="AE628" s="331"/>
      <c r="AF628" s="331"/>
      <c r="AH628" s="331"/>
      <c r="AI628" s="331"/>
      <c r="AK628" s="331"/>
    </row>
    <row r="629" spans="2:37" x14ac:dyDescent="0.25">
      <c r="B629" s="9" t="str">
        <f t="shared" si="96"/>
        <v>9 2026</v>
      </c>
      <c r="C629" s="88">
        <f t="shared" si="97"/>
        <v>46278</v>
      </c>
      <c r="D629" s="88">
        <f t="shared" si="95"/>
        <v>46279</v>
      </c>
      <c r="E629" s="89">
        <f t="shared" si="98"/>
        <v>1</v>
      </c>
      <c r="F629" s="123" t="s">
        <v>7</v>
      </c>
      <c r="H629" s="328">
        <f t="shared" si="99"/>
        <v>46278</v>
      </c>
      <c r="I629" s="329"/>
      <c r="J629" s="400"/>
      <c r="L629" s="331"/>
      <c r="M629" s="331"/>
      <c r="N629" s="331"/>
      <c r="O629" s="331"/>
      <c r="P629" s="331"/>
      <c r="Q629" s="331"/>
      <c r="R629" s="331"/>
      <c r="S629" s="331"/>
      <c r="T629" s="331"/>
      <c r="U629" s="331"/>
      <c r="V629" s="331"/>
      <c r="W629" s="331"/>
      <c r="X629" s="331"/>
      <c r="Z629" s="331"/>
      <c r="AA629" s="331"/>
      <c r="AB629" s="331"/>
      <c r="AD629" s="331"/>
      <c r="AE629" s="331"/>
      <c r="AF629" s="331"/>
      <c r="AH629" s="331"/>
      <c r="AI629" s="331"/>
      <c r="AK629" s="331"/>
    </row>
    <row r="630" spans="2:37" x14ac:dyDescent="0.25">
      <c r="B630" s="9" t="str">
        <f t="shared" si="96"/>
        <v>9 2026</v>
      </c>
      <c r="C630" s="88">
        <f t="shared" si="97"/>
        <v>46279</v>
      </c>
      <c r="D630" s="88">
        <f t="shared" si="95"/>
        <v>46280</v>
      </c>
      <c r="E630" s="89">
        <f t="shared" si="98"/>
        <v>1</v>
      </c>
      <c r="F630" s="123" t="s">
        <v>7</v>
      </c>
      <c r="H630" s="328">
        <f t="shared" si="99"/>
        <v>46279</v>
      </c>
      <c r="I630" s="329"/>
      <c r="J630" s="400"/>
      <c r="L630" s="331"/>
      <c r="M630" s="331"/>
      <c r="N630" s="331"/>
      <c r="O630" s="331"/>
      <c r="P630" s="331"/>
      <c r="Q630" s="331"/>
      <c r="R630" s="331"/>
      <c r="S630" s="331"/>
      <c r="T630" s="331"/>
      <c r="U630" s="331"/>
      <c r="V630" s="331"/>
      <c r="W630" s="331"/>
      <c r="X630" s="331"/>
      <c r="Z630" s="331"/>
      <c r="AA630" s="331"/>
      <c r="AB630" s="331"/>
      <c r="AD630" s="331"/>
      <c r="AE630" s="331"/>
      <c r="AF630" s="331"/>
      <c r="AH630" s="331"/>
      <c r="AI630" s="331"/>
      <c r="AK630" s="331"/>
    </row>
    <row r="631" spans="2:37" x14ac:dyDescent="0.25">
      <c r="B631" s="9" t="str">
        <f t="shared" si="96"/>
        <v>9 2026</v>
      </c>
      <c r="C631" s="88">
        <f t="shared" si="97"/>
        <v>46280</v>
      </c>
      <c r="D631" s="88">
        <f t="shared" si="95"/>
        <v>46281</v>
      </c>
      <c r="E631" s="89">
        <f t="shared" si="98"/>
        <v>1</v>
      </c>
      <c r="F631" s="123" t="s">
        <v>7</v>
      </c>
      <c r="H631" s="328">
        <f t="shared" si="99"/>
        <v>46280</v>
      </c>
      <c r="I631" s="329"/>
      <c r="J631" s="400"/>
      <c r="L631" s="331"/>
      <c r="M631" s="331"/>
      <c r="N631" s="331"/>
      <c r="O631" s="331"/>
      <c r="P631" s="331"/>
      <c r="Q631" s="331"/>
      <c r="R631" s="331"/>
      <c r="S631" s="331"/>
      <c r="T631" s="331"/>
      <c r="U631" s="331"/>
      <c r="V631" s="331"/>
      <c r="W631" s="331"/>
      <c r="X631" s="331"/>
      <c r="Z631" s="331"/>
      <c r="AA631" s="331"/>
      <c r="AB631" s="331"/>
      <c r="AD631" s="331"/>
      <c r="AE631" s="331"/>
      <c r="AF631" s="331"/>
      <c r="AH631" s="331"/>
      <c r="AI631" s="331"/>
      <c r="AK631" s="331"/>
    </row>
    <row r="632" spans="2:37" x14ac:dyDescent="0.25">
      <c r="B632" s="9" t="str">
        <f t="shared" si="96"/>
        <v>9 2026</v>
      </c>
      <c r="C632" s="88">
        <f t="shared" si="97"/>
        <v>46281</v>
      </c>
      <c r="D632" s="88">
        <f t="shared" ref="D632:D695" si="100">D631+1</f>
        <v>46282</v>
      </c>
      <c r="E632" s="89">
        <f t="shared" si="98"/>
        <v>1</v>
      </c>
      <c r="F632" s="123" t="s">
        <v>7</v>
      </c>
      <c r="H632" s="328">
        <f t="shared" si="99"/>
        <v>46281</v>
      </c>
      <c r="I632" s="329"/>
      <c r="J632" s="400"/>
      <c r="L632" s="331"/>
      <c r="M632" s="331"/>
      <c r="N632" s="331"/>
      <c r="O632" s="331"/>
      <c r="P632" s="331"/>
      <c r="Q632" s="331"/>
      <c r="R632" s="331"/>
      <c r="S632" s="331"/>
      <c r="T632" s="331"/>
      <c r="U632" s="331"/>
      <c r="V632" s="331"/>
      <c r="W632" s="331"/>
      <c r="X632" s="331"/>
      <c r="Z632" s="331"/>
      <c r="AA632" s="331"/>
      <c r="AB632" s="331"/>
      <c r="AD632" s="331"/>
      <c r="AE632" s="331"/>
      <c r="AF632" s="331"/>
      <c r="AH632" s="331"/>
      <c r="AI632" s="331"/>
      <c r="AK632" s="331"/>
    </row>
    <row r="633" spans="2:37" x14ac:dyDescent="0.25">
      <c r="B633" s="9" t="str">
        <f t="shared" si="96"/>
        <v>9 2026</v>
      </c>
      <c r="C633" s="88">
        <f t="shared" si="97"/>
        <v>46282</v>
      </c>
      <c r="D633" s="88">
        <f t="shared" si="100"/>
        <v>46283</v>
      </c>
      <c r="E633" s="89">
        <f t="shared" si="98"/>
        <v>1</v>
      </c>
      <c r="F633" s="123" t="s">
        <v>7</v>
      </c>
      <c r="H633" s="328">
        <f t="shared" si="99"/>
        <v>46282</v>
      </c>
      <c r="I633" s="329"/>
      <c r="J633" s="400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W633" s="331"/>
      <c r="X633" s="331"/>
      <c r="Z633" s="331"/>
      <c r="AA633" s="331"/>
      <c r="AB633" s="331"/>
      <c r="AD633" s="331"/>
      <c r="AE633" s="331"/>
      <c r="AF633" s="331"/>
      <c r="AH633" s="331"/>
      <c r="AI633" s="331"/>
      <c r="AK633" s="331"/>
    </row>
    <row r="634" spans="2:37" x14ac:dyDescent="0.25">
      <c r="B634" s="9" t="str">
        <f t="shared" si="96"/>
        <v>9 2026</v>
      </c>
      <c r="C634" s="88">
        <f t="shared" si="97"/>
        <v>46283</v>
      </c>
      <c r="D634" s="88">
        <f t="shared" si="100"/>
        <v>46284</v>
      </c>
      <c r="E634" s="89">
        <f t="shared" si="98"/>
        <v>1</v>
      </c>
      <c r="F634" s="123" t="s">
        <v>7</v>
      </c>
      <c r="H634" s="328">
        <f t="shared" si="99"/>
        <v>46283</v>
      </c>
      <c r="I634" s="329"/>
      <c r="J634" s="400"/>
      <c r="L634" s="331"/>
      <c r="M634" s="331"/>
      <c r="N634" s="331"/>
      <c r="O634" s="331"/>
      <c r="P634" s="331"/>
      <c r="Q634" s="331"/>
      <c r="R634" s="331"/>
      <c r="S634" s="331"/>
      <c r="T634" s="331"/>
      <c r="U634" s="331"/>
      <c r="V634" s="331"/>
      <c r="W634" s="331"/>
      <c r="X634" s="331"/>
      <c r="Z634" s="331"/>
      <c r="AA634" s="331"/>
      <c r="AB634" s="331"/>
      <c r="AD634" s="331"/>
      <c r="AE634" s="331"/>
      <c r="AF634" s="331"/>
      <c r="AH634" s="331"/>
      <c r="AI634" s="331"/>
      <c r="AK634" s="331"/>
    </row>
    <row r="635" spans="2:37" x14ac:dyDescent="0.25">
      <c r="B635" s="9" t="str">
        <f t="shared" si="96"/>
        <v>9 2026</v>
      </c>
      <c r="C635" s="88">
        <f t="shared" si="97"/>
        <v>46284</v>
      </c>
      <c r="D635" s="88">
        <f t="shared" si="100"/>
        <v>46285</v>
      </c>
      <c r="E635" s="89">
        <f t="shared" si="98"/>
        <v>1</v>
      </c>
      <c r="F635" s="123" t="s">
        <v>7</v>
      </c>
      <c r="H635" s="328">
        <f t="shared" si="99"/>
        <v>46284</v>
      </c>
      <c r="I635" s="329"/>
      <c r="J635" s="400"/>
      <c r="L635" s="331"/>
      <c r="M635" s="331"/>
      <c r="N635" s="331"/>
      <c r="O635" s="331"/>
      <c r="P635" s="331"/>
      <c r="Q635" s="331"/>
      <c r="R635" s="331"/>
      <c r="S635" s="331"/>
      <c r="T635" s="331"/>
      <c r="U635" s="331"/>
      <c r="V635" s="331"/>
      <c r="W635" s="331"/>
      <c r="X635" s="331"/>
      <c r="Z635" s="331"/>
      <c r="AA635" s="331"/>
      <c r="AB635" s="331"/>
      <c r="AD635" s="331"/>
      <c r="AE635" s="331"/>
      <c r="AF635" s="331"/>
      <c r="AH635" s="331"/>
      <c r="AI635" s="331"/>
      <c r="AK635" s="331"/>
    </row>
    <row r="636" spans="2:37" x14ac:dyDescent="0.25">
      <c r="B636" s="9" t="str">
        <f t="shared" si="96"/>
        <v>9 2026</v>
      </c>
      <c r="C636" s="88">
        <f t="shared" si="97"/>
        <v>46285</v>
      </c>
      <c r="D636" s="88">
        <f t="shared" si="100"/>
        <v>46286</v>
      </c>
      <c r="E636" s="89">
        <f t="shared" si="98"/>
        <v>1</v>
      </c>
      <c r="F636" s="123" t="s">
        <v>7</v>
      </c>
      <c r="H636" s="328">
        <f t="shared" si="99"/>
        <v>46285</v>
      </c>
      <c r="I636" s="329"/>
      <c r="J636" s="400"/>
      <c r="L636" s="331"/>
      <c r="M636" s="331"/>
      <c r="N636" s="331"/>
      <c r="O636" s="331"/>
      <c r="P636" s="331"/>
      <c r="Q636" s="331"/>
      <c r="R636" s="331"/>
      <c r="S636" s="331"/>
      <c r="T636" s="331"/>
      <c r="U636" s="331"/>
      <c r="V636" s="331"/>
      <c r="W636" s="331"/>
      <c r="X636" s="331"/>
      <c r="Z636" s="331"/>
      <c r="AA636" s="331"/>
      <c r="AB636" s="331"/>
      <c r="AD636" s="331"/>
      <c r="AE636" s="331"/>
      <c r="AF636" s="331"/>
      <c r="AH636" s="331"/>
      <c r="AI636" s="331"/>
      <c r="AK636" s="331"/>
    </row>
    <row r="637" spans="2:37" x14ac:dyDescent="0.25">
      <c r="B637" s="9" t="str">
        <f t="shared" si="96"/>
        <v>9 2026</v>
      </c>
      <c r="C637" s="88">
        <f t="shared" si="97"/>
        <v>46286</v>
      </c>
      <c r="D637" s="88">
        <f t="shared" si="100"/>
        <v>46287</v>
      </c>
      <c r="E637" s="89">
        <f t="shared" si="98"/>
        <v>1</v>
      </c>
      <c r="F637" s="123" t="s">
        <v>7</v>
      </c>
      <c r="H637" s="328">
        <f t="shared" si="99"/>
        <v>46286</v>
      </c>
      <c r="I637" s="329"/>
      <c r="J637" s="400"/>
      <c r="L637" s="331"/>
      <c r="M637" s="331"/>
      <c r="N637" s="331"/>
      <c r="O637" s="331"/>
      <c r="P637" s="331"/>
      <c r="Q637" s="331"/>
      <c r="R637" s="331"/>
      <c r="S637" s="331"/>
      <c r="T637" s="331"/>
      <c r="U637" s="331"/>
      <c r="V637" s="331"/>
      <c r="W637" s="331"/>
      <c r="X637" s="331"/>
      <c r="Z637" s="331"/>
      <c r="AA637" s="331"/>
      <c r="AB637" s="331"/>
      <c r="AD637" s="331"/>
      <c r="AE637" s="331"/>
      <c r="AF637" s="331"/>
      <c r="AH637" s="331"/>
      <c r="AI637" s="331"/>
      <c r="AK637" s="331"/>
    </row>
    <row r="638" spans="2:37" x14ac:dyDescent="0.25">
      <c r="B638" s="9" t="str">
        <f t="shared" si="96"/>
        <v>9 2026</v>
      </c>
      <c r="C638" s="88">
        <f t="shared" si="97"/>
        <v>46287</v>
      </c>
      <c r="D638" s="88">
        <f t="shared" si="100"/>
        <v>46288</v>
      </c>
      <c r="E638" s="89">
        <f t="shared" si="98"/>
        <v>1</v>
      </c>
      <c r="F638" s="123" t="s">
        <v>7</v>
      </c>
      <c r="H638" s="328">
        <f t="shared" si="99"/>
        <v>46287</v>
      </c>
      <c r="I638" s="329"/>
      <c r="J638" s="400"/>
      <c r="L638" s="331"/>
      <c r="M638" s="331"/>
      <c r="N638" s="331"/>
      <c r="O638" s="331"/>
      <c r="P638" s="331"/>
      <c r="Q638" s="331"/>
      <c r="R638" s="331"/>
      <c r="S638" s="331"/>
      <c r="T638" s="331"/>
      <c r="U638" s="331"/>
      <c r="V638" s="331"/>
      <c r="W638" s="331"/>
      <c r="X638" s="331"/>
      <c r="Z638" s="331"/>
      <c r="AA638" s="331"/>
      <c r="AB638" s="331"/>
      <c r="AD638" s="331"/>
      <c r="AE638" s="331"/>
      <c r="AF638" s="331"/>
      <c r="AH638" s="331"/>
      <c r="AI638" s="331"/>
      <c r="AK638" s="331"/>
    </row>
    <row r="639" spans="2:37" x14ac:dyDescent="0.25">
      <c r="B639" s="9" t="str">
        <f t="shared" si="96"/>
        <v>9 2026</v>
      </c>
      <c r="C639" s="88">
        <f t="shared" si="97"/>
        <v>46288</v>
      </c>
      <c r="D639" s="88">
        <f t="shared" si="100"/>
        <v>46289</v>
      </c>
      <c r="E639" s="89">
        <f t="shared" si="98"/>
        <v>1</v>
      </c>
      <c r="F639" s="123" t="s">
        <v>7</v>
      </c>
      <c r="H639" s="328">
        <f t="shared" si="99"/>
        <v>46288</v>
      </c>
      <c r="I639" s="329"/>
      <c r="J639" s="400"/>
      <c r="L639" s="331"/>
      <c r="M639" s="331"/>
      <c r="N639" s="331"/>
      <c r="O639" s="331"/>
      <c r="P639" s="331"/>
      <c r="Q639" s="331"/>
      <c r="R639" s="331"/>
      <c r="S639" s="331"/>
      <c r="T639" s="331"/>
      <c r="U639" s="331"/>
      <c r="V639" s="331"/>
      <c r="W639" s="331"/>
      <c r="X639" s="331"/>
      <c r="Z639" s="331"/>
      <c r="AA639" s="331"/>
      <c r="AB639" s="331"/>
      <c r="AD639" s="331"/>
      <c r="AE639" s="331"/>
      <c r="AF639" s="331"/>
      <c r="AH639" s="331"/>
      <c r="AI639" s="331"/>
      <c r="AK639" s="331"/>
    </row>
    <row r="640" spans="2:37" x14ac:dyDescent="0.25">
      <c r="B640" s="9" t="str">
        <f t="shared" si="96"/>
        <v>9 2026</v>
      </c>
      <c r="C640" s="88">
        <f t="shared" si="97"/>
        <v>46289</v>
      </c>
      <c r="D640" s="88">
        <f t="shared" si="100"/>
        <v>46290</v>
      </c>
      <c r="E640" s="89">
        <f t="shared" si="98"/>
        <v>1</v>
      </c>
      <c r="F640" s="123" t="s">
        <v>7</v>
      </c>
      <c r="H640" s="328">
        <f t="shared" si="99"/>
        <v>46289</v>
      </c>
      <c r="I640" s="329"/>
      <c r="J640" s="400"/>
      <c r="L640" s="331"/>
      <c r="M640" s="331"/>
      <c r="N640" s="331"/>
      <c r="O640" s="331"/>
      <c r="P640" s="331"/>
      <c r="Q640" s="331"/>
      <c r="R640" s="331"/>
      <c r="S640" s="331"/>
      <c r="T640" s="331"/>
      <c r="U640" s="331"/>
      <c r="V640" s="331"/>
      <c r="W640" s="331"/>
      <c r="X640" s="331"/>
      <c r="Z640" s="331"/>
      <c r="AA640" s="331"/>
      <c r="AB640" s="331"/>
      <c r="AD640" s="331"/>
      <c r="AE640" s="331"/>
      <c r="AF640" s="331"/>
      <c r="AH640" s="331"/>
      <c r="AI640" s="331"/>
      <c r="AK640" s="331"/>
    </row>
    <row r="641" spans="2:37" x14ac:dyDescent="0.25">
      <c r="B641" s="9" t="str">
        <f t="shared" si="96"/>
        <v>9 2026</v>
      </c>
      <c r="C641" s="88">
        <f t="shared" si="97"/>
        <v>46290</v>
      </c>
      <c r="D641" s="88">
        <f t="shared" si="100"/>
        <v>46291</v>
      </c>
      <c r="E641" s="89">
        <f t="shared" si="98"/>
        <v>1</v>
      </c>
      <c r="F641" s="123" t="s">
        <v>7</v>
      </c>
      <c r="H641" s="328">
        <f t="shared" si="99"/>
        <v>46290</v>
      </c>
      <c r="I641" s="329"/>
      <c r="J641" s="400"/>
      <c r="L641" s="331"/>
      <c r="M641" s="331"/>
      <c r="N641" s="331"/>
      <c r="O641" s="331"/>
      <c r="P641" s="331"/>
      <c r="Q641" s="331"/>
      <c r="R641" s="331"/>
      <c r="S641" s="331"/>
      <c r="T641" s="331"/>
      <c r="U641" s="331"/>
      <c r="V641" s="331"/>
      <c r="W641" s="331"/>
      <c r="X641" s="331"/>
      <c r="Z641" s="331"/>
      <c r="AA641" s="331"/>
      <c r="AB641" s="331"/>
      <c r="AD641" s="331"/>
      <c r="AE641" s="331"/>
      <c r="AF641" s="331"/>
      <c r="AH641" s="331"/>
      <c r="AI641" s="331"/>
      <c r="AK641" s="331"/>
    </row>
    <row r="642" spans="2:37" x14ac:dyDescent="0.25">
      <c r="B642" s="9" t="str">
        <f t="shared" si="96"/>
        <v>9 2026</v>
      </c>
      <c r="C642" s="88">
        <f t="shared" si="97"/>
        <v>46291</v>
      </c>
      <c r="D642" s="88">
        <f t="shared" si="100"/>
        <v>46292</v>
      </c>
      <c r="E642" s="89">
        <f t="shared" si="98"/>
        <v>1</v>
      </c>
      <c r="F642" s="123" t="s">
        <v>7</v>
      </c>
      <c r="H642" s="328">
        <f t="shared" si="99"/>
        <v>46291</v>
      </c>
      <c r="I642" s="329"/>
      <c r="J642" s="400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W642" s="331"/>
      <c r="X642" s="331"/>
      <c r="Z642" s="331"/>
      <c r="AA642" s="331"/>
      <c r="AB642" s="331"/>
      <c r="AD642" s="331"/>
      <c r="AE642" s="331"/>
      <c r="AF642" s="331"/>
      <c r="AH642" s="331"/>
      <c r="AI642" s="331"/>
      <c r="AK642" s="331"/>
    </row>
    <row r="643" spans="2:37" x14ac:dyDescent="0.25">
      <c r="B643" s="9" t="str">
        <f t="shared" si="96"/>
        <v>9 2026</v>
      </c>
      <c r="C643" s="88">
        <f t="shared" si="97"/>
        <v>46292</v>
      </c>
      <c r="D643" s="88">
        <f t="shared" si="100"/>
        <v>46293</v>
      </c>
      <c r="E643" s="89">
        <f t="shared" si="98"/>
        <v>1</v>
      </c>
      <c r="F643" s="123" t="s">
        <v>7</v>
      </c>
      <c r="H643" s="328">
        <f t="shared" si="99"/>
        <v>46292</v>
      </c>
      <c r="I643" s="329"/>
      <c r="J643" s="400"/>
      <c r="L643" s="331"/>
      <c r="M643" s="331"/>
      <c r="N643" s="331"/>
      <c r="O643" s="331"/>
      <c r="P643" s="331"/>
      <c r="Q643" s="331"/>
      <c r="R643" s="331"/>
      <c r="S643" s="331"/>
      <c r="T643" s="331"/>
      <c r="U643" s="331"/>
      <c r="V643" s="331"/>
      <c r="W643" s="331"/>
      <c r="X643" s="331"/>
      <c r="Z643" s="331"/>
      <c r="AA643" s="331"/>
      <c r="AB643" s="331"/>
      <c r="AD643" s="331"/>
      <c r="AE643" s="331"/>
      <c r="AF643" s="331"/>
      <c r="AH643" s="331"/>
      <c r="AI643" s="331"/>
      <c r="AK643" s="331"/>
    </row>
    <row r="644" spans="2:37" x14ac:dyDescent="0.25">
      <c r="B644" s="9" t="str">
        <f t="shared" si="96"/>
        <v>9 2026</v>
      </c>
      <c r="C644" s="88">
        <f t="shared" si="97"/>
        <v>46293</v>
      </c>
      <c r="D644" s="88">
        <f t="shared" si="100"/>
        <v>46294</v>
      </c>
      <c r="E644" s="89">
        <f t="shared" si="98"/>
        <v>1</v>
      </c>
      <c r="F644" s="123" t="s">
        <v>7</v>
      </c>
      <c r="H644" s="328">
        <f t="shared" si="99"/>
        <v>46293</v>
      </c>
      <c r="I644" s="329"/>
      <c r="J644" s="400"/>
      <c r="L644" s="331"/>
      <c r="M644" s="331"/>
      <c r="N644" s="331"/>
      <c r="O644" s="331"/>
      <c r="P644" s="331"/>
      <c r="Q644" s="331"/>
      <c r="R644" s="331"/>
      <c r="S644" s="331"/>
      <c r="T644" s="331"/>
      <c r="U644" s="331"/>
      <c r="V644" s="331"/>
      <c r="W644" s="331"/>
      <c r="X644" s="331"/>
      <c r="Z644" s="331"/>
      <c r="AA644" s="331"/>
      <c r="AB644" s="331"/>
      <c r="AD644" s="331"/>
      <c r="AE644" s="331"/>
      <c r="AF644" s="331"/>
      <c r="AH644" s="331"/>
      <c r="AI644" s="331"/>
      <c r="AK644" s="331"/>
    </row>
    <row r="645" spans="2:37" x14ac:dyDescent="0.25">
      <c r="B645" s="9" t="str">
        <f t="shared" si="96"/>
        <v>9 2026</v>
      </c>
      <c r="C645" s="88">
        <f t="shared" si="97"/>
        <v>46294</v>
      </c>
      <c r="D645" s="88">
        <f t="shared" si="100"/>
        <v>46295</v>
      </c>
      <c r="E645" s="89">
        <f t="shared" si="98"/>
        <v>1</v>
      </c>
      <c r="F645" s="123" t="s">
        <v>7</v>
      </c>
      <c r="H645" s="328">
        <f t="shared" si="99"/>
        <v>46294</v>
      </c>
      <c r="I645" s="329"/>
      <c r="J645" s="400"/>
      <c r="L645" s="331"/>
      <c r="M645" s="331"/>
      <c r="N645" s="331"/>
      <c r="O645" s="331"/>
      <c r="P645" s="331"/>
      <c r="Q645" s="331"/>
      <c r="R645" s="331"/>
      <c r="S645" s="331"/>
      <c r="T645" s="331"/>
      <c r="U645" s="331"/>
      <c r="V645" s="331"/>
      <c r="W645" s="331"/>
      <c r="X645" s="331"/>
      <c r="Z645" s="331"/>
      <c r="AA645" s="331"/>
      <c r="AB645" s="331"/>
      <c r="AD645" s="331"/>
      <c r="AE645" s="331"/>
      <c r="AF645" s="331"/>
      <c r="AH645" s="331"/>
      <c r="AI645" s="331"/>
      <c r="AK645" s="331"/>
    </row>
    <row r="646" spans="2:37" x14ac:dyDescent="0.25">
      <c r="B646" s="9" t="str">
        <f t="shared" si="96"/>
        <v>10 2026</v>
      </c>
      <c r="C646" s="88">
        <f t="shared" si="97"/>
        <v>46295</v>
      </c>
      <c r="D646" s="88">
        <f t="shared" si="100"/>
        <v>46296</v>
      </c>
      <c r="E646" s="89">
        <f t="shared" si="98"/>
        <v>1</v>
      </c>
      <c r="F646" s="123" t="s">
        <v>7</v>
      </c>
      <c r="H646" s="328">
        <f t="shared" si="99"/>
        <v>46295</v>
      </c>
      <c r="I646" s="329"/>
      <c r="J646" s="400"/>
      <c r="L646" s="331"/>
      <c r="M646" s="331"/>
      <c r="N646" s="331"/>
      <c r="O646" s="331"/>
      <c r="P646" s="331"/>
      <c r="Q646" s="331"/>
      <c r="R646" s="331"/>
      <c r="S646" s="331"/>
      <c r="T646" s="331"/>
      <c r="U646" s="331"/>
      <c r="V646" s="331"/>
      <c r="W646" s="331"/>
      <c r="X646" s="331"/>
      <c r="Z646" s="331"/>
      <c r="AA646" s="331"/>
      <c r="AB646" s="331"/>
      <c r="AD646" s="331"/>
      <c r="AE646" s="331"/>
      <c r="AF646" s="331"/>
      <c r="AH646" s="331"/>
      <c r="AI646" s="331"/>
      <c r="AK646" s="331"/>
    </row>
    <row r="647" spans="2:37" x14ac:dyDescent="0.25">
      <c r="B647" s="9" t="str">
        <f t="shared" si="96"/>
        <v>10 2026</v>
      </c>
      <c r="C647" s="88">
        <f t="shared" si="97"/>
        <v>46296</v>
      </c>
      <c r="D647" s="88">
        <f t="shared" si="100"/>
        <v>46297</v>
      </c>
      <c r="E647" s="89">
        <f t="shared" si="98"/>
        <v>1</v>
      </c>
      <c r="F647" s="123" t="s">
        <v>7</v>
      </c>
      <c r="H647" s="328">
        <f t="shared" si="99"/>
        <v>46296</v>
      </c>
      <c r="I647" s="329"/>
      <c r="J647" s="400"/>
      <c r="L647" s="331"/>
      <c r="M647" s="331"/>
      <c r="N647" s="331"/>
      <c r="O647" s="331"/>
      <c r="P647" s="331"/>
      <c r="Q647" s="331"/>
      <c r="R647" s="331"/>
      <c r="S647" s="331"/>
      <c r="T647" s="331"/>
      <c r="U647" s="331"/>
      <c r="V647" s="331"/>
      <c r="W647" s="331"/>
      <c r="X647" s="331"/>
      <c r="Z647" s="331"/>
      <c r="AA647" s="331"/>
      <c r="AB647" s="331"/>
      <c r="AD647" s="331"/>
      <c r="AE647" s="331"/>
      <c r="AF647" s="331"/>
      <c r="AH647" s="331"/>
      <c r="AI647" s="331"/>
      <c r="AK647" s="331"/>
    </row>
    <row r="648" spans="2:37" x14ac:dyDescent="0.25">
      <c r="B648" s="9" t="str">
        <f t="shared" si="96"/>
        <v>10 2026</v>
      </c>
      <c r="C648" s="88">
        <f t="shared" si="97"/>
        <v>46297</v>
      </c>
      <c r="D648" s="88">
        <f t="shared" si="100"/>
        <v>46298</v>
      </c>
      <c r="E648" s="89">
        <f t="shared" si="98"/>
        <v>1</v>
      </c>
      <c r="F648" s="123" t="s">
        <v>7</v>
      </c>
      <c r="H648" s="328">
        <f t="shared" si="99"/>
        <v>46297</v>
      </c>
      <c r="I648" s="329"/>
      <c r="J648" s="400"/>
      <c r="L648" s="331"/>
      <c r="M648" s="331"/>
      <c r="N648" s="331"/>
      <c r="O648" s="331"/>
      <c r="P648" s="331"/>
      <c r="Q648" s="331"/>
      <c r="R648" s="331"/>
      <c r="S648" s="331"/>
      <c r="T648" s="331"/>
      <c r="U648" s="331"/>
      <c r="V648" s="331"/>
      <c r="W648" s="331"/>
      <c r="X648" s="331"/>
      <c r="Z648" s="331"/>
      <c r="AA648" s="331"/>
      <c r="AB648" s="331"/>
      <c r="AD648" s="331"/>
      <c r="AE648" s="331"/>
      <c r="AF648" s="331"/>
      <c r="AH648" s="331"/>
      <c r="AI648" s="331"/>
      <c r="AK648" s="331"/>
    </row>
    <row r="649" spans="2:37" x14ac:dyDescent="0.25">
      <c r="B649" s="9" t="str">
        <f t="shared" si="96"/>
        <v>10 2026</v>
      </c>
      <c r="C649" s="88">
        <f t="shared" si="97"/>
        <v>46298</v>
      </c>
      <c r="D649" s="88">
        <f t="shared" si="100"/>
        <v>46299</v>
      </c>
      <c r="E649" s="89">
        <f t="shared" si="98"/>
        <v>1</v>
      </c>
      <c r="F649" s="123" t="s">
        <v>7</v>
      </c>
      <c r="H649" s="328">
        <f t="shared" si="99"/>
        <v>46298</v>
      </c>
      <c r="I649" s="329"/>
      <c r="J649" s="400"/>
      <c r="L649" s="331"/>
      <c r="M649" s="331"/>
      <c r="N649" s="331"/>
      <c r="O649" s="331"/>
      <c r="P649" s="331"/>
      <c r="Q649" s="331"/>
      <c r="R649" s="331"/>
      <c r="S649" s="331"/>
      <c r="T649" s="331"/>
      <c r="U649" s="331"/>
      <c r="V649" s="331"/>
      <c r="W649" s="331"/>
      <c r="X649" s="331"/>
      <c r="Z649" s="331"/>
      <c r="AA649" s="331"/>
      <c r="AB649" s="331"/>
      <c r="AD649" s="331"/>
      <c r="AE649" s="331"/>
      <c r="AF649" s="331"/>
      <c r="AH649" s="331"/>
      <c r="AI649" s="331"/>
      <c r="AK649" s="331"/>
    </row>
    <row r="650" spans="2:37" x14ac:dyDescent="0.25">
      <c r="B650" s="9" t="str">
        <f t="shared" si="96"/>
        <v>10 2026</v>
      </c>
      <c r="C650" s="88">
        <f t="shared" si="97"/>
        <v>46299</v>
      </c>
      <c r="D650" s="88">
        <f t="shared" si="100"/>
        <v>46300</v>
      </c>
      <c r="E650" s="89">
        <f t="shared" si="98"/>
        <v>1</v>
      </c>
      <c r="F650" s="123" t="s">
        <v>7</v>
      </c>
      <c r="H650" s="328">
        <f t="shared" si="99"/>
        <v>46299</v>
      </c>
      <c r="I650" s="329"/>
      <c r="J650" s="400"/>
      <c r="L650" s="331"/>
      <c r="M650" s="331"/>
      <c r="N650" s="331"/>
      <c r="O650" s="331"/>
      <c r="P650" s="331"/>
      <c r="Q650" s="331"/>
      <c r="R650" s="331"/>
      <c r="S650" s="331"/>
      <c r="T650" s="331"/>
      <c r="U650" s="331"/>
      <c r="V650" s="331"/>
      <c r="W650" s="331"/>
      <c r="X650" s="331"/>
      <c r="Z650" s="331"/>
      <c r="AA650" s="331"/>
      <c r="AB650" s="331"/>
      <c r="AD650" s="331"/>
      <c r="AE650" s="331"/>
      <c r="AF650" s="331"/>
      <c r="AH650" s="331"/>
      <c r="AI650" s="331"/>
      <c r="AK650" s="331"/>
    </row>
    <row r="651" spans="2:37" x14ac:dyDescent="0.25">
      <c r="B651" s="9" t="str">
        <f t="shared" si="96"/>
        <v>10 2026</v>
      </c>
      <c r="C651" s="88">
        <f t="shared" si="97"/>
        <v>46300</v>
      </c>
      <c r="D651" s="88">
        <f t="shared" si="100"/>
        <v>46301</v>
      </c>
      <c r="E651" s="89">
        <f t="shared" si="98"/>
        <v>1</v>
      </c>
      <c r="F651" s="123" t="s">
        <v>7</v>
      </c>
      <c r="H651" s="328">
        <f t="shared" si="99"/>
        <v>46300</v>
      </c>
      <c r="I651" s="329"/>
      <c r="J651" s="400"/>
      <c r="L651" s="331"/>
      <c r="M651" s="331"/>
      <c r="N651" s="331"/>
      <c r="O651" s="331"/>
      <c r="P651" s="331"/>
      <c r="Q651" s="331"/>
      <c r="R651" s="331"/>
      <c r="S651" s="331"/>
      <c r="T651" s="331"/>
      <c r="U651" s="331"/>
      <c r="V651" s="331"/>
      <c r="W651" s="331"/>
      <c r="X651" s="331"/>
      <c r="Z651" s="331"/>
      <c r="AA651" s="331"/>
      <c r="AB651" s="331"/>
      <c r="AD651" s="331"/>
      <c r="AE651" s="331"/>
      <c r="AF651" s="331"/>
      <c r="AH651" s="331"/>
      <c r="AI651" s="331"/>
      <c r="AK651" s="331"/>
    </row>
    <row r="652" spans="2:37" x14ac:dyDescent="0.25">
      <c r="B652" s="9" t="str">
        <f t="shared" si="96"/>
        <v>10 2026</v>
      </c>
      <c r="C652" s="88">
        <f t="shared" si="97"/>
        <v>46301</v>
      </c>
      <c r="D652" s="88">
        <f t="shared" si="100"/>
        <v>46302</v>
      </c>
      <c r="E652" s="89">
        <f t="shared" si="98"/>
        <v>1</v>
      </c>
      <c r="F652" s="123" t="s">
        <v>7</v>
      </c>
      <c r="H652" s="328">
        <f t="shared" si="99"/>
        <v>46301</v>
      </c>
      <c r="I652" s="329"/>
      <c r="J652" s="400"/>
      <c r="L652" s="331"/>
      <c r="M652" s="331"/>
      <c r="N652" s="331"/>
      <c r="O652" s="331"/>
      <c r="P652" s="331"/>
      <c r="Q652" s="331"/>
      <c r="R652" s="331"/>
      <c r="S652" s="331"/>
      <c r="T652" s="331"/>
      <c r="U652" s="331"/>
      <c r="V652" s="331"/>
      <c r="W652" s="331"/>
      <c r="X652" s="331"/>
      <c r="Z652" s="331"/>
      <c r="AA652" s="331"/>
      <c r="AB652" s="331"/>
      <c r="AD652" s="331"/>
      <c r="AE652" s="331"/>
      <c r="AF652" s="331"/>
      <c r="AH652" s="331"/>
      <c r="AI652" s="331"/>
      <c r="AK652" s="331"/>
    </row>
    <row r="653" spans="2:37" x14ac:dyDescent="0.25">
      <c r="B653" s="9" t="str">
        <f t="shared" si="96"/>
        <v>10 2026</v>
      </c>
      <c r="C653" s="88">
        <f t="shared" si="97"/>
        <v>46302</v>
      </c>
      <c r="D653" s="88">
        <f t="shared" si="100"/>
        <v>46303</v>
      </c>
      <c r="E653" s="89">
        <f t="shared" si="98"/>
        <v>1</v>
      </c>
      <c r="F653" s="123" t="s">
        <v>7</v>
      </c>
      <c r="H653" s="328">
        <f t="shared" si="99"/>
        <v>46302</v>
      </c>
      <c r="I653" s="329"/>
      <c r="J653" s="400"/>
      <c r="L653" s="331"/>
      <c r="M653" s="331"/>
      <c r="N653" s="331"/>
      <c r="O653" s="331"/>
      <c r="P653" s="331"/>
      <c r="Q653" s="331"/>
      <c r="R653" s="331"/>
      <c r="S653" s="331"/>
      <c r="T653" s="331"/>
      <c r="U653" s="331"/>
      <c r="V653" s="331"/>
      <c r="W653" s="331"/>
      <c r="X653" s="331"/>
      <c r="Z653" s="331"/>
      <c r="AA653" s="331"/>
      <c r="AB653" s="331"/>
      <c r="AD653" s="331"/>
      <c r="AE653" s="331"/>
      <c r="AF653" s="331"/>
      <c r="AH653" s="331"/>
      <c r="AI653" s="331"/>
      <c r="AK653" s="331"/>
    </row>
    <row r="654" spans="2:37" x14ac:dyDescent="0.25">
      <c r="B654" s="9" t="str">
        <f t="shared" si="96"/>
        <v>10 2026</v>
      </c>
      <c r="C654" s="88">
        <f t="shared" si="97"/>
        <v>46303</v>
      </c>
      <c r="D654" s="88">
        <f t="shared" si="100"/>
        <v>46304</v>
      </c>
      <c r="E654" s="89">
        <f t="shared" si="98"/>
        <v>1</v>
      </c>
      <c r="F654" s="123" t="s">
        <v>7</v>
      </c>
      <c r="H654" s="328">
        <f t="shared" si="99"/>
        <v>46303</v>
      </c>
      <c r="I654" s="329"/>
      <c r="J654" s="400"/>
      <c r="L654" s="331"/>
      <c r="M654" s="331"/>
      <c r="N654" s="331"/>
      <c r="O654" s="331"/>
      <c r="P654" s="331"/>
      <c r="Q654" s="331"/>
      <c r="R654" s="331"/>
      <c r="S654" s="331"/>
      <c r="T654" s="331"/>
      <c r="U654" s="331"/>
      <c r="V654" s="331"/>
      <c r="W654" s="331"/>
      <c r="X654" s="331"/>
      <c r="Z654" s="331"/>
      <c r="AA654" s="331"/>
      <c r="AB654" s="331"/>
      <c r="AD654" s="331"/>
      <c r="AE654" s="331"/>
      <c r="AF654" s="331"/>
      <c r="AH654" s="331"/>
      <c r="AI654" s="331"/>
      <c r="AK654" s="331"/>
    </row>
    <row r="655" spans="2:37" x14ac:dyDescent="0.25">
      <c r="B655" s="9" t="str">
        <f t="shared" si="96"/>
        <v>10 2026</v>
      </c>
      <c r="C655" s="88">
        <f t="shared" si="97"/>
        <v>46304</v>
      </c>
      <c r="D655" s="88">
        <f t="shared" si="100"/>
        <v>46305</v>
      </c>
      <c r="E655" s="89">
        <f t="shared" si="98"/>
        <v>1</v>
      </c>
      <c r="F655" s="123" t="s">
        <v>7</v>
      </c>
      <c r="H655" s="328">
        <f t="shared" si="99"/>
        <v>46304</v>
      </c>
      <c r="I655" s="329"/>
      <c r="J655" s="400"/>
      <c r="L655" s="331"/>
      <c r="M655" s="331"/>
      <c r="N655" s="331"/>
      <c r="O655" s="331"/>
      <c r="P655" s="331"/>
      <c r="Q655" s="331"/>
      <c r="R655" s="331"/>
      <c r="S655" s="331"/>
      <c r="T655" s="331"/>
      <c r="U655" s="331"/>
      <c r="V655" s="331"/>
      <c r="W655" s="331"/>
      <c r="X655" s="331"/>
      <c r="Z655" s="331"/>
      <c r="AA655" s="331"/>
      <c r="AB655" s="331"/>
      <c r="AD655" s="331"/>
      <c r="AE655" s="331"/>
      <c r="AF655" s="331"/>
      <c r="AH655" s="331"/>
      <c r="AI655" s="331"/>
      <c r="AK655" s="331"/>
    </row>
    <row r="656" spans="2:37" x14ac:dyDescent="0.25">
      <c r="B656" s="9" t="str">
        <f t="shared" si="96"/>
        <v>10 2026</v>
      </c>
      <c r="C656" s="88">
        <f t="shared" si="97"/>
        <v>46305</v>
      </c>
      <c r="D656" s="88">
        <f t="shared" si="100"/>
        <v>46306</v>
      </c>
      <c r="E656" s="89">
        <f t="shared" si="98"/>
        <v>1</v>
      </c>
      <c r="F656" s="123" t="s">
        <v>7</v>
      </c>
      <c r="H656" s="328">
        <f t="shared" si="99"/>
        <v>46305</v>
      </c>
      <c r="I656" s="329"/>
      <c r="J656" s="400"/>
      <c r="L656" s="331"/>
      <c r="M656" s="331"/>
      <c r="N656" s="331"/>
      <c r="O656" s="331"/>
      <c r="P656" s="331"/>
      <c r="Q656" s="331"/>
      <c r="R656" s="331"/>
      <c r="S656" s="331"/>
      <c r="T656" s="331"/>
      <c r="U656" s="331"/>
      <c r="V656" s="331"/>
      <c r="W656" s="331"/>
      <c r="X656" s="331"/>
      <c r="Z656" s="331"/>
      <c r="AA656" s="331"/>
      <c r="AB656" s="331"/>
      <c r="AD656" s="331"/>
      <c r="AE656" s="331"/>
      <c r="AF656" s="331"/>
      <c r="AH656" s="331"/>
      <c r="AI656" s="331"/>
      <c r="AK656" s="331"/>
    </row>
    <row r="657" spans="2:37" x14ac:dyDescent="0.25">
      <c r="B657" s="9" t="str">
        <f t="shared" si="96"/>
        <v>10 2026</v>
      </c>
      <c r="C657" s="88">
        <f t="shared" si="97"/>
        <v>46306</v>
      </c>
      <c r="D657" s="88">
        <f t="shared" si="100"/>
        <v>46307</v>
      </c>
      <c r="E657" s="89">
        <f t="shared" si="98"/>
        <v>1</v>
      </c>
      <c r="F657" s="123" t="s">
        <v>7</v>
      </c>
      <c r="H657" s="328">
        <f t="shared" si="99"/>
        <v>46306</v>
      </c>
      <c r="I657" s="329"/>
      <c r="J657" s="400"/>
      <c r="L657" s="331"/>
      <c r="M657" s="331"/>
      <c r="N657" s="331"/>
      <c r="O657" s="331"/>
      <c r="P657" s="331"/>
      <c r="Q657" s="331"/>
      <c r="R657" s="331"/>
      <c r="S657" s="331"/>
      <c r="T657" s="331"/>
      <c r="U657" s="331"/>
      <c r="V657" s="331"/>
      <c r="W657" s="331"/>
      <c r="X657" s="331"/>
      <c r="Z657" s="331"/>
      <c r="AA657" s="331"/>
      <c r="AB657" s="331"/>
      <c r="AD657" s="331"/>
      <c r="AE657" s="331"/>
      <c r="AF657" s="331"/>
      <c r="AH657" s="331"/>
      <c r="AI657" s="331"/>
      <c r="AK657" s="331"/>
    </row>
    <row r="658" spans="2:37" x14ac:dyDescent="0.25">
      <c r="B658" s="9" t="str">
        <f t="shared" si="96"/>
        <v>10 2026</v>
      </c>
      <c r="C658" s="88">
        <f t="shared" si="97"/>
        <v>46307</v>
      </c>
      <c r="D658" s="88">
        <f t="shared" si="100"/>
        <v>46308</v>
      </c>
      <c r="E658" s="89">
        <f t="shared" si="98"/>
        <v>1</v>
      </c>
      <c r="F658" s="123" t="s">
        <v>7</v>
      </c>
      <c r="H658" s="328">
        <f t="shared" si="99"/>
        <v>46307</v>
      </c>
      <c r="I658" s="329"/>
      <c r="J658" s="400"/>
      <c r="L658" s="331"/>
      <c r="M658" s="331"/>
      <c r="N658" s="331"/>
      <c r="O658" s="331"/>
      <c r="P658" s="331"/>
      <c r="Q658" s="331"/>
      <c r="R658" s="331"/>
      <c r="S658" s="331"/>
      <c r="T658" s="331"/>
      <c r="U658" s="331"/>
      <c r="V658" s="331"/>
      <c r="W658" s="331"/>
      <c r="X658" s="331"/>
      <c r="Z658" s="331"/>
      <c r="AA658" s="331"/>
      <c r="AB658" s="331"/>
      <c r="AD658" s="331"/>
      <c r="AE658" s="331"/>
      <c r="AF658" s="331"/>
      <c r="AH658" s="331"/>
      <c r="AI658" s="331"/>
      <c r="AK658" s="331"/>
    </row>
    <row r="659" spans="2:37" x14ac:dyDescent="0.25">
      <c r="B659" s="9" t="str">
        <f t="shared" si="96"/>
        <v>10 2026</v>
      </c>
      <c r="C659" s="88">
        <f t="shared" si="97"/>
        <v>46308</v>
      </c>
      <c r="D659" s="88">
        <f t="shared" si="100"/>
        <v>46309</v>
      </c>
      <c r="E659" s="89">
        <f t="shared" si="98"/>
        <v>1</v>
      </c>
      <c r="F659" s="123" t="s">
        <v>7</v>
      </c>
      <c r="H659" s="328">
        <f t="shared" si="99"/>
        <v>46308</v>
      </c>
      <c r="I659" s="329"/>
      <c r="J659" s="400"/>
      <c r="L659" s="331"/>
      <c r="M659" s="331"/>
      <c r="N659" s="331"/>
      <c r="O659" s="331"/>
      <c r="P659" s="331"/>
      <c r="Q659" s="331"/>
      <c r="R659" s="331"/>
      <c r="S659" s="331"/>
      <c r="T659" s="331"/>
      <c r="U659" s="331"/>
      <c r="V659" s="331"/>
      <c r="W659" s="331"/>
      <c r="X659" s="331"/>
      <c r="Z659" s="331"/>
      <c r="AA659" s="331"/>
      <c r="AB659" s="331"/>
      <c r="AD659" s="331"/>
      <c r="AE659" s="331"/>
      <c r="AF659" s="331"/>
      <c r="AH659" s="331"/>
      <c r="AI659" s="331"/>
      <c r="AK659" s="331"/>
    </row>
    <row r="660" spans="2:37" x14ac:dyDescent="0.25">
      <c r="B660" s="9" t="str">
        <f t="shared" si="96"/>
        <v>10 2026</v>
      </c>
      <c r="C660" s="88">
        <f t="shared" si="97"/>
        <v>46309</v>
      </c>
      <c r="D660" s="88">
        <f t="shared" si="100"/>
        <v>46310</v>
      </c>
      <c r="E660" s="89">
        <f t="shared" si="98"/>
        <v>1</v>
      </c>
      <c r="F660" s="123" t="s">
        <v>7</v>
      </c>
      <c r="H660" s="328">
        <f t="shared" si="99"/>
        <v>46309</v>
      </c>
      <c r="I660" s="329"/>
      <c r="J660" s="400"/>
      <c r="L660" s="331"/>
      <c r="M660" s="331"/>
      <c r="N660" s="331"/>
      <c r="O660" s="331"/>
      <c r="P660" s="331"/>
      <c r="Q660" s="331"/>
      <c r="R660" s="331"/>
      <c r="S660" s="331"/>
      <c r="T660" s="331"/>
      <c r="U660" s="331"/>
      <c r="V660" s="331"/>
      <c r="W660" s="331"/>
      <c r="X660" s="331"/>
      <c r="Z660" s="331"/>
      <c r="AA660" s="331"/>
      <c r="AB660" s="331"/>
      <c r="AD660" s="331"/>
      <c r="AE660" s="331"/>
      <c r="AF660" s="331"/>
      <c r="AH660" s="331"/>
      <c r="AI660" s="331"/>
      <c r="AK660" s="331"/>
    </row>
    <row r="661" spans="2:37" x14ac:dyDescent="0.25">
      <c r="B661" s="9" t="str">
        <f t="shared" ref="B661:B724" si="101">CONCATENATE(MONTH(D661)," ",YEAR(D661))</f>
        <v>10 2026</v>
      </c>
      <c r="C661" s="88">
        <f t="shared" ref="C661:C724" si="102">D660</f>
        <v>46310</v>
      </c>
      <c r="D661" s="88">
        <f t="shared" si="100"/>
        <v>46311</v>
      </c>
      <c r="E661" s="89">
        <f t="shared" ref="E661:E724" si="103">D661-C661</f>
        <v>1</v>
      </c>
      <c r="F661" s="123" t="s">
        <v>7</v>
      </c>
      <c r="H661" s="328">
        <f t="shared" ref="H661:H724" si="104">C661</f>
        <v>46310</v>
      </c>
      <c r="I661" s="329"/>
      <c r="J661" s="400"/>
      <c r="L661" s="331"/>
      <c r="M661" s="331"/>
      <c r="N661" s="331"/>
      <c r="O661" s="331"/>
      <c r="P661" s="331"/>
      <c r="Q661" s="331"/>
      <c r="R661" s="331"/>
      <c r="S661" s="331"/>
      <c r="T661" s="331"/>
      <c r="U661" s="331"/>
      <c r="V661" s="331"/>
      <c r="W661" s="331"/>
      <c r="X661" s="331"/>
      <c r="Z661" s="331"/>
      <c r="AA661" s="331"/>
      <c r="AB661" s="331"/>
      <c r="AD661" s="331"/>
      <c r="AE661" s="331"/>
      <c r="AF661" s="331"/>
      <c r="AH661" s="331"/>
      <c r="AI661" s="331"/>
      <c r="AK661" s="331"/>
    </row>
    <row r="662" spans="2:37" x14ac:dyDescent="0.25">
      <c r="B662" s="9" t="str">
        <f t="shared" si="101"/>
        <v>10 2026</v>
      </c>
      <c r="C662" s="88">
        <f t="shared" si="102"/>
        <v>46311</v>
      </c>
      <c r="D662" s="88">
        <f t="shared" si="100"/>
        <v>46312</v>
      </c>
      <c r="E662" s="89">
        <f t="shared" si="103"/>
        <v>1</v>
      </c>
      <c r="F662" s="123" t="s">
        <v>7</v>
      </c>
      <c r="H662" s="328">
        <f t="shared" si="104"/>
        <v>46311</v>
      </c>
      <c r="I662" s="329"/>
      <c r="J662" s="400"/>
      <c r="L662" s="331"/>
      <c r="M662" s="331"/>
      <c r="N662" s="331"/>
      <c r="O662" s="331"/>
      <c r="P662" s="331"/>
      <c r="Q662" s="331"/>
      <c r="R662" s="331"/>
      <c r="S662" s="331"/>
      <c r="T662" s="331"/>
      <c r="U662" s="331"/>
      <c r="V662" s="331"/>
      <c r="W662" s="331"/>
      <c r="X662" s="331"/>
      <c r="Z662" s="331"/>
      <c r="AA662" s="331"/>
      <c r="AB662" s="331"/>
      <c r="AD662" s="331"/>
      <c r="AE662" s="331"/>
      <c r="AF662" s="331"/>
      <c r="AH662" s="331"/>
      <c r="AI662" s="331"/>
      <c r="AK662" s="331"/>
    </row>
    <row r="663" spans="2:37" x14ac:dyDescent="0.25">
      <c r="B663" s="9" t="str">
        <f t="shared" si="101"/>
        <v>10 2026</v>
      </c>
      <c r="C663" s="88">
        <f t="shared" si="102"/>
        <v>46312</v>
      </c>
      <c r="D663" s="88">
        <f t="shared" si="100"/>
        <v>46313</v>
      </c>
      <c r="E663" s="89">
        <f t="shared" si="103"/>
        <v>1</v>
      </c>
      <c r="F663" s="123" t="s">
        <v>7</v>
      </c>
      <c r="H663" s="328">
        <f t="shared" si="104"/>
        <v>46312</v>
      </c>
      <c r="I663" s="329"/>
      <c r="J663" s="400"/>
      <c r="L663" s="331"/>
      <c r="M663" s="331"/>
      <c r="N663" s="331"/>
      <c r="O663" s="331"/>
      <c r="P663" s="331"/>
      <c r="Q663" s="331"/>
      <c r="R663" s="331"/>
      <c r="S663" s="331"/>
      <c r="T663" s="331"/>
      <c r="U663" s="331"/>
      <c r="V663" s="331"/>
      <c r="W663" s="331"/>
      <c r="X663" s="331"/>
      <c r="Z663" s="331"/>
      <c r="AA663" s="331"/>
      <c r="AB663" s="331"/>
      <c r="AD663" s="331"/>
      <c r="AE663" s="331"/>
      <c r="AF663" s="331"/>
      <c r="AH663" s="331"/>
      <c r="AI663" s="331"/>
      <c r="AK663" s="331"/>
    </row>
    <row r="664" spans="2:37" x14ac:dyDescent="0.25">
      <c r="B664" s="9" t="str">
        <f t="shared" si="101"/>
        <v>10 2026</v>
      </c>
      <c r="C664" s="88">
        <f t="shared" si="102"/>
        <v>46313</v>
      </c>
      <c r="D664" s="88">
        <f t="shared" si="100"/>
        <v>46314</v>
      </c>
      <c r="E664" s="89">
        <f t="shared" si="103"/>
        <v>1</v>
      </c>
      <c r="F664" s="123" t="s">
        <v>7</v>
      </c>
      <c r="H664" s="328">
        <f t="shared" si="104"/>
        <v>46313</v>
      </c>
      <c r="I664" s="329"/>
      <c r="J664" s="400"/>
      <c r="L664" s="331"/>
      <c r="M664" s="331"/>
      <c r="N664" s="331"/>
      <c r="O664" s="331"/>
      <c r="P664" s="331"/>
      <c r="Q664" s="331"/>
      <c r="R664" s="331"/>
      <c r="S664" s="331"/>
      <c r="T664" s="331"/>
      <c r="U664" s="331"/>
      <c r="V664" s="331"/>
      <c r="W664" s="331"/>
      <c r="X664" s="331"/>
      <c r="Z664" s="331"/>
      <c r="AA664" s="331"/>
      <c r="AB664" s="331"/>
      <c r="AD664" s="331"/>
      <c r="AE664" s="331"/>
      <c r="AF664" s="331"/>
      <c r="AH664" s="331"/>
      <c r="AI664" s="331"/>
      <c r="AK664" s="331"/>
    </row>
    <row r="665" spans="2:37" x14ac:dyDescent="0.25">
      <c r="B665" s="9" t="str">
        <f t="shared" si="101"/>
        <v>10 2026</v>
      </c>
      <c r="C665" s="88">
        <f t="shared" si="102"/>
        <v>46314</v>
      </c>
      <c r="D665" s="88">
        <f t="shared" si="100"/>
        <v>46315</v>
      </c>
      <c r="E665" s="89">
        <f t="shared" si="103"/>
        <v>1</v>
      </c>
      <c r="F665" s="123" t="s">
        <v>7</v>
      </c>
      <c r="H665" s="328">
        <f t="shared" si="104"/>
        <v>46314</v>
      </c>
      <c r="I665" s="329"/>
      <c r="J665" s="400"/>
      <c r="L665" s="331"/>
      <c r="M665" s="331"/>
      <c r="N665" s="331"/>
      <c r="O665" s="331"/>
      <c r="P665" s="331"/>
      <c r="Q665" s="331"/>
      <c r="R665" s="331"/>
      <c r="S665" s="331"/>
      <c r="T665" s="331"/>
      <c r="U665" s="331"/>
      <c r="V665" s="331"/>
      <c r="W665" s="331"/>
      <c r="X665" s="331"/>
      <c r="Z665" s="331"/>
      <c r="AA665" s="331"/>
      <c r="AB665" s="331"/>
      <c r="AD665" s="331"/>
      <c r="AE665" s="331"/>
      <c r="AF665" s="331"/>
      <c r="AH665" s="331"/>
      <c r="AI665" s="331"/>
      <c r="AK665" s="331"/>
    </row>
    <row r="666" spans="2:37" x14ac:dyDescent="0.25">
      <c r="B666" s="9" t="str">
        <f t="shared" si="101"/>
        <v>10 2026</v>
      </c>
      <c r="C666" s="88">
        <f t="shared" si="102"/>
        <v>46315</v>
      </c>
      <c r="D666" s="88">
        <f t="shared" si="100"/>
        <v>46316</v>
      </c>
      <c r="E666" s="89">
        <f t="shared" si="103"/>
        <v>1</v>
      </c>
      <c r="F666" s="123" t="s">
        <v>7</v>
      </c>
      <c r="H666" s="328">
        <f t="shared" si="104"/>
        <v>46315</v>
      </c>
      <c r="I666" s="329"/>
      <c r="J666" s="400"/>
      <c r="L666" s="331"/>
      <c r="M666" s="331"/>
      <c r="N666" s="331"/>
      <c r="O666" s="331"/>
      <c r="P666" s="331"/>
      <c r="Q666" s="331"/>
      <c r="R666" s="331"/>
      <c r="S666" s="331"/>
      <c r="T666" s="331"/>
      <c r="U666" s="331"/>
      <c r="V666" s="331"/>
      <c r="W666" s="331"/>
      <c r="X666" s="331"/>
      <c r="Z666" s="331"/>
      <c r="AA666" s="331"/>
      <c r="AB666" s="331"/>
      <c r="AD666" s="331"/>
      <c r="AE666" s="331"/>
      <c r="AF666" s="331"/>
      <c r="AH666" s="331"/>
      <c r="AI666" s="331"/>
      <c r="AK666" s="331"/>
    </row>
    <row r="667" spans="2:37" x14ac:dyDescent="0.25">
      <c r="B667" s="9" t="str">
        <f t="shared" si="101"/>
        <v>10 2026</v>
      </c>
      <c r="C667" s="88">
        <f t="shared" si="102"/>
        <v>46316</v>
      </c>
      <c r="D667" s="88">
        <f t="shared" si="100"/>
        <v>46317</v>
      </c>
      <c r="E667" s="89">
        <f t="shared" si="103"/>
        <v>1</v>
      </c>
      <c r="F667" s="123" t="s">
        <v>7</v>
      </c>
      <c r="H667" s="328">
        <f t="shared" si="104"/>
        <v>46316</v>
      </c>
      <c r="I667" s="329"/>
      <c r="J667" s="400"/>
      <c r="L667" s="331"/>
      <c r="M667" s="331"/>
      <c r="N667" s="331"/>
      <c r="O667" s="331"/>
      <c r="P667" s="331"/>
      <c r="Q667" s="331"/>
      <c r="R667" s="331"/>
      <c r="S667" s="331"/>
      <c r="T667" s="331"/>
      <c r="U667" s="331"/>
      <c r="V667" s="331"/>
      <c r="W667" s="331"/>
      <c r="X667" s="331"/>
      <c r="Z667" s="331"/>
      <c r="AA667" s="331"/>
      <c r="AB667" s="331"/>
      <c r="AD667" s="331"/>
      <c r="AE667" s="331"/>
      <c r="AF667" s="331"/>
      <c r="AH667" s="331"/>
      <c r="AI667" s="331"/>
      <c r="AK667" s="331"/>
    </row>
    <row r="668" spans="2:37" x14ac:dyDescent="0.25">
      <c r="B668" s="9" t="str">
        <f t="shared" si="101"/>
        <v>10 2026</v>
      </c>
      <c r="C668" s="88">
        <f t="shared" si="102"/>
        <v>46317</v>
      </c>
      <c r="D668" s="88">
        <f t="shared" si="100"/>
        <v>46318</v>
      </c>
      <c r="E668" s="89">
        <f t="shared" si="103"/>
        <v>1</v>
      </c>
      <c r="F668" s="123" t="s">
        <v>7</v>
      </c>
      <c r="H668" s="328">
        <f t="shared" si="104"/>
        <v>46317</v>
      </c>
      <c r="I668" s="329"/>
      <c r="J668" s="400"/>
      <c r="L668" s="331"/>
      <c r="M668" s="331"/>
      <c r="N668" s="331"/>
      <c r="O668" s="331"/>
      <c r="P668" s="331"/>
      <c r="Q668" s="331"/>
      <c r="R668" s="331"/>
      <c r="S668" s="331"/>
      <c r="T668" s="331"/>
      <c r="U668" s="331"/>
      <c r="V668" s="331"/>
      <c r="W668" s="331"/>
      <c r="X668" s="331"/>
      <c r="Z668" s="331"/>
      <c r="AA668" s="331"/>
      <c r="AB668" s="331"/>
      <c r="AD668" s="331"/>
      <c r="AE668" s="331"/>
      <c r="AF668" s="331"/>
      <c r="AH668" s="331"/>
      <c r="AI668" s="331"/>
      <c r="AK668" s="331"/>
    </row>
    <row r="669" spans="2:37" x14ac:dyDescent="0.25">
      <c r="B669" s="9" t="str">
        <f t="shared" si="101"/>
        <v>10 2026</v>
      </c>
      <c r="C669" s="88">
        <f t="shared" si="102"/>
        <v>46318</v>
      </c>
      <c r="D669" s="88">
        <f t="shared" si="100"/>
        <v>46319</v>
      </c>
      <c r="E669" s="89">
        <f t="shared" si="103"/>
        <v>1</v>
      </c>
      <c r="F669" s="123" t="s">
        <v>7</v>
      </c>
      <c r="H669" s="328">
        <f t="shared" si="104"/>
        <v>46318</v>
      </c>
      <c r="I669" s="329"/>
      <c r="J669" s="400"/>
      <c r="L669" s="331"/>
      <c r="M669" s="331"/>
      <c r="N669" s="331"/>
      <c r="O669" s="331"/>
      <c r="P669" s="331"/>
      <c r="Q669" s="331"/>
      <c r="R669" s="331"/>
      <c r="S669" s="331"/>
      <c r="T669" s="331"/>
      <c r="U669" s="331"/>
      <c r="V669" s="331"/>
      <c r="W669" s="331"/>
      <c r="X669" s="331"/>
      <c r="Z669" s="331"/>
      <c r="AA669" s="331"/>
      <c r="AB669" s="331"/>
      <c r="AD669" s="331"/>
      <c r="AE669" s="331"/>
      <c r="AF669" s="331"/>
      <c r="AH669" s="331"/>
      <c r="AI669" s="331"/>
      <c r="AK669" s="331"/>
    </row>
    <row r="670" spans="2:37" x14ac:dyDescent="0.25">
      <c r="B670" s="9" t="str">
        <f t="shared" si="101"/>
        <v>10 2026</v>
      </c>
      <c r="C670" s="88">
        <f t="shared" si="102"/>
        <v>46319</v>
      </c>
      <c r="D670" s="88">
        <f t="shared" si="100"/>
        <v>46320</v>
      </c>
      <c r="E670" s="89">
        <f t="shared" si="103"/>
        <v>1</v>
      </c>
      <c r="F670" s="123" t="s">
        <v>7</v>
      </c>
      <c r="H670" s="328">
        <f t="shared" si="104"/>
        <v>46319</v>
      </c>
      <c r="I670" s="329"/>
      <c r="J670" s="400"/>
      <c r="L670" s="331"/>
      <c r="M670" s="331"/>
      <c r="N670" s="331"/>
      <c r="O670" s="331"/>
      <c r="P670" s="331"/>
      <c r="Q670" s="331"/>
      <c r="R670" s="331"/>
      <c r="S670" s="331"/>
      <c r="T670" s="331"/>
      <c r="U670" s="331"/>
      <c r="V670" s="331"/>
      <c r="W670" s="331"/>
      <c r="X670" s="331"/>
      <c r="Z670" s="331"/>
      <c r="AA670" s="331"/>
      <c r="AB670" s="331"/>
      <c r="AD670" s="331"/>
      <c r="AE670" s="331"/>
      <c r="AF670" s="331"/>
      <c r="AH670" s="331"/>
      <c r="AI670" s="331"/>
      <c r="AK670" s="331"/>
    </row>
    <row r="671" spans="2:37" x14ac:dyDescent="0.25">
      <c r="B671" s="9" t="str">
        <f t="shared" si="101"/>
        <v>10 2026</v>
      </c>
      <c r="C671" s="88">
        <f t="shared" si="102"/>
        <v>46320</v>
      </c>
      <c r="D671" s="88">
        <f t="shared" si="100"/>
        <v>46321</v>
      </c>
      <c r="E671" s="89">
        <f t="shared" si="103"/>
        <v>1</v>
      </c>
      <c r="F671" s="123" t="s">
        <v>7</v>
      </c>
      <c r="H671" s="328">
        <f t="shared" si="104"/>
        <v>46320</v>
      </c>
      <c r="I671" s="329"/>
      <c r="J671" s="400"/>
      <c r="L671" s="331"/>
      <c r="M671" s="331"/>
      <c r="N671" s="331"/>
      <c r="O671" s="331"/>
      <c r="P671" s="331"/>
      <c r="Q671" s="331"/>
      <c r="R671" s="331"/>
      <c r="S671" s="331"/>
      <c r="T671" s="331"/>
      <c r="U671" s="331"/>
      <c r="V671" s="331"/>
      <c r="W671" s="331"/>
      <c r="X671" s="331"/>
      <c r="Z671" s="331"/>
      <c r="AA671" s="331"/>
      <c r="AB671" s="331"/>
      <c r="AD671" s="331"/>
      <c r="AE671" s="331"/>
      <c r="AF671" s="331"/>
      <c r="AH671" s="331"/>
      <c r="AI671" s="331"/>
      <c r="AK671" s="331"/>
    </row>
    <row r="672" spans="2:37" x14ac:dyDescent="0.25">
      <c r="B672" s="9" t="str">
        <f t="shared" si="101"/>
        <v>10 2026</v>
      </c>
      <c r="C672" s="88">
        <f t="shared" si="102"/>
        <v>46321</v>
      </c>
      <c r="D672" s="88">
        <f t="shared" si="100"/>
        <v>46322</v>
      </c>
      <c r="E672" s="89">
        <f t="shared" si="103"/>
        <v>1</v>
      </c>
      <c r="F672" s="123" t="s">
        <v>7</v>
      </c>
      <c r="H672" s="328">
        <f t="shared" si="104"/>
        <v>46321</v>
      </c>
      <c r="I672" s="329"/>
      <c r="J672" s="400"/>
      <c r="L672" s="331"/>
      <c r="M672" s="331"/>
      <c r="N672" s="331"/>
      <c r="O672" s="331"/>
      <c r="P672" s="331"/>
      <c r="Q672" s="331"/>
      <c r="R672" s="331"/>
      <c r="S672" s="331"/>
      <c r="T672" s="331"/>
      <c r="U672" s="331"/>
      <c r="V672" s="331"/>
      <c r="W672" s="331"/>
      <c r="X672" s="331"/>
      <c r="Z672" s="331"/>
      <c r="AA672" s="331"/>
      <c r="AB672" s="331"/>
      <c r="AD672" s="331"/>
      <c r="AE672" s="331"/>
      <c r="AF672" s="331"/>
      <c r="AH672" s="331"/>
      <c r="AI672" s="331"/>
      <c r="AK672" s="331"/>
    </row>
    <row r="673" spans="2:37" x14ac:dyDescent="0.25">
      <c r="B673" s="9" t="str">
        <f t="shared" si="101"/>
        <v>10 2026</v>
      </c>
      <c r="C673" s="88">
        <f t="shared" si="102"/>
        <v>46322</v>
      </c>
      <c r="D673" s="88">
        <f t="shared" si="100"/>
        <v>46323</v>
      </c>
      <c r="E673" s="89">
        <f t="shared" si="103"/>
        <v>1</v>
      </c>
      <c r="F673" s="123" t="s">
        <v>7</v>
      </c>
      <c r="H673" s="328">
        <f t="shared" si="104"/>
        <v>46322</v>
      </c>
      <c r="I673" s="329"/>
      <c r="J673" s="400"/>
      <c r="L673" s="331"/>
      <c r="M673" s="331"/>
      <c r="N673" s="331"/>
      <c r="O673" s="331"/>
      <c r="P673" s="331"/>
      <c r="Q673" s="331"/>
      <c r="R673" s="331"/>
      <c r="S673" s="331"/>
      <c r="T673" s="331"/>
      <c r="U673" s="331"/>
      <c r="V673" s="331"/>
      <c r="W673" s="331"/>
      <c r="X673" s="331"/>
      <c r="Z673" s="331"/>
      <c r="AA673" s="331"/>
      <c r="AB673" s="331"/>
      <c r="AD673" s="331"/>
      <c r="AE673" s="331"/>
      <c r="AF673" s="331"/>
      <c r="AH673" s="331"/>
      <c r="AI673" s="331"/>
      <c r="AK673" s="331"/>
    </row>
    <row r="674" spans="2:37" x14ac:dyDescent="0.25">
      <c r="B674" s="9" t="str">
        <f t="shared" si="101"/>
        <v>10 2026</v>
      </c>
      <c r="C674" s="88">
        <f t="shared" si="102"/>
        <v>46323</v>
      </c>
      <c r="D674" s="88">
        <f t="shared" si="100"/>
        <v>46324</v>
      </c>
      <c r="E674" s="89">
        <f t="shared" si="103"/>
        <v>1</v>
      </c>
      <c r="F674" s="123" t="s">
        <v>7</v>
      </c>
      <c r="H674" s="328">
        <f t="shared" si="104"/>
        <v>46323</v>
      </c>
      <c r="I674" s="329"/>
      <c r="J674" s="400"/>
      <c r="L674" s="331"/>
      <c r="M674" s="331"/>
      <c r="N674" s="331"/>
      <c r="O674" s="331"/>
      <c r="P674" s="331"/>
      <c r="Q674" s="331"/>
      <c r="R674" s="331"/>
      <c r="S674" s="331"/>
      <c r="T674" s="331"/>
      <c r="U674" s="331"/>
      <c r="V674" s="331"/>
      <c r="W674" s="331"/>
      <c r="X674" s="331"/>
      <c r="Z674" s="331"/>
      <c r="AA674" s="331"/>
      <c r="AB674" s="331"/>
      <c r="AD674" s="331"/>
      <c r="AE674" s="331"/>
      <c r="AF674" s="331"/>
      <c r="AH674" s="331"/>
      <c r="AI674" s="331"/>
      <c r="AK674" s="331"/>
    </row>
    <row r="675" spans="2:37" x14ac:dyDescent="0.25">
      <c r="B675" s="9" t="str">
        <f t="shared" si="101"/>
        <v>10 2026</v>
      </c>
      <c r="C675" s="88">
        <f t="shared" si="102"/>
        <v>46324</v>
      </c>
      <c r="D675" s="88">
        <f t="shared" si="100"/>
        <v>46325</v>
      </c>
      <c r="E675" s="89">
        <f t="shared" si="103"/>
        <v>1</v>
      </c>
      <c r="F675" s="123" t="s">
        <v>7</v>
      </c>
      <c r="H675" s="328">
        <f t="shared" si="104"/>
        <v>46324</v>
      </c>
      <c r="I675" s="329"/>
      <c r="J675" s="400"/>
      <c r="L675" s="331"/>
      <c r="M675" s="331"/>
      <c r="N675" s="331"/>
      <c r="O675" s="331"/>
      <c r="P675" s="331"/>
      <c r="Q675" s="331"/>
      <c r="R675" s="331"/>
      <c r="S675" s="331"/>
      <c r="T675" s="331"/>
      <c r="U675" s="331"/>
      <c r="V675" s="331"/>
      <c r="W675" s="331"/>
      <c r="X675" s="331"/>
      <c r="Z675" s="331"/>
      <c r="AA675" s="331"/>
      <c r="AB675" s="331"/>
      <c r="AD675" s="331"/>
      <c r="AE675" s="331"/>
      <c r="AF675" s="331"/>
      <c r="AH675" s="331"/>
      <c r="AI675" s="331"/>
      <c r="AK675" s="331"/>
    </row>
    <row r="676" spans="2:37" x14ac:dyDescent="0.25">
      <c r="B676" s="9" t="str">
        <f t="shared" si="101"/>
        <v>10 2026</v>
      </c>
      <c r="C676" s="88">
        <f t="shared" si="102"/>
        <v>46325</v>
      </c>
      <c r="D676" s="88">
        <f t="shared" si="100"/>
        <v>46326</v>
      </c>
      <c r="E676" s="89">
        <f t="shared" si="103"/>
        <v>1</v>
      </c>
      <c r="F676" s="123" t="s">
        <v>7</v>
      </c>
      <c r="H676" s="328">
        <f t="shared" si="104"/>
        <v>46325</v>
      </c>
      <c r="I676" s="329"/>
      <c r="J676" s="400"/>
      <c r="L676" s="331"/>
      <c r="M676" s="331"/>
      <c r="N676" s="331"/>
      <c r="O676" s="331"/>
      <c r="P676" s="331"/>
      <c r="Q676" s="331"/>
      <c r="R676" s="331"/>
      <c r="S676" s="331"/>
      <c r="T676" s="331"/>
      <c r="U676" s="331"/>
      <c r="V676" s="331"/>
      <c r="W676" s="331"/>
      <c r="X676" s="331"/>
      <c r="Z676" s="331"/>
      <c r="AA676" s="331"/>
      <c r="AB676" s="331"/>
      <c r="AD676" s="331"/>
      <c r="AE676" s="331"/>
      <c r="AF676" s="331"/>
      <c r="AH676" s="331"/>
      <c r="AI676" s="331"/>
      <c r="AK676" s="331"/>
    </row>
    <row r="677" spans="2:37" x14ac:dyDescent="0.25">
      <c r="B677" s="9" t="str">
        <f t="shared" si="101"/>
        <v>11 2026</v>
      </c>
      <c r="C677" s="88">
        <f t="shared" si="102"/>
        <v>46326</v>
      </c>
      <c r="D677" s="88">
        <f t="shared" si="100"/>
        <v>46327</v>
      </c>
      <c r="E677" s="89">
        <f t="shared" si="103"/>
        <v>1</v>
      </c>
      <c r="F677" s="123" t="s">
        <v>7</v>
      </c>
      <c r="H677" s="328">
        <f t="shared" si="104"/>
        <v>46326</v>
      </c>
      <c r="I677" s="329"/>
      <c r="J677" s="400"/>
      <c r="L677" s="331"/>
      <c r="M677" s="331"/>
      <c r="N677" s="331"/>
      <c r="O677" s="331"/>
      <c r="P677" s="331"/>
      <c r="Q677" s="331"/>
      <c r="R677" s="331"/>
      <c r="S677" s="331"/>
      <c r="T677" s="331"/>
      <c r="U677" s="331"/>
      <c r="V677" s="331"/>
      <c r="W677" s="331"/>
      <c r="X677" s="331"/>
      <c r="Z677" s="331"/>
      <c r="AA677" s="331"/>
      <c r="AB677" s="331"/>
      <c r="AD677" s="331"/>
      <c r="AE677" s="331"/>
      <c r="AF677" s="331"/>
      <c r="AH677" s="331"/>
      <c r="AI677" s="331"/>
      <c r="AK677" s="331"/>
    </row>
    <row r="678" spans="2:37" x14ac:dyDescent="0.25">
      <c r="B678" s="9" t="str">
        <f t="shared" si="101"/>
        <v>11 2026</v>
      </c>
      <c r="C678" s="88">
        <f t="shared" si="102"/>
        <v>46327</v>
      </c>
      <c r="D678" s="88">
        <f t="shared" si="100"/>
        <v>46328</v>
      </c>
      <c r="E678" s="89">
        <f t="shared" si="103"/>
        <v>1</v>
      </c>
      <c r="F678" s="123" t="s">
        <v>7</v>
      </c>
      <c r="H678" s="328">
        <f t="shared" si="104"/>
        <v>46327</v>
      </c>
      <c r="I678" s="329"/>
      <c r="J678" s="400"/>
      <c r="L678" s="331"/>
      <c r="M678" s="331"/>
      <c r="N678" s="331"/>
      <c r="O678" s="331"/>
      <c r="P678" s="331"/>
      <c r="Q678" s="331"/>
      <c r="R678" s="331"/>
      <c r="S678" s="331"/>
      <c r="T678" s="331"/>
      <c r="U678" s="331"/>
      <c r="V678" s="331"/>
      <c r="W678" s="331"/>
      <c r="X678" s="331"/>
      <c r="Z678" s="331"/>
      <c r="AA678" s="331"/>
      <c r="AB678" s="331"/>
      <c r="AD678" s="331"/>
      <c r="AE678" s="331"/>
      <c r="AF678" s="331"/>
      <c r="AH678" s="331"/>
      <c r="AI678" s="331"/>
      <c r="AK678" s="331"/>
    </row>
    <row r="679" spans="2:37" x14ac:dyDescent="0.25">
      <c r="B679" s="9" t="str">
        <f t="shared" si="101"/>
        <v>11 2026</v>
      </c>
      <c r="C679" s="88">
        <f t="shared" si="102"/>
        <v>46328</v>
      </c>
      <c r="D679" s="88">
        <f t="shared" si="100"/>
        <v>46329</v>
      </c>
      <c r="E679" s="89">
        <f t="shared" si="103"/>
        <v>1</v>
      </c>
      <c r="F679" s="123" t="s">
        <v>7</v>
      </c>
      <c r="H679" s="328">
        <f t="shared" si="104"/>
        <v>46328</v>
      </c>
      <c r="I679" s="329"/>
      <c r="J679" s="400"/>
      <c r="L679" s="331"/>
      <c r="M679" s="331"/>
      <c r="N679" s="331"/>
      <c r="O679" s="331"/>
      <c r="P679" s="331"/>
      <c r="Q679" s="331"/>
      <c r="R679" s="331"/>
      <c r="S679" s="331"/>
      <c r="T679" s="331"/>
      <c r="U679" s="331"/>
      <c r="V679" s="331"/>
      <c r="W679" s="331"/>
      <c r="X679" s="331"/>
      <c r="Z679" s="331"/>
      <c r="AA679" s="331"/>
      <c r="AB679" s="331"/>
      <c r="AD679" s="331"/>
      <c r="AE679" s="331"/>
      <c r="AF679" s="331"/>
      <c r="AH679" s="331"/>
      <c r="AI679" s="331"/>
      <c r="AK679" s="331"/>
    </row>
    <row r="680" spans="2:37" x14ac:dyDescent="0.25">
      <c r="B680" s="9" t="str">
        <f t="shared" si="101"/>
        <v>11 2026</v>
      </c>
      <c r="C680" s="88">
        <f t="shared" si="102"/>
        <v>46329</v>
      </c>
      <c r="D680" s="88">
        <f t="shared" si="100"/>
        <v>46330</v>
      </c>
      <c r="E680" s="89">
        <f t="shared" si="103"/>
        <v>1</v>
      </c>
      <c r="F680" s="123" t="s">
        <v>7</v>
      </c>
      <c r="H680" s="328">
        <f t="shared" si="104"/>
        <v>46329</v>
      </c>
      <c r="I680" s="329"/>
      <c r="J680" s="400"/>
      <c r="L680" s="331"/>
      <c r="M680" s="331"/>
      <c r="N680" s="331"/>
      <c r="O680" s="331"/>
      <c r="P680" s="331"/>
      <c r="Q680" s="331"/>
      <c r="R680" s="331"/>
      <c r="S680" s="331"/>
      <c r="T680" s="331"/>
      <c r="U680" s="331"/>
      <c r="V680" s="331"/>
      <c r="W680" s="331"/>
      <c r="X680" s="331"/>
      <c r="Z680" s="331"/>
      <c r="AA680" s="331"/>
      <c r="AB680" s="331"/>
      <c r="AD680" s="331"/>
      <c r="AE680" s="331"/>
      <c r="AF680" s="331"/>
      <c r="AH680" s="331"/>
      <c r="AI680" s="331"/>
      <c r="AK680" s="331"/>
    </row>
    <row r="681" spans="2:37" x14ac:dyDescent="0.25">
      <c r="B681" s="9" t="str">
        <f t="shared" si="101"/>
        <v>11 2026</v>
      </c>
      <c r="C681" s="88">
        <f t="shared" si="102"/>
        <v>46330</v>
      </c>
      <c r="D681" s="88">
        <f t="shared" si="100"/>
        <v>46331</v>
      </c>
      <c r="E681" s="89">
        <f t="shared" si="103"/>
        <v>1</v>
      </c>
      <c r="F681" s="123" t="s">
        <v>7</v>
      </c>
      <c r="H681" s="328">
        <f t="shared" si="104"/>
        <v>46330</v>
      </c>
      <c r="I681" s="329"/>
      <c r="J681" s="400"/>
      <c r="L681" s="331"/>
      <c r="M681" s="331"/>
      <c r="N681" s="331"/>
      <c r="O681" s="331"/>
      <c r="P681" s="331"/>
      <c r="Q681" s="331"/>
      <c r="R681" s="331"/>
      <c r="S681" s="331"/>
      <c r="T681" s="331"/>
      <c r="U681" s="331"/>
      <c r="V681" s="331"/>
      <c r="W681" s="331"/>
      <c r="X681" s="331"/>
      <c r="Z681" s="331"/>
      <c r="AA681" s="331"/>
      <c r="AB681" s="331"/>
      <c r="AD681" s="331"/>
      <c r="AE681" s="331"/>
      <c r="AF681" s="331"/>
      <c r="AH681" s="331"/>
      <c r="AI681" s="331"/>
      <c r="AK681" s="331"/>
    </row>
    <row r="682" spans="2:37" x14ac:dyDescent="0.25">
      <c r="B682" s="9" t="str">
        <f t="shared" si="101"/>
        <v>11 2026</v>
      </c>
      <c r="C682" s="88">
        <f t="shared" si="102"/>
        <v>46331</v>
      </c>
      <c r="D682" s="88">
        <f t="shared" si="100"/>
        <v>46332</v>
      </c>
      <c r="E682" s="89">
        <f t="shared" si="103"/>
        <v>1</v>
      </c>
      <c r="F682" s="123" t="s">
        <v>7</v>
      </c>
      <c r="H682" s="328">
        <f t="shared" si="104"/>
        <v>46331</v>
      </c>
      <c r="I682" s="329"/>
      <c r="J682" s="400"/>
      <c r="L682" s="331"/>
      <c r="M682" s="331"/>
      <c r="N682" s="331"/>
      <c r="O682" s="331"/>
      <c r="P682" s="331"/>
      <c r="Q682" s="331"/>
      <c r="R682" s="331"/>
      <c r="S682" s="331"/>
      <c r="T682" s="331"/>
      <c r="U682" s="331"/>
      <c r="V682" s="331"/>
      <c r="W682" s="331"/>
      <c r="X682" s="331"/>
      <c r="Z682" s="331"/>
      <c r="AA682" s="331"/>
      <c r="AB682" s="331"/>
      <c r="AD682" s="331"/>
      <c r="AE682" s="331"/>
      <c r="AF682" s="331"/>
      <c r="AH682" s="331"/>
      <c r="AI682" s="331"/>
      <c r="AK682" s="331"/>
    </row>
    <row r="683" spans="2:37" x14ac:dyDescent="0.25">
      <c r="B683" s="9" t="str">
        <f t="shared" si="101"/>
        <v>11 2026</v>
      </c>
      <c r="C683" s="88">
        <f t="shared" si="102"/>
        <v>46332</v>
      </c>
      <c r="D683" s="88">
        <f t="shared" si="100"/>
        <v>46333</v>
      </c>
      <c r="E683" s="89">
        <f t="shared" si="103"/>
        <v>1</v>
      </c>
      <c r="F683" s="123" t="s">
        <v>7</v>
      </c>
      <c r="H683" s="328">
        <f t="shared" si="104"/>
        <v>46332</v>
      </c>
      <c r="I683" s="329"/>
      <c r="J683" s="400"/>
      <c r="L683" s="331"/>
      <c r="M683" s="331"/>
      <c r="N683" s="331"/>
      <c r="O683" s="331"/>
      <c r="P683" s="331"/>
      <c r="Q683" s="331"/>
      <c r="R683" s="331"/>
      <c r="S683" s="331"/>
      <c r="T683" s="331"/>
      <c r="U683" s="331"/>
      <c r="V683" s="331"/>
      <c r="W683" s="331"/>
      <c r="X683" s="331"/>
      <c r="Z683" s="331"/>
      <c r="AA683" s="331"/>
      <c r="AB683" s="331"/>
      <c r="AD683" s="331"/>
      <c r="AE683" s="331"/>
      <c r="AF683" s="331"/>
      <c r="AH683" s="331"/>
      <c r="AI683" s="331"/>
      <c r="AK683" s="331"/>
    </row>
    <row r="684" spans="2:37" x14ac:dyDescent="0.25">
      <c r="B684" s="9" t="str">
        <f t="shared" si="101"/>
        <v>11 2026</v>
      </c>
      <c r="C684" s="88">
        <f t="shared" si="102"/>
        <v>46333</v>
      </c>
      <c r="D684" s="88">
        <f t="shared" si="100"/>
        <v>46334</v>
      </c>
      <c r="E684" s="89">
        <f t="shared" si="103"/>
        <v>1</v>
      </c>
      <c r="F684" s="123" t="s">
        <v>7</v>
      </c>
      <c r="H684" s="328">
        <f t="shared" si="104"/>
        <v>46333</v>
      </c>
      <c r="I684" s="329"/>
      <c r="J684" s="400"/>
      <c r="L684" s="331"/>
      <c r="M684" s="331"/>
      <c r="N684" s="331"/>
      <c r="O684" s="331"/>
      <c r="P684" s="331"/>
      <c r="Q684" s="331"/>
      <c r="R684" s="331"/>
      <c r="S684" s="331"/>
      <c r="T684" s="331"/>
      <c r="U684" s="331"/>
      <c r="V684" s="331"/>
      <c r="W684" s="331"/>
      <c r="X684" s="331"/>
      <c r="Z684" s="331"/>
      <c r="AA684" s="331"/>
      <c r="AB684" s="331"/>
      <c r="AD684" s="331"/>
      <c r="AE684" s="331"/>
      <c r="AF684" s="331"/>
      <c r="AH684" s="331"/>
      <c r="AI684" s="331"/>
      <c r="AK684" s="331"/>
    </row>
    <row r="685" spans="2:37" x14ac:dyDescent="0.25">
      <c r="B685" s="9" t="str">
        <f t="shared" si="101"/>
        <v>11 2026</v>
      </c>
      <c r="C685" s="88">
        <f t="shared" si="102"/>
        <v>46334</v>
      </c>
      <c r="D685" s="88">
        <f t="shared" si="100"/>
        <v>46335</v>
      </c>
      <c r="E685" s="89">
        <f t="shared" si="103"/>
        <v>1</v>
      </c>
      <c r="F685" s="123" t="s">
        <v>7</v>
      </c>
      <c r="H685" s="328">
        <f t="shared" si="104"/>
        <v>46334</v>
      </c>
      <c r="I685" s="329"/>
      <c r="J685" s="400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W685" s="331"/>
      <c r="X685" s="331"/>
      <c r="Z685" s="331"/>
      <c r="AA685" s="331"/>
      <c r="AB685" s="331"/>
      <c r="AD685" s="331"/>
      <c r="AE685" s="331"/>
      <c r="AF685" s="331"/>
      <c r="AH685" s="331"/>
      <c r="AI685" s="331"/>
      <c r="AK685" s="331"/>
    </row>
    <row r="686" spans="2:37" x14ac:dyDescent="0.25">
      <c r="B686" s="9" t="str">
        <f t="shared" si="101"/>
        <v>11 2026</v>
      </c>
      <c r="C686" s="88">
        <f t="shared" si="102"/>
        <v>46335</v>
      </c>
      <c r="D686" s="88">
        <f t="shared" si="100"/>
        <v>46336</v>
      </c>
      <c r="E686" s="89">
        <f t="shared" si="103"/>
        <v>1</v>
      </c>
      <c r="F686" s="123" t="s">
        <v>7</v>
      </c>
      <c r="H686" s="328">
        <f t="shared" si="104"/>
        <v>46335</v>
      </c>
      <c r="I686" s="329"/>
      <c r="J686" s="400"/>
      <c r="L686" s="331"/>
      <c r="M686" s="331"/>
      <c r="N686" s="331"/>
      <c r="O686" s="331"/>
      <c r="P686" s="331"/>
      <c r="Q686" s="331"/>
      <c r="R686" s="331"/>
      <c r="S686" s="331"/>
      <c r="T686" s="331"/>
      <c r="U686" s="331"/>
      <c r="V686" s="331"/>
      <c r="W686" s="331"/>
      <c r="X686" s="331"/>
      <c r="Z686" s="331"/>
      <c r="AA686" s="331"/>
      <c r="AB686" s="331"/>
      <c r="AD686" s="331"/>
      <c r="AE686" s="331"/>
      <c r="AF686" s="331"/>
      <c r="AH686" s="331"/>
      <c r="AI686" s="331"/>
      <c r="AK686" s="331"/>
    </row>
    <row r="687" spans="2:37" x14ac:dyDescent="0.25">
      <c r="B687" s="9" t="str">
        <f t="shared" si="101"/>
        <v>11 2026</v>
      </c>
      <c r="C687" s="88">
        <f t="shared" si="102"/>
        <v>46336</v>
      </c>
      <c r="D687" s="88">
        <f t="shared" si="100"/>
        <v>46337</v>
      </c>
      <c r="E687" s="89">
        <f t="shared" si="103"/>
        <v>1</v>
      </c>
      <c r="F687" s="123" t="s">
        <v>7</v>
      </c>
      <c r="H687" s="328">
        <f t="shared" si="104"/>
        <v>46336</v>
      </c>
      <c r="I687" s="329"/>
      <c r="J687" s="400"/>
      <c r="L687" s="331"/>
      <c r="M687" s="331"/>
      <c r="N687" s="331"/>
      <c r="O687" s="331"/>
      <c r="P687" s="331"/>
      <c r="Q687" s="331"/>
      <c r="R687" s="331"/>
      <c r="S687" s="331"/>
      <c r="T687" s="331"/>
      <c r="U687" s="331"/>
      <c r="V687" s="331"/>
      <c r="W687" s="331"/>
      <c r="X687" s="331"/>
      <c r="Z687" s="331"/>
      <c r="AA687" s="331"/>
      <c r="AB687" s="331"/>
      <c r="AD687" s="331"/>
      <c r="AE687" s="331"/>
      <c r="AF687" s="331"/>
      <c r="AH687" s="331"/>
      <c r="AI687" s="331"/>
      <c r="AK687" s="331"/>
    </row>
    <row r="688" spans="2:37" x14ac:dyDescent="0.25">
      <c r="B688" s="9" t="str">
        <f t="shared" si="101"/>
        <v>11 2026</v>
      </c>
      <c r="C688" s="88">
        <f t="shared" si="102"/>
        <v>46337</v>
      </c>
      <c r="D688" s="88">
        <f t="shared" si="100"/>
        <v>46338</v>
      </c>
      <c r="E688" s="89">
        <f t="shared" si="103"/>
        <v>1</v>
      </c>
      <c r="F688" s="123" t="s">
        <v>7</v>
      </c>
      <c r="H688" s="328">
        <f t="shared" si="104"/>
        <v>46337</v>
      </c>
      <c r="I688" s="329"/>
      <c r="J688" s="400"/>
      <c r="L688" s="331"/>
      <c r="M688" s="331"/>
      <c r="N688" s="331"/>
      <c r="O688" s="331"/>
      <c r="P688" s="331"/>
      <c r="Q688" s="331"/>
      <c r="R688" s="331"/>
      <c r="S688" s="331"/>
      <c r="T688" s="331"/>
      <c r="U688" s="331"/>
      <c r="V688" s="331"/>
      <c r="W688" s="331"/>
      <c r="X688" s="331"/>
      <c r="Z688" s="331"/>
      <c r="AA688" s="331"/>
      <c r="AB688" s="331"/>
      <c r="AD688" s="331"/>
      <c r="AE688" s="331"/>
      <c r="AF688" s="331"/>
      <c r="AH688" s="331"/>
      <c r="AI688" s="331"/>
      <c r="AK688" s="331"/>
    </row>
    <row r="689" spans="2:37" x14ac:dyDescent="0.25">
      <c r="B689" s="9" t="str">
        <f t="shared" si="101"/>
        <v>11 2026</v>
      </c>
      <c r="C689" s="88">
        <f t="shared" si="102"/>
        <v>46338</v>
      </c>
      <c r="D689" s="88">
        <f t="shared" si="100"/>
        <v>46339</v>
      </c>
      <c r="E689" s="89">
        <f t="shared" si="103"/>
        <v>1</v>
      </c>
      <c r="F689" s="123" t="s">
        <v>7</v>
      </c>
      <c r="H689" s="328">
        <f t="shared" si="104"/>
        <v>46338</v>
      </c>
      <c r="I689" s="329"/>
      <c r="J689" s="400"/>
      <c r="L689" s="331"/>
      <c r="M689" s="331"/>
      <c r="N689" s="331"/>
      <c r="O689" s="331"/>
      <c r="P689" s="331"/>
      <c r="Q689" s="331"/>
      <c r="R689" s="331"/>
      <c r="S689" s="331"/>
      <c r="T689" s="331"/>
      <c r="U689" s="331"/>
      <c r="V689" s="331"/>
      <c r="W689" s="331"/>
      <c r="X689" s="331"/>
      <c r="Z689" s="331"/>
      <c r="AA689" s="331"/>
      <c r="AB689" s="331"/>
      <c r="AD689" s="331"/>
      <c r="AE689" s="331"/>
      <c r="AF689" s="331"/>
      <c r="AH689" s="331"/>
      <c r="AI689" s="331"/>
      <c r="AK689" s="331"/>
    </row>
    <row r="690" spans="2:37" x14ac:dyDescent="0.25">
      <c r="B690" s="9" t="str">
        <f t="shared" si="101"/>
        <v>11 2026</v>
      </c>
      <c r="C690" s="88">
        <f t="shared" si="102"/>
        <v>46339</v>
      </c>
      <c r="D690" s="88">
        <f t="shared" si="100"/>
        <v>46340</v>
      </c>
      <c r="E690" s="89">
        <f t="shared" si="103"/>
        <v>1</v>
      </c>
      <c r="F690" s="123" t="s">
        <v>7</v>
      </c>
      <c r="H690" s="328">
        <f t="shared" si="104"/>
        <v>46339</v>
      </c>
      <c r="I690" s="329"/>
      <c r="J690" s="400"/>
      <c r="L690" s="331"/>
      <c r="M690" s="331"/>
      <c r="N690" s="331"/>
      <c r="O690" s="331"/>
      <c r="P690" s="331"/>
      <c r="Q690" s="331"/>
      <c r="R690" s="331"/>
      <c r="S690" s="331"/>
      <c r="T690" s="331"/>
      <c r="U690" s="331"/>
      <c r="V690" s="331"/>
      <c r="W690" s="331"/>
      <c r="X690" s="331"/>
      <c r="Z690" s="331"/>
      <c r="AA690" s="331"/>
      <c r="AB690" s="331"/>
      <c r="AD690" s="331"/>
      <c r="AE690" s="331"/>
      <c r="AF690" s="331"/>
      <c r="AH690" s="331"/>
      <c r="AI690" s="331"/>
      <c r="AK690" s="331"/>
    </row>
    <row r="691" spans="2:37" x14ac:dyDescent="0.25">
      <c r="B691" s="9" t="str">
        <f t="shared" si="101"/>
        <v>11 2026</v>
      </c>
      <c r="C691" s="88">
        <f t="shared" si="102"/>
        <v>46340</v>
      </c>
      <c r="D691" s="88">
        <f t="shared" si="100"/>
        <v>46341</v>
      </c>
      <c r="E691" s="89">
        <f t="shared" si="103"/>
        <v>1</v>
      </c>
      <c r="F691" s="123" t="s">
        <v>7</v>
      </c>
      <c r="H691" s="328">
        <f t="shared" si="104"/>
        <v>46340</v>
      </c>
      <c r="I691" s="329"/>
      <c r="J691" s="400"/>
      <c r="L691" s="331"/>
      <c r="M691" s="331"/>
      <c r="N691" s="331"/>
      <c r="O691" s="331"/>
      <c r="P691" s="331"/>
      <c r="Q691" s="331"/>
      <c r="R691" s="331"/>
      <c r="S691" s="331"/>
      <c r="T691" s="331"/>
      <c r="U691" s="331"/>
      <c r="V691" s="331"/>
      <c r="W691" s="331"/>
      <c r="X691" s="331"/>
      <c r="Z691" s="331"/>
      <c r="AA691" s="331"/>
      <c r="AB691" s="331"/>
      <c r="AD691" s="331"/>
      <c r="AE691" s="331"/>
      <c r="AF691" s="331"/>
      <c r="AH691" s="331"/>
      <c r="AI691" s="331"/>
      <c r="AK691" s="331"/>
    </row>
    <row r="692" spans="2:37" x14ac:dyDescent="0.25">
      <c r="B692" s="9" t="str">
        <f t="shared" si="101"/>
        <v>11 2026</v>
      </c>
      <c r="C692" s="88">
        <f t="shared" si="102"/>
        <v>46341</v>
      </c>
      <c r="D692" s="88">
        <f t="shared" si="100"/>
        <v>46342</v>
      </c>
      <c r="E692" s="89">
        <f t="shared" si="103"/>
        <v>1</v>
      </c>
      <c r="F692" s="123" t="s">
        <v>7</v>
      </c>
      <c r="H692" s="328">
        <f t="shared" si="104"/>
        <v>46341</v>
      </c>
      <c r="I692" s="329"/>
      <c r="J692" s="400"/>
      <c r="L692" s="331"/>
      <c r="M692" s="331"/>
      <c r="N692" s="331"/>
      <c r="O692" s="331"/>
      <c r="P692" s="331"/>
      <c r="Q692" s="331"/>
      <c r="R692" s="331"/>
      <c r="S692" s="331"/>
      <c r="T692" s="331"/>
      <c r="U692" s="331"/>
      <c r="V692" s="331"/>
      <c r="W692" s="331"/>
      <c r="X692" s="331"/>
      <c r="Z692" s="331"/>
      <c r="AA692" s="331"/>
      <c r="AB692" s="331"/>
      <c r="AD692" s="331"/>
      <c r="AE692" s="331"/>
      <c r="AF692" s="331"/>
      <c r="AH692" s="331"/>
      <c r="AI692" s="331"/>
      <c r="AK692" s="331"/>
    </row>
    <row r="693" spans="2:37" x14ac:dyDescent="0.25">
      <c r="B693" s="9" t="str">
        <f t="shared" si="101"/>
        <v>11 2026</v>
      </c>
      <c r="C693" s="88">
        <f t="shared" si="102"/>
        <v>46342</v>
      </c>
      <c r="D693" s="88">
        <f t="shared" si="100"/>
        <v>46343</v>
      </c>
      <c r="E693" s="89">
        <f t="shared" si="103"/>
        <v>1</v>
      </c>
      <c r="F693" s="123" t="s">
        <v>7</v>
      </c>
      <c r="H693" s="328">
        <f t="shared" si="104"/>
        <v>46342</v>
      </c>
      <c r="I693" s="329"/>
      <c r="J693" s="400"/>
      <c r="L693" s="331"/>
      <c r="M693" s="331"/>
      <c r="N693" s="331"/>
      <c r="O693" s="331"/>
      <c r="P693" s="331"/>
      <c r="Q693" s="331"/>
      <c r="R693" s="331"/>
      <c r="S693" s="331"/>
      <c r="T693" s="331"/>
      <c r="U693" s="331"/>
      <c r="V693" s="331"/>
      <c r="W693" s="331"/>
      <c r="X693" s="331"/>
      <c r="Z693" s="331"/>
      <c r="AA693" s="331"/>
      <c r="AB693" s="331"/>
      <c r="AD693" s="331"/>
      <c r="AE693" s="331"/>
      <c r="AF693" s="331"/>
      <c r="AH693" s="331"/>
      <c r="AI693" s="331"/>
      <c r="AK693" s="331"/>
    </row>
    <row r="694" spans="2:37" x14ac:dyDescent="0.25">
      <c r="B694" s="9" t="str">
        <f t="shared" si="101"/>
        <v>11 2026</v>
      </c>
      <c r="C694" s="88">
        <f t="shared" si="102"/>
        <v>46343</v>
      </c>
      <c r="D694" s="88">
        <f t="shared" si="100"/>
        <v>46344</v>
      </c>
      <c r="E694" s="89">
        <f t="shared" si="103"/>
        <v>1</v>
      </c>
      <c r="F694" s="123" t="s">
        <v>7</v>
      </c>
      <c r="H694" s="328">
        <f t="shared" si="104"/>
        <v>46343</v>
      </c>
      <c r="I694" s="329"/>
      <c r="J694" s="400"/>
      <c r="L694" s="331"/>
      <c r="M694" s="331"/>
      <c r="N694" s="331"/>
      <c r="O694" s="331"/>
      <c r="P694" s="331"/>
      <c r="Q694" s="331"/>
      <c r="R694" s="331"/>
      <c r="S694" s="331"/>
      <c r="T694" s="331"/>
      <c r="U694" s="331"/>
      <c r="V694" s="331"/>
      <c r="W694" s="331"/>
      <c r="X694" s="331"/>
      <c r="Z694" s="331"/>
      <c r="AA694" s="331"/>
      <c r="AB694" s="331"/>
      <c r="AD694" s="331"/>
      <c r="AE694" s="331"/>
      <c r="AF694" s="331"/>
      <c r="AH694" s="331"/>
      <c r="AI694" s="331"/>
      <c r="AK694" s="331"/>
    </row>
    <row r="695" spans="2:37" x14ac:dyDescent="0.25">
      <c r="B695" s="9" t="str">
        <f t="shared" si="101"/>
        <v>11 2026</v>
      </c>
      <c r="C695" s="88">
        <f t="shared" si="102"/>
        <v>46344</v>
      </c>
      <c r="D695" s="88">
        <f t="shared" si="100"/>
        <v>46345</v>
      </c>
      <c r="E695" s="89">
        <f t="shared" si="103"/>
        <v>1</v>
      </c>
      <c r="F695" s="123" t="s">
        <v>7</v>
      </c>
      <c r="H695" s="328">
        <f t="shared" si="104"/>
        <v>46344</v>
      </c>
      <c r="I695" s="329"/>
      <c r="J695" s="400"/>
      <c r="L695" s="331"/>
      <c r="M695" s="331"/>
      <c r="N695" s="331"/>
      <c r="O695" s="331"/>
      <c r="P695" s="331"/>
      <c r="Q695" s="331"/>
      <c r="R695" s="331"/>
      <c r="S695" s="331"/>
      <c r="T695" s="331"/>
      <c r="U695" s="331"/>
      <c r="V695" s="331"/>
      <c r="W695" s="331"/>
      <c r="X695" s="331"/>
      <c r="Z695" s="331"/>
      <c r="AA695" s="331"/>
      <c r="AB695" s="331"/>
      <c r="AD695" s="331"/>
      <c r="AE695" s="331"/>
      <c r="AF695" s="331"/>
      <c r="AH695" s="331"/>
      <c r="AI695" s="331"/>
      <c r="AK695" s="331"/>
    </row>
    <row r="696" spans="2:37" x14ac:dyDescent="0.25">
      <c r="B696" s="9" t="str">
        <f t="shared" si="101"/>
        <v>11 2026</v>
      </c>
      <c r="C696" s="88">
        <f t="shared" si="102"/>
        <v>46345</v>
      </c>
      <c r="D696" s="88">
        <f t="shared" ref="D696:D747" si="105">D695+1</f>
        <v>46346</v>
      </c>
      <c r="E696" s="89">
        <f t="shared" si="103"/>
        <v>1</v>
      </c>
      <c r="F696" s="123" t="s">
        <v>7</v>
      </c>
      <c r="H696" s="328">
        <f t="shared" si="104"/>
        <v>46345</v>
      </c>
      <c r="I696" s="329"/>
      <c r="J696" s="400"/>
      <c r="L696" s="331"/>
      <c r="M696" s="331"/>
      <c r="N696" s="331"/>
      <c r="O696" s="331"/>
      <c r="P696" s="331"/>
      <c r="Q696" s="331"/>
      <c r="R696" s="331"/>
      <c r="S696" s="331"/>
      <c r="T696" s="331"/>
      <c r="U696" s="331"/>
      <c r="V696" s="331"/>
      <c r="W696" s="331"/>
      <c r="X696" s="331"/>
      <c r="Z696" s="331"/>
      <c r="AA696" s="331"/>
      <c r="AB696" s="331"/>
      <c r="AD696" s="331"/>
      <c r="AE696" s="331"/>
      <c r="AF696" s="331"/>
      <c r="AH696" s="331"/>
      <c r="AI696" s="331"/>
      <c r="AK696" s="331"/>
    </row>
    <row r="697" spans="2:37" x14ac:dyDescent="0.25">
      <c r="B697" s="9" t="str">
        <f t="shared" si="101"/>
        <v>11 2026</v>
      </c>
      <c r="C697" s="88">
        <f t="shared" si="102"/>
        <v>46346</v>
      </c>
      <c r="D697" s="88">
        <f t="shared" si="105"/>
        <v>46347</v>
      </c>
      <c r="E697" s="89">
        <f t="shared" si="103"/>
        <v>1</v>
      </c>
      <c r="F697" s="123" t="s">
        <v>7</v>
      </c>
      <c r="H697" s="328">
        <f t="shared" si="104"/>
        <v>46346</v>
      </c>
      <c r="I697" s="329"/>
      <c r="J697" s="400"/>
      <c r="L697" s="331"/>
      <c r="M697" s="331"/>
      <c r="N697" s="331"/>
      <c r="O697" s="331"/>
      <c r="P697" s="331"/>
      <c r="Q697" s="331"/>
      <c r="R697" s="331"/>
      <c r="S697" s="331"/>
      <c r="T697" s="331"/>
      <c r="U697" s="331"/>
      <c r="V697" s="331"/>
      <c r="W697" s="331"/>
      <c r="X697" s="331"/>
      <c r="Z697" s="331"/>
      <c r="AA697" s="331"/>
      <c r="AB697" s="331"/>
      <c r="AD697" s="331"/>
      <c r="AE697" s="331"/>
      <c r="AF697" s="331"/>
      <c r="AH697" s="331"/>
      <c r="AI697" s="331"/>
      <c r="AK697" s="331"/>
    </row>
    <row r="698" spans="2:37" x14ac:dyDescent="0.25">
      <c r="B698" s="9" t="str">
        <f t="shared" si="101"/>
        <v>11 2026</v>
      </c>
      <c r="C698" s="88">
        <f t="shared" si="102"/>
        <v>46347</v>
      </c>
      <c r="D698" s="88">
        <f t="shared" si="105"/>
        <v>46348</v>
      </c>
      <c r="E698" s="89">
        <f t="shared" si="103"/>
        <v>1</v>
      </c>
      <c r="F698" s="123" t="s">
        <v>7</v>
      </c>
      <c r="H698" s="328">
        <f t="shared" si="104"/>
        <v>46347</v>
      </c>
      <c r="I698" s="329"/>
      <c r="J698" s="400"/>
      <c r="L698" s="331"/>
      <c r="M698" s="331"/>
      <c r="N698" s="331"/>
      <c r="O698" s="331"/>
      <c r="P698" s="331"/>
      <c r="Q698" s="331"/>
      <c r="R698" s="331"/>
      <c r="S698" s="331"/>
      <c r="T698" s="331"/>
      <c r="U698" s="331"/>
      <c r="V698" s="331"/>
      <c r="W698" s="331"/>
      <c r="X698" s="331"/>
      <c r="Z698" s="331"/>
      <c r="AA698" s="331"/>
      <c r="AB698" s="331"/>
      <c r="AD698" s="331"/>
      <c r="AE698" s="331"/>
      <c r="AF698" s="331"/>
      <c r="AH698" s="331"/>
      <c r="AI698" s="331"/>
      <c r="AK698" s="331"/>
    </row>
    <row r="699" spans="2:37" x14ac:dyDescent="0.25">
      <c r="B699" s="9" t="str">
        <f t="shared" si="101"/>
        <v>11 2026</v>
      </c>
      <c r="C699" s="88">
        <f t="shared" si="102"/>
        <v>46348</v>
      </c>
      <c r="D699" s="88">
        <f t="shared" si="105"/>
        <v>46349</v>
      </c>
      <c r="E699" s="89">
        <f t="shared" si="103"/>
        <v>1</v>
      </c>
      <c r="F699" s="123" t="s">
        <v>7</v>
      </c>
      <c r="H699" s="328">
        <f t="shared" si="104"/>
        <v>46348</v>
      </c>
      <c r="I699" s="329"/>
      <c r="J699" s="400"/>
      <c r="L699" s="331"/>
      <c r="M699" s="331"/>
      <c r="N699" s="331"/>
      <c r="O699" s="331"/>
      <c r="P699" s="331"/>
      <c r="Q699" s="331"/>
      <c r="R699" s="331"/>
      <c r="S699" s="331"/>
      <c r="T699" s="331"/>
      <c r="U699" s="331"/>
      <c r="V699" s="331"/>
      <c r="W699" s="331"/>
      <c r="X699" s="331"/>
      <c r="Z699" s="331"/>
      <c r="AA699" s="331"/>
      <c r="AB699" s="331"/>
      <c r="AD699" s="331"/>
      <c r="AE699" s="331"/>
      <c r="AF699" s="331"/>
      <c r="AH699" s="331"/>
      <c r="AI699" s="331"/>
      <c r="AK699" s="331"/>
    </row>
    <row r="700" spans="2:37" x14ac:dyDescent="0.25">
      <c r="B700" s="9" t="str">
        <f t="shared" si="101"/>
        <v>11 2026</v>
      </c>
      <c r="C700" s="88">
        <f t="shared" si="102"/>
        <v>46349</v>
      </c>
      <c r="D700" s="88">
        <f t="shared" si="105"/>
        <v>46350</v>
      </c>
      <c r="E700" s="89">
        <f t="shared" si="103"/>
        <v>1</v>
      </c>
      <c r="F700" s="123" t="s">
        <v>7</v>
      </c>
      <c r="H700" s="328">
        <f t="shared" si="104"/>
        <v>46349</v>
      </c>
      <c r="I700" s="329"/>
      <c r="J700" s="400"/>
      <c r="L700" s="331"/>
      <c r="M700" s="331"/>
      <c r="N700" s="331"/>
      <c r="O700" s="331"/>
      <c r="P700" s="331"/>
      <c r="Q700" s="331"/>
      <c r="R700" s="331"/>
      <c r="S700" s="331"/>
      <c r="T700" s="331"/>
      <c r="U700" s="331"/>
      <c r="V700" s="331"/>
      <c r="W700" s="331"/>
      <c r="X700" s="331"/>
      <c r="Z700" s="331"/>
      <c r="AA700" s="331"/>
      <c r="AB700" s="331"/>
      <c r="AD700" s="331"/>
      <c r="AE700" s="331"/>
      <c r="AF700" s="331"/>
      <c r="AH700" s="331"/>
      <c r="AI700" s="331"/>
      <c r="AK700" s="331"/>
    </row>
    <row r="701" spans="2:37" x14ac:dyDescent="0.25">
      <c r="B701" s="9" t="str">
        <f t="shared" si="101"/>
        <v>11 2026</v>
      </c>
      <c r="C701" s="88">
        <f t="shared" si="102"/>
        <v>46350</v>
      </c>
      <c r="D701" s="88">
        <f t="shared" si="105"/>
        <v>46351</v>
      </c>
      <c r="E701" s="89">
        <f t="shared" si="103"/>
        <v>1</v>
      </c>
      <c r="F701" s="123" t="s">
        <v>7</v>
      </c>
      <c r="H701" s="328">
        <f t="shared" si="104"/>
        <v>46350</v>
      </c>
      <c r="I701" s="329"/>
      <c r="J701" s="400"/>
      <c r="L701" s="331"/>
      <c r="M701" s="331"/>
      <c r="N701" s="331"/>
      <c r="O701" s="331"/>
      <c r="P701" s="331"/>
      <c r="Q701" s="331"/>
      <c r="R701" s="331"/>
      <c r="S701" s="331"/>
      <c r="T701" s="331"/>
      <c r="U701" s="331"/>
      <c r="V701" s="331"/>
      <c r="W701" s="331"/>
      <c r="X701" s="331"/>
      <c r="Z701" s="331"/>
      <c r="AA701" s="331"/>
      <c r="AB701" s="331"/>
      <c r="AD701" s="331"/>
      <c r="AE701" s="331"/>
      <c r="AF701" s="331"/>
      <c r="AH701" s="331"/>
      <c r="AI701" s="331"/>
      <c r="AK701" s="331"/>
    </row>
    <row r="702" spans="2:37" x14ac:dyDescent="0.25">
      <c r="B702" s="9" t="str">
        <f t="shared" si="101"/>
        <v>11 2026</v>
      </c>
      <c r="C702" s="88">
        <f t="shared" si="102"/>
        <v>46351</v>
      </c>
      <c r="D702" s="88">
        <f t="shared" si="105"/>
        <v>46352</v>
      </c>
      <c r="E702" s="89">
        <f t="shared" si="103"/>
        <v>1</v>
      </c>
      <c r="F702" s="123" t="s">
        <v>7</v>
      </c>
      <c r="H702" s="328">
        <f t="shared" si="104"/>
        <v>46351</v>
      </c>
      <c r="I702" s="329"/>
      <c r="J702" s="400"/>
      <c r="L702" s="331"/>
      <c r="M702" s="331"/>
      <c r="N702" s="331"/>
      <c r="O702" s="331"/>
      <c r="P702" s="331"/>
      <c r="Q702" s="331"/>
      <c r="R702" s="331"/>
      <c r="S702" s="331"/>
      <c r="T702" s="331"/>
      <c r="U702" s="331"/>
      <c r="V702" s="331"/>
      <c r="W702" s="331"/>
      <c r="X702" s="331"/>
      <c r="Z702" s="331"/>
      <c r="AA702" s="331"/>
      <c r="AB702" s="331"/>
      <c r="AD702" s="331"/>
      <c r="AE702" s="331"/>
      <c r="AF702" s="331"/>
      <c r="AH702" s="331"/>
      <c r="AI702" s="331"/>
      <c r="AK702" s="331"/>
    </row>
    <row r="703" spans="2:37" x14ac:dyDescent="0.25">
      <c r="B703" s="9" t="str">
        <f t="shared" si="101"/>
        <v>11 2026</v>
      </c>
      <c r="C703" s="88">
        <f t="shared" si="102"/>
        <v>46352</v>
      </c>
      <c r="D703" s="88">
        <f t="shared" si="105"/>
        <v>46353</v>
      </c>
      <c r="E703" s="89">
        <f t="shared" si="103"/>
        <v>1</v>
      </c>
      <c r="F703" s="123" t="s">
        <v>7</v>
      </c>
      <c r="H703" s="328">
        <f t="shared" si="104"/>
        <v>46352</v>
      </c>
      <c r="I703" s="329"/>
      <c r="J703" s="400"/>
      <c r="L703" s="331"/>
      <c r="M703" s="331"/>
      <c r="N703" s="331"/>
      <c r="O703" s="331"/>
      <c r="P703" s="331"/>
      <c r="Q703" s="331"/>
      <c r="R703" s="331"/>
      <c r="S703" s="331"/>
      <c r="T703" s="331"/>
      <c r="U703" s="331"/>
      <c r="V703" s="331"/>
      <c r="W703" s="331"/>
      <c r="X703" s="331"/>
      <c r="Z703" s="331"/>
      <c r="AA703" s="331"/>
      <c r="AB703" s="331"/>
      <c r="AD703" s="331"/>
      <c r="AE703" s="331"/>
      <c r="AF703" s="331"/>
      <c r="AH703" s="331"/>
      <c r="AI703" s="331"/>
      <c r="AK703" s="331"/>
    </row>
    <row r="704" spans="2:37" x14ac:dyDescent="0.25">
      <c r="B704" s="9" t="str">
        <f t="shared" si="101"/>
        <v>11 2026</v>
      </c>
      <c r="C704" s="88">
        <f t="shared" si="102"/>
        <v>46353</v>
      </c>
      <c r="D704" s="88">
        <f t="shared" si="105"/>
        <v>46354</v>
      </c>
      <c r="E704" s="89">
        <f t="shared" si="103"/>
        <v>1</v>
      </c>
      <c r="F704" s="123" t="s">
        <v>7</v>
      </c>
      <c r="H704" s="328">
        <f t="shared" si="104"/>
        <v>46353</v>
      </c>
      <c r="I704" s="329"/>
      <c r="J704" s="400"/>
      <c r="L704" s="331"/>
      <c r="M704" s="331"/>
      <c r="N704" s="331"/>
      <c r="O704" s="331"/>
      <c r="P704" s="331"/>
      <c r="Q704" s="331"/>
      <c r="R704" s="331"/>
      <c r="S704" s="331"/>
      <c r="T704" s="331"/>
      <c r="U704" s="331"/>
      <c r="V704" s="331"/>
      <c r="W704" s="331"/>
      <c r="X704" s="331"/>
      <c r="Z704" s="331"/>
      <c r="AA704" s="331"/>
      <c r="AB704" s="331"/>
      <c r="AD704" s="331"/>
      <c r="AE704" s="331"/>
      <c r="AF704" s="331"/>
      <c r="AH704" s="331"/>
      <c r="AI704" s="331"/>
      <c r="AK704" s="331"/>
    </row>
    <row r="705" spans="2:37" x14ac:dyDescent="0.25">
      <c r="B705" s="9" t="str">
        <f t="shared" si="101"/>
        <v>11 2026</v>
      </c>
      <c r="C705" s="88">
        <f t="shared" si="102"/>
        <v>46354</v>
      </c>
      <c r="D705" s="88">
        <f t="shared" si="105"/>
        <v>46355</v>
      </c>
      <c r="E705" s="89">
        <f t="shared" si="103"/>
        <v>1</v>
      </c>
      <c r="F705" s="123" t="s">
        <v>7</v>
      </c>
      <c r="H705" s="328">
        <f t="shared" si="104"/>
        <v>46354</v>
      </c>
      <c r="I705" s="329"/>
      <c r="J705" s="400"/>
      <c r="L705" s="331"/>
      <c r="M705" s="331"/>
      <c r="N705" s="331"/>
      <c r="O705" s="331"/>
      <c r="P705" s="331"/>
      <c r="Q705" s="331"/>
      <c r="R705" s="331"/>
      <c r="S705" s="331"/>
      <c r="T705" s="331"/>
      <c r="U705" s="331"/>
      <c r="V705" s="331"/>
      <c r="W705" s="331"/>
      <c r="X705" s="331"/>
      <c r="Z705" s="331"/>
      <c r="AA705" s="331"/>
      <c r="AB705" s="331"/>
      <c r="AD705" s="331"/>
      <c r="AE705" s="331"/>
      <c r="AF705" s="331"/>
      <c r="AH705" s="331"/>
      <c r="AI705" s="331"/>
      <c r="AK705" s="331"/>
    </row>
    <row r="706" spans="2:37" x14ac:dyDescent="0.25">
      <c r="B706" s="9" t="str">
        <f t="shared" si="101"/>
        <v>11 2026</v>
      </c>
      <c r="C706" s="88">
        <f t="shared" si="102"/>
        <v>46355</v>
      </c>
      <c r="D706" s="88">
        <f t="shared" si="105"/>
        <v>46356</v>
      </c>
      <c r="E706" s="89">
        <f t="shared" si="103"/>
        <v>1</v>
      </c>
      <c r="F706" s="123" t="s">
        <v>7</v>
      </c>
      <c r="H706" s="328">
        <f t="shared" si="104"/>
        <v>46355</v>
      </c>
      <c r="I706" s="329"/>
      <c r="J706" s="400"/>
      <c r="L706" s="331"/>
      <c r="M706" s="331"/>
      <c r="N706" s="331"/>
      <c r="O706" s="331"/>
      <c r="P706" s="331"/>
      <c r="Q706" s="331"/>
      <c r="R706" s="331"/>
      <c r="S706" s="331"/>
      <c r="T706" s="331"/>
      <c r="U706" s="331"/>
      <c r="V706" s="331"/>
      <c r="W706" s="331"/>
      <c r="X706" s="331"/>
      <c r="Z706" s="331"/>
      <c r="AA706" s="331"/>
      <c r="AB706" s="331"/>
      <c r="AD706" s="331"/>
      <c r="AE706" s="331"/>
      <c r="AF706" s="331"/>
      <c r="AH706" s="331"/>
      <c r="AI706" s="331"/>
      <c r="AK706" s="331"/>
    </row>
    <row r="707" spans="2:37" x14ac:dyDescent="0.25">
      <c r="B707" s="9" t="str">
        <f t="shared" si="101"/>
        <v>12 2026</v>
      </c>
      <c r="C707" s="88">
        <f t="shared" si="102"/>
        <v>46356</v>
      </c>
      <c r="D707" s="88">
        <f t="shared" si="105"/>
        <v>46357</v>
      </c>
      <c r="E707" s="89">
        <f t="shared" si="103"/>
        <v>1</v>
      </c>
      <c r="F707" s="123" t="s">
        <v>7</v>
      </c>
      <c r="H707" s="328">
        <f t="shared" si="104"/>
        <v>46356</v>
      </c>
      <c r="I707" s="329"/>
      <c r="J707" s="400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W707" s="331"/>
      <c r="X707" s="331"/>
      <c r="Z707" s="331"/>
      <c r="AA707" s="331"/>
      <c r="AB707" s="331"/>
      <c r="AD707" s="331"/>
      <c r="AE707" s="331"/>
      <c r="AF707" s="331"/>
      <c r="AH707" s="331"/>
      <c r="AI707" s="331"/>
      <c r="AK707" s="331"/>
    </row>
    <row r="708" spans="2:37" x14ac:dyDescent="0.25">
      <c r="B708" s="9" t="str">
        <f t="shared" si="101"/>
        <v>12 2026</v>
      </c>
      <c r="C708" s="88">
        <f t="shared" si="102"/>
        <v>46357</v>
      </c>
      <c r="D708" s="88">
        <f t="shared" si="105"/>
        <v>46358</v>
      </c>
      <c r="E708" s="89">
        <f t="shared" si="103"/>
        <v>1</v>
      </c>
      <c r="F708" s="123" t="s">
        <v>7</v>
      </c>
      <c r="H708" s="328">
        <f t="shared" si="104"/>
        <v>46357</v>
      </c>
      <c r="I708" s="329"/>
      <c r="J708" s="400"/>
      <c r="L708" s="331"/>
      <c r="M708" s="331"/>
      <c r="N708" s="331"/>
      <c r="O708" s="331"/>
      <c r="P708" s="331"/>
      <c r="Q708" s="331"/>
      <c r="R708" s="331"/>
      <c r="S708" s="331"/>
      <c r="T708" s="331"/>
      <c r="U708" s="331"/>
      <c r="V708" s="331"/>
      <c r="W708" s="331"/>
      <c r="X708" s="331"/>
      <c r="Z708" s="331"/>
      <c r="AA708" s="331"/>
      <c r="AB708" s="331"/>
      <c r="AD708" s="331"/>
      <c r="AE708" s="331"/>
      <c r="AF708" s="331"/>
      <c r="AH708" s="331"/>
      <c r="AI708" s="331"/>
      <c r="AK708" s="331"/>
    </row>
    <row r="709" spans="2:37" x14ac:dyDescent="0.25">
      <c r="B709" s="9" t="str">
        <f t="shared" si="101"/>
        <v>12 2026</v>
      </c>
      <c r="C709" s="88">
        <f t="shared" si="102"/>
        <v>46358</v>
      </c>
      <c r="D709" s="88">
        <f t="shared" si="105"/>
        <v>46359</v>
      </c>
      <c r="E709" s="89">
        <f t="shared" si="103"/>
        <v>1</v>
      </c>
      <c r="F709" s="123" t="s">
        <v>7</v>
      </c>
      <c r="H709" s="328">
        <f t="shared" si="104"/>
        <v>46358</v>
      </c>
      <c r="I709" s="329"/>
      <c r="J709" s="400"/>
      <c r="L709" s="331"/>
      <c r="M709" s="331"/>
      <c r="N709" s="331"/>
      <c r="O709" s="331"/>
      <c r="P709" s="331"/>
      <c r="Q709" s="331"/>
      <c r="R709" s="331"/>
      <c r="S709" s="331"/>
      <c r="T709" s="331"/>
      <c r="U709" s="331"/>
      <c r="V709" s="331"/>
      <c r="W709" s="331"/>
      <c r="X709" s="331"/>
      <c r="Z709" s="331"/>
      <c r="AA709" s="331"/>
      <c r="AB709" s="331"/>
      <c r="AD709" s="331"/>
      <c r="AE709" s="331"/>
      <c r="AF709" s="331"/>
      <c r="AH709" s="331"/>
      <c r="AI709" s="331"/>
      <c r="AK709" s="331"/>
    </row>
    <row r="710" spans="2:37" x14ac:dyDescent="0.25">
      <c r="B710" s="9" t="str">
        <f t="shared" si="101"/>
        <v>12 2026</v>
      </c>
      <c r="C710" s="88">
        <f t="shared" si="102"/>
        <v>46359</v>
      </c>
      <c r="D710" s="88">
        <f t="shared" si="105"/>
        <v>46360</v>
      </c>
      <c r="E710" s="89">
        <f t="shared" si="103"/>
        <v>1</v>
      </c>
      <c r="F710" s="123" t="s">
        <v>7</v>
      </c>
      <c r="H710" s="328">
        <f t="shared" si="104"/>
        <v>46359</v>
      </c>
      <c r="I710" s="329"/>
      <c r="J710" s="400"/>
      <c r="L710" s="331"/>
      <c r="M710" s="331"/>
      <c r="N710" s="331"/>
      <c r="O710" s="331"/>
      <c r="P710" s="331"/>
      <c r="Q710" s="331"/>
      <c r="R710" s="331"/>
      <c r="S710" s="331"/>
      <c r="T710" s="331"/>
      <c r="U710" s="331"/>
      <c r="V710" s="331"/>
      <c r="W710" s="331"/>
      <c r="X710" s="331"/>
      <c r="Z710" s="331"/>
      <c r="AA710" s="331"/>
      <c r="AB710" s="331"/>
      <c r="AD710" s="331"/>
      <c r="AE710" s="331"/>
      <c r="AF710" s="331"/>
      <c r="AH710" s="331"/>
      <c r="AI710" s="331"/>
      <c r="AK710" s="331"/>
    </row>
    <row r="711" spans="2:37" x14ac:dyDescent="0.25">
      <c r="B711" s="9" t="str">
        <f t="shared" si="101"/>
        <v>12 2026</v>
      </c>
      <c r="C711" s="88">
        <f t="shared" si="102"/>
        <v>46360</v>
      </c>
      <c r="D711" s="88">
        <f t="shared" si="105"/>
        <v>46361</v>
      </c>
      <c r="E711" s="89">
        <f t="shared" si="103"/>
        <v>1</v>
      </c>
      <c r="F711" s="123" t="s">
        <v>7</v>
      </c>
      <c r="H711" s="328">
        <f t="shared" si="104"/>
        <v>46360</v>
      </c>
      <c r="I711" s="329"/>
      <c r="J711" s="400"/>
      <c r="L711" s="331"/>
      <c r="M711" s="331"/>
      <c r="N711" s="331"/>
      <c r="O711" s="331"/>
      <c r="P711" s="331"/>
      <c r="Q711" s="331"/>
      <c r="R711" s="331"/>
      <c r="S711" s="331"/>
      <c r="T711" s="331"/>
      <c r="U711" s="331"/>
      <c r="V711" s="331"/>
      <c r="W711" s="331"/>
      <c r="X711" s="331"/>
      <c r="Z711" s="331"/>
      <c r="AA711" s="331"/>
      <c r="AB711" s="331"/>
      <c r="AD711" s="331"/>
      <c r="AE711" s="331"/>
      <c r="AF711" s="331"/>
      <c r="AH711" s="331"/>
      <c r="AI711" s="331"/>
      <c r="AK711" s="331"/>
    </row>
    <row r="712" spans="2:37" x14ac:dyDescent="0.25">
      <c r="B712" s="9" t="str">
        <f t="shared" si="101"/>
        <v>12 2026</v>
      </c>
      <c r="C712" s="88">
        <f t="shared" si="102"/>
        <v>46361</v>
      </c>
      <c r="D712" s="88">
        <f t="shared" si="105"/>
        <v>46362</v>
      </c>
      <c r="E712" s="89">
        <f t="shared" si="103"/>
        <v>1</v>
      </c>
      <c r="F712" s="123" t="s">
        <v>7</v>
      </c>
      <c r="H712" s="328">
        <f t="shared" si="104"/>
        <v>46361</v>
      </c>
      <c r="I712" s="329"/>
      <c r="J712" s="400"/>
      <c r="L712" s="331"/>
      <c r="M712" s="331"/>
      <c r="N712" s="331"/>
      <c r="O712" s="331"/>
      <c r="P712" s="331"/>
      <c r="Q712" s="331"/>
      <c r="R712" s="331"/>
      <c r="S712" s="331"/>
      <c r="T712" s="331"/>
      <c r="U712" s="331"/>
      <c r="V712" s="331"/>
      <c r="W712" s="331"/>
      <c r="X712" s="331"/>
      <c r="Z712" s="331"/>
      <c r="AA712" s="331"/>
      <c r="AB712" s="331"/>
      <c r="AD712" s="331"/>
      <c r="AE712" s="331"/>
      <c r="AF712" s="331"/>
      <c r="AH712" s="331"/>
      <c r="AI712" s="331"/>
      <c r="AK712" s="331"/>
    </row>
    <row r="713" spans="2:37" x14ac:dyDescent="0.25">
      <c r="B713" s="9" t="str">
        <f t="shared" si="101"/>
        <v>12 2026</v>
      </c>
      <c r="C713" s="88">
        <f t="shared" si="102"/>
        <v>46362</v>
      </c>
      <c r="D713" s="88">
        <f t="shared" si="105"/>
        <v>46363</v>
      </c>
      <c r="E713" s="89">
        <f t="shared" si="103"/>
        <v>1</v>
      </c>
      <c r="F713" s="123" t="s">
        <v>7</v>
      </c>
      <c r="H713" s="328">
        <f t="shared" si="104"/>
        <v>46362</v>
      </c>
      <c r="I713" s="329"/>
      <c r="J713" s="400"/>
      <c r="L713" s="331"/>
      <c r="M713" s="331"/>
      <c r="N713" s="331"/>
      <c r="O713" s="331"/>
      <c r="P713" s="331"/>
      <c r="Q713" s="331"/>
      <c r="R713" s="331"/>
      <c r="S713" s="331"/>
      <c r="T713" s="331"/>
      <c r="U713" s="331"/>
      <c r="V713" s="331"/>
      <c r="W713" s="331"/>
      <c r="X713" s="331"/>
      <c r="Z713" s="331"/>
      <c r="AA713" s="331"/>
      <c r="AB713" s="331"/>
      <c r="AD713" s="331"/>
      <c r="AE713" s="331"/>
      <c r="AF713" s="331"/>
      <c r="AH713" s="331"/>
      <c r="AI713" s="331"/>
      <c r="AK713" s="331"/>
    </row>
    <row r="714" spans="2:37" x14ac:dyDescent="0.25">
      <c r="B714" s="9" t="str">
        <f t="shared" si="101"/>
        <v>12 2026</v>
      </c>
      <c r="C714" s="88">
        <f t="shared" si="102"/>
        <v>46363</v>
      </c>
      <c r="D714" s="88">
        <f t="shared" si="105"/>
        <v>46364</v>
      </c>
      <c r="E714" s="89">
        <f t="shared" si="103"/>
        <v>1</v>
      </c>
      <c r="F714" s="123" t="s">
        <v>7</v>
      </c>
      <c r="H714" s="328">
        <f t="shared" si="104"/>
        <v>46363</v>
      </c>
      <c r="I714" s="329"/>
      <c r="J714" s="400"/>
      <c r="L714" s="331"/>
      <c r="M714" s="331"/>
      <c r="N714" s="331"/>
      <c r="O714" s="331"/>
      <c r="P714" s="331"/>
      <c r="Q714" s="331"/>
      <c r="R714" s="331"/>
      <c r="S714" s="331"/>
      <c r="T714" s="331"/>
      <c r="U714" s="331"/>
      <c r="V714" s="331"/>
      <c r="W714" s="331"/>
      <c r="X714" s="331"/>
      <c r="Z714" s="331"/>
      <c r="AA714" s="331"/>
      <c r="AB714" s="331"/>
      <c r="AD714" s="331"/>
      <c r="AE714" s="331"/>
      <c r="AF714" s="331"/>
      <c r="AH714" s="331"/>
      <c r="AI714" s="331"/>
      <c r="AK714" s="331"/>
    </row>
    <row r="715" spans="2:37" x14ac:dyDescent="0.25">
      <c r="B715" s="9" t="str">
        <f t="shared" si="101"/>
        <v>12 2026</v>
      </c>
      <c r="C715" s="88">
        <f t="shared" si="102"/>
        <v>46364</v>
      </c>
      <c r="D715" s="88">
        <f t="shared" si="105"/>
        <v>46365</v>
      </c>
      <c r="E715" s="89">
        <f t="shared" si="103"/>
        <v>1</v>
      </c>
      <c r="F715" s="123" t="s">
        <v>7</v>
      </c>
      <c r="H715" s="328">
        <f t="shared" si="104"/>
        <v>46364</v>
      </c>
      <c r="I715" s="329"/>
      <c r="J715" s="400"/>
      <c r="L715" s="331"/>
      <c r="M715" s="331"/>
      <c r="N715" s="331"/>
      <c r="O715" s="331"/>
      <c r="P715" s="331"/>
      <c r="Q715" s="331"/>
      <c r="R715" s="331"/>
      <c r="S715" s="331"/>
      <c r="T715" s="331"/>
      <c r="U715" s="331"/>
      <c r="V715" s="331"/>
      <c r="W715" s="331"/>
      <c r="X715" s="331"/>
      <c r="Z715" s="331"/>
      <c r="AA715" s="331"/>
      <c r="AB715" s="331"/>
      <c r="AD715" s="331"/>
      <c r="AE715" s="331"/>
      <c r="AF715" s="331"/>
      <c r="AH715" s="331"/>
      <c r="AI715" s="331"/>
      <c r="AK715" s="331"/>
    </row>
    <row r="716" spans="2:37" x14ac:dyDescent="0.25">
      <c r="B716" s="9" t="str">
        <f t="shared" si="101"/>
        <v>12 2026</v>
      </c>
      <c r="C716" s="88">
        <f t="shared" si="102"/>
        <v>46365</v>
      </c>
      <c r="D716" s="88">
        <f t="shared" si="105"/>
        <v>46366</v>
      </c>
      <c r="E716" s="89">
        <f t="shared" si="103"/>
        <v>1</v>
      </c>
      <c r="F716" s="123" t="s">
        <v>7</v>
      </c>
      <c r="H716" s="328">
        <f t="shared" si="104"/>
        <v>46365</v>
      </c>
      <c r="I716" s="329"/>
      <c r="J716" s="400"/>
      <c r="L716" s="331"/>
      <c r="M716" s="331"/>
      <c r="N716" s="331"/>
      <c r="O716" s="331"/>
      <c r="P716" s="331"/>
      <c r="Q716" s="331"/>
      <c r="R716" s="331"/>
      <c r="S716" s="331"/>
      <c r="T716" s="331"/>
      <c r="U716" s="331"/>
      <c r="V716" s="331"/>
      <c r="W716" s="331"/>
      <c r="X716" s="331"/>
      <c r="Z716" s="331"/>
      <c r="AA716" s="331"/>
      <c r="AB716" s="331"/>
      <c r="AD716" s="331"/>
      <c r="AE716" s="331"/>
      <c r="AF716" s="331"/>
      <c r="AH716" s="331"/>
      <c r="AI716" s="331"/>
      <c r="AK716" s="331"/>
    </row>
    <row r="717" spans="2:37" x14ac:dyDescent="0.25">
      <c r="B717" s="9" t="str">
        <f t="shared" si="101"/>
        <v>12 2026</v>
      </c>
      <c r="C717" s="88">
        <f t="shared" si="102"/>
        <v>46366</v>
      </c>
      <c r="D717" s="88">
        <f t="shared" si="105"/>
        <v>46367</v>
      </c>
      <c r="E717" s="89">
        <f t="shared" si="103"/>
        <v>1</v>
      </c>
      <c r="F717" s="123" t="s">
        <v>7</v>
      </c>
      <c r="H717" s="328">
        <f t="shared" si="104"/>
        <v>46366</v>
      </c>
      <c r="I717" s="329"/>
      <c r="J717" s="400"/>
      <c r="L717" s="331"/>
      <c r="M717" s="331"/>
      <c r="N717" s="331"/>
      <c r="O717" s="331"/>
      <c r="P717" s="331"/>
      <c r="Q717" s="331"/>
      <c r="R717" s="331"/>
      <c r="S717" s="331"/>
      <c r="T717" s="331"/>
      <c r="U717" s="331"/>
      <c r="V717" s="331"/>
      <c r="W717" s="331"/>
      <c r="X717" s="331"/>
      <c r="Z717" s="331"/>
      <c r="AA717" s="331"/>
      <c r="AB717" s="331"/>
      <c r="AD717" s="331"/>
      <c r="AE717" s="331"/>
      <c r="AF717" s="331"/>
      <c r="AH717" s="331"/>
      <c r="AI717" s="331"/>
      <c r="AK717" s="331"/>
    </row>
    <row r="718" spans="2:37" x14ac:dyDescent="0.25">
      <c r="B718" s="9" t="str">
        <f t="shared" si="101"/>
        <v>12 2026</v>
      </c>
      <c r="C718" s="88">
        <f t="shared" si="102"/>
        <v>46367</v>
      </c>
      <c r="D718" s="88">
        <f t="shared" si="105"/>
        <v>46368</v>
      </c>
      <c r="E718" s="89">
        <f t="shared" si="103"/>
        <v>1</v>
      </c>
      <c r="F718" s="123" t="s">
        <v>7</v>
      </c>
      <c r="H718" s="328">
        <f t="shared" si="104"/>
        <v>46367</v>
      </c>
      <c r="I718" s="329"/>
      <c r="J718" s="400"/>
      <c r="L718" s="331"/>
      <c r="M718" s="331"/>
      <c r="N718" s="331"/>
      <c r="O718" s="331"/>
      <c r="P718" s="331"/>
      <c r="Q718" s="331"/>
      <c r="R718" s="331"/>
      <c r="S718" s="331"/>
      <c r="T718" s="331"/>
      <c r="U718" s="331"/>
      <c r="V718" s="331"/>
      <c r="W718" s="331"/>
      <c r="X718" s="331"/>
      <c r="Z718" s="331"/>
      <c r="AA718" s="331"/>
      <c r="AB718" s="331"/>
      <c r="AD718" s="331"/>
      <c r="AE718" s="331"/>
      <c r="AF718" s="331"/>
      <c r="AH718" s="331"/>
      <c r="AI718" s="331"/>
      <c r="AK718" s="331"/>
    </row>
    <row r="719" spans="2:37" x14ac:dyDescent="0.25">
      <c r="B719" s="9" t="str">
        <f t="shared" si="101"/>
        <v>12 2026</v>
      </c>
      <c r="C719" s="88">
        <f t="shared" si="102"/>
        <v>46368</v>
      </c>
      <c r="D719" s="88">
        <f t="shared" si="105"/>
        <v>46369</v>
      </c>
      <c r="E719" s="89">
        <f t="shared" si="103"/>
        <v>1</v>
      </c>
      <c r="F719" s="123" t="s">
        <v>7</v>
      </c>
      <c r="H719" s="328">
        <f t="shared" si="104"/>
        <v>46368</v>
      </c>
      <c r="I719" s="329"/>
      <c r="J719" s="400"/>
      <c r="L719" s="331"/>
      <c r="M719" s="331"/>
      <c r="N719" s="331"/>
      <c r="O719" s="331"/>
      <c r="P719" s="331"/>
      <c r="Q719" s="331"/>
      <c r="R719" s="331"/>
      <c r="S719" s="331"/>
      <c r="T719" s="331"/>
      <c r="U719" s="331"/>
      <c r="V719" s="331"/>
      <c r="W719" s="331"/>
      <c r="X719" s="331"/>
      <c r="Z719" s="331"/>
      <c r="AA719" s="331"/>
      <c r="AB719" s="331"/>
      <c r="AD719" s="331"/>
      <c r="AE719" s="331"/>
      <c r="AF719" s="331"/>
      <c r="AH719" s="331"/>
      <c r="AI719" s="331"/>
      <c r="AK719" s="331"/>
    </row>
    <row r="720" spans="2:37" x14ac:dyDescent="0.25">
      <c r="B720" s="9" t="str">
        <f t="shared" si="101"/>
        <v>12 2026</v>
      </c>
      <c r="C720" s="88">
        <f t="shared" si="102"/>
        <v>46369</v>
      </c>
      <c r="D720" s="88">
        <f t="shared" si="105"/>
        <v>46370</v>
      </c>
      <c r="E720" s="89">
        <f t="shared" si="103"/>
        <v>1</v>
      </c>
      <c r="F720" s="123" t="s">
        <v>7</v>
      </c>
      <c r="H720" s="328">
        <f t="shared" si="104"/>
        <v>46369</v>
      </c>
      <c r="I720" s="329"/>
      <c r="J720" s="400"/>
      <c r="L720" s="331"/>
      <c r="M720" s="331"/>
      <c r="N720" s="331"/>
      <c r="O720" s="331"/>
      <c r="P720" s="331"/>
      <c r="Q720" s="331"/>
      <c r="R720" s="331"/>
      <c r="S720" s="331"/>
      <c r="T720" s="331"/>
      <c r="U720" s="331"/>
      <c r="V720" s="331"/>
      <c r="W720" s="331"/>
      <c r="X720" s="331"/>
      <c r="Z720" s="331"/>
      <c r="AA720" s="331"/>
      <c r="AB720" s="331"/>
      <c r="AD720" s="331"/>
      <c r="AE720" s="331"/>
      <c r="AF720" s="331"/>
      <c r="AH720" s="331"/>
      <c r="AI720" s="331"/>
      <c r="AK720" s="331"/>
    </row>
    <row r="721" spans="2:37" x14ac:dyDescent="0.25">
      <c r="B721" s="9" t="str">
        <f t="shared" si="101"/>
        <v>12 2026</v>
      </c>
      <c r="C721" s="88">
        <f t="shared" si="102"/>
        <v>46370</v>
      </c>
      <c r="D721" s="88">
        <f t="shared" si="105"/>
        <v>46371</v>
      </c>
      <c r="E721" s="89">
        <f t="shared" si="103"/>
        <v>1</v>
      </c>
      <c r="F721" s="123" t="s">
        <v>7</v>
      </c>
      <c r="H721" s="328">
        <f t="shared" si="104"/>
        <v>46370</v>
      </c>
      <c r="I721" s="329"/>
      <c r="J721" s="400"/>
      <c r="L721" s="331"/>
      <c r="M721" s="331"/>
      <c r="N721" s="331"/>
      <c r="O721" s="331"/>
      <c r="P721" s="331"/>
      <c r="Q721" s="331"/>
      <c r="R721" s="331"/>
      <c r="S721" s="331"/>
      <c r="T721" s="331"/>
      <c r="U721" s="331"/>
      <c r="V721" s="331"/>
      <c r="W721" s="331"/>
      <c r="X721" s="331"/>
      <c r="Z721" s="331"/>
      <c r="AA721" s="331"/>
      <c r="AB721" s="331"/>
      <c r="AD721" s="331"/>
      <c r="AE721" s="331"/>
      <c r="AF721" s="331"/>
      <c r="AH721" s="331"/>
      <c r="AI721" s="331"/>
      <c r="AK721" s="331"/>
    </row>
    <row r="722" spans="2:37" x14ac:dyDescent="0.25">
      <c r="B722" s="9" t="str">
        <f t="shared" si="101"/>
        <v>12 2026</v>
      </c>
      <c r="C722" s="88">
        <f t="shared" si="102"/>
        <v>46371</v>
      </c>
      <c r="D722" s="88">
        <f t="shared" si="105"/>
        <v>46372</v>
      </c>
      <c r="E722" s="89">
        <f t="shared" si="103"/>
        <v>1</v>
      </c>
      <c r="F722" s="123" t="s">
        <v>7</v>
      </c>
      <c r="H722" s="328">
        <f t="shared" si="104"/>
        <v>46371</v>
      </c>
      <c r="I722" s="329"/>
      <c r="J722" s="400"/>
      <c r="L722" s="331"/>
      <c r="M722" s="331"/>
      <c r="N722" s="331"/>
      <c r="O722" s="331"/>
      <c r="P722" s="331"/>
      <c r="Q722" s="331"/>
      <c r="R722" s="331"/>
      <c r="S722" s="331"/>
      <c r="T722" s="331"/>
      <c r="U722" s="331"/>
      <c r="V722" s="331"/>
      <c r="W722" s="331"/>
      <c r="X722" s="331"/>
      <c r="Z722" s="331"/>
      <c r="AA722" s="331"/>
      <c r="AB722" s="331"/>
      <c r="AD722" s="331"/>
      <c r="AE722" s="331"/>
      <c r="AF722" s="331"/>
      <c r="AH722" s="331"/>
      <c r="AI722" s="331"/>
      <c r="AK722" s="331"/>
    </row>
    <row r="723" spans="2:37" x14ac:dyDescent="0.25">
      <c r="B723" s="9" t="str">
        <f t="shared" si="101"/>
        <v>12 2026</v>
      </c>
      <c r="C723" s="88">
        <f t="shared" si="102"/>
        <v>46372</v>
      </c>
      <c r="D723" s="88">
        <f t="shared" si="105"/>
        <v>46373</v>
      </c>
      <c r="E723" s="89">
        <f t="shared" si="103"/>
        <v>1</v>
      </c>
      <c r="F723" s="123" t="s">
        <v>7</v>
      </c>
      <c r="H723" s="328">
        <f t="shared" si="104"/>
        <v>46372</v>
      </c>
      <c r="I723" s="329"/>
      <c r="J723" s="400"/>
      <c r="L723" s="331"/>
      <c r="M723" s="331"/>
      <c r="N723" s="331"/>
      <c r="O723" s="331"/>
      <c r="P723" s="331"/>
      <c r="Q723" s="331"/>
      <c r="R723" s="331"/>
      <c r="S723" s="331"/>
      <c r="T723" s="331"/>
      <c r="U723" s="331"/>
      <c r="V723" s="331"/>
      <c r="W723" s="331"/>
      <c r="X723" s="331"/>
      <c r="Z723" s="331"/>
      <c r="AA723" s="331"/>
      <c r="AB723" s="331"/>
      <c r="AD723" s="331"/>
      <c r="AE723" s="331"/>
      <c r="AF723" s="331"/>
      <c r="AH723" s="331"/>
      <c r="AI723" s="331"/>
      <c r="AK723" s="331"/>
    </row>
    <row r="724" spans="2:37" x14ac:dyDescent="0.25">
      <c r="B724" s="9" t="str">
        <f t="shared" si="101"/>
        <v>12 2026</v>
      </c>
      <c r="C724" s="88">
        <f t="shared" si="102"/>
        <v>46373</v>
      </c>
      <c r="D724" s="88">
        <f t="shared" si="105"/>
        <v>46374</v>
      </c>
      <c r="E724" s="89">
        <f t="shared" si="103"/>
        <v>1</v>
      </c>
      <c r="F724" s="123" t="s">
        <v>7</v>
      </c>
      <c r="H724" s="328">
        <f t="shared" si="104"/>
        <v>46373</v>
      </c>
      <c r="I724" s="329"/>
      <c r="J724" s="400"/>
      <c r="L724" s="331"/>
      <c r="M724" s="331"/>
      <c r="N724" s="331"/>
      <c r="O724" s="331"/>
      <c r="P724" s="331"/>
      <c r="Q724" s="331"/>
      <c r="R724" s="331"/>
      <c r="S724" s="331"/>
      <c r="T724" s="331"/>
      <c r="U724" s="331"/>
      <c r="V724" s="331"/>
      <c r="W724" s="331"/>
      <c r="X724" s="331"/>
      <c r="Z724" s="331"/>
      <c r="AA724" s="331"/>
      <c r="AB724" s="331"/>
      <c r="AD724" s="331"/>
      <c r="AE724" s="331"/>
      <c r="AF724" s="331"/>
      <c r="AH724" s="331"/>
      <c r="AI724" s="331"/>
      <c r="AK724" s="331"/>
    </row>
    <row r="725" spans="2:37" x14ac:dyDescent="0.25">
      <c r="B725" s="9" t="str">
        <f t="shared" ref="B725:B747" si="106">CONCATENATE(MONTH(D725)," ",YEAR(D725))</f>
        <v>12 2026</v>
      </c>
      <c r="C725" s="88">
        <f t="shared" ref="C725:C747" si="107">D724</f>
        <v>46374</v>
      </c>
      <c r="D725" s="88">
        <f t="shared" si="105"/>
        <v>46375</v>
      </c>
      <c r="E725" s="89">
        <f t="shared" ref="E725:E747" si="108">D725-C725</f>
        <v>1</v>
      </c>
      <c r="F725" s="123" t="s">
        <v>7</v>
      </c>
      <c r="H725" s="328">
        <f t="shared" ref="H725:H747" si="109">C725</f>
        <v>46374</v>
      </c>
      <c r="I725" s="329"/>
      <c r="J725" s="400"/>
      <c r="L725" s="331"/>
      <c r="M725" s="331"/>
      <c r="N725" s="331"/>
      <c r="O725" s="331"/>
      <c r="P725" s="331"/>
      <c r="Q725" s="331"/>
      <c r="R725" s="331"/>
      <c r="S725" s="331"/>
      <c r="T725" s="331"/>
      <c r="U725" s="331"/>
      <c r="V725" s="331"/>
      <c r="W725" s="331"/>
      <c r="X725" s="331"/>
      <c r="Z725" s="331"/>
      <c r="AA725" s="331"/>
      <c r="AB725" s="331"/>
      <c r="AD725" s="331"/>
      <c r="AE725" s="331"/>
      <c r="AF725" s="331"/>
      <c r="AH725" s="331"/>
      <c r="AI725" s="331"/>
      <c r="AK725" s="331"/>
    </row>
    <row r="726" spans="2:37" x14ac:dyDescent="0.25">
      <c r="B726" s="9" t="str">
        <f t="shared" si="106"/>
        <v>12 2026</v>
      </c>
      <c r="C726" s="88">
        <f t="shared" si="107"/>
        <v>46375</v>
      </c>
      <c r="D726" s="88">
        <f t="shared" si="105"/>
        <v>46376</v>
      </c>
      <c r="E726" s="89">
        <f t="shared" si="108"/>
        <v>1</v>
      </c>
      <c r="F726" s="123" t="s">
        <v>7</v>
      </c>
      <c r="H726" s="328">
        <f t="shared" si="109"/>
        <v>46375</v>
      </c>
      <c r="I726" s="329"/>
      <c r="J726" s="400"/>
      <c r="L726" s="331"/>
      <c r="M726" s="331"/>
      <c r="N726" s="331"/>
      <c r="O726" s="331"/>
      <c r="P726" s="331"/>
      <c r="Q726" s="331"/>
      <c r="R726" s="331"/>
      <c r="S726" s="331"/>
      <c r="T726" s="331"/>
      <c r="U726" s="331"/>
      <c r="V726" s="331"/>
      <c r="W726" s="331"/>
      <c r="X726" s="331"/>
      <c r="Z726" s="331"/>
      <c r="AA726" s="331"/>
      <c r="AB726" s="331"/>
      <c r="AD726" s="331"/>
      <c r="AE726" s="331"/>
      <c r="AF726" s="331"/>
      <c r="AH726" s="331"/>
      <c r="AI726" s="331"/>
      <c r="AK726" s="331"/>
    </row>
    <row r="727" spans="2:37" x14ac:dyDescent="0.25">
      <c r="B727" s="9" t="str">
        <f t="shared" si="106"/>
        <v>12 2026</v>
      </c>
      <c r="C727" s="88">
        <f t="shared" si="107"/>
        <v>46376</v>
      </c>
      <c r="D727" s="88">
        <f t="shared" si="105"/>
        <v>46377</v>
      </c>
      <c r="E727" s="89">
        <f t="shared" si="108"/>
        <v>1</v>
      </c>
      <c r="F727" s="123" t="s">
        <v>7</v>
      </c>
      <c r="H727" s="328">
        <f t="shared" si="109"/>
        <v>46376</v>
      </c>
      <c r="I727" s="329"/>
      <c r="J727" s="400"/>
      <c r="L727" s="331"/>
      <c r="M727" s="331"/>
      <c r="N727" s="331"/>
      <c r="O727" s="331"/>
      <c r="P727" s="331"/>
      <c r="Q727" s="331"/>
      <c r="R727" s="331"/>
      <c r="S727" s="331"/>
      <c r="T727" s="331"/>
      <c r="U727" s="331"/>
      <c r="V727" s="331"/>
      <c r="W727" s="331"/>
      <c r="X727" s="331"/>
      <c r="Z727" s="331"/>
      <c r="AA727" s="331"/>
      <c r="AB727" s="331"/>
      <c r="AD727" s="331"/>
      <c r="AE727" s="331"/>
      <c r="AF727" s="331"/>
      <c r="AH727" s="331"/>
      <c r="AI727" s="331"/>
      <c r="AK727" s="331"/>
    </row>
    <row r="728" spans="2:37" x14ac:dyDescent="0.25">
      <c r="B728" s="9" t="str">
        <f t="shared" si="106"/>
        <v>12 2026</v>
      </c>
      <c r="C728" s="88">
        <f t="shared" si="107"/>
        <v>46377</v>
      </c>
      <c r="D728" s="88">
        <f t="shared" si="105"/>
        <v>46378</v>
      </c>
      <c r="E728" s="89">
        <f t="shared" si="108"/>
        <v>1</v>
      </c>
      <c r="F728" s="123" t="s">
        <v>7</v>
      </c>
      <c r="H728" s="328">
        <f t="shared" si="109"/>
        <v>46377</v>
      </c>
      <c r="I728" s="329"/>
      <c r="J728" s="400"/>
      <c r="L728" s="331"/>
      <c r="M728" s="331"/>
      <c r="N728" s="331"/>
      <c r="O728" s="331"/>
      <c r="P728" s="331"/>
      <c r="Q728" s="331"/>
      <c r="R728" s="331"/>
      <c r="S728" s="331"/>
      <c r="T728" s="331"/>
      <c r="U728" s="331"/>
      <c r="V728" s="331"/>
      <c r="W728" s="331"/>
      <c r="X728" s="331"/>
      <c r="Z728" s="331"/>
      <c r="AA728" s="331"/>
      <c r="AB728" s="331"/>
      <c r="AD728" s="331"/>
      <c r="AE728" s="331"/>
      <c r="AF728" s="331"/>
      <c r="AH728" s="331"/>
      <c r="AI728" s="331"/>
      <c r="AK728" s="331"/>
    </row>
    <row r="729" spans="2:37" x14ac:dyDescent="0.25">
      <c r="B729" s="9" t="str">
        <f t="shared" si="106"/>
        <v>12 2026</v>
      </c>
      <c r="C729" s="88">
        <f t="shared" si="107"/>
        <v>46378</v>
      </c>
      <c r="D729" s="88">
        <f t="shared" si="105"/>
        <v>46379</v>
      </c>
      <c r="E729" s="89">
        <f t="shared" si="108"/>
        <v>1</v>
      </c>
      <c r="F729" s="123" t="s">
        <v>7</v>
      </c>
      <c r="H729" s="328">
        <f t="shared" si="109"/>
        <v>46378</v>
      </c>
      <c r="I729" s="329"/>
      <c r="J729" s="400"/>
      <c r="L729" s="331"/>
      <c r="M729" s="331"/>
      <c r="N729" s="331"/>
      <c r="O729" s="331"/>
      <c r="P729" s="331"/>
      <c r="Q729" s="331"/>
      <c r="R729" s="331"/>
      <c r="S729" s="331"/>
      <c r="T729" s="331"/>
      <c r="U729" s="331"/>
      <c r="V729" s="331"/>
      <c r="W729" s="331"/>
      <c r="X729" s="331"/>
      <c r="Z729" s="331"/>
      <c r="AA729" s="331"/>
      <c r="AB729" s="331"/>
      <c r="AD729" s="331"/>
      <c r="AE729" s="331"/>
      <c r="AF729" s="331"/>
      <c r="AH729" s="331"/>
      <c r="AI729" s="331"/>
      <c r="AK729" s="331"/>
    </row>
    <row r="730" spans="2:37" x14ac:dyDescent="0.25">
      <c r="B730" s="9" t="str">
        <f t="shared" si="106"/>
        <v>12 2026</v>
      </c>
      <c r="C730" s="88">
        <f t="shared" si="107"/>
        <v>46379</v>
      </c>
      <c r="D730" s="88">
        <f t="shared" si="105"/>
        <v>46380</v>
      </c>
      <c r="E730" s="89">
        <f t="shared" si="108"/>
        <v>1</v>
      </c>
      <c r="F730" s="123" t="s">
        <v>7</v>
      </c>
      <c r="H730" s="328">
        <f t="shared" si="109"/>
        <v>46379</v>
      </c>
      <c r="I730" s="329"/>
      <c r="J730" s="400"/>
      <c r="L730" s="331"/>
      <c r="M730" s="331"/>
      <c r="N730" s="331"/>
      <c r="O730" s="331"/>
      <c r="P730" s="331"/>
      <c r="Q730" s="331"/>
      <c r="R730" s="331"/>
      <c r="S730" s="331"/>
      <c r="T730" s="331"/>
      <c r="U730" s="331"/>
      <c r="V730" s="331"/>
      <c r="W730" s="331"/>
      <c r="X730" s="331"/>
      <c r="Z730" s="331"/>
      <c r="AA730" s="331"/>
      <c r="AB730" s="331"/>
      <c r="AD730" s="331"/>
      <c r="AE730" s="331"/>
      <c r="AF730" s="331"/>
      <c r="AH730" s="331"/>
      <c r="AI730" s="331"/>
      <c r="AK730" s="331"/>
    </row>
    <row r="731" spans="2:37" x14ac:dyDescent="0.25">
      <c r="B731" s="9" t="str">
        <f t="shared" si="106"/>
        <v>12 2026</v>
      </c>
      <c r="C731" s="88">
        <f t="shared" si="107"/>
        <v>46380</v>
      </c>
      <c r="D731" s="88">
        <f t="shared" si="105"/>
        <v>46381</v>
      </c>
      <c r="E731" s="89">
        <f t="shared" si="108"/>
        <v>1</v>
      </c>
      <c r="F731" s="123" t="s">
        <v>7</v>
      </c>
      <c r="H731" s="328">
        <f t="shared" si="109"/>
        <v>46380</v>
      </c>
      <c r="I731" s="329"/>
      <c r="J731" s="400"/>
      <c r="L731" s="331"/>
      <c r="M731" s="331"/>
      <c r="N731" s="331"/>
      <c r="O731" s="331"/>
      <c r="P731" s="331"/>
      <c r="Q731" s="331"/>
      <c r="R731" s="331"/>
      <c r="S731" s="331"/>
      <c r="T731" s="331"/>
      <c r="U731" s="331"/>
      <c r="V731" s="331"/>
      <c r="W731" s="331"/>
      <c r="X731" s="331"/>
      <c r="Z731" s="331"/>
      <c r="AA731" s="331"/>
      <c r="AB731" s="331"/>
      <c r="AD731" s="331"/>
      <c r="AE731" s="331"/>
      <c r="AF731" s="331"/>
      <c r="AH731" s="331"/>
      <c r="AI731" s="331"/>
      <c r="AK731" s="331"/>
    </row>
    <row r="732" spans="2:37" x14ac:dyDescent="0.25">
      <c r="B732" s="9" t="str">
        <f t="shared" si="106"/>
        <v>12 2026</v>
      </c>
      <c r="C732" s="88">
        <f t="shared" si="107"/>
        <v>46381</v>
      </c>
      <c r="D732" s="88">
        <f t="shared" si="105"/>
        <v>46382</v>
      </c>
      <c r="E732" s="89">
        <f t="shared" si="108"/>
        <v>1</v>
      </c>
      <c r="F732" s="123" t="s">
        <v>7</v>
      </c>
      <c r="H732" s="328">
        <f t="shared" si="109"/>
        <v>46381</v>
      </c>
      <c r="I732" s="329"/>
      <c r="J732" s="400"/>
      <c r="L732" s="331"/>
      <c r="M732" s="331"/>
      <c r="N732" s="331"/>
      <c r="O732" s="331"/>
      <c r="P732" s="331"/>
      <c r="Q732" s="331"/>
      <c r="R732" s="331"/>
      <c r="S732" s="331"/>
      <c r="T732" s="331"/>
      <c r="U732" s="331"/>
      <c r="V732" s="331"/>
      <c r="W732" s="331"/>
      <c r="X732" s="331"/>
      <c r="Z732" s="331"/>
      <c r="AA732" s="331"/>
      <c r="AB732" s="331"/>
      <c r="AD732" s="331"/>
      <c r="AE732" s="331"/>
      <c r="AF732" s="331"/>
      <c r="AH732" s="331"/>
      <c r="AI732" s="331"/>
      <c r="AK732" s="331"/>
    </row>
    <row r="733" spans="2:37" x14ac:dyDescent="0.25">
      <c r="B733" s="9" t="str">
        <f t="shared" si="106"/>
        <v>12 2026</v>
      </c>
      <c r="C733" s="88">
        <f t="shared" si="107"/>
        <v>46382</v>
      </c>
      <c r="D733" s="88">
        <f t="shared" si="105"/>
        <v>46383</v>
      </c>
      <c r="E733" s="89">
        <f t="shared" si="108"/>
        <v>1</v>
      </c>
      <c r="F733" s="123" t="s">
        <v>7</v>
      </c>
      <c r="H733" s="328">
        <f t="shared" si="109"/>
        <v>46382</v>
      </c>
      <c r="I733" s="329"/>
      <c r="J733" s="400"/>
      <c r="L733" s="331"/>
      <c r="M733" s="331"/>
      <c r="N733" s="331"/>
      <c r="O733" s="331"/>
      <c r="P733" s="331"/>
      <c r="Q733" s="331"/>
      <c r="R733" s="331"/>
      <c r="S733" s="331"/>
      <c r="T733" s="331"/>
      <c r="U733" s="331"/>
      <c r="V733" s="331"/>
      <c r="W733" s="331"/>
      <c r="X733" s="331"/>
      <c r="Z733" s="331"/>
      <c r="AA733" s="331"/>
      <c r="AB733" s="331"/>
      <c r="AD733" s="331"/>
      <c r="AE733" s="331"/>
      <c r="AF733" s="331"/>
      <c r="AH733" s="331"/>
      <c r="AI733" s="331"/>
      <c r="AK733" s="331"/>
    </row>
    <row r="734" spans="2:37" x14ac:dyDescent="0.25">
      <c r="B734" s="9" t="str">
        <f t="shared" si="106"/>
        <v>12 2026</v>
      </c>
      <c r="C734" s="88">
        <f t="shared" si="107"/>
        <v>46383</v>
      </c>
      <c r="D734" s="88">
        <f t="shared" si="105"/>
        <v>46384</v>
      </c>
      <c r="E734" s="89">
        <f t="shared" si="108"/>
        <v>1</v>
      </c>
      <c r="F734" s="123" t="s">
        <v>7</v>
      </c>
      <c r="H734" s="328">
        <f t="shared" si="109"/>
        <v>46383</v>
      </c>
      <c r="I734" s="329"/>
      <c r="J734" s="400"/>
      <c r="L734" s="331"/>
      <c r="M734" s="331"/>
      <c r="N734" s="331"/>
      <c r="O734" s="331"/>
      <c r="P734" s="331"/>
      <c r="Q734" s="331"/>
      <c r="R734" s="331"/>
      <c r="S734" s="331"/>
      <c r="T734" s="331"/>
      <c r="U734" s="331"/>
      <c r="V734" s="331"/>
      <c r="W734" s="331"/>
      <c r="X734" s="331"/>
      <c r="Z734" s="331"/>
      <c r="AA734" s="331"/>
      <c r="AB734" s="331"/>
      <c r="AD734" s="331"/>
      <c r="AE734" s="331"/>
      <c r="AF734" s="331"/>
      <c r="AH734" s="331"/>
      <c r="AI734" s="331"/>
      <c r="AK734" s="331"/>
    </row>
    <row r="735" spans="2:37" x14ac:dyDescent="0.25">
      <c r="B735" s="9" t="str">
        <f t="shared" si="106"/>
        <v>12 2026</v>
      </c>
      <c r="C735" s="88">
        <f t="shared" si="107"/>
        <v>46384</v>
      </c>
      <c r="D735" s="88">
        <f t="shared" si="105"/>
        <v>46385</v>
      </c>
      <c r="E735" s="89">
        <f t="shared" si="108"/>
        <v>1</v>
      </c>
      <c r="F735" s="123" t="s">
        <v>7</v>
      </c>
      <c r="H735" s="328">
        <f t="shared" si="109"/>
        <v>46384</v>
      </c>
      <c r="I735" s="329"/>
      <c r="J735" s="400"/>
      <c r="L735" s="331"/>
      <c r="M735" s="331"/>
      <c r="N735" s="331"/>
      <c r="O735" s="331"/>
      <c r="P735" s="331"/>
      <c r="Q735" s="331"/>
      <c r="R735" s="331"/>
      <c r="S735" s="331"/>
      <c r="T735" s="331"/>
      <c r="U735" s="331"/>
      <c r="V735" s="331"/>
      <c r="W735" s="331"/>
      <c r="X735" s="331"/>
      <c r="Z735" s="331"/>
      <c r="AA735" s="331"/>
      <c r="AB735" s="331"/>
      <c r="AD735" s="331"/>
      <c r="AE735" s="331"/>
      <c r="AF735" s="331"/>
      <c r="AH735" s="331"/>
      <c r="AI735" s="331"/>
      <c r="AK735" s="331"/>
    </row>
    <row r="736" spans="2:37" x14ac:dyDescent="0.25">
      <c r="B736" s="9" t="str">
        <f t="shared" si="106"/>
        <v>12 2026</v>
      </c>
      <c r="C736" s="88">
        <f t="shared" si="107"/>
        <v>46385</v>
      </c>
      <c r="D736" s="88">
        <f t="shared" si="105"/>
        <v>46386</v>
      </c>
      <c r="E736" s="89">
        <f t="shared" si="108"/>
        <v>1</v>
      </c>
      <c r="F736" s="123" t="s">
        <v>7</v>
      </c>
      <c r="H736" s="328">
        <f t="shared" si="109"/>
        <v>46385</v>
      </c>
      <c r="I736" s="329"/>
      <c r="J736" s="400"/>
      <c r="L736" s="331"/>
      <c r="M736" s="331"/>
      <c r="N736" s="331"/>
      <c r="O736" s="331"/>
      <c r="P736" s="331"/>
      <c r="Q736" s="331"/>
      <c r="R736" s="331"/>
      <c r="S736" s="331"/>
      <c r="T736" s="331"/>
      <c r="U736" s="331"/>
      <c r="V736" s="331"/>
      <c r="W736" s="331"/>
      <c r="X736" s="331"/>
      <c r="Z736" s="331"/>
      <c r="AA736" s="331"/>
      <c r="AB736" s="331"/>
      <c r="AD736" s="331"/>
      <c r="AE736" s="331"/>
      <c r="AF736" s="331"/>
      <c r="AH736" s="331"/>
      <c r="AI736" s="331"/>
      <c r="AK736" s="331"/>
    </row>
    <row r="737" spans="2:45" x14ac:dyDescent="0.25">
      <c r="B737" s="9" t="str">
        <f t="shared" si="106"/>
        <v>12 2026</v>
      </c>
      <c r="C737" s="88">
        <f t="shared" si="107"/>
        <v>46386</v>
      </c>
      <c r="D737" s="88">
        <f t="shared" si="105"/>
        <v>46387</v>
      </c>
      <c r="E737" s="89">
        <f t="shared" si="108"/>
        <v>1</v>
      </c>
      <c r="F737" s="123" t="s">
        <v>7</v>
      </c>
      <c r="H737" s="328">
        <f t="shared" si="109"/>
        <v>46386</v>
      </c>
      <c r="I737" s="329"/>
      <c r="J737" s="400"/>
      <c r="L737" s="331"/>
      <c r="M737" s="331"/>
      <c r="N737" s="331"/>
      <c r="O737" s="331"/>
      <c r="P737" s="331"/>
      <c r="Q737" s="331"/>
      <c r="R737" s="331"/>
      <c r="S737" s="331"/>
      <c r="T737" s="331"/>
      <c r="U737" s="331"/>
      <c r="V737" s="331"/>
      <c r="W737" s="331"/>
      <c r="X737" s="331"/>
      <c r="Z737" s="331"/>
      <c r="AA737" s="331"/>
      <c r="AB737" s="331"/>
      <c r="AD737" s="331"/>
      <c r="AE737" s="331"/>
      <c r="AF737" s="331"/>
      <c r="AH737" s="331"/>
      <c r="AI737" s="331"/>
      <c r="AK737" s="331"/>
    </row>
    <row r="738" spans="2:45" x14ac:dyDescent="0.25">
      <c r="C738" s="24"/>
      <c r="D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</row>
    <row r="739" spans="2:45" x14ac:dyDescent="0.25">
      <c r="B739" s="9" t="str">
        <f t="shared" si="106"/>
        <v>1 2027</v>
      </c>
      <c r="C739" s="88">
        <f>D737</f>
        <v>46387</v>
      </c>
      <c r="D739" s="88">
        <f>D737+1</f>
        <v>46388</v>
      </c>
      <c r="E739" s="89">
        <f t="shared" si="108"/>
        <v>1</v>
      </c>
      <c r="F739" s="123" t="s">
        <v>7</v>
      </c>
      <c r="H739" s="328">
        <f t="shared" si="109"/>
        <v>46387</v>
      </c>
      <c r="I739" s="329"/>
      <c r="J739" s="400"/>
      <c r="L739" s="331"/>
      <c r="M739" s="331"/>
      <c r="N739" s="331"/>
      <c r="O739" s="331"/>
      <c r="P739" s="331"/>
      <c r="Q739" s="331"/>
      <c r="R739" s="331"/>
      <c r="S739" s="331"/>
      <c r="T739" s="331"/>
      <c r="U739" s="331"/>
      <c r="V739" s="331"/>
      <c r="W739" s="331"/>
      <c r="X739" s="331"/>
      <c r="Z739" s="331"/>
      <c r="AA739" s="331"/>
      <c r="AB739" s="331"/>
      <c r="AD739" s="331"/>
      <c r="AE739" s="331"/>
      <c r="AF739" s="331"/>
      <c r="AH739" s="331"/>
      <c r="AI739" s="331"/>
      <c r="AK739" s="331"/>
    </row>
    <row r="740" spans="2:45" x14ac:dyDescent="0.25">
      <c r="B740" s="9" t="str">
        <f t="shared" si="106"/>
        <v>1 2027</v>
      </c>
      <c r="C740" s="88">
        <f t="shared" si="107"/>
        <v>46388</v>
      </c>
      <c r="D740" s="88">
        <f t="shared" si="105"/>
        <v>46389</v>
      </c>
      <c r="E740" s="89">
        <f t="shared" si="108"/>
        <v>1</v>
      </c>
      <c r="F740" s="123" t="s">
        <v>7</v>
      </c>
      <c r="H740" s="328">
        <f t="shared" si="109"/>
        <v>46388</v>
      </c>
      <c r="I740" s="329"/>
      <c r="J740" s="400"/>
      <c r="L740" s="331"/>
      <c r="M740" s="331"/>
      <c r="N740" s="331"/>
      <c r="O740" s="331"/>
      <c r="P740" s="331"/>
      <c r="Q740" s="331"/>
      <c r="R740" s="331"/>
      <c r="S740" s="331"/>
      <c r="T740" s="331"/>
      <c r="U740" s="331"/>
      <c r="V740" s="331"/>
      <c r="W740" s="331"/>
      <c r="X740" s="331"/>
      <c r="Z740" s="331"/>
      <c r="AA740" s="331"/>
      <c r="AB740" s="331"/>
      <c r="AD740" s="331"/>
      <c r="AE740" s="331"/>
      <c r="AF740" s="331"/>
      <c r="AH740" s="331"/>
      <c r="AI740" s="331"/>
      <c r="AK740" s="331"/>
    </row>
    <row r="741" spans="2:45" x14ac:dyDescent="0.25">
      <c r="B741" s="9" t="str">
        <f t="shared" si="106"/>
        <v>1 2027</v>
      </c>
      <c r="C741" s="88">
        <f t="shared" si="107"/>
        <v>46389</v>
      </c>
      <c r="D741" s="88">
        <f t="shared" si="105"/>
        <v>46390</v>
      </c>
      <c r="E741" s="89">
        <f t="shared" si="108"/>
        <v>1</v>
      </c>
      <c r="F741" s="123" t="s">
        <v>7</v>
      </c>
      <c r="H741" s="328">
        <f t="shared" si="109"/>
        <v>46389</v>
      </c>
      <c r="I741" s="329"/>
      <c r="J741" s="400"/>
      <c r="L741" s="331"/>
      <c r="M741" s="331"/>
      <c r="N741" s="331"/>
      <c r="O741" s="331"/>
      <c r="P741" s="331"/>
      <c r="Q741" s="331"/>
      <c r="R741" s="331"/>
      <c r="S741" s="331"/>
      <c r="T741" s="331"/>
      <c r="U741" s="331"/>
      <c r="V741" s="331"/>
      <c r="W741" s="331"/>
      <c r="X741" s="331"/>
      <c r="Z741" s="331"/>
      <c r="AA741" s="331"/>
      <c r="AB741" s="331"/>
      <c r="AD741" s="331"/>
      <c r="AE741" s="331"/>
      <c r="AF741" s="331"/>
      <c r="AH741" s="331"/>
      <c r="AI741" s="331"/>
      <c r="AK741" s="331"/>
    </row>
    <row r="742" spans="2:45" x14ac:dyDescent="0.25">
      <c r="B742" s="9" t="str">
        <f t="shared" si="106"/>
        <v>1 2027</v>
      </c>
      <c r="C742" s="88">
        <f t="shared" si="107"/>
        <v>46390</v>
      </c>
      <c r="D742" s="88">
        <f t="shared" si="105"/>
        <v>46391</v>
      </c>
      <c r="E742" s="89">
        <f t="shared" si="108"/>
        <v>1</v>
      </c>
      <c r="F742" s="123" t="s">
        <v>7</v>
      </c>
      <c r="H742" s="328">
        <f t="shared" si="109"/>
        <v>46390</v>
      </c>
      <c r="I742" s="329"/>
      <c r="J742" s="400"/>
      <c r="L742" s="331"/>
      <c r="M742" s="331"/>
      <c r="N742" s="331"/>
      <c r="O742" s="331"/>
      <c r="P742" s="331"/>
      <c r="Q742" s="331"/>
      <c r="R742" s="331"/>
      <c r="S742" s="331"/>
      <c r="T742" s="331"/>
      <c r="U742" s="331"/>
      <c r="V742" s="331"/>
      <c r="W742" s="331"/>
      <c r="X742" s="331"/>
      <c r="Z742" s="331"/>
      <c r="AA742" s="331"/>
      <c r="AB742" s="331"/>
      <c r="AD742" s="331"/>
      <c r="AE742" s="331"/>
      <c r="AF742" s="331"/>
      <c r="AH742" s="331"/>
      <c r="AI742" s="331"/>
      <c r="AK742" s="331"/>
    </row>
    <row r="743" spans="2:45" x14ac:dyDescent="0.25">
      <c r="B743" s="9" t="str">
        <f t="shared" si="106"/>
        <v>1 2027</v>
      </c>
      <c r="C743" s="88">
        <f t="shared" si="107"/>
        <v>46391</v>
      </c>
      <c r="D743" s="88">
        <f t="shared" si="105"/>
        <v>46392</v>
      </c>
      <c r="E743" s="89">
        <f t="shared" si="108"/>
        <v>1</v>
      </c>
      <c r="F743" s="123" t="s">
        <v>7</v>
      </c>
      <c r="H743" s="328">
        <f t="shared" si="109"/>
        <v>46391</v>
      </c>
      <c r="I743" s="329"/>
      <c r="J743" s="400"/>
      <c r="L743" s="331"/>
      <c r="M743" s="331"/>
      <c r="N743" s="331"/>
      <c r="O743" s="331"/>
      <c r="P743" s="331"/>
      <c r="Q743" s="331"/>
      <c r="R743" s="331"/>
      <c r="S743" s="331"/>
      <c r="T743" s="331"/>
      <c r="U743" s="331"/>
      <c r="V743" s="331"/>
      <c r="W743" s="331"/>
      <c r="X743" s="331"/>
      <c r="Z743" s="331"/>
      <c r="AA743" s="331"/>
      <c r="AB743" s="331"/>
      <c r="AD743" s="331"/>
      <c r="AE743" s="331"/>
      <c r="AF743" s="331"/>
      <c r="AH743" s="331"/>
      <c r="AI743" s="331"/>
      <c r="AK743" s="331"/>
    </row>
    <row r="744" spans="2:45" x14ac:dyDescent="0.25">
      <c r="B744" s="9" t="str">
        <f t="shared" si="106"/>
        <v>1 2027</v>
      </c>
      <c r="C744" s="88">
        <f t="shared" si="107"/>
        <v>46392</v>
      </c>
      <c r="D744" s="88">
        <f t="shared" si="105"/>
        <v>46393</v>
      </c>
      <c r="E744" s="89">
        <f t="shared" si="108"/>
        <v>1</v>
      </c>
      <c r="F744" s="123" t="s">
        <v>7</v>
      </c>
      <c r="H744" s="328">
        <f t="shared" si="109"/>
        <v>46392</v>
      </c>
      <c r="I744" s="329"/>
      <c r="J744" s="400"/>
      <c r="L744" s="331"/>
      <c r="M744" s="331"/>
      <c r="N744" s="331"/>
      <c r="O744" s="331"/>
      <c r="P744" s="331"/>
      <c r="Q744" s="331"/>
      <c r="R744" s="331"/>
      <c r="S744" s="331"/>
      <c r="T744" s="331"/>
      <c r="U744" s="331"/>
      <c r="V744" s="331"/>
      <c r="W744" s="331"/>
      <c r="X744" s="331"/>
      <c r="Z744" s="331"/>
      <c r="AA744" s="331"/>
      <c r="AB744" s="331"/>
      <c r="AD744" s="331"/>
      <c r="AE744" s="331"/>
      <c r="AF744" s="331"/>
      <c r="AH744" s="331"/>
      <c r="AI744" s="331"/>
      <c r="AK744" s="331"/>
    </row>
    <row r="745" spans="2:45" x14ac:dyDescent="0.25">
      <c r="B745" s="9" t="str">
        <f t="shared" si="106"/>
        <v>1 2027</v>
      </c>
      <c r="C745" s="88">
        <f t="shared" si="107"/>
        <v>46393</v>
      </c>
      <c r="D745" s="88">
        <f t="shared" si="105"/>
        <v>46394</v>
      </c>
      <c r="E745" s="89">
        <f t="shared" si="108"/>
        <v>1</v>
      </c>
      <c r="F745" s="123" t="s">
        <v>7</v>
      </c>
      <c r="H745" s="328">
        <f t="shared" si="109"/>
        <v>46393</v>
      </c>
      <c r="I745" s="329"/>
      <c r="J745" s="400"/>
      <c r="L745" s="331"/>
      <c r="M745" s="331"/>
      <c r="N745" s="331"/>
      <c r="O745" s="331"/>
      <c r="P745" s="331"/>
      <c r="Q745" s="331"/>
      <c r="R745" s="331"/>
      <c r="S745" s="331"/>
      <c r="T745" s="331"/>
      <c r="U745" s="331"/>
      <c r="V745" s="331"/>
      <c r="W745" s="331"/>
      <c r="X745" s="331"/>
      <c r="Z745" s="331"/>
      <c r="AA745" s="331"/>
      <c r="AB745" s="331"/>
      <c r="AD745" s="331"/>
      <c r="AE745" s="331"/>
      <c r="AF745" s="331"/>
      <c r="AH745" s="331"/>
      <c r="AI745" s="331"/>
      <c r="AK745" s="331"/>
    </row>
    <row r="746" spans="2:45" x14ac:dyDescent="0.25">
      <c r="B746" s="9" t="str">
        <f t="shared" si="106"/>
        <v>1 2027</v>
      </c>
      <c r="C746" s="88">
        <f t="shared" si="107"/>
        <v>46394</v>
      </c>
      <c r="D746" s="88">
        <f t="shared" si="105"/>
        <v>46395</v>
      </c>
      <c r="E746" s="89">
        <f t="shared" si="108"/>
        <v>1</v>
      </c>
      <c r="F746" s="123" t="s">
        <v>7</v>
      </c>
      <c r="H746" s="328">
        <f t="shared" si="109"/>
        <v>46394</v>
      </c>
      <c r="I746" s="329"/>
      <c r="J746" s="400"/>
      <c r="L746" s="331"/>
      <c r="M746" s="331"/>
      <c r="N746" s="331"/>
      <c r="O746" s="331"/>
      <c r="P746" s="331"/>
      <c r="Q746" s="331"/>
      <c r="R746" s="331"/>
      <c r="S746" s="331"/>
      <c r="T746" s="331"/>
      <c r="U746" s="331"/>
      <c r="V746" s="331"/>
      <c r="W746" s="331"/>
      <c r="X746" s="331"/>
      <c r="Z746" s="331"/>
      <c r="AA746" s="331"/>
      <c r="AB746" s="331"/>
      <c r="AD746" s="331"/>
      <c r="AE746" s="331"/>
      <c r="AF746" s="331"/>
      <c r="AH746" s="331"/>
      <c r="AI746" s="331"/>
      <c r="AK746" s="331"/>
    </row>
    <row r="747" spans="2:45" x14ac:dyDescent="0.25">
      <c r="B747" s="9" t="str">
        <f t="shared" si="106"/>
        <v>1 2027</v>
      </c>
      <c r="C747" s="88">
        <f t="shared" si="107"/>
        <v>46395</v>
      </c>
      <c r="D747" s="88">
        <f t="shared" si="105"/>
        <v>46396</v>
      </c>
      <c r="E747" s="89">
        <f t="shared" si="108"/>
        <v>1</v>
      </c>
      <c r="F747" s="123" t="s">
        <v>7</v>
      </c>
      <c r="H747" s="328">
        <f t="shared" si="109"/>
        <v>46395</v>
      </c>
      <c r="I747" s="329"/>
      <c r="J747" s="400"/>
      <c r="L747" s="331"/>
      <c r="M747" s="331"/>
      <c r="N747" s="331"/>
      <c r="O747" s="331"/>
      <c r="P747" s="331"/>
      <c r="Q747" s="331"/>
      <c r="R747" s="331"/>
      <c r="S747" s="331"/>
      <c r="T747" s="331"/>
      <c r="U747" s="331"/>
      <c r="V747" s="331"/>
      <c r="W747" s="331"/>
      <c r="X747" s="331"/>
      <c r="Z747" s="331"/>
      <c r="AA747" s="331"/>
      <c r="AB747" s="331"/>
      <c r="AD747" s="331"/>
      <c r="AE747" s="331"/>
      <c r="AF747" s="331"/>
      <c r="AH747" s="331"/>
      <c r="AI747" s="331"/>
      <c r="AK747" s="331"/>
    </row>
  </sheetData>
  <phoneticPr fontId="38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403F-B328-4D30-B137-8F495F9B7832}">
  <sheetPr>
    <tabColor theme="9" tint="0.39997558519241921"/>
  </sheetPr>
  <dimension ref="A1:AJ420"/>
  <sheetViews>
    <sheetView showGridLines="0" zoomScale="80" zoomScaleNormal="80" workbookViewId="0">
      <pane xSplit="5" ySplit="4" topLeftCell="O351" activePane="bottomRight" state="frozen"/>
      <selection pane="topRight" activeCell="F1" sqref="F1"/>
      <selection pane="bottomLeft" activeCell="A5" sqref="A5"/>
      <selection pane="bottomRight" activeCell="Q389" sqref="Q389"/>
    </sheetView>
  </sheetViews>
  <sheetFormatPr baseColWidth="10" defaultColWidth="10.85546875" defaultRowHeight="15" x14ac:dyDescent="0.25"/>
  <cols>
    <col min="1" max="1" width="1.140625" style="24" customWidth="1"/>
    <col min="2" max="2" width="11" style="24" customWidth="1"/>
    <col min="3" max="3" width="35.85546875" style="25" bestFit="1" customWidth="1"/>
    <col min="4" max="4" width="34.5703125" style="25" bestFit="1" customWidth="1"/>
    <col min="5" max="5" width="4" style="24" customWidth="1"/>
    <col min="6" max="6" width="4.140625" customWidth="1"/>
    <col min="7" max="7" width="25" bestFit="1" customWidth="1"/>
    <col min="8" max="8" width="26.140625" bestFit="1" customWidth="1"/>
    <col min="9" max="9" width="19.5703125" bestFit="1" customWidth="1"/>
    <col min="10" max="10" width="15.5703125" bestFit="1" customWidth="1"/>
    <col min="11" max="11" width="22.140625" bestFit="1" customWidth="1"/>
    <col min="12" max="12" width="13.42578125" bestFit="1" customWidth="1"/>
    <col min="13" max="13" width="8.85546875" customWidth="1"/>
    <col min="14" max="14" width="21.5703125" bestFit="1" customWidth="1"/>
    <col min="15" max="15" width="29" bestFit="1" customWidth="1"/>
    <col min="16" max="16" width="26.140625" bestFit="1" customWidth="1"/>
    <col min="17" max="17" width="19.5703125" bestFit="1" customWidth="1"/>
    <col min="18" max="18" width="19.5703125" customWidth="1"/>
    <col min="19" max="19" width="29.85546875" bestFit="1" customWidth="1"/>
    <col min="20" max="20" width="20.42578125" bestFit="1" customWidth="1"/>
    <col min="21" max="21" width="16.42578125" bestFit="1" customWidth="1"/>
    <col min="22" max="22" width="12" bestFit="1" customWidth="1"/>
    <col min="23" max="23" width="21.5703125" bestFit="1" customWidth="1"/>
    <col min="24" max="24" width="26.140625" bestFit="1" customWidth="1"/>
    <col min="25" max="25" width="19.5703125" bestFit="1" customWidth="1"/>
    <col min="26" max="26" width="15.5703125" bestFit="1" customWidth="1"/>
    <col min="27" max="27" width="20.42578125" bestFit="1" customWidth="1"/>
    <col min="28" max="28" width="21.85546875" bestFit="1" customWidth="1"/>
    <col min="30" max="30" width="21.5703125" bestFit="1" customWidth="1"/>
    <col min="31" max="31" width="26.140625" bestFit="1" customWidth="1"/>
    <col min="32" max="32" width="19.5703125" bestFit="1" customWidth="1"/>
    <col min="33" max="33" width="32" bestFit="1" customWidth="1"/>
    <col min="34" max="34" width="20.42578125" bestFit="1" customWidth="1"/>
    <col min="35" max="35" width="13.42578125" bestFit="1" customWidth="1"/>
  </cols>
  <sheetData>
    <row r="1" spans="2:35" ht="15.75" x14ac:dyDescent="0.25">
      <c r="C1"/>
      <c r="D1"/>
      <c r="E1"/>
      <c r="W1" s="434"/>
      <c r="X1" s="435"/>
      <c r="Y1" s="435"/>
      <c r="Z1" s="435"/>
      <c r="AA1" s="436" t="s">
        <v>210</v>
      </c>
      <c r="AB1" s="436" t="s">
        <v>210</v>
      </c>
      <c r="AD1" s="433"/>
      <c r="AE1" s="435"/>
      <c r="AF1" s="435"/>
      <c r="AG1" s="435"/>
      <c r="AH1" s="436" t="s">
        <v>210</v>
      </c>
      <c r="AI1" s="436" t="s">
        <v>210</v>
      </c>
    </row>
    <row r="2" spans="2:35" ht="26.25" customHeight="1" x14ac:dyDescent="0.25">
      <c r="B2" s="127"/>
      <c r="C2" s="176" t="s">
        <v>70</v>
      </c>
      <c r="D2" s="176" t="s">
        <v>71</v>
      </c>
      <c r="E2" s="127"/>
      <c r="G2" s="141" t="s">
        <v>205</v>
      </c>
      <c r="N2" s="141" t="s">
        <v>212</v>
      </c>
      <c r="O2" s="141"/>
      <c r="W2" s="434" t="s">
        <v>209</v>
      </c>
      <c r="X2" s="437"/>
      <c r="Y2" s="438"/>
      <c r="Z2" s="438"/>
      <c r="AA2" s="438"/>
      <c r="AB2" s="438"/>
      <c r="AD2" s="433" t="s">
        <v>211</v>
      </c>
      <c r="AE2" s="437"/>
      <c r="AF2" s="438"/>
      <c r="AG2" s="438"/>
      <c r="AH2" s="438"/>
      <c r="AI2" s="438"/>
    </row>
    <row r="3" spans="2:35" ht="31.15" customHeight="1" x14ac:dyDescent="0.25">
      <c r="B3" s="128" t="s">
        <v>24</v>
      </c>
      <c r="C3" s="128" t="s">
        <v>1</v>
      </c>
      <c r="D3" s="128" t="s">
        <v>2</v>
      </c>
      <c r="E3" s="129" t="s">
        <v>3</v>
      </c>
      <c r="G3" s="232" t="s">
        <v>208</v>
      </c>
      <c r="H3" s="295" t="s">
        <v>303</v>
      </c>
      <c r="I3" s="440" t="s">
        <v>217</v>
      </c>
      <c r="J3" s="238" t="s">
        <v>207</v>
      </c>
      <c r="K3" s="238" t="s">
        <v>206</v>
      </c>
      <c r="L3" s="239" t="s">
        <v>60</v>
      </c>
      <c r="N3" s="232" t="s">
        <v>208</v>
      </c>
      <c r="O3" s="233" t="s">
        <v>304</v>
      </c>
      <c r="P3" s="295" t="s">
        <v>303</v>
      </c>
      <c r="Q3" s="440" t="s">
        <v>217</v>
      </c>
      <c r="R3" s="440" t="s">
        <v>305</v>
      </c>
      <c r="S3" s="238" t="s">
        <v>207</v>
      </c>
      <c r="T3" s="238" t="s">
        <v>206</v>
      </c>
      <c r="U3" s="239" t="s">
        <v>60</v>
      </c>
      <c r="W3" s="232" t="s">
        <v>208</v>
      </c>
      <c r="X3" s="295" t="s">
        <v>303</v>
      </c>
      <c r="Y3" s="440" t="s">
        <v>217</v>
      </c>
      <c r="Z3" s="238" t="s">
        <v>207</v>
      </c>
      <c r="AA3" s="238" t="s">
        <v>206</v>
      </c>
      <c r="AB3" s="239" t="s">
        <v>60</v>
      </c>
      <c r="AD3" s="232" t="s">
        <v>208</v>
      </c>
      <c r="AE3" s="295" t="s">
        <v>303</v>
      </c>
      <c r="AF3" s="440" t="s">
        <v>217</v>
      </c>
      <c r="AG3" s="238" t="s">
        <v>207</v>
      </c>
      <c r="AH3" s="238" t="s">
        <v>206</v>
      </c>
      <c r="AI3" s="239" t="s">
        <v>60</v>
      </c>
    </row>
    <row r="4" spans="2:35" x14ac:dyDescent="0.25">
      <c r="C4" s="119"/>
      <c r="D4" s="119"/>
    </row>
    <row r="5" spans="2:35" x14ac:dyDescent="0.25">
      <c r="B5" s="137" t="str">
        <f t="shared" ref="B5:B68" si="0">CONCATENATE(MONTH(D5)," ",YEAR(D5))</f>
        <v>1 2025</v>
      </c>
      <c r="C5" s="138">
        <v>45657</v>
      </c>
      <c r="D5" s="138">
        <v>45658</v>
      </c>
      <c r="E5" s="137">
        <f t="shared" ref="E5:E68" si="1">D5-C5</f>
        <v>1</v>
      </c>
    </row>
    <row r="6" spans="2:35" x14ac:dyDescent="0.25">
      <c r="B6" s="137" t="str">
        <f t="shared" si="0"/>
        <v>1 2025</v>
      </c>
      <c r="C6" s="138">
        <f t="shared" ref="C6:C69" si="2">D5</f>
        <v>45658</v>
      </c>
      <c r="D6" s="138">
        <f t="shared" ref="D6:D69" si="3">D5+1</f>
        <v>45659</v>
      </c>
      <c r="E6" s="137">
        <f t="shared" si="1"/>
        <v>1</v>
      </c>
    </row>
    <row r="7" spans="2:35" x14ac:dyDescent="0.25">
      <c r="B7" s="137" t="str">
        <f t="shared" si="0"/>
        <v>1 2025</v>
      </c>
      <c r="C7" s="138">
        <f t="shared" si="2"/>
        <v>45659</v>
      </c>
      <c r="D7" s="138">
        <f t="shared" si="3"/>
        <v>45660</v>
      </c>
      <c r="E7" s="137">
        <f t="shared" si="1"/>
        <v>1</v>
      </c>
    </row>
    <row r="8" spans="2:35" x14ac:dyDescent="0.25">
      <c r="B8" s="137" t="str">
        <f t="shared" si="0"/>
        <v>1 2025</v>
      </c>
      <c r="C8" s="138">
        <f t="shared" si="2"/>
        <v>45660</v>
      </c>
      <c r="D8" s="138">
        <f t="shared" si="3"/>
        <v>45661</v>
      </c>
      <c r="E8" s="137">
        <f t="shared" si="1"/>
        <v>1</v>
      </c>
    </row>
    <row r="9" spans="2:35" x14ac:dyDescent="0.25">
      <c r="B9" s="137" t="str">
        <f t="shared" si="0"/>
        <v>1 2025</v>
      </c>
      <c r="C9" s="138">
        <f t="shared" si="2"/>
        <v>45661</v>
      </c>
      <c r="D9" s="138">
        <f t="shared" si="3"/>
        <v>45662</v>
      </c>
      <c r="E9" s="137">
        <f t="shared" si="1"/>
        <v>1</v>
      </c>
    </row>
    <row r="10" spans="2:35" x14ac:dyDescent="0.25">
      <c r="B10" s="137" t="str">
        <f t="shared" si="0"/>
        <v>1 2025</v>
      </c>
      <c r="C10" s="138">
        <f t="shared" si="2"/>
        <v>45662</v>
      </c>
      <c r="D10" s="138">
        <f t="shared" si="3"/>
        <v>45663</v>
      </c>
      <c r="E10" s="137">
        <f t="shared" si="1"/>
        <v>1</v>
      </c>
    </row>
    <row r="11" spans="2:35" x14ac:dyDescent="0.25">
      <c r="B11" s="137" t="str">
        <f t="shared" si="0"/>
        <v>1 2025</v>
      </c>
      <c r="C11" s="138">
        <f t="shared" si="2"/>
        <v>45663</v>
      </c>
      <c r="D11" s="138">
        <f t="shared" si="3"/>
        <v>45664</v>
      </c>
      <c r="E11" s="137">
        <f t="shared" si="1"/>
        <v>1</v>
      </c>
    </row>
    <row r="12" spans="2:35" x14ac:dyDescent="0.25">
      <c r="B12" s="137" t="str">
        <f t="shared" si="0"/>
        <v>1 2025</v>
      </c>
      <c r="C12" s="138">
        <f t="shared" si="2"/>
        <v>45664</v>
      </c>
      <c r="D12" s="138">
        <f t="shared" si="3"/>
        <v>45665</v>
      </c>
      <c r="E12" s="137">
        <f t="shared" si="1"/>
        <v>1</v>
      </c>
    </row>
    <row r="13" spans="2:35" x14ac:dyDescent="0.25">
      <c r="B13" s="137" t="str">
        <f t="shared" si="0"/>
        <v>1 2025</v>
      </c>
      <c r="C13" s="138">
        <f t="shared" si="2"/>
        <v>45665</v>
      </c>
      <c r="D13" s="138">
        <f t="shared" si="3"/>
        <v>45666</v>
      </c>
      <c r="E13" s="137">
        <f t="shared" si="1"/>
        <v>1</v>
      </c>
    </row>
    <row r="14" spans="2:35" x14ac:dyDescent="0.25">
      <c r="B14" s="137" t="str">
        <f t="shared" si="0"/>
        <v>1 2025</v>
      </c>
      <c r="C14" s="138">
        <f t="shared" si="2"/>
        <v>45666</v>
      </c>
      <c r="D14" s="138">
        <f t="shared" si="3"/>
        <v>45667</v>
      </c>
      <c r="E14" s="137">
        <f t="shared" si="1"/>
        <v>1</v>
      </c>
    </row>
    <row r="15" spans="2:35" x14ac:dyDescent="0.25">
      <c r="B15" s="137" t="str">
        <f t="shared" si="0"/>
        <v>1 2025</v>
      </c>
      <c r="C15" s="138">
        <f t="shared" si="2"/>
        <v>45667</v>
      </c>
      <c r="D15" s="138">
        <f t="shared" si="3"/>
        <v>45668</v>
      </c>
      <c r="E15" s="137">
        <f t="shared" si="1"/>
        <v>1</v>
      </c>
    </row>
    <row r="16" spans="2:35" x14ac:dyDescent="0.25">
      <c r="B16" s="137" t="str">
        <f t="shared" si="0"/>
        <v>1 2025</v>
      </c>
      <c r="C16" s="138">
        <f t="shared" si="2"/>
        <v>45668</v>
      </c>
      <c r="D16" s="138">
        <f t="shared" si="3"/>
        <v>45669</v>
      </c>
      <c r="E16" s="137">
        <f t="shared" si="1"/>
        <v>1</v>
      </c>
    </row>
    <row r="17" spans="2:5" x14ac:dyDescent="0.25">
      <c r="B17" s="137" t="str">
        <f t="shared" si="0"/>
        <v>1 2025</v>
      </c>
      <c r="C17" s="138">
        <f t="shared" si="2"/>
        <v>45669</v>
      </c>
      <c r="D17" s="138">
        <f t="shared" si="3"/>
        <v>45670</v>
      </c>
      <c r="E17" s="137">
        <f t="shared" si="1"/>
        <v>1</v>
      </c>
    </row>
    <row r="18" spans="2:5" x14ac:dyDescent="0.25">
      <c r="B18" s="137" t="str">
        <f t="shared" si="0"/>
        <v>1 2025</v>
      </c>
      <c r="C18" s="138">
        <f t="shared" si="2"/>
        <v>45670</v>
      </c>
      <c r="D18" s="138">
        <f t="shared" si="3"/>
        <v>45671</v>
      </c>
      <c r="E18" s="137">
        <f t="shared" si="1"/>
        <v>1</v>
      </c>
    </row>
    <row r="19" spans="2:5" x14ac:dyDescent="0.25">
      <c r="B19" s="137" t="str">
        <f t="shared" si="0"/>
        <v>1 2025</v>
      </c>
      <c r="C19" s="138">
        <f t="shared" si="2"/>
        <v>45671</v>
      </c>
      <c r="D19" s="138">
        <f t="shared" si="3"/>
        <v>45672</v>
      </c>
      <c r="E19" s="137">
        <f t="shared" si="1"/>
        <v>1</v>
      </c>
    </row>
    <row r="20" spans="2:5" x14ac:dyDescent="0.25">
      <c r="B20" s="137" t="str">
        <f t="shared" si="0"/>
        <v>1 2025</v>
      </c>
      <c r="C20" s="138">
        <f t="shared" si="2"/>
        <v>45672</v>
      </c>
      <c r="D20" s="138">
        <f t="shared" si="3"/>
        <v>45673</v>
      </c>
      <c r="E20" s="137">
        <f t="shared" si="1"/>
        <v>1</v>
      </c>
    </row>
    <row r="21" spans="2:5" x14ac:dyDescent="0.25">
      <c r="B21" s="137" t="str">
        <f t="shared" si="0"/>
        <v>1 2025</v>
      </c>
      <c r="C21" s="138">
        <f t="shared" si="2"/>
        <v>45673</v>
      </c>
      <c r="D21" s="138">
        <f t="shared" si="3"/>
        <v>45674</v>
      </c>
      <c r="E21" s="137">
        <f t="shared" si="1"/>
        <v>1</v>
      </c>
    </row>
    <row r="22" spans="2:5" x14ac:dyDescent="0.25">
      <c r="B22" s="137" t="str">
        <f t="shared" si="0"/>
        <v>1 2025</v>
      </c>
      <c r="C22" s="138">
        <f t="shared" si="2"/>
        <v>45674</v>
      </c>
      <c r="D22" s="138">
        <f t="shared" si="3"/>
        <v>45675</v>
      </c>
      <c r="E22" s="137">
        <f t="shared" si="1"/>
        <v>1</v>
      </c>
    </row>
    <row r="23" spans="2:5" x14ac:dyDescent="0.25">
      <c r="B23" s="137" t="str">
        <f t="shared" si="0"/>
        <v>1 2025</v>
      </c>
      <c r="C23" s="138">
        <f t="shared" si="2"/>
        <v>45675</v>
      </c>
      <c r="D23" s="138">
        <f t="shared" si="3"/>
        <v>45676</v>
      </c>
      <c r="E23" s="137">
        <f t="shared" si="1"/>
        <v>1</v>
      </c>
    </row>
    <row r="24" spans="2:5" x14ac:dyDescent="0.25">
      <c r="B24" s="137" t="str">
        <f t="shared" si="0"/>
        <v>1 2025</v>
      </c>
      <c r="C24" s="138">
        <f t="shared" si="2"/>
        <v>45676</v>
      </c>
      <c r="D24" s="138">
        <f t="shared" si="3"/>
        <v>45677</v>
      </c>
      <c r="E24" s="137">
        <f t="shared" si="1"/>
        <v>1</v>
      </c>
    </row>
    <row r="25" spans="2:5" x14ac:dyDescent="0.25">
      <c r="B25" s="137" t="str">
        <f t="shared" si="0"/>
        <v>1 2025</v>
      </c>
      <c r="C25" s="138">
        <f t="shared" si="2"/>
        <v>45677</v>
      </c>
      <c r="D25" s="138">
        <f t="shared" si="3"/>
        <v>45678</v>
      </c>
      <c r="E25" s="137">
        <f t="shared" si="1"/>
        <v>1</v>
      </c>
    </row>
    <row r="26" spans="2:5" x14ac:dyDescent="0.25">
      <c r="B26" s="137" t="str">
        <f t="shared" si="0"/>
        <v>1 2025</v>
      </c>
      <c r="C26" s="138">
        <f t="shared" si="2"/>
        <v>45678</v>
      </c>
      <c r="D26" s="138">
        <f t="shared" si="3"/>
        <v>45679</v>
      </c>
      <c r="E26" s="137">
        <f t="shared" si="1"/>
        <v>1</v>
      </c>
    </row>
    <row r="27" spans="2:5" x14ac:dyDescent="0.25">
      <c r="B27" s="137" t="str">
        <f t="shared" si="0"/>
        <v>1 2025</v>
      </c>
      <c r="C27" s="138">
        <f t="shared" si="2"/>
        <v>45679</v>
      </c>
      <c r="D27" s="138">
        <f t="shared" si="3"/>
        <v>45680</v>
      </c>
      <c r="E27" s="137">
        <f t="shared" si="1"/>
        <v>1</v>
      </c>
    </row>
    <row r="28" spans="2:5" x14ac:dyDescent="0.25">
      <c r="B28" s="137" t="str">
        <f t="shared" si="0"/>
        <v>1 2025</v>
      </c>
      <c r="C28" s="138">
        <f t="shared" si="2"/>
        <v>45680</v>
      </c>
      <c r="D28" s="138">
        <f t="shared" si="3"/>
        <v>45681</v>
      </c>
      <c r="E28" s="137">
        <f t="shared" si="1"/>
        <v>1</v>
      </c>
    </row>
    <row r="29" spans="2:5" x14ac:dyDescent="0.25">
      <c r="B29" s="137" t="str">
        <f t="shared" si="0"/>
        <v>1 2025</v>
      </c>
      <c r="C29" s="138">
        <f t="shared" si="2"/>
        <v>45681</v>
      </c>
      <c r="D29" s="138">
        <f t="shared" si="3"/>
        <v>45682</v>
      </c>
      <c r="E29" s="137">
        <f t="shared" si="1"/>
        <v>1</v>
      </c>
    </row>
    <row r="30" spans="2:5" x14ac:dyDescent="0.25">
      <c r="B30" s="137" t="str">
        <f t="shared" si="0"/>
        <v>1 2025</v>
      </c>
      <c r="C30" s="138">
        <f t="shared" si="2"/>
        <v>45682</v>
      </c>
      <c r="D30" s="138">
        <f t="shared" si="3"/>
        <v>45683</v>
      </c>
      <c r="E30" s="137">
        <f t="shared" si="1"/>
        <v>1</v>
      </c>
    </row>
    <row r="31" spans="2:5" x14ac:dyDescent="0.25">
      <c r="B31" s="137" t="str">
        <f t="shared" si="0"/>
        <v>1 2025</v>
      </c>
      <c r="C31" s="138">
        <f t="shared" si="2"/>
        <v>45683</v>
      </c>
      <c r="D31" s="138">
        <f t="shared" si="3"/>
        <v>45684</v>
      </c>
      <c r="E31" s="137">
        <f t="shared" si="1"/>
        <v>1</v>
      </c>
    </row>
    <row r="32" spans="2:5" x14ac:dyDescent="0.25">
      <c r="B32" s="137" t="str">
        <f t="shared" si="0"/>
        <v>1 2025</v>
      </c>
      <c r="C32" s="138">
        <f t="shared" si="2"/>
        <v>45684</v>
      </c>
      <c r="D32" s="138">
        <f t="shared" si="3"/>
        <v>45685</v>
      </c>
      <c r="E32" s="137">
        <f t="shared" si="1"/>
        <v>1</v>
      </c>
    </row>
    <row r="33" spans="2:5" x14ac:dyDescent="0.25">
      <c r="B33" s="137" t="str">
        <f t="shared" si="0"/>
        <v>1 2025</v>
      </c>
      <c r="C33" s="138">
        <f t="shared" si="2"/>
        <v>45685</v>
      </c>
      <c r="D33" s="138">
        <f t="shared" si="3"/>
        <v>45686</v>
      </c>
      <c r="E33" s="137">
        <f t="shared" si="1"/>
        <v>1</v>
      </c>
    </row>
    <row r="34" spans="2:5" x14ac:dyDescent="0.25">
      <c r="B34" s="137" t="str">
        <f t="shared" si="0"/>
        <v>1 2025</v>
      </c>
      <c r="C34" s="138">
        <f t="shared" si="2"/>
        <v>45686</v>
      </c>
      <c r="D34" s="138">
        <f t="shared" si="3"/>
        <v>45687</v>
      </c>
      <c r="E34" s="137">
        <f t="shared" si="1"/>
        <v>1</v>
      </c>
    </row>
    <row r="35" spans="2:5" x14ac:dyDescent="0.25">
      <c r="B35" s="148" t="str">
        <f t="shared" si="0"/>
        <v>1 2025</v>
      </c>
      <c r="C35" s="149">
        <f t="shared" si="2"/>
        <v>45687</v>
      </c>
      <c r="D35" s="149">
        <f t="shared" si="3"/>
        <v>45688</v>
      </c>
      <c r="E35" s="148">
        <f t="shared" si="1"/>
        <v>1</v>
      </c>
    </row>
    <row r="36" spans="2:5" x14ac:dyDescent="0.25">
      <c r="B36" s="123" t="str">
        <f t="shared" si="0"/>
        <v>2 2025</v>
      </c>
      <c r="C36" s="122">
        <f t="shared" si="2"/>
        <v>45688</v>
      </c>
      <c r="D36" s="122">
        <f t="shared" si="3"/>
        <v>45689</v>
      </c>
      <c r="E36" s="123">
        <f t="shared" si="1"/>
        <v>1</v>
      </c>
    </row>
    <row r="37" spans="2:5" x14ac:dyDescent="0.25">
      <c r="B37" s="123" t="str">
        <f t="shared" si="0"/>
        <v>2 2025</v>
      </c>
      <c r="C37" s="122">
        <f t="shared" si="2"/>
        <v>45689</v>
      </c>
      <c r="D37" s="122">
        <f t="shared" si="3"/>
        <v>45690</v>
      </c>
      <c r="E37" s="123">
        <f t="shared" si="1"/>
        <v>1</v>
      </c>
    </row>
    <row r="38" spans="2:5" x14ac:dyDescent="0.25">
      <c r="B38" s="123" t="str">
        <f t="shared" si="0"/>
        <v>2 2025</v>
      </c>
      <c r="C38" s="122">
        <f t="shared" si="2"/>
        <v>45690</v>
      </c>
      <c r="D38" s="122">
        <f t="shared" si="3"/>
        <v>45691</v>
      </c>
      <c r="E38" s="123">
        <f t="shared" si="1"/>
        <v>1</v>
      </c>
    </row>
    <row r="39" spans="2:5" x14ac:dyDescent="0.25">
      <c r="B39" s="123" t="str">
        <f t="shared" si="0"/>
        <v>2 2025</v>
      </c>
      <c r="C39" s="122">
        <f t="shared" si="2"/>
        <v>45691</v>
      </c>
      <c r="D39" s="122">
        <f t="shared" si="3"/>
        <v>45692</v>
      </c>
      <c r="E39" s="123">
        <f t="shared" si="1"/>
        <v>1</v>
      </c>
    </row>
    <row r="40" spans="2:5" x14ac:dyDescent="0.25">
      <c r="B40" s="123" t="str">
        <f t="shared" si="0"/>
        <v>2 2025</v>
      </c>
      <c r="C40" s="122">
        <f t="shared" si="2"/>
        <v>45692</v>
      </c>
      <c r="D40" s="122">
        <f t="shared" si="3"/>
        <v>45693</v>
      </c>
      <c r="E40" s="123">
        <f t="shared" si="1"/>
        <v>1</v>
      </c>
    </row>
    <row r="41" spans="2:5" x14ac:dyDescent="0.25">
      <c r="B41" s="123" t="str">
        <f t="shared" si="0"/>
        <v>2 2025</v>
      </c>
      <c r="C41" s="122">
        <f t="shared" si="2"/>
        <v>45693</v>
      </c>
      <c r="D41" s="122">
        <f t="shared" si="3"/>
        <v>45694</v>
      </c>
      <c r="E41" s="123">
        <f t="shared" si="1"/>
        <v>1</v>
      </c>
    </row>
    <row r="42" spans="2:5" x14ac:dyDescent="0.25">
      <c r="B42" s="123" t="str">
        <f t="shared" si="0"/>
        <v>2 2025</v>
      </c>
      <c r="C42" s="122">
        <f t="shared" si="2"/>
        <v>45694</v>
      </c>
      <c r="D42" s="122">
        <f t="shared" si="3"/>
        <v>45695</v>
      </c>
      <c r="E42" s="123">
        <f t="shared" si="1"/>
        <v>1</v>
      </c>
    </row>
    <row r="43" spans="2:5" x14ac:dyDescent="0.25">
      <c r="B43" s="123" t="str">
        <f t="shared" si="0"/>
        <v>2 2025</v>
      </c>
      <c r="C43" s="122">
        <f t="shared" si="2"/>
        <v>45695</v>
      </c>
      <c r="D43" s="122">
        <f t="shared" si="3"/>
        <v>45696</v>
      </c>
      <c r="E43" s="123">
        <f t="shared" si="1"/>
        <v>1</v>
      </c>
    </row>
    <row r="44" spans="2:5" x14ac:dyDescent="0.25">
      <c r="B44" s="123" t="str">
        <f t="shared" si="0"/>
        <v>2 2025</v>
      </c>
      <c r="C44" s="122">
        <f t="shared" si="2"/>
        <v>45696</v>
      </c>
      <c r="D44" s="122">
        <f t="shared" si="3"/>
        <v>45697</v>
      </c>
      <c r="E44" s="123">
        <f t="shared" si="1"/>
        <v>1</v>
      </c>
    </row>
    <row r="45" spans="2:5" x14ac:dyDescent="0.25">
      <c r="B45" s="123" t="str">
        <f t="shared" si="0"/>
        <v>2 2025</v>
      </c>
      <c r="C45" s="122">
        <f t="shared" si="2"/>
        <v>45697</v>
      </c>
      <c r="D45" s="122">
        <f t="shared" si="3"/>
        <v>45698</v>
      </c>
      <c r="E45" s="123">
        <f t="shared" si="1"/>
        <v>1</v>
      </c>
    </row>
    <row r="46" spans="2:5" x14ac:dyDescent="0.25">
      <c r="B46" s="123" t="str">
        <f t="shared" si="0"/>
        <v>2 2025</v>
      </c>
      <c r="C46" s="122">
        <f t="shared" si="2"/>
        <v>45698</v>
      </c>
      <c r="D46" s="122">
        <f t="shared" si="3"/>
        <v>45699</v>
      </c>
      <c r="E46" s="123">
        <f t="shared" si="1"/>
        <v>1</v>
      </c>
    </row>
    <row r="47" spans="2:5" x14ac:dyDescent="0.25">
      <c r="B47" s="123" t="str">
        <f t="shared" si="0"/>
        <v>2 2025</v>
      </c>
      <c r="C47" s="122">
        <f t="shared" si="2"/>
        <v>45699</v>
      </c>
      <c r="D47" s="122">
        <f t="shared" si="3"/>
        <v>45700</v>
      </c>
      <c r="E47" s="123">
        <f t="shared" si="1"/>
        <v>1</v>
      </c>
    </row>
    <row r="48" spans="2:5" x14ac:dyDescent="0.25">
      <c r="B48" s="123" t="str">
        <f t="shared" si="0"/>
        <v>2 2025</v>
      </c>
      <c r="C48" s="122">
        <f t="shared" si="2"/>
        <v>45700</v>
      </c>
      <c r="D48" s="122">
        <f t="shared" si="3"/>
        <v>45701</v>
      </c>
      <c r="E48" s="123">
        <f t="shared" si="1"/>
        <v>1</v>
      </c>
    </row>
    <row r="49" spans="2:5" x14ac:dyDescent="0.25">
      <c r="B49" s="123" t="str">
        <f t="shared" si="0"/>
        <v>2 2025</v>
      </c>
      <c r="C49" s="122">
        <f t="shared" si="2"/>
        <v>45701</v>
      </c>
      <c r="D49" s="122">
        <f t="shared" si="3"/>
        <v>45702</v>
      </c>
      <c r="E49" s="123">
        <f t="shared" si="1"/>
        <v>1</v>
      </c>
    </row>
    <row r="50" spans="2:5" x14ac:dyDescent="0.25">
      <c r="B50" s="123" t="str">
        <f t="shared" si="0"/>
        <v>2 2025</v>
      </c>
      <c r="C50" s="122">
        <f t="shared" si="2"/>
        <v>45702</v>
      </c>
      <c r="D50" s="122">
        <f t="shared" si="3"/>
        <v>45703</v>
      </c>
      <c r="E50" s="123">
        <f t="shared" si="1"/>
        <v>1</v>
      </c>
    </row>
    <row r="51" spans="2:5" x14ac:dyDescent="0.25">
      <c r="B51" s="123" t="str">
        <f t="shared" si="0"/>
        <v>2 2025</v>
      </c>
      <c r="C51" s="122">
        <f t="shared" si="2"/>
        <v>45703</v>
      </c>
      <c r="D51" s="122">
        <f t="shared" si="3"/>
        <v>45704</v>
      </c>
      <c r="E51" s="123">
        <f t="shared" si="1"/>
        <v>1</v>
      </c>
    </row>
    <row r="52" spans="2:5" x14ac:dyDescent="0.25">
      <c r="B52" s="123" t="str">
        <f t="shared" si="0"/>
        <v>2 2025</v>
      </c>
      <c r="C52" s="122">
        <f t="shared" si="2"/>
        <v>45704</v>
      </c>
      <c r="D52" s="122">
        <f t="shared" si="3"/>
        <v>45705</v>
      </c>
      <c r="E52" s="123">
        <f t="shared" si="1"/>
        <v>1</v>
      </c>
    </row>
    <row r="53" spans="2:5" x14ac:dyDescent="0.25">
      <c r="B53" s="123" t="str">
        <f t="shared" si="0"/>
        <v>2 2025</v>
      </c>
      <c r="C53" s="122">
        <f t="shared" si="2"/>
        <v>45705</v>
      </c>
      <c r="D53" s="122">
        <f t="shared" si="3"/>
        <v>45706</v>
      </c>
      <c r="E53" s="123">
        <f t="shared" si="1"/>
        <v>1</v>
      </c>
    </row>
    <row r="54" spans="2:5" x14ac:dyDescent="0.25">
      <c r="B54" s="123" t="str">
        <f t="shared" si="0"/>
        <v>2 2025</v>
      </c>
      <c r="C54" s="122">
        <f t="shared" si="2"/>
        <v>45706</v>
      </c>
      <c r="D54" s="122">
        <f t="shared" si="3"/>
        <v>45707</v>
      </c>
      <c r="E54" s="123">
        <f t="shared" si="1"/>
        <v>1</v>
      </c>
    </row>
    <row r="55" spans="2:5" x14ac:dyDescent="0.25">
      <c r="B55" s="123" t="str">
        <f t="shared" si="0"/>
        <v>2 2025</v>
      </c>
      <c r="C55" s="122">
        <f t="shared" si="2"/>
        <v>45707</v>
      </c>
      <c r="D55" s="122">
        <f t="shared" si="3"/>
        <v>45708</v>
      </c>
      <c r="E55" s="123">
        <f t="shared" si="1"/>
        <v>1</v>
      </c>
    </row>
    <row r="56" spans="2:5" x14ac:dyDescent="0.25">
      <c r="B56" s="123" t="str">
        <f t="shared" si="0"/>
        <v>2 2025</v>
      </c>
      <c r="C56" s="122">
        <f t="shared" si="2"/>
        <v>45708</v>
      </c>
      <c r="D56" s="122">
        <f t="shared" si="3"/>
        <v>45709</v>
      </c>
      <c r="E56" s="123">
        <f t="shared" si="1"/>
        <v>1</v>
      </c>
    </row>
    <row r="57" spans="2:5" x14ac:dyDescent="0.25">
      <c r="B57" s="123" t="str">
        <f t="shared" si="0"/>
        <v>2 2025</v>
      </c>
      <c r="C57" s="122">
        <f t="shared" si="2"/>
        <v>45709</v>
      </c>
      <c r="D57" s="122">
        <f t="shared" si="3"/>
        <v>45710</v>
      </c>
      <c r="E57" s="123">
        <f t="shared" si="1"/>
        <v>1</v>
      </c>
    </row>
    <row r="58" spans="2:5" x14ac:dyDescent="0.25">
      <c r="B58" s="123" t="str">
        <f t="shared" si="0"/>
        <v>2 2025</v>
      </c>
      <c r="C58" s="122">
        <f t="shared" si="2"/>
        <v>45710</v>
      </c>
      <c r="D58" s="122">
        <f t="shared" si="3"/>
        <v>45711</v>
      </c>
      <c r="E58" s="123">
        <f t="shared" si="1"/>
        <v>1</v>
      </c>
    </row>
    <row r="59" spans="2:5" x14ac:dyDescent="0.25">
      <c r="B59" s="123" t="str">
        <f t="shared" si="0"/>
        <v>2 2025</v>
      </c>
      <c r="C59" s="122">
        <f t="shared" si="2"/>
        <v>45711</v>
      </c>
      <c r="D59" s="122">
        <f t="shared" si="3"/>
        <v>45712</v>
      </c>
      <c r="E59" s="123">
        <f t="shared" si="1"/>
        <v>1</v>
      </c>
    </row>
    <row r="60" spans="2:5" x14ac:dyDescent="0.25">
      <c r="B60" s="123" t="str">
        <f t="shared" si="0"/>
        <v>2 2025</v>
      </c>
      <c r="C60" s="122">
        <f t="shared" si="2"/>
        <v>45712</v>
      </c>
      <c r="D60" s="122">
        <f t="shared" si="3"/>
        <v>45713</v>
      </c>
      <c r="E60" s="123">
        <f t="shared" si="1"/>
        <v>1</v>
      </c>
    </row>
    <row r="61" spans="2:5" x14ac:dyDescent="0.25">
      <c r="B61" s="123" t="str">
        <f t="shared" si="0"/>
        <v>2 2025</v>
      </c>
      <c r="C61" s="122">
        <f t="shared" si="2"/>
        <v>45713</v>
      </c>
      <c r="D61" s="122">
        <f t="shared" si="3"/>
        <v>45714</v>
      </c>
      <c r="E61" s="123">
        <f t="shared" si="1"/>
        <v>1</v>
      </c>
    </row>
    <row r="62" spans="2:5" x14ac:dyDescent="0.25">
      <c r="B62" s="123" t="str">
        <f t="shared" si="0"/>
        <v>2 2025</v>
      </c>
      <c r="C62" s="122">
        <f t="shared" si="2"/>
        <v>45714</v>
      </c>
      <c r="D62" s="122">
        <f t="shared" si="3"/>
        <v>45715</v>
      </c>
      <c r="E62" s="123">
        <f t="shared" si="1"/>
        <v>1</v>
      </c>
    </row>
    <row r="63" spans="2:5" x14ac:dyDescent="0.25">
      <c r="B63" s="148" t="str">
        <f t="shared" si="0"/>
        <v>2 2025</v>
      </c>
      <c r="C63" s="149">
        <f t="shared" si="2"/>
        <v>45715</v>
      </c>
      <c r="D63" s="149">
        <f t="shared" si="3"/>
        <v>45716</v>
      </c>
      <c r="E63" s="148">
        <f t="shared" si="1"/>
        <v>1</v>
      </c>
    </row>
    <row r="64" spans="2:5" x14ac:dyDescent="0.25">
      <c r="B64" s="123" t="str">
        <f t="shared" si="0"/>
        <v>3 2025</v>
      </c>
      <c r="C64" s="122">
        <f t="shared" si="2"/>
        <v>45716</v>
      </c>
      <c r="D64" s="122">
        <f t="shared" si="3"/>
        <v>45717</v>
      </c>
      <c r="E64" s="123">
        <f t="shared" si="1"/>
        <v>1</v>
      </c>
    </row>
    <row r="65" spans="2:5" x14ac:dyDescent="0.25">
      <c r="B65" s="123" t="str">
        <f t="shared" si="0"/>
        <v>3 2025</v>
      </c>
      <c r="C65" s="122">
        <f t="shared" si="2"/>
        <v>45717</v>
      </c>
      <c r="D65" s="122">
        <f t="shared" si="3"/>
        <v>45718</v>
      </c>
      <c r="E65" s="123">
        <f t="shared" si="1"/>
        <v>1</v>
      </c>
    </row>
    <row r="66" spans="2:5" x14ac:dyDescent="0.25">
      <c r="B66" s="123" t="str">
        <f t="shared" si="0"/>
        <v>3 2025</v>
      </c>
      <c r="C66" s="122">
        <f t="shared" si="2"/>
        <v>45718</v>
      </c>
      <c r="D66" s="122">
        <f t="shared" si="3"/>
        <v>45719</v>
      </c>
      <c r="E66" s="123">
        <f t="shared" si="1"/>
        <v>1</v>
      </c>
    </row>
    <row r="67" spans="2:5" x14ac:dyDescent="0.25">
      <c r="B67" s="123" t="str">
        <f t="shared" si="0"/>
        <v>3 2025</v>
      </c>
      <c r="C67" s="122">
        <f t="shared" si="2"/>
        <v>45719</v>
      </c>
      <c r="D67" s="122">
        <f t="shared" si="3"/>
        <v>45720</v>
      </c>
      <c r="E67" s="123">
        <f t="shared" si="1"/>
        <v>1</v>
      </c>
    </row>
    <row r="68" spans="2:5" x14ac:dyDescent="0.25">
      <c r="B68" s="123" t="str">
        <f t="shared" si="0"/>
        <v>3 2025</v>
      </c>
      <c r="C68" s="122">
        <f t="shared" si="2"/>
        <v>45720</v>
      </c>
      <c r="D68" s="122">
        <f t="shared" si="3"/>
        <v>45721</v>
      </c>
      <c r="E68" s="123">
        <f t="shared" si="1"/>
        <v>1</v>
      </c>
    </row>
    <row r="69" spans="2:5" x14ac:dyDescent="0.25">
      <c r="B69" s="123" t="str">
        <f t="shared" ref="B69:B132" si="4">CONCATENATE(MONTH(D69)," ",YEAR(D69))</f>
        <v>3 2025</v>
      </c>
      <c r="C69" s="122">
        <f t="shared" si="2"/>
        <v>45721</v>
      </c>
      <c r="D69" s="122">
        <f t="shared" si="3"/>
        <v>45722</v>
      </c>
      <c r="E69" s="123">
        <f t="shared" ref="E69:E132" si="5">D69-C69</f>
        <v>1</v>
      </c>
    </row>
    <row r="70" spans="2:5" x14ac:dyDescent="0.25">
      <c r="B70" s="123" t="str">
        <f t="shared" si="4"/>
        <v>3 2025</v>
      </c>
      <c r="C70" s="122">
        <f t="shared" ref="C70:C133" si="6">D69</f>
        <v>45722</v>
      </c>
      <c r="D70" s="122">
        <f t="shared" ref="D70:D133" si="7">D69+1</f>
        <v>45723</v>
      </c>
      <c r="E70" s="123">
        <f t="shared" si="5"/>
        <v>1</v>
      </c>
    </row>
    <row r="71" spans="2:5" x14ac:dyDescent="0.25">
      <c r="B71" s="123" t="str">
        <f t="shared" si="4"/>
        <v>3 2025</v>
      </c>
      <c r="C71" s="122">
        <f t="shared" si="6"/>
        <v>45723</v>
      </c>
      <c r="D71" s="122">
        <f t="shared" si="7"/>
        <v>45724</v>
      </c>
      <c r="E71" s="123">
        <f t="shared" si="5"/>
        <v>1</v>
      </c>
    </row>
    <row r="72" spans="2:5" x14ac:dyDescent="0.25">
      <c r="B72" s="123" t="str">
        <f t="shared" si="4"/>
        <v>3 2025</v>
      </c>
      <c r="C72" s="122">
        <f t="shared" si="6"/>
        <v>45724</v>
      </c>
      <c r="D72" s="122">
        <f t="shared" si="7"/>
        <v>45725</v>
      </c>
      <c r="E72" s="123">
        <f t="shared" si="5"/>
        <v>1</v>
      </c>
    </row>
    <row r="73" spans="2:5" x14ac:dyDescent="0.25">
      <c r="B73" s="123" t="str">
        <f t="shared" si="4"/>
        <v>3 2025</v>
      </c>
      <c r="C73" s="122">
        <f t="shared" si="6"/>
        <v>45725</v>
      </c>
      <c r="D73" s="122">
        <f t="shared" si="7"/>
        <v>45726</v>
      </c>
      <c r="E73" s="123">
        <f t="shared" si="5"/>
        <v>1</v>
      </c>
    </row>
    <row r="74" spans="2:5" x14ac:dyDescent="0.25">
      <c r="B74" s="123" t="str">
        <f t="shared" si="4"/>
        <v>3 2025</v>
      </c>
      <c r="C74" s="122">
        <f t="shared" si="6"/>
        <v>45726</v>
      </c>
      <c r="D74" s="122">
        <f t="shared" si="7"/>
        <v>45727</v>
      </c>
      <c r="E74" s="123">
        <f t="shared" si="5"/>
        <v>1</v>
      </c>
    </row>
    <row r="75" spans="2:5" x14ac:dyDescent="0.25">
      <c r="B75" s="123" t="str">
        <f t="shared" si="4"/>
        <v>3 2025</v>
      </c>
      <c r="C75" s="122">
        <f t="shared" si="6"/>
        <v>45727</v>
      </c>
      <c r="D75" s="122">
        <f t="shared" si="7"/>
        <v>45728</v>
      </c>
      <c r="E75" s="123">
        <f t="shared" si="5"/>
        <v>1</v>
      </c>
    </row>
    <row r="76" spans="2:5" x14ac:dyDescent="0.25">
      <c r="B76" s="123" t="str">
        <f t="shared" si="4"/>
        <v>3 2025</v>
      </c>
      <c r="C76" s="122">
        <f t="shared" si="6"/>
        <v>45728</v>
      </c>
      <c r="D76" s="122">
        <f t="shared" si="7"/>
        <v>45729</v>
      </c>
      <c r="E76" s="123">
        <f t="shared" si="5"/>
        <v>1</v>
      </c>
    </row>
    <row r="77" spans="2:5" x14ac:dyDescent="0.25">
      <c r="B77" s="123" t="str">
        <f t="shared" si="4"/>
        <v>3 2025</v>
      </c>
      <c r="C77" s="122">
        <f t="shared" si="6"/>
        <v>45729</v>
      </c>
      <c r="D77" s="122">
        <f t="shared" si="7"/>
        <v>45730</v>
      </c>
      <c r="E77" s="123">
        <f t="shared" si="5"/>
        <v>1</v>
      </c>
    </row>
    <row r="78" spans="2:5" x14ac:dyDescent="0.25">
      <c r="B78" s="123" t="str">
        <f t="shared" si="4"/>
        <v>3 2025</v>
      </c>
      <c r="C78" s="122">
        <f t="shared" si="6"/>
        <v>45730</v>
      </c>
      <c r="D78" s="122">
        <f t="shared" si="7"/>
        <v>45731</v>
      </c>
      <c r="E78" s="123">
        <f t="shared" si="5"/>
        <v>1</v>
      </c>
    </row>
    <row r="79" spans="2:5" x14ac:dyDescent="0.25">
      <c r="B79" s="123" t="str">
        <f t="shared" si="4"/>
        <v>3 2025</v>
      </c>
      <c r="C79" s="122">
        <f t="shared" si="6"/>
        <v>45731</v>
      </c>
      <c r="D79" s="122">
        <f t="shared" si="7"/>
        <v>45732</v>
      </c>
      <c r="E79" s="123">
        <f t="shared" si="5"/>
        <v>1</v>
      </c>
    </row>
    <row r="80" spans="2:5" x14ac:dyDescent="0.25">
      <c r="B80" s="123" t="str">
        <f t="shared" si="4"/>
        <v>3 2025</v>
      </c>
      <c r="C80" s="122">
        <f t="shared" si="6"/>
        <v>45732</v>
      </c>
      <c r="D80" s="122">
        <f t="shared" si="7"/>
        <v>45733</v>
      </c>
      <c r="E80" s="123">
        <f t="shared" si="5"/>
        <v>1</v>
      </c>
    </row>
    <row r="81" spans="2:5" x14ac:dyDescent="0.25">
      <c r="B81" s="123" t="str">
        <f t="shared" si="4"/>
        <v>3 2025</v>
      </c>
      <c r="C81" s="122">
        <f t="shared" si="6"/>
        <v>45733</v>
      </c>
      <c r="D81" s="122">
        <f t="shared" si="7"/>
        <v>45734</v>
      </c>
      <c r="E81" s="123">
        <f t="shared" si="5"/>
        <v>1</v>
      </c>
    </row>
    <row r="82" spans="2:5" x14ac:dyDescent="0.25">
      <c r="B82" s="123" t="str">
        <f t="shared" si="4"/>
        <v>3 2025</v>
      </c>
      <c r="C82" s="122">
        <f t="shared" si="6"/>
        <v>45734</v>
      </c>
      <c r="D82" s="122">
        <f t="shared" si="7"/>
        <v>45735</v>
      </c>
      <c r="E82" s="123">
        <f t="shared" si="5"/>
        <v>1</v>
      </c>
    </row>
    <row r="83" spans="2:5" x14ac:dyDescent="0.25">
      <c r="B83" s="123" t="str">
        <f t="shared" si="4"/>
        <v>3 2025</v>
      </c>
      <c r="C83" s="122">
        <f t="shared" si="6"/>
        <v>45735</v>
      </c>
      <c r="D83" s="122">
        <f t="shared" si="7"/>
        <v>45736</v>
      </c>
      <c r="E83" s="123">
        <f t="shared" si="5"/>
        <v>1</v>
      </c>
    </row>
    <row r="84" spans="2:5" x14ac:dyDescent="0.25">
      <c r="B84" s="123" t="str">
        <f t="shared" si="4"/>
        <v>3 2025</v>
      </c>
      <c r="C84" s="122">
        <f t="shared" si="6"/>
        <v>45736</v>
      </c>
      <c r="D84" s="122">
        <f t="shared" si="7"/>
        <v>45737</v>
      </c>
      <c r="E84" s="123">
        <f t="shared" si="5"/>
        <v>1</v>
      </c>
    </row>
    <row r="85" spans="2:5" x14ac:dyDescent="0.25">
      <c r="B85" s="123" t="str">
        <f t="shared" si="4"/>
        <v>3 2025</v>
      </c>
      <c r="C85" s="122">
        <f t="shared" si="6"/>
        <v>45737</v>
      </c>
      <c r="D85" s="122">
        <f t="shared" si="7"/>
        <v>45738</v>
      </c>
      <c r="E85" s="123">
        <f t="shared" si="5"/>
        <v>1</v>
      </c>
    </row>
    <row r="86" spans="2:5" x14ac:dyDescent="0.25">
      <c r="B86" s="123" t="str">
        <f t="shared" si="4"/>
        <v>3 2025</v>
      </c>
      <c r="C86" s="122">
        <f t="shared" si="6"/>
        <v>45738</v>
      </c>
      <c r="D86" s="122">
        <f t="shared" si="7"/>
        <v>45739</v>
      </c>
      <c r="E86" s="123">
        <f t="shared" si="5"/>
        <v>1</v>
      </c>
    </row>
    <row r="87" spans="2:5" x14ac:dyDescent="0.25">
      <c r="B87" s="123" t="str">
        <f t="shared" si="4"/>
        <v>3 2025</v>
      </c>
      <c r="C87" s="122">
        <f t="shared" si="6"/>
        <v>45739</v>
      </c>
      <c r="D87" s="122">
        <f t="shared" si="7"/>
        <v>45740</v>
      </c>
      <c r="E87" s="123">
        <f t="shared" si="5"/>
        <v>1</v>
      </c>
    </row>
    <row r="88" spans="2:5" x14ac:dyDescent="0.25">
      <c r="B88" s="123" t="str">
        <f t="shared" si="4"/>
        <v>3 2025</v>
      </c>
      <c r="C88" s="122">
        <f t="shared" si="6"/>
        <v>45740</v>
      </c>
      <c r="D88" s="122">
        <f t="shared" si="7"/>
        <v>45741</v>
      </c>
      <c r="E88" s="123">
        <f t="shared" si="5"/>
        <v>1</v>
      </c>
    </row>
    <row r="89" spans="2:5" x14ac:dyDescent="0.25">
      <c r="B89" s="123" t="str">
        <f t="shared" si="4"/>
        <v>3 2025</v>
      </c>
      <c r="C89" s="122">
        <f t="shared" si="6"/>
        <v>45741</v>
      </c>
      <c r="D89" s="122">
        <f t="shared" si="7"/>
        <v>45742</v>
      </c>
      <c r="E89" s="123">
        <f t="shared" si="5"/>
        <v>1</v>
      </c>
    </row>
    <row r="90" spans="2:5" x14ac:dyDescent="0.25">
      <c r="B90" s="123" t="str">
        <f t="shared" si="4"/>
        <v>3 2025</v>
      </c>
      <c r="C90" s="122">
        <f t="shared" si="6"/>
        <v>45742</v>
      </c>
      <c r="D90" s="122">
        <f t="shared" si="7"/>
        <v>45743</v>
      </c>
      <c r="E90" s="123">
        <f t="shared" si="5"/>
        <v>1</v>
      </c>
    </row>
    <row r="91" spans="2:5" x14ac:dyDescent="0.25">
      <c r="B91" s="123" t="str">
        <f t="shared" si="4"/>
        <v>3 2025</v>
      </c>
      <c r="C91" s="122">
        <f t="shared" si="6"/>
        <v>45743</v>
      </c>
      <c r="D91" s="122">
        <f t="shared" si="7"/>
        <v>45744</v>
      </c>
      <c r="E91" s="123">
        <f t="shared" si="5"/>
        <v>1</v>
      </c>
    </row>
    <row r="92" spans="2:5" x14ac:dyDescent="0.25">
      <c r="B92" s="123" t="str">
        <f t="shared" si="4"/>
        <v>3 2025</v>
      </c>
      <c r="C92" s="122">
        <f t="shared" si="6"/>
        <v>45744</v>
      </c>
      <c r="D92" s="122">
        <f t="shared" si="7"/>
        <v>45745</v>
      </c>
      <c r="E92" s="123">
        <f t="shared" si="5"/>
        <v>1</v>
      </c>
    </row>
    <row r="93" spans="2:5" x14ac:dyDescent="0.25">
      <c r="B93" s="123" t="str">
        <f t="shared" si="4"/>
        <v>3 2025</v>
      </c>
      <c r="C93" s="122">
        <f t="shared" si="6"/>
        <v>45745</v>
      </c>
      <c r="D93" s="122">
        <f t="shared" si="7"/>
        <v>45746</v>
      </c>
      <c r="E93" s="123">
        <f t="shared" si="5"/>
        <v>1</v>
      </c>
    </row>
    <row r="94" spans="2:5" x14ac:dyDescent="0.25">
      <c r="B94" s="148" t="str">
        <f t="shared" si="4"/>
        <v>3 2025</v>
      </c>
      <c r="C94" s="149">
        <f t="shared" si="6"/>
        <v>45746</v>
      </c>
      <c r="D94" s="149">
        <f t="shared" si="7"/>
        <v>45747</v>
      </c>
      <c r="E94" s="148">
        <f t="shared" si="5"/>
        <v>1</v>
      </c>
    </row>
    <row r="95" spans="2:5" x14ac:dyDescent="0.25">
      <c r="B95" s="123" t="str">
        <f t="shared" si="4"/>
        <v>4 2025</v>
      </c>
      <c r="C95" s="122">
        <f t="shared" si="6"/>
        <v>45747</v>
      </c>
      <c r="D95" s="122">
        <f t="shared" si="7"/>
        <v>45748</v>
      </c>
      <c r="E95" s="123">
        <f t="shared" si="5"/>
        <v>1</v>
      </c>
    </row>
    <row r="96" spans="2:5" x14ac:dyDescent="0.25">
      <c r="B96" s="123" t="str">
        <f t="shared" si="4"/>
        <v>4 2025</v>
      </c>
      <c r="C96" s="122">
        <f t="shared" si="6"/>
        <v>45748</v>
      </c>
      <c r="D96" s="122">
        <f t="shared" si="7"/>
        <v>45749</v>
      </c>
      <c r="E96" s="123">
        <f t="shared" si="5"/>
        <v>1</v>
      </c>
    </row>
    <row r="97" spans="2:5" x14ac:dyDescent="0.25">
      <c r="B97" s="123" t="str">
        <f t="shared" si="4"/>
        <v>4 2025</v>
      </c>
      <c r="C97" s="122">
        <f t="shared" si="6"/>
        <v>45749</v>
      </c>
      <c r="D97" s="122">
        <f t="shared" si="7"/>
        <v>45750</v>
      </c>
      <c r="E97" s="123">
        <f t="shared" si="5"/>
        <v>1</v>
      </c>
    </row>
    <row r="98" spans="2:5" x14ac:dyDescent="0.25">
      <c r="B98" s="123" t="str">
        <f t="shared" si="4"/>
        <v>4 2025</v>
      </c>
      <c r="C98" s="122">
        <f t="shared" si="6"/>
        <v>45750</v>
      </c>
      <c r="D98" s="122">
        <f t="shared" si="7"/>
        <v>45751</v>
      </c>
      <c r="E98" s="123">
        <f t="shared" si="5"/>
        <v>1</v>
      </c>
    </row>
    <row r="99" spans="2:5" x14ac:dyDescent="0.25">
      <c r="B99" s="123" t="str">
        <f t="shared" si="4"/>
        <v>4 2025</v>
      </c>
      <c r="C99" s="122">
        <f t="shared" si="6"/>
        <v>45751</v>
      </c>
      <c r="D99" s="122">
        <f t="shared" si="7"/>
        <v>45752</v>
      </c>
      <c r="E99" s="123">
        <f t="shared" si="5"/>
        <v>1</v>
      </c>
    </row>
    <row r="100" spans="2:5" x14ac:dyDescent="0.25">
      <c r="B100" s="123" t="str">
        <f t="shared" si="4"/>
        <v>4 2025</v>
      </c>
      <c r="C100" s="122">
        <f t="shared" si="6"/>
        <v>45752</v>
      </c>
      <c r="D100" s="122">
        <f t="shared" si="7"/>
        <v>45753</v>
      </c>
      <c r="E100" s="123">
        <f t="shared" si="5"/>
        <v>1</v>
      </c>
    </row>
    <row r="101" spans="2:5" x14ac:dyDescent="0.25">
      <c r="B101" s="123" t="str">
        <f t="shared" si="4"/>
        <v>4 2025</v>
      </c>
      <c r="C101" s="122">
        <f t="shared" si="6"/>
        <v>45753</v>
      </c>
      <c r="D101" s="122">
        <f t="shared" si="7"/>
        <v>45754</v>
      </c>
      <c r="E101" s="123">
        <f t="shared" si="5"/>
        <v>1</v>
      </c>
    </row>
    <row r="102" spans="2:5" x14ac:dyDescent="0.25">
      <c r="B102" s="123" t="str">
        <f t="shared" si="4"/>
        <v>4 2025</v>
      </c>
      <c r="C102" s="122">
        <f t="shared" si="6"/>
        <v>45754</v>
      </c>
      <c r="D102" s="122">
        <f t="shared" si="7"/>
        <v>45755</v>
      </c>
      <c r="E102" s="123">
        <f t="shared" si="5"/>
        <v>1</v>
      </c>
    </row>
    <row r="103" spans="2:5" x14ac:dyDescent="0.25">
      <c r="B103" s="123" t="str">
        <f t="shared" si="4"/>
        <v>4 2025</v>
      </c>
      <c r="C103" s="122">
        <f t="shared" si="6"/>
        <v>45755</v>
      </c>
      <c r="D103" s="122">
        <f t="shared" si="7"/>
        <v>45756</v>
      </c>
      <c r="E103" s="123">
        <f t="shared" si="5"/>
        <v>1</v>
      </c>
    </row>
    <row r="104" spans="2:5" x14ac:dyDescent="0.25">
      <c r="B104" s="123" t="str">
        <f t="shared" si="4"/>
        <v>4 2025</v>
      </c>
      <c r="C104" s="122">
        <f t="shared" si="6"/>
        <v>45756</v>
      </c>
      <c r="D104" s="122">
        <f t="shared" si="7"/>
        <v>45757</v>
      </c>
      <c r="E104" s="123">
        <f t="shared" si="5"/>
        <v>1</v>
      </c>
    </row>
    <row r="105" spans="2:5" x14ac:dyDescent="0.25">
      <c r="B105" s="123" t="str">
        <f t="shared" si="4"/>
        <v>4 2025</v>
      </c>
      <c r="C105" s="122">
        <f t="shared" si="6"/>
        <v>45757</v>
      </c>
      <c r="D105" s="122">
        <f t="shared" si="7"/>
        <v>45758</v>
      </c>
      <c r="E105" s="123">
        <f t="shared" si="5"/>
        <v>1</v>
      </c>
    </row>
    <row r="106" spans="2:5" x14ac:dyDescent="0.25">
      <c r="B106" s="123" t="str">
        <f t="shared" si="4"/>
        <v>4 2025</v>
      </c>
      <c r="C106" s="122">
        <f t="shared" si="6"/>
        <v>45758</v>
      </c>
      <c r="D106" s="122">
        <f t="shared" si="7"/>
        <v>45759</v>
      </c>
      <c r="E106" s="123">
        <f t="shared" si="5"/>
        <v>1</v>
      </c>
    </row>
    <row r="107" spans="2:5" x14ac:dyDescent="0.25">
      <c r="B107" s="123" t="str">
        <f t="shared" si="4"/>
        <v>4 2025</v>
      </c>
      <c r="C107" s="122">
        <f t="shared" si="6"/>
        <v>45759</v>
      </c>
      <c r="D107" s="122">
        <f t="shared" si="7"/>
        <v>45760</v>
      </c>
      <c r="E107" s="123">
        <f t="shared" si="5"/>
        <v>1</v>
      </c>
    </row>
    <row r="108" spans="2:5" x14ac:dyDescent="0.25">
      <c r="B108" s="123" t="str">
        <f t="shared" si="4"/>
        <v>4 2025</v>
      </c>
      <c r="C108" s="122">
        <f t="shared" si="6"/>
        <v>45760</v>
      </c>
      <c r="D108" s="122">
        <f t="shared" si="7"/>
        <v>45761</v>
      </c>
      <c r="E108" s="123">
        <f t="shared" si="5"/>
        <v>1</v>
      </c>
    </row>
    <row r="109" spans="2:5" x14ac:dyDescent="0.25">
      <c r="B109" s="123" t="str">
        <f t="shared" si="4"/>
        <v>4 2025</v>
      </c>
      <c r="C109" s="122">
        <f t="shared" si="6"/>
        <v>45761</v>
      </c>
      <c r="D109" s="122">
        <f t="shared" si="7"/>
        <v>45762</v>
      </c>
      <c r="E109" s="123">
        <f t="shared" si="5"/>
        <v>1</v>
      </c>
    </row>
    <row r="110" spans="2:5" x14ac:dyDescent="0.25">
      <c r="B110" s="123" t="str">
        <f t="shared" si="4"/>
        <v>4 2025</v>
      </c>
      <c r="C110" s="122">
        <f t="shared" si="6"/>
        <v>45762</v>
      </c>
      <c r="D110" s="122">
        <f t="shared" si="7"/>
        <v>45763</v>
      </c>
      <c r="E110" s="123">
        <f t="shared" si="5"/>
        <v>1</v>
      </c>
    </row>
    <row r="111" spans="2:5" x14ac:dyDescent="0.25">
      <c r="B111" s="123" t="str">
        <f t="shared" si="4"/>
        <v>4 2025</v>
      </c>
      <c r="C111" s="122">
        <f t="shared" si="6"/>
        <v>45763</v>
      </c>
      <c r="D111" s="122">
        <f t="shared" si="7"/>
        <v>45764</v>
      </c>
      <c r="E111" s="123">
        <f t="shared" si="5"/>
        <v>1</v>
      </c>
    </row>
    <row r="112" spans="2:5" x14ac:dyDescent="0.25">
      <c r="B112" s="123" t="str">
        <f t="shared" si="4"/>
        <v>4 2025</v>
      </c>
      <c r="C112" s="122">
        <f t="shared" si="6"/>
        <v>45764</v>
      </c>
      <c r="D112" s="122">
        <f t="shared" si="7"/>
        <v>45765</v>
      </c>
      <c r="E112" s="123">
        <f t="shared" si="5"/>
        <v>1</v>
      </c>
    </row>
    <row r="113" spans="2:5" x14ac:dyDescent="0.25">
      <c r="B113" s="123" t="str">
        <f t="shared" si="4"/>
        <v>4 2025</v>
      </c>
      <c r="C113" s="122">
        <f t="shared" si="6"/>
        <v>45765</v>
      </c>
      <c r="D113" s="122">
        <f t="shared" si="7"/>
        <v>45766</v>
      </c>
      <c r="E113" s="123">
        <f t="shared" si="5"/>
        <v>1</v>
      </c>
    </row>
    <row r="114" spans="2:5" x14ac:dyDescent="0.25">
      <c r="B114" s="123" t="str">
        <f t="shared" si="4"/>
        <v>4 2025</v>
      </c>
      <c r="C114" s="122">
        <f t="shared" si="6"/>
        <v>45766</v>
      </c>
      <c r="D114" s="122">
        <f t="shared" si="7"/>
        <v>45767</v>
      </c>
      <c r="E114" s="123">
        <f t="shared" si="5"/>
        <v>1</v>
      </c>
    </row>
    <row r="115" spans="2:5" x14ac:dyDescent="0.25">
      <c r="B115" s="123" t="str">
        <f t="shared" si="4"/>
        <v>4 2025</v>
      </c>
      <c r="C115" s="122">
        <f t="shared" si="6"/>
        <v>45767</v>
      </c>
      <c r="D115" s="122">
        <f t="shared" si="7"/>
        <v>45768</v>
      </c>
      <c r="E115" s="123">
        <f t="shared" si="5"/>
        <v>1</v>
      </c>
    </row>
    <row r="116" spans="2:5" x14ac:dyDescent="0.25">
      <c r="B116" s="123" t="str">
        <f t="shared" si="4"/>
        <v>4 2025</v>
      </c>
      <c r="C116" s="122">
        <f t="shared" si="6"/>
        <v>45768</v>
      </c>
      <c r="D116" s="122">
        <f t="shared" si="7"/>
        <v>45769</v>
      </c>
      <c r="E116" s="123">
        <f t="shared" si="5"/>
        <v>1</v>
      </c>
    </row>
    <row r="117" spans="2:5" x14ac:dyDescent="0.25">
      <c r="B117" s="123" t="str">
        <f t="shared" si="4"/>
        <v>4 2025</v>
      </c>
      <c r="C117" s="122">
        <f t="shared" si="6"/>
        <v>45769</v>
      </c>
      <c r="D117" s="122">
        <f t="shared" si="7"/>
        <v>45770</v>
      </c>
      <c r="E117" s="123">
        <f t="shared" si="5"/>
        <v>1</v>
      </c>
    </row>
    <row r="118" spans="2:5" x14ac:dyDescent="0.25">
      <c r="B118" s="123" t="str">
        <f t="shared" si="4"/>
        <v>4 2025</v>
      </c>
      <c r="C118" s="122">
        <f t="shared" si="6"/>
        <v>45770</v>
      </c>
      <c r="D118" s="122">
        <f t="shared" si="7"/>
        <v>45771</v>
      </c>
      <c r="E118" s="123">
        <f t="shared" si="5"/>
        <v>1</v>
      </c>
    </row>
    <row r="119" spans="2:5" x14ac:dyDescent="0.25">
      <c r="B119" s="123" t="str">
        <f t="shared" si="4"/>
        <v>4 2025</v>
      </c>
      <c r="C119" s="122">
        <f t="shared" si="6"/>
        <v>45771</v>
      </c>
      <c r="D119" s="122">
        <f t="shared" si="7"/>
        <v>45772</v>
      </c>
      <c r="E119" s="123">
        <f t="shared" si="5"/>
        <v>1</v>
      </c>
    </row>
    <row r="120" spans="2:5" x14ac:dyDescent="0.25">
      <c r="B120" s="123" t="str">
        <f t="shared" si="4"/>
        <v>4 2025</v>
      </c>
      <c r="C120" s="122">
        <f t="shared" si="6"/>
        <v>45772</v>
      </c>
      <c r="D120" s="122">
        <f t="shared" si="7"/>
        <v>45773</v>
      </c>
      <c r="E120" s="123">
        <f t="shared" si="5"/>
        <v>1</v>
      </c>
    </row>
    <row r="121" spans="2:5" x14ac:dyDescent="0.25">
      <c r="B121" s="123" t="str">
        <f t="shared" si="4"/>
        <v>4 2025</v>
      </c>
      <c r="C121" s="122">
        <f t="shared" si="6"/>
        <v>45773</v>
      </c>
      <c r="D121" s="122">
        <f t="shared" si="7"/>
        <v>45774</v>
      </c>
      <c r="E121" s="123">
        <f t="shared" si="5"/>
        <v>1</v>
      </c>
    </row>
    <row r="122" spans="2:5" x14ac:dyDescent="0.25">
      <c r="B122" s="123" t="str">
        <f t="shared" si="4"/>
        <v>4 2025</v>
      </c>
      <c r="C122" s="122">
        <f t="shared" si="6"/>
        <v>45774</v>
      </c>
      <c r="D122" s="122">
        <f t="shared" si="7"/>
        <v>45775</v>
      </c>
      <c r="E122" s="123">
        <f t="shared" si="5"/>
        <v>1</v>
      </c>
    </row>
    <row r="123" spans="2:5" x14ac:dyDescent="0.25">
      <c r="B123" s="123" t="str">
        <f t="shared" si="4"/>
        <v>4 2025</v>
      </c>
      <c r="C123" s="122">
        <f t="shared" si="6"/>
        <v>45775</v>
      </c>
      <c r="D123" s="122">
        <f t="shared" si="7"/>
        <v>45776</v>
      </c>
      <c r="E123" s="123">
        <f t="shared" si="5"/>
        <v>1</v>
      </c>
    </row>
    <row r="124" spans="2:5" x14ac:dyDescent="0.25">
      <c r="B124" s="148" t="str">
        <f t="shared" si="4"/>
        <v>4 2025</v>
      </c>
      <c r="C124" s="149">
        <f t="shared" si="6"/>
        <v>45776</v>
      </c>
      <c r="D124" s="149">
        <f t="shared" si="7"/>
        <v>45777</v>
      </c>
      <c r="E124" s="148">
        <f t="shared" si="5"/>
        <v>1</v>
      </c>
    </row>
    <row r="125" spans="2:5" x14ac:dyDescent="0.25">
      <c r="B125" s="123" t="str">
        <f t="shared" si="4"/>
        <v>5 2025</v>
      </c>
      <c r="C125" s="122">
        <f t="shared" si="6"/>
        <v>45777</v>
      </c>
      <c r="D125" s="122">
        <f t="shared" si="7"/>
        <v>45778</v>
      </c>
      <c r="E125" s="123">
        <f t="shared" si="5"/>
        <v>1</v>
      </c>
    </row>
    <row r="126" spans="2:5" x14ac:dyDescent="0.25">
      <c r="B126" s="123" t="str">
        <f t="shared" si="4"/>
        <v>5 2025</v>
      </c>
      <c r="C126" s="122">
        <f t="shared" si="6"/>
        <v>45778</v>
      </c>
      <c r="D126" s="122">
        <f t="shared" si="7"/>
        <v>45779</v>
      </c>
      <c r="E126" s="123">
        <f t="shared" si="5"/>
        <v>1</v>
      </c>
    </row>
    <row r="127" spans="2:5" x14ac:dyDescent="0.25">
      <c r="B127" s="123" t="str">
        <f t="shared" si="4"/>
        <v>5 2025</v>
      </c>
      <c r="C127" s="122">
        <f t="shared" si="6"/>
        <v>45779</v>
      </c>
      <c r="D127" s="122">
        <f t="shared" si="7"/>
        <v>45780</v>
      </c>
      <c r="E127" s="123">
        <f t="shared" si="5"/>
        <v>1</v>
      </c>
    </row>
    <row r="128" spans="2:5" x14ac:dyDescent="0.25">
      <c r="B128" s="123" t="str">
        <f t="shared" si="4"/>
        <v>5 2025</v>
      </c>
      <c r="C128" s="122">
        <f t="shared" si="6"/>
        <v>45780</v>
      </c>
      <c r="D128" s="122">
        <f t="shared" si="7"/>
        <v>45781</v>
      </c>
      <c r="E128" s="123">
        <f t="shared" si="5"/>
        <v>1</v>
      </c>
    </row>
    <row r="129" spans="2:5" x14ac:dyDescent="0.25">
      <c r="B129" s="123" t="str">
        <f t="shared" si="4"/>
        <v>5 2025</v>
      </c>
      <c r="C129" s="122">
        <f t="shared" si="6"/>
        <v>45781</v>
      </c>
      <c r="D129" s="122">
        <f t="shared" si="7"/>
        <v>45782</v>
      </c>
      <c r="E129" s="123">
        <f t="shared" si="5"/>
        <v>1</v>
      </c>
    </row>
    <row r="130" spans="2:5" x14ac:dyDescent="0.25">
      <c r="B130" s="123" t="str">
        <f t="shared" si="4"/>
        <v>5 2025</v>
      </c>
      <c r="C130" s="122">
        <f t="shared" si="6"/>
        <v>45782</v>
      </c>
      <c r="D130" s="122">
        <f t="shared" si="7"/>
        <v>45783</v>
      </c>
      <c r="E130" s="123">
        <f t="shared" si="5"/>
        <v>1</v>
      </c>
    </row>
    <row r="131" spans="2:5" x14ac:dyDescent="0.25">
      <c r="B131" s="123" t="str">
        <f t="shared" si="4"/>
        <v>5 2025</v>
      </c>
      <c r="C131" s="122">
        <f t="shared" si="6"/>
        <v>45783</v>
      </c>
      <c r="D131" s="122">
        <f t="shared" si="7"/>
        <v>45784</v>
      </c>
      <c r="E131" s="123">
        <f t="shared" si="5"/>
        <v>1</v>
      </c>
    </row>
    <row r="132" spans="2:5" x14ac:dyDescent="0.25">
      <c r="B132" s="123" t="str">
        <f t="shared" si="4"/>
        <v>5 2025</v>
      </c>
      <c r="C132" s="122">
        <f t="shared" si="6"/>
        <v>45784</v>
      </c>
      <c r="D132" s="122">
        <f t="shared" si="7"/>
        <v>45785</v>
      </c>
      <c r="E132" s="123">
        <f t="shared" si="5"/>
        <v>1</v>
      </c>
    </row>
    <row r="133" spans="2:5" x14ac:dyDescent="0.25">
      <c r="B133" s="123" t="str">
        <f t="shared" ref="B133:B196" si="8">CONCATENATE(MONTH(D133)," ",YEAR(D133))</f>
        <v>5 2025</v>
      </c>
      <c r="C133" s="122">
        <f t="shared" si="6"/>
        <v>45785</v>
      </c>
      <c r="D133" s="122">
        <f t="shared" si="7"/>
        <v>45786</v>
      </c>
      <c r="E133" s="123">
        <f t="shared" ref="E133:E196" si="9">D133-C133</f>
        <v>1</v>
      </c>
    </row>
    <row r="134" spans="2:5" x14ac:dyDescent="0.25">
      <c r="B134" s="123" t="str">
        <f t="shared" si="8"/>
        <v>5 2025</v>
      </c>
      <c r="C134" s="122">
        <f t="shared" ref="C134:C197" si="10">D133</f>
        <v>45786</v>
      </c>
      <c r="D134" s="122">
        <f t="shared" ref="D134:D197" si="11">D133+1</f>
        <v>45787</v>
      </c>
      <c r="E134" s="123">
        <f t="shared" si="9"/>
        <v>1</v>
      </c>
    </row>
    <row r="135" spans="2:5" x14ac:dyDescent="0.25">
      <c r="B135" s="123" t="str">
        <f t="shared" si="8"/>
        <v>5 2025</v>
      </c>
      <c r="C135" s="122">
        <f t="shared" si="10"/>
        <v>45787</v>
      </c>
      <c r="D135" s="122">
        <f t="shared" si="11"/>
        <v>45788</v>
      </c>
      <c r="E135" s="123">
        <f t="shared" si="9"/>
        <v>1</v>
      </c>
    </row>
    <row r="136" spans="2:5" x14ac:dyDescent="0.25">
      <c r="B136" s="123" t="str">
        <f t="shared" si="8"/>
        <v>5 2025</v>
      </c>
      <c r="C136" s="122">
        <f t="shared" si="10"/>
        <v>45788</v>
      </c>
      <c r="D136" s="122">
        <f t="shared" si="11"/>
        <v>45789</v>
      </c>
      <c r="E136" s="123">
        <f t="shared" si="9"/>
        <v>1</v>
      </c>
    </row>
    <row r="137" spans="2:5" x14ac:dyDescent="0.25">
      <c r="B137" s="123" t="str">
        <f t="shared" si="8"/>
        <v>5 2025</v>
      </c>
      <c r="C137" s="122">
        <f t="shared" si="10"/>
        <v>45789</v>
      </c>
      <c r="D137" s="122">
        <f t="shared" si="11"/>
        <v>45790</v>
      </c>
      <c r="E137" s="123">
        <f t="shared" si="9"/>
        <v>1</v>
      </c>
    </row>
    <row r="138" spans="2:5" x14ac:dyDescent="0.25">
      <c r="B138" s="123" t="str">
        <f t="shared" si="8"/>
        <v>5 2025</v>
      </c>
      <c r="C138" s="122">
        <f t="shared" si="10"/>
        <v>45790</v>
      </c>
      <c r="D138" s="122">
        <f t="shared" si="11"/>
        <v>45791</v>
      </c>
      <c r="E138" s="123">
        <f t="shared" si="9"/>
        <v>1</v>
      </c>
    </row>
    <row r="139" spans="2:5" x14ac:dyDescent="0.25">
      <c r="B139" s="123" t="str">
        <f t="shared" si="8"/>
        <v>5 2025</v>
      </c>
      <c r="C139" s="122">
        <f t="shared" si="10"/>
        <v>45791</v>
      </c>
      <c r="D139" s="122">
        <f t="shared" si="11"/>
        <v>45792</v>
      </c>
      <c r="E139" s="123">
        <f t="shared" si="9"/>
        <v>1</v>
      </c>
    </row>
    <row r="140" spans="2:5" x14ac:dyDescent="0.25">
      <c r="B140" s="123" t="str">
        <f t="shared" si="8"/>
        <v>5 2025</v>
      </c>
      <c r="C140" s="122">
        <f t="shared" si="10"/>
        <v>45792</v>
      </c>
      <c r="D140" s="122">
        <f t="shared" si="11"/>
        <v>45793</v>
      </c>
      <c r="E140" s="123">
        <f t="shared" si="9"/>
        <v>1</v>
      </c>
    </row>
    <row r="141" spans="2:5" x14ac:dyDescent="0.25">
      <c r="B141" s="123" t="str">
        <f t="shared" si="8"/>
        <v>5 2025</v>
      </c>
      <c r="C141" s="122">
        <f t="shared" si="10"/>
        <v>45793</v>
      </c>
      <c r="D141" s="122">
        <f t="shared" si="11"/>
        <v>45794</v>
      </c>
      <c r="E141" s="123">
        <f t="shared" si="9"/>
        <v>1</v>
      </c>
    </row>
    <row r="142" spans="2:5" x14ac:dyDescent="0.25">
      <c r="B142" s="123" t="str">
        <f t="shared" si="8"/>
        <v>5 2025</v>
      </c>
      <c r="C142" s="122">
        <f t="shared" si="10"/>
        <v>45794</v>
      </c>
      <c r="D142" s="122">
        <f t="shared" si="11"/>
        <v>45795</v>
      </c>
      <c r="E142" s="123">
        <f t="shared" si="9"/>
        <v>1</v>
      </c>
    </row>
    <row r="143" spans="2:5" x14ac:dyDescent="0.25">
      <c r="B143" s="123" t="str">
        <f t="shared" si="8"/>
        <v>5 2025</v>
      </c>
      <c r="C143" s="122">
        <f t="shared" si="10"/>
        <v>45795</v>
      </c>
      <c r="D143" s="122">
        <f t="shared" si="11"/>
        <v>45796</v>
      </c>
      <c r="E143" s="123">
        <f t="shared" si="9"/>
        <v>1</v>
      </c>
    </row>
    <row r="144" spans="2:5" x14ac:dyDescent="0.25">
      <c r="B144" s="123" t="str">
        <f t="shared" si="8"/>
        <v>5 2025</v>
      </c>
      <c r="C144" s="122">
        <f t="shared" si="10"/>
        <v>45796</v>
      </c>
      <c r="D144" s="122">
        <f t="shared" si="11"/>
        <v>45797</v>
      </c>
      <c r="E144" s="123">
        <f t="shared" si="9"/>
        <v>1</v>
      </c>
    </row>
    <row r="145" spans="2:5" x14ac:dyDescent="0.25">
      <c r="B145" s="123" t="str">
        <f t="shared" si="8"/>
        <v>5 2025</v>
      </c>
      <c r="C145" s="122">
        <f t="shared" si="10"/>
        <v>45797</v>
      </c>
      <c r="D145" s="122">
        <f t="shared" si="11"/>
        <v>45798</v>
      </c>
      <c r="E145" s="123">
        <f t="shared" si="9"/>
        <v>1</v>
      </c>
    </row>
    <row r="146" spans="2:5" x14ac:dyDescent="0.25">
      <c r="B146" s="123" t="str">
        <f t="shared" si="8"/>
        <v>5 2025</v>
      </c>
      <c r="C146" s="122">
        <f t="shared" si="10"/>
        <v>45798</v>
      </c>
      <c r="D146" s="122">
        <f t="shared" si="11"/>
        <v>45799</v>
      </c>
      <c r="E146" s="123">
        <f t="shared" si="9"/>
        <v>1</v>
      </c>
    </row>
    <row r="147" spans="2:5" x14ac:dyDescent="0.25">
      <c r="B147" s="123" t="str">
        <f t="shared" si="8"/>
        <v>5 2025</v>
      </c>
      <c r="C147" s="122">
        <f t="shared" si="10"/>
        <v>45799</v>
      </c>
      <c r="D147" s="122">
        <f t="shared" si="11"/>
        <v>45800</v>
      </c>
      <c r="E147" s="123">
        <f t="shared" si="9"/>
        <v>1</v>
      </c>
    </row>
    <row r="148" spans="2:5" x14ac:dyDescent="0.25">
      <c r="B148" s="123" t="str">
        <f t="shared" si="8"/>
        <v>5 2025</v>
      </c>
      <c r="C148" s="122">
        <f t="shared" si="10"/>
        <v>45800</v>
      </c>
      <c r="D148" s="122">
        <f t="shared" si="11"/>
        <v>45801</v>
      </c>
      <c r="E148" s="123">
        <f t="shared" si="9"/>
        <v>1</v>
      </c>
    </row>
    <row r="149" spans="2:5" x14ac:dyDescent="0.25">
      <c r="B149" s="123" t="str">
        <f t="shared" si="8"/>
        <v>5 2025</v>
      </c>
      <c r="C149" s="122">
        <f t="shared" si="10"/>
        <v>45801</v>
      </c>
      <c r="D149" s="122">
        <f t="shared" si="11"/>
        <v>45802</v>
      </c>
      <c r="E149" s="123">
        <f t="shared" si="9"/>
        <v>1</v>
      </c>
    </row>
    <row r="150" spans="2:5" x14ac:dyDescent="0.25">
      <c r="B150" s="123" t="str">
        <f t="shared" si="8"/>
        <v>5 2025</v>
      </c>
      <c r="C150" s="122">
        <f t="shared" si="10"/>
        <v>45802</v>
      </c>
      <c r="D150" s="122">
        <f t="shared" si="11"/>
        <v>45803</v>
      </c>
      <c r="E150" s="123">
        <f t="shared" si="9"/>
        <v>1</v>
      </c>
    </row>
    <row r="151" spans="2:5" x14ac:dyDescent="0.25">
      <c r="B151" s="123" t="str">
        <f t="shared" si="8"/>
        <v>5 2025</v>
      </c>
      <c r="C151" s="122">
        <f t="shared" si="10"/>
        <v>45803</v>
      </c>
      <c r="D151" s="122">
        <f t="shared" si="11"/>
        <v>45804</v>
      </c>
      <c r="E151" s="123">
        <f t="shared" si="9"/>
        <v>1</v>
      </c>
    </row>
    <row r="152" spans="2:5" x14ac:dyDescent="0.25">
      <c r="B152" s="123" t="str">
        <f t="shared" si="8"/>
        <v>5 2025</v>
      </c>
      <c r="C152" s="122">
        <f t="shared" si="10"/>
        <v>45804</v>
      </c>
      <c r="D152" s="122">
        <f t="shared" si="11"/>
        <v>45805</v>
      </c>
      <c r="E152" s="123">
        <f t="shared" si="9"/>
        <v>1</v>
      </c>
    </row>
    <row r="153" spans="2:5" x14ac:dyDescent="0.25">
      <c r="B153" s="123" t="str">
        <f t="shared" si="8"/>
        <v>5 2025</v>
      </c>
      <c r="C153" s="122">
        <f t="shared" si="10"/>
        <v>45805</v>
      </c>
      <c r="D153" s="122">
        <f t="shared" si="11"/>
        <v>45806</v>
      </c>
      <c r="E153" s="123">
        <f t="shared" si="9"/>
        <v>1</v>
      </c>
    </row>
    <row r="154" spans="2:5" x14ac:dyDescent="0.25">
      <c r="B154" s="123" t="str">
        <f t="shared" si="8"/>
        <v>5 2025</v>
      </c>
      <c r="C154" s="122">
        <f t="shared" si="10"/>
        <v>45806</v>
      </c>
      <c r="D154" s="122">
        <f t="shared" si="11"/>
        <v>45807</v>
      </c>
      <c r="E154" s="123">
        <f t="shared" si="9"/>
        <v>1</v>
      </c>
    </row>
    <row r="155" spans="2:5" x14ac:dyDescent="0.25">
      <c r="B155" s="148" t="str">
        <f t="shared" si="8"/>
        <v>5 2025</v>
      </c>
      <c r="C155" s="149">
        <f t="shared" si="10"/>
        <v>45807</v>
      </c>
      <c r="D155" s="149">
        <f t="shared" si="11"/>
        <v>45808</v>
      </c>
      <c r="E155" s="148">
        <f t="shared" si="9"/>
        <v>1</v>
      </c>
    </row>
    <row r="156" spans="2:5" x14ac:dyDescent="0.25">
      <c r="B156" s="123" t="str">
        <f t="shared" si="8"/>
        <v>6 2025</v>
      </c>
      <c r="C156" s="122">
        <f t="shared" si="10"/>
        <v>45808</v>
      </c>
      <c r="D156" s="122">
        <f t="shared" si="11"/>
        <v>45809</v>
      </c>
      <c r="E156" s="123">
        <f t="shared" si="9"/>
        <v>1</v>
      </c>
    </row>
    <row r="157" spans="2:5" x14ac:dyDescent="0.25">
      <c r="B157" s="123" t="str">
        <f t="shared" si="8"/>
        <v>6 2025</v>
      </c>
      <c r="C157" s="122">
        <f t="shared" si="10"/>
        <v>45809</v>
      </c>
      <c r="D157" s="122">
        <f t="shared" si="11"/>
        <v>45810</v>
      </c>
      <c r="E157" s="123">
        <f t="shared" si="9"/>
        <v>1</v>
      </c>
    </row>
    <row r="158" spans="2:5" x14ac:dyDescent="0.25">
      <c r="B158" s="123" t="str">
        <f t="shared" si="8"/>
        <v>6 2025</v>
      </c>
      <c r="C158" s="122">
        <f t="shared" si="10"/>
        <v>45810</v>
      </c>
      <c r="D158" s="122">
        <f t="shared" si="11"/>
        <v>45811</v>
      </c>
      <c r="E158" s="123">
        <f t="shared" si="9"/>
        <v>1</v>
      </c>
    </row>
    <row r="159" spans="2:5" x14ac:dyDescent="0.25">
      <c r="B159" s="123" t="str">
        <f t="shared" si="8"/>
        <v>6 2025</v>
      </c>
      <c r="C159" s="122">
        <f t="shared" si="10"/>
        <v>45811</v>
      </c>
      <c r="D159" s="122">
        <f t="shared" si="11"/>
        <v>45812</v>
      </c>
      <c r="E159" s="123">
        <f t="shared" si="9"/>
        <v>1</v>
      </c>
    </row>
    <row r="160" spans="2:5" x14ac:dyDescent="0.25">
      <c r="B160" s="123" t="str">
        <f t="shared" si="8"/>
        <v>6 2025</v>
      </c>
      <c r="C160" s="122">
        <f t="shared" si="10"/>
        <v>45812</v>
      </c>
      <c r="D160" s="122">
        <f t="shared" si="11"/>
        <v>45813</v>
      </c>
      <c r="E160" s="123">
        <f t="shared" si="9"/>
        <v>1</v>
      </c>
    </row>
    <row r="161" spans="2:5" x14ac:dyDescent="0.25">
      <c r="B161" s="123" t="str">
        <f t="shared" si="8"/>
        <v>6 2025</v>
      </c>
      <c r="C161" s="122">
        <f t="shared" si="10"/>
        <v>45813</v>
      </c>
      <c r="D161" s="122">
        <f t="shared" si="11"/>
        <v>45814</v>
      </c>
      <c r="E161" s="123">
        <f t="shared" si="9"/>
        <v>1</v>
      </c>
    </row>
    <row r="162" spans="2:5" x14ac:dyDescent="0.25">
      <c r="B162" s="123" t="str">
        <f t="shared" si="8"/>
        <v>6 2025</v>
      </c>
      <c r="C162" s="122">
        <f t="shared" si="10"/>
        <v>45814</v>
      </c>
      <c r="D162" s="122">
        <f t="shared" si="11"/>
        <v>45815</v>
      </c>
      <c r="E162" s="123">
        <f t="shared" si="9"/>
        <v>1</v>
      </c>
    </row>
    <row r="163" spans="2:5" x14ac:dyDescent="0.25">
      <c r="B163" s="123" t="str">
        <f t="shared" si="8"/>
        <v>6 2025</v>
      </c>
      <c r="C163" s="122">
        <f t="shared" si="10"/>
        <v>45815</v>
      </c>
      <c r="D163" s="122">
        <f t="shared" si="11"/>
        <v>45816</v>
      </c>
      <c r="E163" s="123">
        <f t="shared" si="9"/>
        <v>1</v>
      </c>
    </row>
    <row r="164" spans="2:5" x14ac:dyDescent="0.25">
      <c r="B164" s="123" t="str">
        <f t="shared" si="8"/>
        <v>6 2025</v>
      </c>
      <c r="C164" s="122">
        <f t="shared" si="10"/>
        <v>45816</v>
      </c>
      <c r="D164" s="122">
        <f t="shared" si="11"/>
        <v>45817</v>
      </c>
      <c r="E164" s="123">
        <f t="shared" si="9"/>
        <v>1</v>
      </c>
    </row>
    <row r="165" spans="2:5" x14ac:dyDescent="0.25">
      <c r="B165" s="123" t="str">
        <f t="shared" si="8"/>
        <v>6 2025</v>
      </c>
      <c r="C165" s="122">
        <f t="shared" si="10"/>
        <v>45817</v>
      </c>
      <c r="D165" s="122">
        <f t="shared" si="11"/>
        <v>45818</v>
      </c>
      <c r="E165" s="123">
        <f t="shared" si="9"/>
        <v>1</v>
      </c>
    </row>
    <row r="166" spans="2:5" x14ac:dyDescent="0.25">
      <c r="B166" s="123" t="str">
        <f t="shared" si="8"/>
        <v>6 2025</v>
      </c>
      <c r="C166" s="122">
        <f t="shared" si="10"/>
        <v>45818</v>
      </c>
      <c r="D166" s="122">
        <f t="shared" si="11"/>
        <v>45819</v>
      </c>
      <c r="E166" s="123">
        <f t="shared" si="9"/>
        <v>1</v>
      </c>
    </row>
    <row r="167" spans="2:5" x14ac:dyDescent="0.25">
      <c r="B167" s="123" t="str">
        <f t="shared" si="8"/>
        <v>6 2025</v>
      </c>
      <c r="C167" s="122">
        <f t="shared" si="10"/>
        <v>45819</v>
      </c>
      <c r="D167" s="122">
        <f t="shared" si="11"/>
        <v>45820</v>
      </c>
      <c r="E167" s="123">
        <f t="shared" si="9"/>
        <v>1</v>
      </c>
    </row>
    <row r="168" spans="2:5" x14ac:dyDescent="0.25">
      <c r="B168" s="123" t="str">
        <f t="shared" si="8"/>
        <v>6 2025</v>
      </c>
      <c r="C168" s="122">
        <f t="shared" si="10"/>
        <v>45820</v>
      </c>
      <c r="D168" s="122">
        <f t="shared" si="11"/>
        <v>45821</v>
      </c>
      <c r="E168" s="123">
        <f t="shared" si="9"/>
        <v>1</v>
      </c>
    </row>
    <row r="169" spans="2:5" x14ac:dyDescent="0.25">
      <c r="B169" s="123" t="str">
        <f t="shared" si="8"/>
        <v>6 2025</v>
      </c>
      <c r="C169" s="122">
        <f t="shared" si="10"/>
        <v>45821</v>
      </c>
      <c r="D169" s="122">
        <f t="shared" si="11"/>
        <v>45822</v>
      </c>
      <c r="E169" s="123">
        <f t="shared" si="9"/>
        <v>1</v>
      </c>
    </row>
    <row r="170" spans="2:5" x14ac:dyDescent="0.25">
      <c r="B170" s="123" t="str">
        <f t="shared" si="8"/>
        <v>6 2025</v>
      </c>
      <c r="C170" s="122">
        <f t="shared" si="10"/>
        <v>45822</v>
      </c>
      <c r="D170" s="122">
        <f t="shared" si="11"/>
        <v>45823</v>
      </c>
      <c r="E170" s="123">
        <f t="shared" si="9"/>
        <v>1</v>
      </c>
    </row>
    <row r="171" spans="2:5" x14ac:dyDescent="0.25">
      <c r="B171" s="123" t="str">
        <f t="shared" si="8"/>
        <v>6 2025</v>
      </c>
      <c r="C171" s="122">
        <f t="shared" si="10"/>
        <v>45823</v>
      </c>
      <c r="D171" s="122">
        <f t="shared" si="11"/>
        <v>45824</v>
      </c>
      <c r="E171" s="123">
        <f t="shared" si="9"/>
        <v>1</v>
      </c>
    </row>
    <row r="172" spans="2:5" x14ac:dyDescent="0.25">
      <c r="B172" s="123" t="str">
        <f t="shared" si="8"/>
        <v>6 2025</v>
      </c>
      <c r="C172" s="122">
        <f t="shared" si="10"/>
        <v>45824</v>
      </c>
      <c r="D172" s="122">
        <f t="shared" si="11"/>
        <v>45825</v>
      </c>
      <c r="E172" s="123">
        <f t="shared" si="9"/>
        <v>1</v>
      </c>
    </row>
    <row r="173" spans="2:5" x14ac:dyDescent="0.25">
      <c r="B173" s="123" t="str">
        <f t="shared" si="8"/>
        <v>6 2025</v>
      </c>
      <c r="C173" s="122">
        <f t="shared" si="10"/>
        <v>45825</v>
      </c>
      <c r="D173" s="122">
        <f t="shared" si="11"/>
        <v>45826</v>
      </c>
      <c r="E173" s="123">
        <f t="shared" si="9"/>
        <v>1</v>
      </c>
    </row>
    <row r="174" spans="2:5" x14ac:dyDescent="0.25">
      <c r="B174" s="123" t="str">
        <f t="shared" si="8"/>
        <v>6 2025</v>
      </c>
      <c r="C174" s="122">
        <f t="shared" si="10"/>
        <v>45826</v>
      </c>
      <c r="D174" s="122">
        <f t="shared" si="11"/>
        <v>45827</v>
      </c>
      <c r="E174" s="123">
        <f t="shared" si="9"/>
        <v>1</v>
      </c>
    </row>
    <row r="175" spans="2:5" x14ac:dyDescent="0.25">
      <c r="B175" s="123" t="str">
        <f t="shared" si="8"/>
        <v>6 2025</v>
      </c>
      <c r="C175" s="122">
        <f t="shared" si="10"/>
        <v>45827</v>
      </c>
      <c r="D175" s="122">
        <f t="shared" si="11"/>
        <v>45828</v>
      </c>
      <c r="E175" s="123">
        <f t="shared" si="9"/>
        <v>1</v>
      </c>
    </row>
    <row r="176" spans="2:5" x14ac:dyDescent="0.25">
      <c r="B176" s="123" t="str">
        <f t="shared" si="8"/>
        <v>6 2025</v>
      </c>
      <c r="C176" s="122">
        <f t="shared" si="10"/>
        <v>45828</v>
      </c>
      <c r="D176" s="122">
        <f t="shared" si="11"/>
        <v>45829</v>
      </c>
      <c r="E176" s="123">
        <f t="shared" si="9"/>
        <v>1</v>
      </c>
    </row>
    <row r="177" spans="2:5" x14ac:dyDescent="0.25">
      <c r="B177" s="123" t="str">
        <f t="shared" si="8"/>
        <v>6 2025</v>
      </c>
      <c r="C177" s="122">
        <f t="shared" si="10"/>
        <v>45829</v>
      </c>
      <c r="D177" s="122">
        <f t="shared" si="11"/>
        <v>45830</v>
      </c>
      <c r="E177" s="123">
        <f t="shared" si="9"/>
        <v>1</v>
      </c>
    </row>
    <row r="178" spans="2:5" x14ac:dyDescent="0.25">
      <c r="B178" s="123" t="str">
        <f t="shared" si="8"/>
        <v>6 2025</v>
      </c>
      <c r="C178" s="122">
        <f t="shared" si="10"/>
        <v>45830</v>
      </c>
      <c r="D178" s="122">
        <f t="shared" si="11"/>
        <v>45831</v>
      </c>
      <c r="E178" s="123">
        <f t="shared" si="9"/>
        <v>1</v>
      </c>
    </row>
    <row r="179" spans="2:5" x14ac:dyDescent="0.25">
      <c r="B179" s="123" t="str">
        <f t="shared" si="8"/>
        <v>6 2025</v>
      </c>
      <c r="C179" s="122">
        <f t="shared" si="10"/>
        <v>45831</v>
      </c>
      <c r="D179" s="122">
        <f t="shared" si="11"/>
        <v>45832</v>
      </c>
      <c r="E179" s="123">
        <f t="shared" si="9"/>
        <v>1</v>
      </c>
    </row>
    <row r="180" spans="2:5" x14ac:dyDescent="0.25">
      <c r="B180" s="123" t="str">
        <f t="shared" si="8"/>
        <v>6 2025</v>
      </c>
      <c r="C180" s="122">
        <f t="shared" si="10"/>
        <v>45832</v>
      </c>
      <c r="D180" s="122">
        <f t="shared" si="11"/>
        <v>45833</v>
      </c>
      <c r="E180" s="123">
        <f t="shared" si="9"/>
        <v>1</v>
      </c>
    </row>
    <row r="181" spans="2:5" x14ac:dyDescent="0.25">
      <c r="B181" s="123" t="str">
        <f t="shared" si="8"/>
        <v>6 2025</v>
      </c>
      <c r="C181" s="122">
        <f t="shared" si="10"/>
        <v>45833</v>
      </c>
      <c r="D181" s="122">
        <f t="shared" si="11"/>
        <v>45834</v>
      </c>
      <c r="E181" s="123">
        <f t="shared" si="9"/>
        <v>1</v>
      </c>
    </row>
    <row r="182" spans="2:5" x14ac:dyDescent="0.25">
      <c r="B182" s="123" t="str">
        <f t="shared" si="8"/>
        <v>6 2025</v>
      </c>
      <c r="C182" s="122">
        <f t="shared" si="10"/>
        <v>45834</v>
      </c>
      <c r="D182" s="122">
        <f t="shared" si="11"/>
        <v>45835</v>
      </c>
      <c r="E182" s="123">
        <f t="shared" si="9"/>
        <v>1</v>
      </c>
    </row>
    <row r="183" spans="2:5" x14ac:dyDescent="0.25">
      <c r="B183" s="123" t="str">
        <f t="shared" si="8"/>
        <v>6 2025</v>
      </c>
      <c r="C183" s="122">
        <f t="shared" si="10"/>
        <v>45835</v>
      </c>
      <c r="D183" s="122">
        <f t="shared" si="11"/>
        <v>45836</v>
      </c>
      <c r="E183" s="123">
        <f t="shared" si="9"/>
        <v>1</v>
      </c>
    </row>
    <row r="184" spans="2:5" x14ac:dyDescent="0.25">
      <c r="B184" s="123" t="str">
        <f t="shared" si="8"/>
        <v>6 2025</v>
      </c>
      <c r="C184" s="122">
        <f t="shared" si="10"/>
        <v>45836</v>
      </c>
      <c r="D184" s="122">
        <f t="shared" si="11"/>
        <v>45837</v>
      </c>
      <c r="E184" s="123">
        <f t="shared" si="9"/>
        <v>1</v>
      </c>
    </row>
    <row r="185" spans="2:5" x14ac:dyDescent="0.25">
      <c r="B185" s="148" t="str">
        <f t="shared" si="8"/>
        <v>6 2025</v>
      </c>
      <c r="C185" s="149">
        <f t="shared" si="10"/>
        <v>45837</v>
      </c>
      <c r="D185" s="149">
        <f t="shared" si="11"/>
        <v>45838</v>
      </c>
      <c r="E185" s="148">
        <f t="shared" si="9"/>
        <v>1</v>
      </c>
    </row>
    <row r="186" spans="2:5" x14ac:dyDescent="0.25">
      <c r="B186" s="123" t="str">
        <f t="shared" si="8"/>
        <v>7 2025</v>
      </c>
      <c r="C186" s="122">
        <f t="shared" si="10"/>
        <v>45838</v>
      </c>
      <c r="D186" s="122">
        <f t="shared" si="11"/>
        <v>45839</v>
      </c>
      <c r="E186" s="123">
        <f t="shared" si="9"/>
        <v>1</v>
      </c>
    </row>
    <row r="187" spans="2:5" x14ac:dyDescent="0.25">
      <c r="B187" s="123" t="str">
        <f t="shared" si="8"/>
        <v>7 2025</v>
      </c>
      <c r="C187" s="122">
        <f t="shared" si="10"/>
        <v>45839</v>
      </c>
      <c r="D187" s="122">
        <f t="shared" si="11"/>
        <v>45840</v>
      </c>
      <c r="E187" s="123">
        <f t="shared" si="9"/>
        <v>1</v>
      </c>
    </row>
    <row r="188" spans="2:5" x14ac:dyDescent="0.25">
      <c r="B188" s="123" t="str">
        <f t="shared" si="8"/>
        <v>7 2025</v>
      </c>
      <c r="C188" s="122">
        <f t="shared" si="10"/>
        <v>45840</v>
      </c>
      <c r="D188" s="122">
        <f t="shared" si="11"/>
        <v>45841</v>
      </c>
      <c r="E188" s="123">
        <f t="shared" si="9"/>
        <v>1</v>
      </c>
    </row>
    <row r="189" spans="2:5" x14ac:dyDescent="0.25">
      <c r="B189" s="123" t="str">
        <f t="shared" si="8"/>
        <v>7 2025</v>
      </c>
      <c r="C189" s="122">
        <f t="shared" si="10"/>
        <v>45841</v>
      </c>
      <c r="D189" s="122">
        <f t="shared" si="11"/>
        <v>45842</v>
      </c>
      <c r="E189" s="123">
        <f t="shared" si="9"/>
        <v>1</v>
      </c>
    </row>
    <row r="190" spans="2:5" x14ac:dyDescent="0.25">
      <c r="B190" s="123" t="str">
        <f t="shared" si="8"/>
        <v>7 2025</v>
      </c>
      <c r="C190" s="122">
        <f t="shared" si="10"/>
        <v>45842</v>
      </c>
      <c r="D190" s="122">
        <f t="shared" si="11"/>
        <v>45843</v>
      </c>
      <c r="E190" s="123">
        <f t="shared" si="9"/>
        <v>1</v>
      </c>
    </row>
    <row r="191" spans="2:5" x14ac:dyDescent="0.25">
      <c r="B191" s="123" t="str">
        <f t="shared" si="8"/>
        <v>7 2025</v>
      </c>
      <c r="C191" s="122">
        <f t="shared" si="10"/>
        <v>45843</v>
      </c>
      <c r="D191" s="122">
        <f t="shared" si="11"/>
        <v>45844</v>
      </c>
      <c r="E191" s="123">
        <f t="shared" si="9"/>
        <v>1</v>
      </c>
    </row>
    <row r="192" spans="2:5" x14ac:dyDescent="0.25">
      <c r="B192" s="123" t="str">
        <f t="shared" si="8"/>
        <v>7 2025</v>
      </c>
      <c r="C192" s="122">
        <f t="shared" si="10"/>
        <v>45844</v>
      </c>
      <c r="D192" s="122">
        <f t="shared" si="11"/>
        <v>45845</v>
      </c>
      <c r="E192" s="123">
        <f t="shared" si="9"/>
        <v>1</v>
      </c>
    </row>
    <row r="193" spans="1:5" x14ac:dyDescent="0.25">
      <c r="A193" s="24" t="s">
        <v>99</v>
      </c>
      <c r="B193" s="123" t="str">
        <f t="shared" si="8"/>
        <v>7 2025</v>
      </c>
      <c r="C193" s="250">
        <f t="shared" si="10"/>
        <v>45845</v>
      </c>
      <c r="D193" s="122">
        <f t="shared" si="11"/>
        <v>45846</v>
      </c>
      <c r="E193" s="123">
        <f t="shared" si="9"/>
        <v>1</v>
      </c>
    </row>
    <row r="194" spans="1:5" x14ac:dyDescent="0.25">
      <c r="B194" s="123" t="str">
        <f t="shared" si="8"/>
        <v>7 2025</v>
      </c>
      <c r="C194" s="122">
        <f t="shared" si="10"/>
        <v>45846</v>
      </c>
      <c r="D194" s="122">
        <f t="shared" si="11"/>
        <v>45847</v>
      </c>
      <c r="E194" s="123">
        <f t="shared" si="9"/>
        <v>1</v>
      </c>
    </row>
    <row r="195" spans="1:5" x14ac:dyDescent="0.25">
      <c r="B195" s="123" t="str">
        <f t="shared" si="8"/>
        <v>7 2025</v>
      </c>
      <c r="C195" s="122">
        <f t="shared" si="10"/>
        <v>45847</v>
      </c>
      <c r="D195" s="122">
        <f t="shared" si="11"/>
        <v>45848</v>
      </c>
      <c r="E195" s="123">
        <f t="shared" si="9"/>
        <v>1</v>
      </c>
    </row>
    <row r="196" spans="1:5" x14ac:dyDescent="0.25">
      <c r="B196" s="123" t="str">
        <f t="shared" si="8"/>
        <v>7 2025</v>
      </c>
      <c r="C196" s="122">
        <f t="shared" si="10"/>
        <v>45848</v>
      </c>
      <c r="D196" s="122">
        <f t="shared" si="11"/>
        <v>45849</v>
      </c>
      <c r="E196" s="123">
        <f t="shared" si="9"/>
        <v>1</v>
      </c>
    </row>
    <row r="197" spans="1:5" x14ac:dyDescent="0.25">
      <c r="B197" s="123" t="str">
        <f t="shared" ref="B197:B260" si="12">CONCATENATE(MONTH(D197)," ",YEAR(D197))</f>
        <v>7 2025</v>
      </c>
      <c r="C197" s="122">
        <f t="shared" si="10"/>
        <v>45849</v>
      </c>
      <c r="D197" s="122">
        <f t="shared" si="11"/>
        <v>45850</v>
      </c>
      <c r="E197" s="123">
        <f t="shared" ref="E197:E260" si="13">D197-C197</f>
        <v>1</v>
      </c>
    </row>
    <row r="198" spans="1:5" x14ac:dyDescent="0.25">
      <c r="B198" s="123" t="str">
        <f t="shared" si="12"/>
        <v>7 2025</v>
      </c>
      <c r="C198" s="122">
        <f t="shared" ref="C198:C261" si="14">D197</f>
        <v>45850</v>
      </c>
      <c r="D198" s="122">
        <f t="shared" ref="D198:D261" si="15">D197+1</f>
        <v>45851</v>
      </c>
      <c r="E198" s="123">
        <f t="shared" si="13"/>
        <v>1</v>
      </c>
    </row>
    <row r="199" spans="1:5" x14ac:dyDescent="0.25">
      <c r="B199" s="123" t="str">
        <f t="shared" si="12"/>
        <v>7 2025</v>
      </c>
      <c r="C199" s="122">
        <f t="shared" si="14"/>
        <v>45851</v>
      </c>
      <c r="D199" s="122">
        <f t="shared" si="15"/>
        <v>45852</v>
      </c>
      <c r="E199" s="123">
        <f t="shared" si="13"/>
        <v>1</v>
      </c>
    </row>
    <row r="200" spans="1:5" x14ac:dyDescent="0.25">
      <c r="B200" s="123" t="str">
        <f t="shared" si="12"/>
        <v>7 2025</v>
      </c>
      <c r="C200" s="122">
        <f t="shared" si="14"/>
        <v>45852</v>
      </c>
      <c r="D200" s="122">
        <f t="shared" si="15"/>
        <v>45853</v>
      </c>
      <c r="E200" s="123">
        <f t="shared" si="13"/>
        <v>1</v>
      </c>
    </row>
    <row r="201" spans="1:5" x14ac:dyDescent="0.25">
      <c r="B201" s="123" t="str">
        <f t="shared" si="12"/>
        <v>7 2025</v>
      </c>
      <c r="C201" s="122">
        <f t="shared" si="14"/>
        <v>45853</v>
      </c>
      <c r="D201" s="122">
        <f t="shared" si="15"/>
        <v>45854</v>
      </c>
      <c r="E201" s="123">
        <f t="shared" si="13"/>
        <v>1</v>
      </c>
    </row>
    <row r="202" spans="1:5" x14ac:dyDescent="0.25">
      <c r="B202" s="123" t="str">
        <f t="shared" si="12"/>
        <v>7 2025</v>
      </c>
      <c r="C202" s="122">
        <f t="shared" si="14"/>
        <v>45854</v>
      </c>
      <c r="D202" s="122">
        <f t="shared" si="15"/>
        <v>45855</v>
      </c>
      <c r="E202" s="123">
        <f t="shared" si="13"/>
        <v>1</v>
      </c>
    </row>
    <row r="203" spans="1:5" x14ac:dyDescent="0.25">
      <c r="B203" s="123" t="str">
        <f t="shared" si="12"/>
        <v>7 2025</v>
      </c>
      <c r="C203" s="122">
        <f t="shared" si="14"/>
        <v>45855</v>
      </c>
      <c r="D203" s="122">
        <f t="shared" si="15"/>
        <v>45856</v>
      </c>
      <c r="E203" s="123">
        <f t="shared" si="13"/>
        <v>1</v>
      </c>
    </row>
    <row r="204" spans="1:5" x14ac:dyDescent="0.25">
      <c r="B204" s="123" t="str">
        <f t="shared" si="12"/>
        <v>7 2025</v>
      </c>
      <c r="C204" s="122">
        <f t="shared" si="14"/>
        <v>45856</v>
      </c>
      <c r="D204" s="122">
        <f t="shared" si="15"/>
        <v>45857</v>
      </c>
      <c r="E204" s="123">
        <f t="shared" si="13"/>
        <v>1</v>
      </c>
    </row>
    <row r="205" spans="1:5" x14ac:dyDescent="0.25">
      <c r="B205" s="123" t="str">
        <f t="shared" si="12"/>
        <v>7 2025</v>
      </c>
      <c r="C205" s="122">
        <f t="shared" si="14"/>
        <v>45857</v>
      </c>
      <c r="D205" s="122">
        <f t="shared" si="15"/>
        <v>45858</v>
      </c>
      <c r="E205" s="123">
        <f t="shared" si="13"/>
        <v>1</v>
      </c>
    </row>
    <row r="206" spans="1:5" x14ac:dyDescent="0.25">
      <c r="B206" s="123" t="str">
        <f t="shared" si="12"/>
        <v>7 2025</v>
      </c>
      <c r="C206" s="122">
        <f t="shared" si="14"/>
        <v>45858</v>
      </c>
      <c r="D206" s="122">
        <f t="shared" si="15"/>
        <v>45859</v>
      </c>
      <c r="E206" s="123">
        <f t="shared" si="13"/>
        <v>1</v>
      </c>
    </row>
    <row r="207" spans="1:5" x14ac:dyDescent="0.25">
      <c r="B207" s="123" t="str">
        <f t="shared" si="12"/>
        <v>7 2025</v>
      </c>
      <c r="C207" s="122">
        <f t="shared" si="14"/>
        <v>45859</v>
      </c>
      <c r="D207" s="122">
        <f t="shared" si="15"/>
        <v>45860</v>
      </c>
      <c r="E207" s="123">
        <f t="shared" si="13"/>
        <v>1</v>
      </c>
    </row>
    <row r="208" spans="1:5" x14ac:dyDescent="0.25">
      <c r="B208" s="123" t="str">
        <f t="shared" si="12"/>
        <v>7 2025</v>
      </c>
      <c r="C208" s="122">
        <f t="shared" si="14"/>
        <v>45860</v>
      </c>
      <c r="D208" s="122">
        <f t="shared" si="15"/>
        <v>45861</v>
      </c>
      <c r="E208" s="123">
        <f t="shared" si="13"/>
        <v>1</v>
      </c>
    </row>
    <row r="209" spans="2:5" x14ac:dyDescent="0.25">
      <c r="B209" s="123" t="str">
        <f t="shared" si="12"/>
        <v>7 2025</v>
      </c>
      <c r="C209" s="122">
        <f t="shared" si="14"/>
        <v>45861</v>
      </c>
      <c r="D209" s="122">
        <f t="shared" si="15"/>
        <v>45862</v>
      </c>
      <c r="E209" s="123">
        <f t="shared" si="13"/>
        <v>1</v>
      </c>
    </row>
    <row r="210" spans="2:5" x14ac:dyDescent="0.25">
      <c r="B210" s="123" t="str">
        <f t="shared" si="12"/>
        <v>7 2025</v>
      </c>
      <c r="C210" s="122">
        <f t="shared" si="14"/>
        <v>45862</v>
      </c>
      <c r="D210" s="122">
        <f t="shared" si="15"/>
        <v>45863</v>
      </c>
      <c r="E210" s="123">
        <f t="shared" si="13"/>
        <v>1</v>
      </c>
    </row>
    <row r="211" spans="2:5" x14ac:dyDescent="0.25">
      <c r="B211" s="123" t="str">
        <f t="shared" si="12"/>
        <v>7 2025</v>
      </c>
      <c r="C211" s="122">
        <f t="shared" si="14"/>
        <v>45863</v>
      </c>
      <c r="D211" s="122">
        <f t="shared" si="15"/>
        <v>45864</v>
      </c>
      <c r="E211" s="123">
        <f t="shared" si="13"/>
        <v>1</v>
      </c>
    </row>
    <row r="212" spans="2:5" x14ac:dyDescent="0.25">
      <c r="B212" s="123" t="str">
        <f t="shared" si="12"/>
        <v>7 2025</v>
      </c>
      <c r="C212" s="122">
        <f t="shared" si="14"/>
        <v>45864</v>
      </c>
      <c r="D212" s="122">
        <f t="shared" si="15"/>
        <v>45865</v>
      </c>
      <c r="E212" s="123">
        <f t="shared" si="13"/>
        <v>1</v>
      </c>
    </row>
    <row r="213" spans="2:5" x14ac:dyDescent="0.25">
      <c r="B213" s="123" t="str">
        <f t="shared" si="12"/>
        <v>7 2025</v>
      </c>
      <c r="C213" s="122">
        <f t="shared" si="14"/>
        <v>45865</v>
      </c>
      <c r="D213" s="122">
        <f t="shared" si="15"/>
        <v>45866</v>
      </c>
      <c r="E213" s="123">
        <f t="shared" si="13"/>
        <v>1</v>
      </c>
    </row>
    <row r="214" spans="2:5" x14ac:dyDescent="0.25">
      <c r="B214" s="123" t="str">
        <f t="shared" si="12"/>
        <v>7 2025</v>
      </c>
      <c r="C214" s="122">
        <f t="shared" si="14"/>
        <v>45866</v>
      </c>
      <c r="D214" s="122">
        <f t="shared" si="15"/>
        <v>45867</v>
      </c>
      <c r="E214" s="123">
        <f t="shared" si="13"/>
        <v>1</v>
      </c>
    </row>
    <row r="215" spans="2:5" x14ac:dyDescent="0.25">
      <c r="B215" s="123" t="str">
        <f t="shared" si="12"/>
        <v>7 2025</v>
      </c>
      <c r="C215" s="122">
        <f t="shared" si="14"/>
        <v>45867</v>
      </c>
      <c r="D215" s="122">
        <f t="shared" si="15"/>
        <v>45868</v>
      </c>
      <c r="E215" s="123">
        <f t="shared" si="13"/>
        <v>1</v>
      </c>
    </row>
    <row r="216" spans="2:5" x14ac:dyDescent="0.25">
      <c r="B216" s="148" t="str">
        <f t="shared" si="12"/>
        <v>7 2025</v>
      </c>
      <c r="C216" s="149">
        <f t="shared" si="14"/>
        <v>45868</v>
      </c>
      <c r="D216" s="149">
        <f t="shared" si="15"/>
        <v>45869</v>
      </c>
      <c r="E216" s="148">
        <f t="shared" si="13"/>
        <v>1</v>
      </c>
    </row>
    <row r="217" spans="2:5" x14ac:dyDescent="0.25">
      <c r="B217" s="123" t="str">
        <f t="shared" si="12"/>
        <v>8 2025</v>
      </c>
      <c r="C217" s="122">
        <f t="shared" si="14"/>
        <v>45869</v>
      </c>
      <c r="D217" s="122">
        <f t="shared" si="15"/>
        <v>45870</v>
      </c>
      <c r="E217" s="123">
        <f t="shared" si="13"/>
        <v>1</v>
      </c>
    </row>
    <row r="218" spans="2:5" x14ac:dyDescent="0.25">
      <c r="B218" s="123" t="str">
        <f t="shared" si="12"/>
        <v>8 2025</v>
      </c>
      <c r="C218" s="122">
        <f t="shared" si="14"/>
        <v>45870</v>
      </c>
      <c r="D218" s="122">
        <f t="shared" si="15"/>
        <v>45871</v>
      </c>
      <c r="E218" s="123">
        <f t="shared" si="13"/>
        <v>1</v>
      </c>
    </row>
    <row r="219" spans="2:5" x14ac:dyDescent="0.25">
      <c r="B219" s="123" t="str">
        <f t="shared" si="12"/>
        <v>8 2025</v>
      </c>
      <c r="C219" s="122">
        <f t="shared" si="14"/>
        <v>45871</v>
      </c>
      <c r="D219" s="122">
        <f t="shared" si="15"/>
        <v>45872</v>
      </c>
      <c r="E219" s="123">
        <f t="shared" si="13"/>
        <v>1</v>
      </c>
    </row>
    <row r="220" spans="2:5" x14ac:dyDescent="0.25">
      <c r="B220" s="123" t="str">
        <f t="shared" si="12"/>
        <v>8 2025</v>
      </c>
      <c r="C220" s="122">
        <f t="shared" si="14"/>
        <v>45872</v>
      </c>
      <c r="D220" s="122">
        <f t="shared" si="15"/>
        <v>45873</v>
      </c>
      <c r="E220" s="123">
        <f t="shared" si="13"/>
        <v>1</v>
      </c>
    </row>
    <row r="221" spans="2:5" x14ac:dyDescent="0.25">
      <c r="B221" s="123" t="str">
        <f t="shared" si="12"/>
        <v>8 2025</v>
      </c>
      <c r="C221" s="122">
        <f t="shared" si="14"/>
        <v>45873</v>
      </c>
      <c r="D221" s="122">
        <f t="shared" si="15"/>
        <v>45874</v>
      </c>
      <c r="E221" s="123">
        <f t="shared" si="13"/>
        <v>1</v>
      </c>
    </row>
    <row r="222" spans="2:5" x14ac:dyDescent="0.25">
      <c r="B222" s="123" t="str">
        <f t="shared" si="12"/>
        <v>8 2025</v>
      </c>
      <c r="C222" s="122">
        <f t="shared" si="14"/>
        <v>45874</v>
      </c>
      <c r="D222" s="122">
        <f t="shared" si="15"/>
        <v>45875</v>
      </c>
      <c r="E222" s="123">
        <f t="shared" si="13"/>
        <v>1</v>
      </c>
    </row>
    <row r="223" spans="2:5" x14ac:dyDescent="0.25">
      <c r="B223" s="123" t="str">
        <f t="shared" si="12"/>
        <v>8 2025</v>
      </c>
      <c r="C223" s="122">
        <f t="shared" si="14"/>
        <v>45875</v>
      </c>
      <c r="D223" s="122">
        <f t="shared" si="15"/>
        <v>45876</v>
      </c>
      <c r="E223" s="123">
        <f t="shared" si="13"/>
        <v>1</v>
      </c>
    </row>
    <row r="224" spans="2:5" x14ac:dyDescent="0.25">
      <c r="B224" s="123" t="str">
        <f t="shared" si="12"/>
        <v>8 2025</v>
      </c>
      <c r="C224" s="122">
        <f t="shared" si="14"/>
        <v>45876</v>
      </c>
      <c r="D224" s="122">
        <f t="shared" si="15"/>
        <v>45877</v>
      </c>
      <c r="E224" s="123">
        <f t="shared" si="13"/>
        <v>1</v>
      </c>
    </row>
    <row r="225" spans="2:5" x14ac:dyDescent="0.25">
      <c r="B225" s="123" t="str">
        <f t="shared" si="12"/>
        <v>8 2025</v>
      </c>
      <c r="C225" s="122">
        <f t="shared" si="14"/>
        <v>45877</v>
      </c>
      <c r="D225" s="122">
        <f t="shared" si="15"/>
        <v>45878</v>
      </c>
      <c r="E225" s="123">
        <f t="shared" si="13"/>
        <v>1</v>
      </c>
    </row>
    <row r="226" spans="2:5" x14ac:dyDescent="0.25">
      <c r="B226" s="123" t="str">
        <f t="shared" si="12"/>
        <v>8 2025</v>
      </c>
      <c r="C226" s="122">
        <f t="shared" si="14"/>
        <v>45878</v>
      </c>
      <c r="D226" s="122">
        <f t="shared" si="15"/>
        <v>45879</v>
      </c>
      <c r="E226" s="123">
        <f t="shared" si="13"/>
        <v>1</v>
      </c>
    </row>
    <row r="227" spans="2:5" x14ac:dyDescent="0.25">
      <c r="B227" s="123" t="str">
        <f t="shared" si="12"/>
        <v>8 2025</v>
      </c>
      <c r="C227" s="122">
        <f t="shared" si="14"/>
        <v>45879</v>
      </c>
      <c r="D227" s="122">
        <f t="shared" si="15"/>
        <v>45880</v>
      </c>
      <c r="E227" s="123">
        <f t="shared" si="13"/>
        <v>1</v>
      </c>
    </row>
    <row r="228" spans="2:5" x14ac:dyDescent="0.25">
      <c r="B228" s="123" t="str">
        <f t="shared" si="12"/>
        <v>8 2025</v>
      </c>
      <c r="C228" s="122">
        <f t="shared" si="14"/>
        <v>45880</v>
      </c>
      <c r="D228" s="122">
        <f t="shared" si="15"/>
        <v>45881</v>
      </c>
      <c r="E228" s="123">
        <f t="shared" si="13"/>
        <v>1</v>
      </c>
    </row>
    <row r="229" spans="2:5" x14ac:dyDescent="0.25">
      <c r="B229" s="123" t="str">
        <f t="shared" si="12"/>
        <v>8 2025</v>
      </c>
      <c r="C229" s="122">
        <f t="shared" si="14"/>
        <v>45881</v>
      </c>
      <c r="D229" s="122">
        <f t="shared" si="15"/>
        <v>45882</v>
      </c>
      <c r="E229" s="123">
        <f t="shared" si="13"/>
        <v>1</v>
      </c>
    </row>
    <row r="230" spans="2:5" x14ac:dyDescent="0.25">
      <c r="B230" s="123" t="str">
        <f t="shared" si="12"/>
        <v>8 2025</v>
      </c>
      <c r="C230" s="122">
        <f t="shared" si="14"/>
        <v>45882</v>
      </c>
      <c r="D230" s="122">
        <f t="shared" si="15"/>
        <v>45883</v>
      </c>
      <c r="E230" s="123">
        <f t="shared" si="13"/>
        <v>1</v>
      </c>
    </row>
    <row r="231" spans="2:5" x14ac:dyDescent="0.25">
      <c r="B231" s="123" t="str">
        <f t="shared" si="12"/>
        <v>8 2025</v>
      </c>
      <c r="C231" s="122">
        <f t="shared" si="14"/>
        <v>45883</v>
      </c>
      <c r="D231" s="122">
        <f t="shared" si="15"/>
        <v>45884</v>
      </c>
      <c r="E231" s="123">
        <f t="shared" si="13"/>
        <v>1</v>
      </c>
    </row>
    <row r="232" spans="2:5" x14ac:dyDescent="0.25">
      <c r="B232" s="123" t="str">
        <f t="shared" si="12"/>
        <v>8 2025</v>
      </c>
      <c r="C232" s="122">
        <f t="shared" si="14"/>
        <v>45884</v>
      </c>
      <c r="D232" s="122">
        <f t="shared" si="15"/>
        <v>45885</v>
      </c>
      <c r="E232" s="123">
        <f t="shared" si="13"/>
        <v>1</v>
      </c>
    </row>
    <row r="233" spans="2:5" x14ac:dyDescent="0.25">
      <c r="B233" s="123" t="str">
        <f t="shared" si="12"/>
        <v>8 2025</v>
      </c>
      <c r="C233" s="122">
        <f t="shared" si="14"/>
        <v>45885</v>
      </c>
      <c r="D233" s="122">
        <f t="shared" si="15"/>
        <v>45886</v>
      </c>
      <c r="E233" s="123">
        <f t="shared" si="13"/>
        <v>1</v>
      </c>
    </row>
    <row r="234" spans="2:5" x14ac:dyDescent="0.25">
      <c r="B234" s="123" t="str">
        <f t="shared" si="12"/>
        <v>8 2025</v>
      </c>
      <c r="C234" s="122">
        <f t="shared" si="14"/>
        <v>45886</v>
      </c>
      <c r="D234" s="122">
        <f t="shared" si="15"/>
        <v>45887</v>
      </c>
      <c r="E234" s="123">
        <f t="shared" si="13"/>
        <v>1</v>
      </c>
    </row>
    <row r="235" spans="2:5" x14ac:dyDescent="0.25">
      <c r="B235" s="123" t="str">
        <f t="shared" si="12"/>
        <v>8 2025</v>
      </c>
      <c r="C235" s="122">
        <f t="shared" si="14"/>
        <v>45887</v>
      </c>
      <c r="D235" s="122">
        <f t="shared" si="15"/>
        <v>45888</v>
      </c>
      <c r="E235" s="123">
        <f t="shared" si="13"/>
        <v>1</v>
      </c>
    </row>
    <row r="236" spans="2:5" x14ac:dyDescent="0.25">
      <c r="B236" s="123" t="str">
        <f t="shared" si="12"/>
        <v>8 2025</v>
      </c>
      <c r="C236" s="122">
        <f t="shared" si="14"/>
        <v>45888</v>
      </c>
      <c r="D236" s="122">
        <f t="shared" si="15"/>
        <v>45889</v>
      </c>
      <c r="E236" s="123">
        <f t="shared" si="13"/>
        <v>1</v>
      </c>
    </row>
    <row r="237" spans="2:5" x14ac:dyDescent="0.25">
      <c r="B237" s="123" t="str">
        <f t="shared" si="12"/>
        <v>8 2025</v>
      </c>
      <c r="C237" s="122">
        <f t="shared" si="14"/>
        <v>45889</v>
      </c>
      <c r="D237" s="122">
        <f t="shared" si="15"/>
        <v>45890</v>
      </c>
      <c r="E237" s="123">
        <f t="shared" si="13"/>
        <v>1</v>
      </c>
    </row>
    <row r="238" spans="2:5" x14ac:dyDescent="0.25">
      <c r="B238" s="123" t="str">
        <f t="shared" si="12"/>
        <v>8 2025</v>
      </c>
      <c r="C238" s="122">
        <f t="shared" si="14"/>
        <v>45890</v>
      </c>
      <c r="D238" s="122">
        <f t="shared" si="15"/>
        <v>45891</v>
      </c>
      <c r="E238" s="123">
        <f t="shared" si="13"/>
        <v>1</v>
      </c>
    </row>
    <row r="239" spans="2:5" x14ac:dyDescent="0.25">
      <c r="B239" s="123" t="str">
        <f t="shared" si="12"/>
        <v>8 2025</v>
      </c>
      <c r="C239" s="122">
        <f t="shared" si="14"/>
        <v>45891</v>
      </c>
      <c r="D239" s="122">
        <f t="shared" si="15"/>
        <v>45892</v>
      </c>
      <c r="E239" s="123">
        <f t="shared" si="13"/>
        <v>1</v>
      </c>
    </row>
    <row r="240" spans="2:5" x14ac:dyDescent="0.25">
      <c r="B240" s="123" t="str">
        <f t="shared" si="12"/>
        <v>8 2025</v>
      </c>
      <c r="C240" s="122">
        <f t="shared" si="14"/>
        <v>45892</v>
      </c>
      <c r="D240" s="122">
        <f t="shared" si="15"/>
        <v>45893</v>
      </c>
      <c r="E240" s="123">
        <f t="shared" si="13"/>
        <v>1</v>
      </c>
    </row>
    <row r="241" spans="2:5" x14ac:dyDescent="0.25">
      <c r="B241" s="123" t="str">
        <f t="shared" si="12"/>
        <v>8 2025</v>
      </c>
      <c r="C241" s="122">
        <f t="shared" si="14"/>
        <v>45893</v>
      </c>
      <c r="D241" s="122">
        <f t="shared" si="15"/>
        <v>45894</v>
      </c>
      <c r="E241" s="123">
        <f t="shared" si="13"/>
        <v>1</v>
      </c>
    </row>
    <row r="242" spans="2:5" x14ac:dyDescent="0.25">
      <c r="B242" s="123" t="str">
        <f t="shared" si="12"/>
        <v>8 2025</v>
      </c>
      <c r="C242" s="122">
        <f t="shared" si="14"/>
        <v>45894</v>
      </c>
      <c r="D242" s="122">
        <f t="shared" si="15"/>
        <v>45895</v>
      </c>
      <c r="E242" s="123">
        <f t="shared" si="13"/>
        <v>1</v>
      </c>
    </row>
    <row r="243" spans="2:5" x14ac:dyDescent="0.25">
      <c r="B243" s="123" t="str">
        <f t="shared" si="12"/>
        <v>8 2025</v>
      </c>
      <c r="C243" s="122">
        <f t="shared" si="14"/>
        <v>45895</v>
      </c>
      <c r="D243" s="122">
        <f t="shared" si="15"/>
        <v>45896</v>
      </c>
      <c r="E243" s="123">
        <f t="shared" si="13"/>
        <v>1</v>
      </c>
    </row>
    <row r="244" spans="2:5" x14ac:dyDescent="0.25">
      <c r="B244" s="123" t="str">
        <f t="shared" si="12"/>
        <v>8 2025</v>
      </c>
      <c r="C244" s="122">
        <f t="shared" si="14"/>
        <v>45896</v>
      </c>
      <c r="D244" s="122">
        <f t="shared" si="15"/>
        <v>45897</v>
      </c>
      <c r="E244" s="123">
        <f t="shared" si="13"/>
        <v>1</v>
      </c>
    </row>
    <row r="245" spans="2:5" x14ac:dyDescent="0.25">
      <c r="B245" s="123" t="str">
        <f t="shared" si="12"/>
        <v>8 2025</v>
      </c>
      <c r="C245" s="122">
        <f t="shared" si="14"/>
        <v>45897</v>
      </c>
      <c r="D245" s="122">
        <f t="shared" si="15"/>
        <v>45898</v>
      </c>
      <c r="E245" s="123">
        <f t="shared" si="13"/>
        <v>1</v>
      </c>
    </row>
    <row r="246" spans="2:5" x14ac:dyDescent="0.25">
      <c r="B246" s="123" t="str">
        <f t="shared" si="12"/>
        <v>8 2025</v>
      </c>
      <c r="C246" s="122">
        <f t="shared" si="14"/>
        <v>45898</v>
      </c>
      <c r="D246" s="122">
        <f t="shared" si="15"/>
        <v>45899</v>
      </c>
      <c r="E246" s="123">
        <f t="shared" si="13"/>
        <v>1</v>
      </c>
    </row>
    <row r="247" spans="2:5" x14ac:dyDescent="0.25">
      <c r="B247" s="148" t="str">
        <f t="shared" si="12"/>
        <v>8 2025</v>
      </c>
      <c r="C247" s="149">
        <f t="shared" si="14"/>
        <v>45899</v>
      </c>
      <c r="D247" s="149">
        <f t="shared" si="15"/>
        <v>45900</v>
      </c>
      <c r="E247" s="148">
        <f t="shared" si="13"/>
        <v>1</v>
      </c>
    </row>
    <row r="248" spans="2:5" x14ac:dyDescent="0.25">
      <c r="B248" s="123" t="str">
        <f t="shared" si="12"/>
        <v>9 2025</v>
      </c>
      <c r="C248" s="122">
        <f t="shared" si="14"/>
        <v>45900</v>
      </c>
      <c r="D248" s="122">
        <f t="shared" si="15"/>
        <v>45901</v>
      </c>
      <c r="E248" s="123">
        <f t="shared" si="13"/>
        <v>1</v>
      </c>
    </row>
    <row r="249" spans="2:5" x14ac:dyDescent="0.25">
      <c r="B249" s="123" t="str">
        <f t="shared" si="12"/>
        <v>9 2025</v>
      </c>
      <c r="C249" s="122">
        <f t="shared" si="14"/>
        <v>45901</v>
      </c>
      <c r="D249" s="122">
        <f t="shared" si="15"/>
        <v>45902</v>
      </c>
      <c r="E249" s="123">
        <f t="shared" si="13"/>
        <v>1</v>
      </c>
    </row>
    <row r="250" spans="2:5" x14ac:dyDescent="0.25">
      <c r="B250" s="123" t="str">
        <f t="shared" si="12"/>
        <v>9 2025</v>
      </c>
      <c r="C250" s="122">
        <f t="shared" si="14"/>
        <v>45902</v>
      </c>
      <c r="D250" s="122">
        <f t="shared" si="15"/>
        <v>45903</v>
      </c>
      <c r="E250" s="123">
        <f t="shared" si="13"/>
        <v>1</v>
      </c>
    </row>
    <row r="251" spans="2:5" x14ac:dyDescent="0.25">
      <c r="B251" s="123" t="str">
        <f t="shared" si="12"/>
        <v>9 2025</v>
      </c>
      <c r="C251" s="122">
        <f t="shared" si="14"/>
        <v>45903</v>
      </c>
      <c r="D251" s="122">
        <f t="shared" si="15"/>
        <v>45904</v>
      </c>
      <c r="E251" s="123">
        <f t="shared" si="13"/>
        <v>1</v>
      </c>
    </row>
    <row r="252" spans="2:5" x14ac:dyDescent="0.25">
      <c r="B252" s="123" t="str">
        <f t="shared" si="12"/>
        <v>9 2025</v>
      </c>
      <c r="C252" s="122">
        <f t="shared" si="14"/>
        <v>45904</v>
      </c>
      <c r="D252" s="122">
        <f t="shared" si="15"/>
        <v>45905</v>
      </c>
      <c r="E252" s="123">
        <f t="shared" si="13"/>
        <v>1</v>
      </c>
    </row>
    <row r="253" spans="2:5" x14ac:dyDescent="0.25">
      <c r="B253" s="123" t="str">
        <f t="shared" si="12"/>
        <v>9 2025</v>
      </c>
      <c r="C253" s="122">
        <f t="shared" si="14"/>
        <v>45905</v>
      </c>
      <c r="D253" s="122">
        <f t="shared" si="15"/>
        <v>45906</v>
      </c>
      <c r="E253" s="123">
        <f t="shared" si="13"/>
        <v>1</v>
      </c>
    </row>
    <row r="254" spans="2:5" x14ac:dyDescent="0.25">
      <c r="B254" s="123" t="str">
        <f t="shared" si="12"/>
        <v>9 2025</v>
      </c>
      <c r="C254" s="122">
        <f t="shared" si="14"/>
        <v>45906</v>
      </c>
      <c r="D254" s="122">
        <f t="shared" si="15"/>
        <v>45907</v>
      </c>
      <c r="E254" s="123">
        <f t="shared" si="13"/>
        <v>1</v>
      </c>
    </row>
    <row r="255" spans="2:5" x14ac:dyDescent="0.25">
      <c r="B255" s="123" t="str">
        <f t="shared" si="12"/>
        <v>9 2025</v>
      </c>
      <c r="C255" s="122">
        <f t="shared" si="14"/>
        <v>45907</v>
      </c>
      <c r="D255" s="122">
        <f t="shared" si="15"/>
        <v>45908</v>
      </c>
      <c r="E255" s="123">
        <f t="shared" si="13"/>
        <v>1</v>
      </c>
    </row>
    <row r="256" spans="2:5" x14ac:dyDescent="0.25">
      <c r="B256" s="123" t="str">
        <f t="shared" si="12"/>
        <v>9 2025</v>
      </c>
      <c r="C256" s="122">
        <f t="shared" si="14"/>
        <v>45908</v>
      </c>
      <c r="D256" s="122">
        <f t="shared" si="15"/>
        <v>45909</v>
      </c>
      <c r="E256" s="123">
        <f t="shared" si="13"/>
        <v>1</v>
      </c>
    </row>
    <row r="257" spans="2:5" x14ac:dyDescent="0.25">
      <c r="B257" s="123" t="str">
        <f t="shared" si="12"/>
        <v>9 2025</v>
      </c>
      <c r="C257" s="122">
        <f t="shared" si="14"/>
        <v>45909</v>
      </c>
      <c r="D257" s="122">
        <f t="shared" si="15"/>
        <v>45910</v>
      </c>
      <c r="E257" s="123">
        <f t="shared" si="13"/>
        <v>1</v>
      </c>
    </row>
    <row r="258" spans="2:5" x14ac:dyDescent="0.25">
      <c r="B258" s="123" t="str">
        <f t="shared" si="12"/>
        <v>9 2025</v>
      </c>
      <c r="C258" s="122">
        <f t="shared" si="14"/>
        <v>45910</v>
      </c>
      <c r="D258" s="122">
        <f t="shared" si="15"/>
        <v>45911</v>
      </c>
      <c r="E258" s="123">
        <f t="shared" si="13"/>
        <v>1</v>
      </c>
    </row>
    <row r="259" spans="2:5" x14ac:dyDescent="0.25">
      <c r="B259" s="123" t="str">
        <f t="shared" si="12"/>
        <v>9 2025</v>
      </c>
      <c r="C259" s="122">
        <f t="shared" si="14"/>
        <v>45911</v>
      </c>
      <c r="D259" s="122">
        <f t="shared" si="15"/>
        <v>45912</v>
      </c>
      <c r="E259" s="123">
        <f t="shared" si="13"/>
        <v>1</v>
      </c>
    </row>
    <row r="260" spans="2:5" x14ac:dyDescent="0.25">
      <c r="B260" s="123" t="str">
        <f t="shared" si="12"/>
        <v>9 2025</v>
      </c>
      <c r="C260" s="122">
        <f t="shared" si="14"/>
        <v>45912</v>
      </c>
      <c r="D260" s="122">
        <f t="shared" si="15"/>
        <v>45913</v>
      </c>
      <c r="E260" s="123">
        <f t="shared" si="13"/>
        <v>1</v>
      </c>
    </row>
    <row r="261" spans="2:5" x14ac:dyDescent="0.25">
      <c r="B261" s="123" t="str">
        <f t="shared" ref="B261:B324" si="16">CONCATENATE(MONTH(D261)," ",YEAR(D261))</f>
        <v>9 2025</v>
      </c>
      <c r="C261" s="122">
        <f t="shared" si="14"/>
        <v>45913</v>
      </c>
      <c r="D261" s="122">
        <f t="shared" si="15"/>
        <v>45914</v>
      </c>
      <c r="E261" s="123">
        <f t="shared" ref="E261:E324" si="17">D261-C261</f>
        <v>1</v>
      </c>
    </row>
    <row r="262" spans="2:5" x14ac:dyDescent="0.25">
      <c r="B262" s="123" t="str">
        <f t="shared" si="16"/>
        <v>9 2025</v>
      </c>
      <c r="C262" s="122">
        <f t="shared" ref="C262:C325" si="18">D261</f>
        <v>45914</v>
      </c>
      <c r="D262" s="122">
        <f t="shared" ref="D262:D325" si="19">D261+1</f>
        <v>45915</v>
      </c>
      <c r="E262" s="123">
        <f t="shared" si="17"/>
        <v>1</v>
      </c>
    </row>
    <row r="263" spans="2:5" x14ac:dyDescent="0.25">
      <c r="B263" s="123" t="str">
        <f t="shared" si="16"/>
        <v>9 2025</v>
      </c>
      <c r="C263" s="122">
        <f t="shared" si="18"/>
        <v>45915</v>
      </c>
      <c r="D263" s="122">
        <f t="shared" si="19"/>
        <v>45916</v>
      </c>
      <c r="E263" s="123">
        <f t="shared" si="17"/>
        <v>1</v>
      </c>
    </row>
    <row r="264" spans="2:5" x14ac:dyDescent="0.25">
      <c r="B264" s="123" t="str">
        <f t="shared" si="16"/>
        <v>9 2025</v>
      </c>
      <c r="C264" s="122">
        <f t="shared" si="18"/>
        <v>45916</v>
      </c>
      <c r="D264" s="122">
        <f t="shared" si="19"/>
        <v>45917</v>
      </c>
      <c r="E264" s="123">
        <f t="shared" si="17"/>
        <v>1</v>
      </c>
    </row>
    <row r="265" spans="2:5" x14ac:dyDescent="0.25">
      <c r="B265" s="123" t="str">
        <f t="shared" si="16"/>
        <v>9 2025</v>
      </c>
      <c r="C265" s="122">
        <f t="shared" si="18"/>
        <v>45917</v>
      </c>
      <c r="D265" s="122">
        <f t="shared" si="19"/>
        <v>45918</v>
      </c>
      <c r="E265" s="123">
        <f t="shared" si="17"/>
        <v>1</v>
      </c>
    </row>
    <row r="266" spans="2:5" x14ac:dyDescent="0.25">
      <c r="B266" s="123" t="str">
        <f t="shared" si="16"/>
        <v>9 2025</v>
      </c>
      <c r="C266" s="122">
        <f t="shared" si="18"/>
        <v>45918</v>
      </c>
      <c r="D266" s="122">
        <f t="shared" si="19"/>
        <v>45919</v>
      </c>
      <c r="E266" s="123">
        <f t="shared" si="17"/>
        <v>1</v>
      </c>
    </row>
    <row r="267" spans="2:5" x14ac:dyDescent="0.25">
      <c r="B267" s="123" t="str">
        <f t="shared" si="16"/>
        <v>9 2025</v>
      </c>
      <c r="C267" s="122">
        <f t="shared" si="18"/>
        <v>45919</v>
      </c>
      <c r="D267" s="122">
        <f t="shared" si="19"/>
        <v>45920</v>
      </c>
      <c r="E267" s="123">
        <f t="shared" si="17"/>
        <v>1</v>
      </c>
    </row>
    <row r="268" spans="2:5" x14ac:dyDescent="0.25">
      <c r="B268" s="123" t="str">
        <f t="shared" si="16"/>
        <v>9 2025</v>
      </c>
      <c r="C268" s="122">
        <f t="shared" si="18"/>
        <v>45920</v>
      </c>
      <c r="D268" s="122">
        <f t="shared" si="19"/>
        <v>45921</v>
      </c>
      <c r="E268" s="123">
        <f t="shared" si="17"/>
        <v>1</v>
      </c>
    </row>
    <row r="269" spans="2:5" x14ac:dyDescent="0.25">
      <c r="B269" s="123" t="str">
        <f t="shared" si="16"/>
        <v>9 2025</v>
      </c>
      <c r="C269" s="122">
        <f t="shared" si="18"/>
        <v>45921</v>
      </c>
      <c r="D269" s="122">
        <f t="shared" si="19"/>
        <v>45922</v>
      </c>
      <c r="E269" s="123">
        <f t="shared" si="17"/>
        <v>1</v>
      </c>
    </row>
    <row r="270" spans="2:5" x14ac:dyDescent="0.25">
      <c r="B270" s="123" t="str">
        <f t="shared" si="16"/>
        <v>9 2025</v>
      </c>
      <c r="C270" s="122">
        <f t="shared" si="18"/>
        <v>45922</v>
      </c>
      <c r="D270" s="122">
        <f t="shared" si="19"/>
        <v>45923</v>
      </c>
      <c r="E270" s="123">
        <f t="shared" si="17"/>
        <v>1</v>
      </c>
    </row>
    <row r="271" spans="2:5" x14ac:dyDescent="0.25">
      <c r="B271" s="123" t="str">
        <f t="shared" si="16"/>
        <v>9 2025</v>
      </c>
      <c r="C271" s="122">
        <f t="shared" si="18"/>
        <v>45923</v>
      </c>
      <c r="D271" s="122">
        <f t="shared" si="19"/>
        <v>45924</v>
      </c>
      <c r="E271" s="123">
        <f t="shared" si="17"/>
        <v>1</v>
      </c>
    </row>
    <row r="272" spans="2:5" x14ac:dyDescent="0.25">
      <c r="B272" s="123" t="str">
        <f t="shared" si="16"/>
        <v>9 2025</v>
      </c>
      <c r="C272" s="122">
        <f t="shared" si="18"/>
        <v>45924</v>
      </c>
      <c r="D272" s="122">
        <f t="shared" si="19"/>
        <v>45925</v>
      </c>
      <c r="E272" s="123">
        <f t="shared" si="17"/>
        <v>1</v>
      </c>
    </row>
    <row r="273" spans="2:5" x14ac:dyDescent="0.25">
      <c r="B273" s="123" t="str">
        <f t="shared" si="16"/>
        <v>9 2025</v>
      </c>
      <c r="C273" s="122">
        <f t="shared" si="18"/>
        <v>45925</v>
      </c>
      <c r="D273" s="122">
        <f t="shared" si="19"/>
        <v>45926</v>
      </c>
      <c r="E273" s="123">
        <f t="shared" si="17"/>
        <v>1</v>
      </c>
    </row>
    <row r="274" spans="2:5" x14ac:dyDescent="0.25">
      <c r="B274" s="123" t="str">
        <f t="shared" si="16"/>
        <v>9 2025</v>
      </c>
      <c r="C274" s="122">
        <f t="shared" si="18"/>
        <v>45926</v>
      </c>
      <c r="D274" s="122">
        <f t="shared" si="19"/>
        <v>45927</v>
      </c>
      <c r="E274" s="123">
        <f t="shared" si="17"/>
        <v>1</v>
      </c>
    </row>
    <row r="275" spans="2:5" x14ac:dyDescent="0.25">
      <c r="B275" s="123" t="str">
        <f t="shared" si="16"/>
        <v>9 2025</v>
      </c>
      <c r="C275" s="122">
        <f t="shared" si="18"/>
        <v>45927</v>
      </c>
      <c r="D275" s="122">
        <f t="shared" si="19"/>
        <v>45928</v>
      </c>
      <c r="E275" s="123">
        <f t="shared" si="17"/>
        <v>1</v>
      </c>
    </row>
    <row r="276" spans="2:5" x14ac:dyDescent="0.25">
      <c r="B276" s="123" t="str">
        <f t="shared" si="16"/>
        <v>9 2025</v>
      </c>
      <c r="C276" s="122">
        <f t="shared" si="18"/>
        <v>45928</v>
      </c>
      <c r="D276" s="122">
        <f t="shared" si="19"/>
        <v>45929</v>
      </c>
      <c r="E276" s="123">
        <f t="shared" si="17"/>
        <v>1</v>
      </c>
    </row>
    <row r="277" spans="2:5" x14ac:dyDescent="0.25">
      <c r="B277" s="148" t="str">
        <f t="shared" si="16"/>
        <v>9 2025</v>
      </c>
      <c r="C277" s="149">
        <f t="shared" si="18"/>
        <v>45929</v>
      </c>
      <c r="D277" s="149">
        <f t="shared" si="19"/>
        <v>45930</v>
      </c>
      <c r="E277" s="148">
        <f t="shared" si="17"/>
        <v>1</v>
      </c>
    </row>
    <row r="278" spans="2:5" x14ac:dyDescent="0.25">
      <c r="B278" s="123" t="str">
        <f t="shared" si="16"/>
        <v>10 2025</v>
      </c>
      <c r="C278" s="122">
        <f t="shared" si="18"/>
        <v>45930</v>
      </c>
      <c r="D278" s="122">
        <f t="shared" si="19"/>
        <v>45931</v>
      </c>
      <c r="E278" s="123">
        <f t="shared" si="17"/>
        <v>1</v>
      </c>
    </row>
    <row r="279" spans="2:5" x14ac:dyDescent="0.25">
      <c r="B279" s="123" t="str">
        <f t="shared" si="16"/>
        <v>10 2025</v>
      </c>
      <c r="C279" s="122">
        <f t="shared" si="18"/>
        <v>45931</v>
      </c>
      <c r="D279" s="122">
        <f t="shared" si="19"/>
        <v>45932</v>
      </c>
      <c r="E279" s="123">
        <f t="shared" si="17"/>
        <v>1</v>
      </c>
    </row>
    <row r="280" spans="2:5" x14ac:dyDescent="0.25">
      <c r="B280" s="123" t="str">
        <f t="shared" si="16"/>
        <v>10 2025</v>
      </c>
      <c r="C280" s="122">
        <f t="shared" si="18"/>
        <v>45932</v>
      </c>
      <c r="D280" s="122">
        <f t="shared" si="19"/>
        <v>45933</v>
      </c>
      <c r="E280" s="123">
        <f t="shared" si="17"/>
        <v>1</v>
      </c>
    </row>
    <row r="281" spans="2:5" x14ac:dyDescent="0.25">
      <c r="B281" s="123" t="str">
        <f t="shared" si="16"/>
        <v>10 2025</v>
      </c>
      <c r="C281" s="122">
        <f t="shared" si="18"/>
        <v>45933</v>
      </c>
      <c r="D281" s="122">
        <f t="shared" si="19"/>
        <v>45934</v>
      </c>
      <c r="E281" s="123">
        <f t="shared" si="17"/>
        <v>1</v>
      </c>
    </row>
    <row r="282" spans="2:5" x14ac:dyDescent="0.25">
      <c r="B282" s="123" t="str">
        <f t="shared" si="16"/>
        <v>10 2025</v>
      </c>
      <c r="C282" s="122">
        <f t="shared" si="18"/>
        <v>45934</v>
      </c>
      <c r="D282" s="122">
        <f t="shared" si="19"/>
        <v>45935</v>
      </c>
      <c r="E282" s="123">
        <f t="shared" si="17"/>
        <v>1</v>
      </c>
    </row>
    <row r="283" spans="2:5" x14ac:dyDescent="0.25">
      <c r="B283" s="123" t="str">
        <f t="shared" si="16"/>
        <v>10 2025</v>
      </c>
      <c r="C283" s="122">
        <f t="shared" si="18"/>
        <v>45935</v>
      </c>
      <c r="D283" s="122">
        <f t="shared" si="19"/>
        <v>45936</v>
      </c>
      <c r="E283" s="123">
        <f t="shared" si="17"/>
        <v>1</v>
      </c>
    </row>
    <row r="284" spans="2:5" x14ac:dyDescent="0.25">
      <c r="B284" s="123" t="str">
        <f t="shared" si="16"/>
        <v>10 2025</v>
      </c>
      <c r="C284" s="122">
        <f t="shared" si="18"/>
        <v>45936</v>
      </c>
      <c r="D284" s="122">
        <f t="shared" si="19"/>
        <v>45937</v>
      </c>
      <c r="E284" s="123">
        <f t="shared" si="17"/>
        <v>1</v>
      </c>
    </row>
    <row r="285" spans="2:5" x14ac:dyDescent="0.25">
      <c r="B285" s="123" t="str">
        <f t="shared" si="16"/>
        <v>10 2025</v>
      </c>
      <c r="C285" s="122">
        <f t="shared" si="18"/>
        <v>45937</v>
      </c>
      <c r="D285" s="122">
        <f t="shared" si="19"/>
        <v>45938</v>
      </c>
      <c r="E285" s="123">
        <f t="shared" si="17"/>
        <v>1</v>
      </c>
    </row>
    <row r="286" spans="2:5" x14ac:dyDescent="0.25">
      <c r="B286" s="123" t="str">
        <f t="shared" si="16"/>
        <v>10 2025</v>
      </c>
      <c r="C286" s="122">
        <f t="shared" si="18"/>
        <v>45938</v>
      </c>
      <c r="D286" s="122">
        <f t="shared" si="19"/>
        <v>45939</v>
      </c>
      <c r="E286" s="123">
        <f t="shared" si="17"/>
        <v>1</v>
      </c>
    </row>
    <row r="287" spans="2:5" x14ac:dyDescent="0.25">
      <c r="B287" s="123" t="str">
        <f t="shared" si="16"/>
        <v>10 2025</v>
      </c>
      <c r="C287" s="122">
        <f t="shared" si="18"/>
        <v>45939</v>
      </c>
      <c r="D287" s="122">
        <f t="shared" si="19"/>
        <v>45940</v>
      </c>
      <c r="E287" s="123">
        <f t="shared" si="17"/>
        <v>1</v>
      </c>
    </row>
    <row r="288" spans="2:5" x14ac:dyDescent="0.25">
      <c r="B288" s="123" t="str">
        <f t="shared" si="16"/>
        <v>10 2025</v>
      </c>
      <c r="C288" s="122">
        <f t="shared" si="18"/>
        <v>45940</v>
      </c>
      <c r="D288" s="122">
        <f t="shared" si="19"/>
        <v>45941</v>
      </c>
      <c r="E288" s="123">
        <f t="shared" si="17"/>
        <v>1</v>
      </c>
    </row>
    <row r="289" spans="2:5" x14ac:dyDescent="0.25">
      <c r="B289" s="123" t="str">
        <f t="shared" si="16"/>
        <v>10 2025</v>
      </c>
      <c r="C289" s="122">
        <f t="shared" si="18"/>
        <v>45941</v>
      </c>
      <c r="D289" s="122">
        <f t="shared" si="19"/>
        <v>45942</v>
      </c>
      <c r="E289" s="123">
        <f t="shared" si="17"/>
        <v>1</v>
      </c>
    </row>
    <row r="290" spans="2:5" x14ac:dyDescent="0.25">
      <c r="B290" s="123" t="str">
        <f t="shared" si="16"/>
        <v>10 2025</v>
      </c>
      <c r="C290" s="122">
        <f t="shared" si="18"/>
        <v>45942</v>
      </c>
      <c r="D290" s="122">
        <f t="shared" si="19"/>
        <v>45943</v>
      </c>
      <c r="E290" s="123">
        <f t="shared" si="17"/>
        <v>1</v>
      </c>
    </row>
    <row r="291" spans="2:5" x14ac:dyDescent="0.25">
      <c r="B291" s="123" t="str">
        <f t="shared" si="16"/>
        <v>10 2025</v>
      </c>
      <c r="C291" s="122">
        <f t="shared" si="18"/>
        <v>45943</v>
      </c>
      <c r="D291" s="122">
        <f t="shared" si="19"/>
        <v>45944</v>
      </c>
      <c r="E291" s="123">
        <f t="shared" si="17"/>
        <v>1</v>
      </c>
    </row>
    <row r="292" spans="2:5" x14ac:dyDescent="0.25">
      <c r="B292" s="123" t="str">
        <f t="shared" si="16"/>
        <v>10 2025</v>
      </c>
      <c r="C292" s="122">
        <f t="shared" si="18"/>
        <v>45944</v>
      </c>
      <c r="D292" s="122">
        <f t="shared" si="19"/>
        <v>45945</v>
      </c>
      <c r="E292" s="123">
        <f t="shared" si="17"/>
        <v>1</v>
      </c>
    </row>
    <row r="293" spans="2:5" x14ac:dyDescent="0.25">
      <c r="B293" s="123" t="str">
        <f t="shared" si="16"/>
        <v>10 2025</v>
      </c>
      <c r="C293" s="122">
        <f t="shared" si="18"/>
        <v>45945</v>
      </c>
      <c r="D293" s="122">
        <f t="shared" si="19"/>
        <v>45946</v>
      </c>
      <c r="E293" s="123">
        <f t="shared" si="17"/>
        <v>1</v>
      </c>
    </row>
    <row r="294" spans="2:5" x14ac:dyDescent="0.25">
      <c r="B294" s="123" t="str">
        <f t="shared" si="16"/>
        <v>10 2025</v>
      </c>
      <c r="C294" s="122">
        <f t="shared" si="18"/>
        <v>45946</v>
      </c>
      <c r="D294" s="122">
        <f t="shared" si="19"/>
        <v>45947</v>
      </c>
      <c r="E294" s="123">
        <f t="shared" si="17"/>
        <v>1</v>
      </c>
    </row>
    <row r="295" spans="2:5" x14ac:dyDescent="0.25">
      <c r="B295" s="123" t="str">
        <f t="shared" si="16"/>
        <v>10 2025</v>
      </c>
      <c r="C295" s="122">
        <f t="shared" si="18"/>
        <v>45947</v>
      </c>
      <c r="D295" s="122">
        <f t="shared" si="19"/>
        <v>45948</v>
      </c>
      <c r="E295" s="123">
        <f t="shared" si="17"/>
        <v>1</v>
      </c>
    </row>
    <row r="296" spans="2:5" x14ac:dyDescent="0.25">
      <c r="B296" s="123" t="str">
        <f t="shared" si="16"/>
        <v>10 2025</v>
      </c>
      <c r="C296" s="122">
        <f t="shared" si="18"/>
        <v>45948</v>
      </c>
      <c r="D296" s="122">
        <f t="shared" si="19"/>
        <v>45949</v>
      </c>
      <c r="E296" s="123">
        <f t="shared" si="17"/>
        <v>1</v>
      </c>
    </row>
    <row r="297" spans="2:5" x14ac:dyDescent="0.25">
      <c r="B297" s="123" t="str">
        <f t="shared" si="16"/>
        <v>10 2025</v>
      </c>
      <c r="C297" s="122">
        <f t="shared" si="18"/>
        <v>45949</v>
      </c>
      <c r="D297" s="122">
        <f t="shared" si="19"/>
        <v>45950</v>
      </c>
      <c r="E297" s="123">
        <f t="shared" si="17"/>
        <v>1</v>
      </c>
    </row>
    <row r="298" spans="2:5" x14ac:dyDescent="0.25">
      <c r="B298" s="123" t="str">
        <f t="shared" si="16"/>
        <v>10 2025</v>
      </c>
      <c r="C298" s="122">
        <f t="shared" si="18"/>
        <v>45950</v>
      </c>
      <c r="D298" s="122">
        <f t="shared" si="19"/>
        <v>45951</v>
      </c>
      <c r="E298" s="123">
        <f t="shared" si="17"/>
        <v>1</v>
      </c>
    </row>
    <row r="299" spans="2:5" x14ac:dyDescent="0.25">
      <c r="B299" s="123" t="str">
        <f t="shared" si="16"/>
        <v>10 2025</v>
      </c>
      <c r="C299" s="122">
        <f t="shared" si="18"/>
        <v>45951</v>
      </c>
      <c r="D299" s="122">
        <f t="shared" si="19"/>
        <v>45952</v>
      </c>
      <c r="E299" s="123">
        <f t="shared" si="17"/>
        <v>1</v>
      </c>
    </row>
    <row r="300" spans="2:5" x14ac:dyDescent="0.25">
      <c r="B300" s="123" t="str">
        <f t="shared" si="16"/>
        <v>10 2025</v>
      </c>
      <c r="C300" s="122">
        <f t="shared" si="18"/>
        <v>45952</v>
      </c>
      <c r="D300" s="122">
        <f t="shared" si="19"/>
        <v>45953</v>
      </c>
      <c r="E300" s="123">
        <f t="shared" si="17"/>
        <v>1</v>
      </c>
    </row>
    <row r="301" spans="2:5" x14ac:dyDescent="0.25">
      <c r="B301" s="123" t="str">
        <f t="shared" si="16"/>
        <v>10 2025</v>
      </c>
      <c r="C301" s="122">
        <f t="shared" si="18"/>
        <v>45953</v>
      </c>
      <c r="D301" s="122">
        <f t="shared" si="19"/>
        <v>45954</v>
      </c>
      <c r="E301" s="123">
        <f t="shared" si="17"/>
        <v>1</v>
      </c>
    </row>
    <row r="302" spans="2:5" x14ac:dyDescent="0.25">
      <c r="B302" s="123" t="str">
        <f t="shared" si="16"/>
        <v>10 2025</v>
      </c>
      <c r="C302" s="122">
        <f t="shared" si="18"/>
        <v>45954</v>
      </c>
      <c r="D302" s="122">
        <f t="shared" si="19"/>
        <v>45955</v>
      </c>
      <c r="E302" s="123">
        <f t="shared" si="17"/>
        <v>1</v>
      </c>
    </row>
    <row r="303" spans="2:5" x14ac:dyDescent="0.25">
      <c r="B303" s="123" t="str">
        <f t="shared" si="16"/>
        <v>10 2025</v>
      </c>
      <c r="C303" s="122">
        <f t="shared" si="18"/>
        <v>45955</v>
      </c>
      <c r="D303" s="122">
        <f t="shared" si="19"/>
        <v>45956</v>
      </c>
      <c r="E303" s="123">
        <f t="shared" si="17"/>
        <v>1</v>
      </c>
    </row>
    <row r="304" spans="2:5" x14ac:dyDescent="0.25">
      <c r="B304" s="123" t="str">
        <f t="shared" si="16"/>
        <v>10 2025</v>
      </c>
      <c r="C304" s="122">
        <f t="shared" si="18"/>
        <v>45956</v>
      </c>
      <c r="D304" s="122">
        <f t="shared" si="19"/>
        <v>45957</v>
      </c>
      <c r="E304" s="123">
        <f t="shared" si="17"/>
        <v>1</v>
      </c>
    </row>
    <row r="305" spans="2:35" x14ac:dyDescent="0.25">
      <c r="B305" s="123" t="str">
        <f t="shared" si="16"/>
        <v>10 2025</v>
      </c>
      <c r="C305" s="122">
        <f t="shared" si="18"/>
        <v>45957</v>
      </c>
      <c r="D305" s="122">
        <f t="shared" si="19"/>
        <v>45958</v>
      </c>
      <c r="E305" s="123">
        <f t="shared" si="17"/>
        <v>1</v>
      </c>
    </row>
    <row r="306" spans="2:35" x14ac:dyDescent="0.25">
      <c r="B306" s="123" t="str">
        <f t="shared" si="16"/>
        <v>10 2025</v>
      </c>
      <c r="C306" s="122">
        <f t="shared" si="18"/>
        <v>45958</v>
      </c>
      <c r="D306" s="122">
        <f t="shared" si="19"/>
        <v>45959</v>
      </c>
      <c r="E306" s="123">
        <f t="shared" si="17"/>
        <v>1</v>
      </c>
    </row>
    <row r="307" spans="2:35" x14ac:dyDescent="0.25">
      <c r="B307" s="123" t="str">
        <f t="shared" si="16"/>
        <v>10 2025</v>
      </c>
      <c r="C307" s="122">
        <f t="shared" si="18"/>
        <v>45959</v>
      </c>
      <c r="D307" s="122">
        <f t="shared" si="19"/>
        <v>45960</v>
      </c>
      <c r="E307" s="123">
        <f t="shared" si="17"/>
        <v>1</v>
      </c>
    </row>
    <row r="308" spans="2:35" x14ac:dyDescent="0.25">
      <c r="B308" s="148" t="str">
        <f t="shared" si="16"/>
        <v>10 2025</v>
      </c>
      <c r="C308" s="149">
        <f t="shared" si="18"/>
        <v>45960</v>
      </c>
      <c r="D308" s="149">
        <f t="shared" si="19"/>
        <v>45961</v>
      </c>
      <c r="E308" s="148">
        <f t="shared" si="17"/>
        <v>1</v>
      </c>
    </row>
    <row r="309" spans="2:35" x14ac:dyDescent="0.25">
      <c r="B309" s="123" t="str">
        <f t="shared" si="16"/>
        <v>11 2025</v>
      </c>
      <c r="C309" s="122">
        <f t="shared" si="18"/>
        <v>45961</v>
      </c>
      <c r="D309" s="122">
        <f t="shared" si="19"/>
        <v>45962</v>
      </c>
      <c r="E309" s="123">
        <f t="shared" si="17"/>
        <v>1</v>
      </c>
    </row>
    <row r="310" spans="2:35" x14ac:dyDescent="0.25">
      <c r="B310" s="123" t="str">
        <f t="shared" si="16"/>
        <v>11 2025</v>
      </c>
      <c r="C310" s="122">
        <f t="shared" si="18"/>
        <v>45962</v>
      </c>
      <c r="D310" s="122">
        <f t="shared" si="19"/>
        <v>45963</v>
      </c>
      <c r="E310" s="123">
        <f t="shared" si="17"/>
        <v>1</v>
      </c>
      <c r="G310" s="122"/>
      <c r="H310" s="122"/>
      <c r="I310" s="122"/>
      <c r="J310" s="122"/>
      <c r="K310" s="122"/>
      <c r="L310" s="122"/>
      <c r="N310" s="122"/>
      <c r="O310" s="122"/>
      <c r="P310" s="122"/>
      <c r="Q310" s="122"/>
      <c r="R310" s="122"/>
      <c r="S310" s="122"/>
      <c r="T310" s="122"/>
      <c r="U310" s="122"/>
      <c r="W310" s="122"/>
      <c r="X310" s="122"/>
      <c r="Y310" s="122"/>
      <c r="Z310" s="122"/>
      <c r="AA310" s="122"/>
      <c r="AB310" s="122"/>
      <c r="AD310" s="122"/>
      <c r="AE310" s="122"/>
      <c r="AF310" s="122"/>
      <c r="AG310" s="122"/>
      <c r="AH310" s="122"/>
      <c r="AI310" s="122"/>
    </row>
    <row r="311" spans="2:35" x14ac:dyDescent="0.25">
      <c r="B311" s="123" t="str">
        <f t="shared" si="16"/>
        <v>11 2025</v>
      </c>
      <c r="C311" s="122">
        <f t="shared" si="18"/>
        <v>45963</v>
      </c>
      <c r="D311" s="122">
        <f t="shared" si="19"/>
        <v>45964</v>
      </c>
      <c r="E311" s="123">
        <f t="shared" si="17"/>
        <v>1</v>
      </c>
      <c r="G311" s="122"/>
      <c r="H311" s="122"/>
      <c r="I311" s="122"/>
      <c r="J311" s="122"/>
      <c r="K311" s="122"/>
      <c r="L311" s="122"/>
      <c r="N311" s="122"/>
      <c r="O311" s="122"/>
      <c r="P311" s="122"/>
      <c r="Q311" s="122"/>
      <c r="R311" s="122"/>
      <c r="S311" s="122"/>
      <c r="T311" s="122"/>
      <c r="U311" s="122"/>
      <c r="W311" s="122"/>
      <c r="X311" s="122"/>
      <c r="Y311" s="122"/>
      <c r="Z311" s="122"/>
      <c r="AA311" s="122"/>
      <c r="AB311" s="122"/>
      <c r="AD311" s="122"/>
      <c r="AE311" s="122"/>
      <c r="AF311" s="122"/>
      <c r="AG311" s="122"/>
      <c r="AH311" s="122"/>
      <c r="AI311" s="122"/>
    </row>
    <row r="312" spans="2:35" x14ac:dyDescent="0.25">
      <c r="B312" s="123" t="str">
        <f t="shared" si="16"/>
        <v>11 2025</v>
      </c>
      <c r="C312" s="122">
        <f t="shared" si="18"/>
        <v>45964</v>
      </c>
      <c r="D312" s="122">
        <f t="shared" si="19"/>
        <v>45965</v>
      </c>
      <c r="E312" s="123">
        <f t="shared" si="17"/>
        <v>1</v>
      </c>
      <c r="G312" s="122"/>
      <c r="H312" s="122"/>
      <c r="I312" s="122"/>
      <c r="J312" s="122"/>
      <c r="K312" s="122"/>
      <c r="L312" s="122"/>
      <c r="N312" s="122"/>
      <c r="O312" s="122"/>
      <c r="P312" s="122"/>
      <c r="Q312" s="122"/>
      <c r="R312" s="122"/>
      <c r="S312" s="122"/>
      <c r="T312" s="122"/>
      <c r="U312" s="122"/>
      <c r="W312" s="122"/>
      <c r="X312" s="122"/>
      <c r="Y312" s="122"/>
      <c r="Z312" s="122"/>
      <c r="AA312" s="122"/>
      <c r="AB312" s="122"/>
      <c r="AD312" s="122"/>
      <c r="AE312" s="122"/>
      <c r="AF312" s="122"/>
      <c r="AG312" s="122"/>
      <c r="AH312" s="122"/>
      <c r="AI312" s="122"/>
    </row>
    <row r="313" spans="2:35" x14ac:dyDescent="0.25">
      <c r="B313" s="123" t="str">
        <f t="shared" si="16"/>
        <v>11 2025</v>
      </c>
      <c r="C313" s="122">
        <f t="shared" si="18"/>
        <v>45965</v>
      </c>
      <c r="D313" s="122">
        <f t="shared" si="19"/>
        <v>45966</v>
      </c>
      <c r="E313" s="123">
        <f t="shared" si="17"/>
        <v>1</v>
      </c>
      <c r="G313" s="122"/>
      <c r="H313" s="122"/>
      <c r="I313" s="122"/>
      <c r="J313" s="122"/>
      <c r="K313" s="122"/>
      <c r="L313" s="122"/>
      <c r="N313" s="122"/>
      <c r="O313" s="122"/>
      <c r="P313" s="122"/>
      <c r="Q313" s="122"/>
      <c r="R313" s="122"/>
      <c r="S313" s="122"/>
      <c r="T313" s="122"/>
      <c r="U313" s="122"/>
      <c r="W313" s="122"/>
      <c r="X313" s="122"/>
      <c r="Y313" s="122"/>
      <c r="Z313" s="122"/>
      <c r="AA313" s="122"/>
      <c r="AB313" s="122"/>
      <c r="AD313" s="122"/>
      <c r="AE313" s="122"/>
      <c r="AF313" s="122"/>
      <c r="AG313" s="122"/>
      <c r="AH313" s="122"/>
      <c r="AI313" s="122"/>
    </row>
    <row r="314" spans="2:35" x14ac:dyDescent="0.25">
      <c r="B314" s="123" t="str">
        <f t="shared" si="16"/>
        <v>11 2025</v>
      </c>
      <c r="C314" s="122">
        <f t="shared" si="18"/>
        <v>45966</v>
      </c>
      <c r="D314" s="122">
        <f t="shared" si="19"/>
        <v>45967</v>
      </c>
      <c r="E314" s="123">
        <f t="shared" si="17"/>
        <v>1</v>
      </c>
      <c r="G314" s="122"/>
      <c r="H314" s="139"/>
      <c r="I314" s="122"/>
      <c r="J314" s="122"/>
      <c r="K314" s="122"/>
      <c r="L314" s="122"/>
      <c r="N314" s="122"/>
      <c r="O314" s="122"/>
      <c r="P314" s="122"/>
      <c r="Q314" s="122"/>
      <c r="R314" s="122"/>
      <c r="S314" s="122"/>
      <c r="T314" s="122"/>
      <c r="U314" s="122"/>
      <c r="W314" s="122"/>
      <c r="X314" s="122"/>
      <c r="Y314" s="122"/>
      <c r="Z314" s="122"/>
      <c r="AA314" s="122"/>
      <c r="AB314" s="122"/>
      <c r="AD314" s="122"/>
      <c r="AE314" s="122"/>
      <c r="AF314" s="122"/>
      <c r="AG314" s="122"/>
      <c r="AH314" s="122"/>
      <c r="AI314" s="122"/>
    </row>
    <row r="315" spans="2:35" x14ac:dyDescent="0.25">
      <c r="B315" s="123" t="str">
        <f t="shared" si="16"/>
        <v>11 2025</v>
      </c>
      <c r="C315" s="122">
        <f t="shared" si="18"/>
        <v>45967</v>
      </c>
      <c r="D315" s="122">
        <f t="shared" si="19"/>
        <v>45968</v>
      </c>
      <c r="E315" s="123">
        <f t="shared" si="17"/>
        <v>1</v>
      </c>
      <c r="G315" s="122"/>
      <c r="H315" s="122"/>
      <c r="I315" s="122"/>
      <c r="J315" s="122"/>
      <c r="K315" s="122"/>
      <c r="L315" s="122"/>
      <c r="N315" s="122"/>
      <c r="O315" s="122"/>
      <c r="P315" s="122"/>
      <c r="Q315" s="122"/>
      <c r="R315" s="122"/>
      <c r="S315" s="122"/>
      <c r="T315" s="122"/>
      <c r="U315" s="122"/>
      <c r="W315" s="122"/>
      <c r="X315" s="122"/>
      <c r="Y315" s="122"/>
      <c r="Z315" s="122"/>
      <c r="AA315" s="122"/>
      <c r="AB315" s="122"/>
      <c r="AD315" s="122"/>
      <c r="AE315" s="122"/>
      <c r="AF315" s="122"/>
      <c r="AG315" s="122"/>
      <c r="AH315" s="122"/>
      <c r="AI315" s="122"/>
    </row>
    <row r="316" spans="2:35" x14ac:dyDescent="0.25">
      <c r="B316" s="123" t="str">
        <f t="shared" si="16"/>
        <v>11 2025</v>
      </c>
      <c r="C316" s="122">
        <f t="shared" si="18"/>
        <v>45968</v>
      </c>
      <c r="D316" s="122">
        <f t="shared" si="19"/>
        <v>45969</v>
      </c>
      <c r="E316" s="123">
        <f t="shared" si="17"/>
        <v>1</v>
      </c>
      <c r="G316" s="124">
        <v>40000000</v>
      </c>
      <c r="H316" s="139">
        <f t="shared" ref="H316:H337" si="20">H317</f>
        <v>3.839324999999949E-2</v>
      </c>
      <c r="I316" s="431">
        <f t="shared" ref="I316:I339" si="21">H316*G316*E316/360</f>
        <v>4265.9166666666097</v>
      </c>
      <c r="J316" s="122"/>
      <c r="K316" s="122"/>
      <c r="L316" s="124">
        <f>I316-G316*'OverNight $'!$H316*'MM $'!$E316/360</f>
        <v>488.13888888883184</v>
      </c>
      <c r="N316" s="124">
        <v>40000000</v>
      </c>
      <c r="O316" s="124"/>
      <c r="P316" s="139">
        <f t="shared" ref="P316:P337" si="22">P317</f>
        <v>3.8233830000001801E-2</v>
      </c>
      <c r="Q316" s="431">
        <f>P316*N316*$E316/360</f>
        <v>4248.2033333335339</v>
      </c>
      <c r="R316" s="431"/>
      <c r="S316" s="122"/>
      <c r="T316" s="122"/>
      <c r="U316" s="124">
        <f>Q316-N316*'OverNight $'!$H316*'MM $'!$E316/360</f>
        <v>470.42555555575609</v>
      </c>
      <c r="W316" s="124">
        <v>40000000</v>
      </c>
      <c r="X316" s="139">
        <f t="shared" ref="X316:X337" si="23">X317</f>
        <v>3.8280630000000482E-2</v>
      </c>
      <c r="Y316" s="431">
        <f>X316*W316*$E316/360</f>
        <v>4253.4033333333873</v>
      </c>
      <c r="Z316" s="122"/>
      <c r="AA316" s="122"/>
      <c r="AB316" s="124">
        <f>Y316-W316*'OverNight $'!$H316*'MM $'!$E316/360</f>
        <v>475.62555555560948</v>
      </c>
      <c r="AD316" s="124">
        <v>40000000</v>
      </c>
      <c r="AE316" s="139">
        <f t="shared" ref="AE316:AE337" si="24">AE317</f>
        <v>3.8657655000000624E-2</v>
      </c>
      <c r="AF316" s="431">
        <f>AE316*AD316*$E316/360</f>
        <v>4295.2950000000692</v>
      </c>
      <c r="AG316" s="122"/>
      <c r="AH316" s="122"/>
      <c r="AI316" s="124">
        <f>AF316-AD316*'OverNight $'!$H316*'MM $'!$E316/360</f>
        <v>517.51722222229137</v>
      </c>
    </row>
    <row r="317" spans="2:35" x14ac:dyDescent="0.25">
      <c r="B317" s="123" t="str">
        <f t="shared" si="16"/>
        <v>11 2025</v>
      </c>
      <c r="C317" s="122">
        <f t="shared" si="18"/>
        <v>45969</v>
      </c>
      <c r="D317" s="122">
        <f t="shared" si="19"/>
        <v>45970</v>
      </c>
      <c r="E317" s="123">
        <f t="shared" si="17"/>
        <v>1</v>
      </c>
      <c r="G317" s="124">
        <v>40000000</v>
      </c>
      <c r="H317" s="139">
        <f t="shared" si="20"/>
        <v>3.839324999999949E-2</v>
      </c>
      <c r="I317" s="431">
        <f t="shared" si="21"/>
        <v>4265.9166666666097</v>
      </c>
      <c r="J317" s="122"/>
      <c r="K317" s="122"/>
      <c r="L317" s="124">
        <f>I317-G317*'OverNight $'!$H317*'MM $'!$E317/360</f>
        <v>488.13888888883184</v>
      </c>
      <c r="N317" s="124">
        <v>40000000</v>
      </c>
      <c r="O317" s="124"/>
      <c r="P317" s="139">
        <f t="shared" si="22"/>
        <v>3.8233830000001801E-2</v>
      </c>
      <c r="Q317" s="431">
        <f t="shared" ref="Q317:Q369" si="25">P317*N317*$E317/360</f>
        <v>4248.2033333335339</v>
      </c>
      <c r="R317" s="431"/>
      <c r="S317" s="122"/>
      <c r="T317" s="122"/>
      <c r="U317" s="124">
        <f>Q317-N317*'OverNight $'!$H317*'MM $'!$E317/360</f>
        <v>470.42555555575609</v>
      </c>
      <c r="W317" s="124">
        <v>40000000</v>
      </c>
      <c r="X317" s="139">
        <f t="shared" si="23"/>
        <v>3.8280630000000482E-2</v>
      </c>
      <c r="Y317" s="431">
        <f t="shared" ref="Y317:Y339" si="26">X317*W317*$E317/360</f>
        <v>4253.4033333333873</v>
      </c>
      <c r="Z317" s="122"/>
      <c r="AA317" s="122"/>
      <c r="AB317" s="124">
        <f>Y317-W317*'OverNight $'!$H317*'MM $'!$E317/360</f>
        <v>475.62555555560948</v>
      </c>
      <c r="AD317" s="124">
        <v>40000000</v>
      </c>
      <c r="AE317" s="139">
        <f t="shared" si="24"/>
        <v>3.8657655000000624E-2</v>
      </c>
      <c r="AF317" s="431">
        <f t="shared" ref="AF317:AF339" si="27">AE317*AD317*$E317/360</f>
        <v>4295.2950000000692</v>
      </c>
      <c r="AG317" s="122"/>
      <c r="AH317" s="122"/>
      <c r="AI317" s="124">
        <f>AF317-AD317*'OverNight $'!$H317*'MM $'!$E317/360</f>
        <v>517.51722222229137</v>
      </c>
    </row>
    <row r="318" spans="2:35" x14ac:dyDescent="0.25">
      <c r="B318" s="123" t="str">
        <f t="shared" si="16"/>
        <v>11 2025</v>
      </c>
      <c r="C318" s="122">
        <f t="shared" si="18"/>
        <v>45970</v>
      </c>
      <c r="D318" s="122">
        <f t="shared" si="19"/>
        <v>45971</v>
      </c>
      <c r="E318" s="123">
        <f t="shared" si="17"/>
        <v>1</v>
      </c>
      <c r="G318" s="124">
        <v>40000000</v>
      </c>
      <c r="H318" s="139">
        <f t="shared" si="20"/>
        <v>3.839324999999949E-2</v>
      </c>
      <c r="I318" s="431">
        <f t="shared" si="21"/>
        <v>4265.9166666666097</v>
      </c>
      <c r="J318" s="122"/>
      <c r="K318" s="122"/>
      <c r="L318" s="124">
        <f>I318-G318*'OverNight $'!$H318*'MM $'!$E318/360</f>
        <v>488.13888888883184</v>
      </c>
      <c r="N318" s="124">
        <v>40000000</v>
      </c>
      <c r="O318" s="124"/>
      <c r="P318" s="139">
        <f t="shared" si="22"/>
        <v>3.8233830000001801E-2</v>
      </c>
      <c r="Q318" s="431">
        <f t="shared" si="25"/>
        <v>4248.2033333335339</v>
      </c>
      <c r="R318" s="431"/>
      <c r="S318" s="122"/>
      <c r="T318" s="122"/>
      <c r="U318" s="124">
        <f>Q318-N318*'OverNight $'!$H318*'MM $'!$E318/360</f>
        <v>470.42555555575609</v>
      </c>
      <c r="W318" s="124">
        <v>40000000</v>
      </c>
      <c r="X318" s="139">
        <f t="shared" si="23"/>
        <v>3.8280630000000482E-2</v>
      </c>
      <c r="Y318" s="431">
        <f t="shared" si="26"/>
        <v>4253.4033333333873</v>
      </c>
      <c r="Z318" s="122"/>
      <c r="AA318" s="122"/>
      <c r="AB318" s="124">
        <f>Y318-W318*'OverNight $'!$H318*'MM $'!$E318/360</f>
        <v>475.62555555560948</v>
      </c>
      <c r="AD318" s="124">
        <v>40000000</v>
      </c>
      <c r="AE318" s="139">
        <f t="shared" si="24"/>
        <v>3.8657655000000624E-2</v>
      </c>
      <c r="AF318" s="431">
        <f t="shared" si="27"/>
        <v>4295.2950000000692</v>
      </c>
      <c r="AG318" s="122"/>
      <c r="AH318" s="122"/>
      <c r="AI318" s="124">
        <f>AF318-AD318*'OverNight $'!$H318*'MM $'!$E318/360</f>
        <v>517.51722222229137</v>
      </c>
    </row>
    <row r="319" spans="2:35" x14ac:dyDescent="0.25">
      <c r="B319" s="123" t="str">
        <f t="shared" si="16"/>
        <v>11 2025</v>
      </c>
      <c r="C319" s="122">
        <f t="shared" si="18"/>
        <v>45971</v>
      </c>
      <c r="D319" s="122">
        <f t="shared" si="19"/>
        <v>45972</v>
      </c>
      <c r="E319" s="123">
        <f t="shared" si="17"/>
        <v>1</v>
      </c>
      <c r="G319" s="124">
        <v>40000000</v>
      </c>
      <c r="H319" s="139">
        <f t="shared" si="20"/>
        <v>3.839324999999949E-2</v>
      </c>
      <c r="I319" s="431">
        <f t="shared" si="21"/>
        <v>4265.9166666666097</v>
      </c>
      <c r="J319" s="122"/>
      <c r="K319" s="122"/>
      <c r="L319" s="124">
        <f>I319-G319*'OverNight $'!$H319*'MM $'!$E319/360</f>
        <v>488.13888888883184</v>
      </c>
      <c r="N319" s="124">
        <v>40000000</v>
      </c>
      <c r="O319" s="124"/>
      <c r="P319" s="139">
        <f t="shared" si="22"/>
        <v>3.8233830000001801E-2</v>
      </c>
      <c r="Q319" s="431">
        <f t="shared" si="25"/>
        <v>4248.2033333335339</v>
      </c>
      <c r="R319" s="431"/>
      <c r="S319" s="122"/>
      <c r="T319" s="122"/>
      <c r="U319" s="124">
        <f>Q319-N319*'OverNight $'!$H319*'MM $'!$E319/360</f>
        <v>470.42555555575609</v>
      </c>
      <c r="W319" s="124">
        <v>40000000</v>
      </c>
      <c r="X319" s="139">
        <f t="shared" si="23"/>
        <v>3.8280630000000482E-2</v>
      </c>
      <c r="Y319" s="431">
        <f t="shared" si="26"/>
        <v>4253.4033333333873</v>
      </c>
      <c r="Z319" s="122"/>
      <c r="AA319" s="122"/>
      <c r="AB319" s="124">
        <f>Y319-W319*'OverNight $'!$H319*'MM $'!$E319/360</f>
        <v>475.62555555560948</v>
      </c>
      <c r="AD319" s="124">
        <v>40000000</v>
      </c>
      <c r="AE319" s="139">
        <f t="shared" si="24"/>
        <v>3.8657655000000624E-2</v>
      </c>
      <c r="AF319" s="431">
        <f t="shared" si="27"/>
        <v>4295.2950000000692</v>
      </c>
      <c r="AG319" s="122"/>
      <c r="AH319" s="122"/>
      <c r="AI319" s="124">
        <f>AF319-AD319*'OverNight $'!$H319*'MM $'!$E319/360</f>
        <v>517.51722222229137</v>
      </c>
    </row>
    <row r="320" spans="2:35" x14ac:dyDescent="0.25">
      <c r="B320" s="123" t="str">
        <f t="shared" si="16"/>
        <v>11 2025</v>
      </c>
      <c r="C320" s="122">
        <f t="shared" si="18"/>
        <v>45972</v>
      </c>
      <c r="D320" s="122">
        <f t="shared" si="19"/>
        <v>45973</v>
      </c>
      <c r="E320" s="123">
        <f t="shared" si="17"/>
        <v>1</v>
      </c>
      <c r="G320" s="124">
        <v>40000000</v>
      </c>
      <c r="H320" s="139">
        <f t="shared" si="20"/>
        <v>3.839324999999949E-2</v>
      </c>
      <c r="I320" s="431">
        <f t="shared" si="21"/>
        <v>4265.9166666666097</v>
      </c>
      <c r="J320" s="122"/>
      <c r="K320" s="122"/>
      <c r="L320" s="124">
        <f>I320-G320*'OverNight $'!$H320*'MM $'!$E320/360</f>
        <v>488.13888888883184</v>
      </c>
      <c r="N320" s="124">
        <v>40000000</v>
      </c>
      <c r="O320" s="124"/>
      <c r="P320" s="139">
        <f t="shared" si="22"/>
        <v>3.8233830000001801E-2</v>
      </c>
      <c r="Q320" s="431">
        <f t="shared" si="25"/>
        <v>4248.2033333335339</v>
      </c>
      <c r="R320" s="431"/>
      <c r="S320" s="122"/>
      <c r="T320" s="122"/>
      <c r="U320" s="124">
        <f>Q320-N320*'OverNight $'!$H320*'MM $'!$E320/360</f>
        <v>470.42555555575609</v>
      </c>
      <c r="W320" s="124">
        <v>40000000</v>
      </c>
      <c r="X320" s="139">
        <f t="shared" si="23"/>
        <v>3.8280630000000482E-2</v>
      </c>
      <c r="Y320" s="431">
        <f t="shared" si="26"/>
        <v>4253.4033333333873</v>
      </c>
      <c r="Z320" s="122"/>
      <c r="AA320" s="122"/>
      <c r="AB320" s="124">
        <f>Y320-W320*'OverNight $'!$H320*'MM $'!$E320/360</f>
        <v>475.62555555560948</v>
      </c>
      <c r="AD320" s="124">
        <v>40000000</v>
      </c>
      <c r="AE320" s="139">
        <f t="shared" si="24"/>
        <v>3.8657655000000624E-2</v>
      </c>
      <c r="AF320" s="431">
        <f t="shared" si="27"/>
        <v>4295.2950000000692</v>
      </c>
      <c r="AG320" s="122"/>
      <c r="AH320" s="122"/>
      <c r="AI320" s="124">
        <f>AF320-AD320*'OverNight $'!$H320*'MM $'!$E320/360</f>
        <v>517.51722222229137</v>
      </c>
    </row>
    <row r="321" spans="2:35" x14ac:dyDescent="0.25">
      <c r="B321" s="123" t="str">
        <f t="shared" si="16"/>
        <v>11 2025</v>
      </c>
      <c r="C321" s="122">
        <f t="shared" si="18"/>
        <v>45973</v>
      </c>
      <c r="D321" s="122">
        <f t="shared" si="19"/>
        <v>45974</v>
      </c>
      <c r="E321" s="123">
        <f t="shared" si="17"/>
        <v>1</v>
      </c>
      <c r="G321" s="124">
        <v>40000000</v>
      </c>
      <c r="H321" s="139">
        <f t="shared" si="20"/>
        <v>3.839324999999949E-2</v>
      </c>
      <c r="I321" s="431">
        <f t="shared" si="21"/>
        <v>4265.9166666666097</v>
      </c>
      <c r="J321" s="122"/>
      <c r="K321" s="122"/>
      <c r="L321" s="124">
        <f>I321-G321*'OverNight $'!$H321*'MM $'!$E321/360</f>
        <v>488.13888888883184</v>
      </c>
      <c r="N321" s="124">
        <v>40000000</v>
      </c>
      <c r="O321" s="124"/>
      <c r="P321" s="139">
        <f t="shared" si="22"/>
        <v>3.8233830000001801E-2</v>
      </c>
      <c r="Q321" s="431">
        <f t="shared" si="25"/>
        <v>4248.2033333335339</v>
      </c>
      <c r="R321" s="431"/>
      <c r="S321" s="122"/>
      <c r="T321" s="122"/>
      <c r="U321" s="124">
        <f>Q321-N321*'OverNight $'!$H321*'MM $'!$E321/360</f>
        <v>470.42555555575609</v>
      </c>
      <c r="W321" s="124">
        <v>40000000</v>
      </c>
      <c r="X321" s="139">
        <f t="shared" si="23"/>
        <v>3.8280630000000482E-2</v>
      </c>
      <c r="Y321" s="431">
        <f t="shared" si="26"/>
        <v>4253.4033333333873</v>
      </c>
      <c r="Z321" s="122"/>
      <c r="AA321" s="122"/>
      <c r="AB321" s="124">
        <f>Y321-W321*'OverNight $'!$H321*'MM $'!$E321/360</f>
        <v>475.62555555560948</v>
      </c>
      <c r="AD321" s="124">
        <v>40000000</v>
      </c>
      <c r="AE321" s="139">
        <f t="shared" si="24"/>
        <v>3.8657655000000624E-2</v>
      </c>
      <c r="AF321" s="431">
        <f t="shared" si="27"/>
        <v>4295.2950000000692</v>
      </c>
      <c r="AG321" s="122"/>
      <c r="AH321" s="122"/>
      <c r="AI321" s="124">
        <f>AF321-AD321*'OverNight $'!$H321*'MM $'!$E321/360</f>
        <v>517.51722222229137</v>
      </c>
    </row>
    <row r="322" spans="2:35" x14ac:dyDescent="0.25">
      <c r="B322" s="123" t="str">
        <f t="shared" si="16"/>
        <v>11 2025</v>
      </c>
      <c r="C322" s="122">
        <f t="shared" si="18"/>
        <v>45974</v>
      </c>
      <c r="D322" s="122">
        <f t="shared" si="19"/>
        <v>45975</v>
      </c>
      <c r="E322" s="123">
        <f t="shared" si="17"/>
        <v>1</v>
      </c>
      <c r="G322" s="124">
        <v>40000000</v>
      </c>
      <c r="H322" s="139">
        <f t="shared" si="20"/>
        <v>3.839324999999949E-2</v>
      </c>
      <c r="I322" s="431">
        <f t="shared" si="21"/>
        <v>4265.9166666666097</v>
      </c>
      <c r="J322" s="122"/>
      <c r="K322" s="122"/>
      <c r="L322" s="124">
        <f>I322-G322*'OverNight $'!$H322*'MM $'!$E322/360</f>
        <v>488.13888888883184</v>
      </c>
      <c r="N322" s="124">
        <v>40000000</v>
      </c>
      <c r="O322" s="124"/>
      <c r="P322" s="139">
        <f t="shared" si="22"/>
        <v>3.8233830000001801E-2</v>
      </c>
      <c r="Q322" s="431">
        <f t="shared" si="25"/>
        <v>4248.2033333335339</v>
      </c>
      <c r="R322" s="431"/>
      <c r="S322" s="122"/>
      <c r="T322" s="122"/>
      <c r="U322" s="124">
        <f>Q322-N322*'OverNight $'!$H322*'MM $'!$E322/360</f>
        <v>470.42555555575609</v>
      </c>
      <c r="W322" s="124">
        <v>40000000</v>
      </c>
      <c r="X322" s="139">
        <f t="shared" si="23"/>
        <v>3.8280630000000482E-2</v>
      </c>
      <c r="Y322" s="431">
        <f t="shared" si="26"/>
        <v>4253.4033333333873</v>
      </c>
      <c r="Z322" s="122"/>
      <c r="AA322" s="122"/>
      <c r="AB322" s="124">
        <f>Y322-W322*'OverNight $'!$H322*'MM $'!$E322/360</f>
        <v>475.62555555560948</v>
      </c>
      <c r="AD322" s="124">
        <v>40000000</v>
      </c>
      <c r="AE322" s="139">
        <f t="shared" si="24"/>
        <v>3.8657655000000624E-2</v>
      </c>
      <c r="AF322" s="431">
        <f t="shared" si="27"/>
        <v>4295.2950000000692</v>
      </c>
      <c r="AG322" s="122"/>
      <c r="AH322" s="122"/>
      <c r="AI322" s="124">
        <f>AF322-AD322*'OverNight $'!$H322*'MM $'!$E322/360</f>
        <v>517.51722222229137</v>
      </c>
    </row>
    <row r="323" spans="2:35" x14ac:dyDescent="0.25">
      <c r="B323" s="123" t="str">
        <f t="shared" si="16"/>
        <v>11 2025</v>
      </c>
      <c r="C323" s="122">
        <f t="shared" si="18"/>
        <v>45975</v>
      </c>
      <c r="D323" s="122">
        <f t="shared" si="19"/>
        <v>45976</v>
      </c>
      <c r="E323" s="123">
        <f t="shared" si="17"/>
        <v>1</v>
      </c>
      <c r="G323" s="124">
        <v>40000000</v>
      </c>
      <c r="H323" s="139">
        <f t="shared" si="20"/>
        <v>3.839324999999949E-2</v>
      </c>
      <c r="I323" s="431">
        <f t="shared" si="21"/>
        <v>4265.9166666666097</v>
      </c>
      <c r="J323" s="122"/>
      <c r="K323" s="122"/>
      <c r="L323" s="124">
        <f>I323-G323*'OverNight $'!$H323*'MM $'!$E323/360</f>
        <v>488.13888888883184</v>
      </c>
      <c r="N323" s="124">
        <v>40000000</v>
      </c>
      <c r="O323" s="124"/>
      <c r="P323" s="139">
        <f t="shared" si="22"/>
        <v>3.8233830000001801E-2</v>
      </c>
      <c r="Q323" s="431">
        <f t="shared" si="25"/>
        <v>4248.2033333335339</v>
      </c>
      <c r="R323" s="431"/>
      <c r="S323" s="122"/>
      <c r="T323" s="122"/>
      <c r="U323" s="124">
        <f>Q323-N323*'OverNight $'!$H323*'MM $'!$E323/360</f>
        <v>470.42555555575609</v>
      </c>
      <c r="W323" s="124">
        <v>40000000</v>
      </c>
      <c r="X323" s="139">
        <f t="shared" si="23"/>
        <v>3.8280630000000482E-2</v>
      </c>
      <c r="Y323" s="431">
        <f t="shared" si="26"/>
        <v>4253.4033333333873</v>
      </c>
      <c r="Z323" s="122"/>
      <c r="AA323" s="122"/>
      <c r="AB323" s="124">
        <f>Y323-W323*'OverNight $'!$H323*'MM $'!$E323/360</f>
        <v>475.62555555560948</v>
      </c>
      <c r="AD323" s="124">
        <v>40000000</v>
      </c>
      <c r="AE323" s="139">
        <f t="shared" si="24"/>
        <v>3.8657655000000624E-2</v>
      </c>
      <c r="AF323" s="431">
        <f t="shared" si="27"/>
        <v>4295.2950000000692</v>
      </c>
      <c r="AG323" s="122"/>
      <c r="AH323" s="122"/>
      <c r="AI323" s="124">
        <f>AF323-AD323*'OverNight $'!$H323*'MM $'!$E323/360</f>
        <v>517.51722222229137</v>
      </c>
    </row>
    <row r="324" spans="2:35" x14ac:dyDescent="0.25">
      <c r="B324" s="123" t="str">
        <f t="shared" si="16"/>
        <v>11 2025</v>
      </c>
      <c r="C324" s="122">
        <f t="shared" si="18"/>
        <v>45976</v>
      </c>
      <c r="D324" s="122">
        <f t="shared" si="19"/>
        <v>45977</v>
      </c>
      <c r="E324" s="123">
        <f t="shared" si="17"/>
        <v>1</v>
      </c>
      <c r="G324" s="124">
        <v>40000000</v>
      </c>
      <c r="H324" s="139">
        <f t="shared" si="20"/>
        <v>3.839324999999949E-2</v>
      </c>
      <c r="I324" s="431">
        <f t="shared" si="21"/>
        <v>4265.9166666666097</v>
      </c>
      <c r="J324" s="122"/>
      <c r="K324" s="122"/>
      <c r="L324" s="124">
        <f>I324-G324*'OverNight $'!$H324*'MM $'!$E324/360</f>
        <v>488.13888888883184</v>
      </c>
      <c r="N324" s="124">
        <v>40000000</v>
      </c>
      <c r="O324" s="124"/>
      <c r="P324" s="139">
        <f t="shared" si="22"/>
        <v>3.8233830000001801E-2</v>
      </c>
      <c r="Q324" s="431">
        <f t="shared" si="25"/>
        <v>4248.2033333335339</v>
      </c>
      <c r="R324" s="431"/>
      <c r="S324" s="122"/>
      <c r="T324" s="122"/>
      <c r="U324" s="124">
        <f>Q324-N324*'OverNight $'!$H324*'MM $'!$E324/360</f>
        <v>470.42555555575609</v>
      </c>
      <c r="W324" s="124">
        <v>40000000</v>
      </c>
      <c r="X324" s="139">
        <f t="shared" si="23"/>
        <v>3.8280630000000482E-2</v>
      </c>
      <c r="Y324" s="431">
        <f t="shared" si="26"/>
        <v>4253.4033333333873</v>
      </c>
      <c r="Z324" s="122"/>
      <c r="AA324" s="122"/>
      <c r="AB324" s="124">
        <f>Y324-W324*'OverNight $'!$H324*'MM $'!$E324/360</f>
        <v>475.62555555560948</v>
      </c>
      <c r="AD324" s="124">
        <v>40000000</v>
      </c>
      <c r="AE324" s="139">
        <f t="shared" si="24"/>
        <v>3.8657655000000624E-2</v>
      </c>
      <c r="AF324" s="431">
        <f t="shared" si="27"/>
        <v>4295.2950000000692</v>
      </c>
      <c r="AG324" s="122"/>
      <c r="AH324" s="122"/>
      <c r="AI324" s="124">
        <f>AF324-AD324*'OverNight $'!$H324*'MM $'!$E324/360</f>
        <v>517.51722222229137</v>
      </c>
    </row>
    <row r="325" spans="2:35" x14ac:dyDescent="0.25">
      <c r="B325" s="123" t="str">
        <f t="shared" ref="B325:B369" si="28">CONCATENATE(MONTH(D325)," ",YEAR(D325))</f>
        <v>11 2025</v>
      </c>
      <c r="C325" s="122">
        <f t="shared" si="18"/>
        <v>45977</v>
      </c>
      <c r="D325" s="122">
        <f t="shared" si="19"/>
        <v>45978</v>
      </c>
      <c r="E325" s="123">
        <f t="shared" ref="E325:E369" si="29">D325-C325</f>
        <v>1</v>
      </c>
      <c r="G325" s="124">
        <v>40000000</v>
      </c>
      <c r="H325" s="139">
        <f t="shared" si="20"/>
        <v>3.839324999999949E-2</v>
      </c>
      <c r="I325" s="431">
        <f t="shared" si="21"/>
        <v>4265.9166666666097</v>
      </c>
      <c r="J325" s="122"/>
      <c r="K325" s="122"/>
      <c r="L325" s="124">
        <f>I325-G325*'OverNight $'!$H325*'MM $'!$E325/360</f>
        <v>488.13888888883184</v>
      </c>
      <c r="N325" s="124">
        <v>40000000</v>
      </c>
      <c r="O325" s="124"/>
      <c r="P325" s="139">
        <f t="shared" si="22"/>
        <v>3.8233830000001801E-2</v>
      </c>
      <c r="Q325" s="431">
        <f t="shared" si="25"/>
        <v>4248.2033333335339</v>
      </c>
      <c r="R325" s="431"/>
      <c r="S325" s="122"/>
      <c r="T325" s="122"/>
      <c r="U325" s="124">
        <f>Q325-N325*'OverNight $'!$H325*'MM $'!$E325/360</f>
        <v>470.42555555575609</v>
      </c>
      <c r="W325" s="124">
        <v>40000000</v>
      </c>
      <c r="X325" s="139">
        <f t="shared" si="23"/>
        <v>3.8280630000000482E-2</v>
      </c>
      <c r="Y325" s="431">
        <f t="shared" si="26"/>
        <v>4253.4033333333873</v>
      </c>
      <c r="Z325" s="122"/>
      <c r="AA325" s="122"/>
      <c r="AB325" s="124">
        <f>Y325-W325*'OverNight $'!$H325*'MM $'!$E325/360</f>
        <v>475.62555555560948</v>
      </c>
      <c r="AD325" s="124">
        <v>40000000</v>
      </c>
      <c r="AE325" s="139">
        <f t="shared" si="24"/>
        <v>3.8657655000000624E-2</v>
      </c>
      <c r="AF325" s="431">
        <f t="shared" si="27"/>
        <v>4295.2950000000692</v>
      </c>
      <c r="AG325" s="122"/>
      <c r="AH325" s="122"/>
      <c r="AI325" s="124">
        <f>AF325-AD325*'OverNight $'!$H325*'MM $'!$E325/360</f>
        <v>517.51722222229137</v>
      </c>
    </row>
    <row r="326" spans="2:35" x14ac:dyDescent="0.25">
      <c r="B326" s="123" t="str">
        <f t="shared" si="28"/>
        <v>11 2025</v>
      </c>
      <c r="C326" s="122">
        <f t="shared" ref="C326:C369" si="30">D325</f>
        <v>45978</v>
      </c>
      <c r="D326" s="122">
        <f t="shared" ref="D326:D369" si="31">D325+1</f>
        <v>45979</v>
      </c>
      <c r="E326" s="123">
        <f t="shared" si="29"/>
        <v>1</v>
      </c>
      <c r="G326" s="124">
        <v>40000000</v>
      </c>
      <c r="H326" s="139">
        <f t="shared" si="20"/>
        <v>3.839324999999949E-2</v>
      </c>
      <c r="I326" s="431">
        <f t="shared" si="21"/>
        <v>4265.9166666666097</v>
      </c>
      <c r="J326" s="122"/>
      <c r="K326" s="122"/>
      <c r="L326" s="124">
        <f>I326-G326*'OverNight $'!$H326*'MM $'!$E326/360</f>
        <v>488.13888888883184</v>
      </c>
      <c r="N326" s="124">
        <v>40000000</v>
      </c>
      <c r="O326" s="124"/>
      <c r="P326" s="139">
        <f t="shared" si="22"/>
        <v>3.8233830000001801E-2</v>
      </c>
      <c r="Q326" s="431">
        <f t="shared" si="25"/>
        <v>4248.2033333335339</v>
      </c>
      <c r="R326" s="431"/>
      <c r="S326" s="122"/>
      <c r="T326" s="122"/>
      <c r="U326" s="124">
        <f>Q326-N326*'OverNight $'!$H326*'MM $'!$E326/360</f>
        <v>470.42555555575609</v>
      </c>
      <c r="W326" s="124">
        <v>40000000</v>
      </c>
      <c r="X326" s="139">
        <f t="shared" si="23"/>
        <v>3.8280630000000482E-2</v>
      </c>
      <c r="Y326" s="431">
        <f t="shared" si="26"/>
        <v>4253.4033333333873</v>
      </c>
      <c r="Z326" s="122"/>
      <c r="AA326" s="122"/>
      <c r="AB326" s="124">
        <f>Y326-W326*'OverNight $'!$H326*'MM $'!$E326/360</f>
        <v>475.62555555560948</v>
      </c>
      <c r="AD326" s="124">
        <v>40000000</v>
      </c>
      <c r="AE326" s="139">
        <f t="shared" si="24"/>
        <v>3.8657655000000624E-2</v>
      </c>
      <c r="AF326" s="431">
        <f t="shared" si="27"/>
        <v>4295.2950000000692</v>
      </c>
      <c r="AG326" s="122"/>
      <c r="AH326" s="122"/>
      <c r="AI326" s="124">
        <f>AF326-AD326*'OverNight $'!$H326*'MM $'!$E326/360</f>
        <v>517.51722222229137</v>
      </c>
    </row>
    <row r="327" spans="2:35" x14ac:dyDescent="0.25">
      <c r="B327" s="123" t="str">
        <f t="shared" si="28"/>
        <v>11 2025</v>
      </c>
      <c r="C327" s="122">
        <f t="shared" si="30"/>
        <v>45979</v>
      </c>
      <c r="D327" s="122">
        <f t="shared" si="31"/>
        <v>45980</v>
      </c>
      <c r="E327" s="123">
        <f t="shared" si="29"/>
        <v>1</v>
      </c>
      <c r="G327" s="124">
        <v>40000000</v>
      </c>
      <c r="H327" s="139">
        <f t="shared" si="20"/>
        <v>3.839324999999949E-2</v>
      </c>
      <c r="I327" s="431">
        <f t="shared" si="21"/>
        <v>4265.9166666666097</v>
      </c>
      <c r="J327" s="122"/>
      <c r="K327" s="122"/>
      <c r="L327" s="124">
        <f>I327-G327*'OverNight $'!$H327*'MM $'!$E327/360</f>
        <v>488.13888888883184</v>
      </c>
      <c r="N327" s="124">
        <v>40000000</v>
      </c>
      <c r="O327" s="124"/>
      <c r="P327" s="139">
        <f t="shared" si="22"/>
        <v>3.8233830000001801E-2</v>
      </c>
      <c r="Q327" s="431">
        <f t="shared" si="25"/>
        <v>4248.2033333335339</v>
      </c>
      <c r="R327" s="431"/>
      <c r="S327" s="122"/>
      <c r="T327" s="122"/>
      <c r="U327" s="124">
        <f>Q327-N327*'OverNight $'!$H327*'MM $'!$E327/360</f>
        <v>470.42555555575609</v>
      </c>
      <c r="W327" s="124">
        <v>40000000</v>
      </c>
      <c r="X327" s="139">
        <f t="shared" si="23"/>
        <v>3.8280630000000482E-2</v>
      </c>
      <c r="Y327" s="431">
        <f t="shared" si="26"/>
        <v>4253.4033333333873</v>
      </c>
      <c r="Z327" s="122"/>
      <c r="AA327" s="122"/>
      <c r="AB327" s="124">
        <f>Y327-W327*'OverNight $'!$H327*'MM $'!$E327/360</f>
        <v>475.62555555560948</v>
      </c>
      <c r="AD327" s="124">
        <v>40000000</v>
      </c>
      <c r="AE327" s="139">
        <f t="shared" si="24"/>
        <v>3.8657655000000624E-2</v>
      </c>
      <c r="AF327" s="431">
        <f t="shared" si="27"/>
        <v>4295.2950000000692</v>
      </c>
      <c r="AG327" s="122"/>
      <c r="AH327" s="122"/>
      <c r="AI327" s="124">
        <f>AF327-AD327*'OverNight $'!$H327*'MM $'!$E327/360</f>
        <v>517.51722222229137</v>
      </c>
    </row>
    <row r="328" spans="2:35" x14ac:dyDescent="0.25">
      <c r="B328" s="123" t="str">
        <f t="shared" si="28"/>
        <v>11 2025</v>
      </c>
      <c r="C328" s="122">
        <f t="shared" si="30"/>
        <v>45980</v>
      </c>
      <c r="D328" s="122">
        <f t="shared" si="31"/>
        <v>45981</v>
      </c>
      <c r="E328" s="123">
        <f t="shared" si="29"/>
        <v>1</v>
      </c>
      <c r="G328" s="124">
        <v>40000000</v>
      </c>
      <c r="H328" s="139">
        <f t="shared" si="20"/>
        <v>3.839324999999949E-2</v>
      </c>
      <c r="I328" s="431">
        <f t="shared" si="21"/>
        <v>4265.9166666666097</v>
      </c>
      <c r="J328" s="122"/>
      <c r="K328" s="122"/>
      <c r="L328" s="124">
        <f>I328-G328*'OverNight $'!$H328*'MM $'!$E328/360</f>
        <v>488.13888888883184</v>
      </c>
      <c r="N328" s="124">
        <v>40000000</v>
      </c>
      <c r="O328" s="124"/>
      <c r="P328" s="139">
        <f t="shared" si="22"/>
        <v>3.8233830000001801E-2</v>
      </c>
      <c r="Q328" s="431">
        <f t="shared" si="25"/>
        <v>4248.2033333335339</v>
      </c>
      <c r="R328" s="431"/>
      <c r="S328" s="122"/>
      <c r="T328" s="122"/>
      <c r="U328" s="124">
        <f>Q328-N328*'OverNight $'!$H328*'MM $'!$E328/360</f>
        <v>470.42555555575609</v>
      </c>
      <c r="W328" s="124">
        <v>40000000</v>
      </c>
      <c r="X328" s="139">
        <f t="shared" si="23"/>
        <v>3.8280630000000482E-2</v>
      </c>
      <c r="Y328" s="431">
        <f t="shared" si="26"/>
        <v>4253.4033333333873</v>
      </c>
      <c r="Z328" s="122"/>
      <c r="AA328" s="122"/>
      <c r="AB328" s="124">
        <f>Y328-W328*'OverNight $'!$H328*'MM $'!$E328/360</f>
        <v>475.62555555560948</v>
      </c>
      <c r="AD328" s="124">
        <v>40000000</v>
      </c>
      <c r="AE328" s="139">
        <f t="shared" si="24"/>
        <v>3.8657655000000624E-2</v>
      </c>
      <c r="AF328" s="431">
        <f t="shared" si="27"/>
        <v>4295.2950000000692</v>
      </c>
      <c r="AG328" s="122"/>
      <c r="AH328" s="122"/>
      <c r="AI328" s="124">
        <f>AF328-AD328*'OverNight $'!$H328*'MM $'!$E328/360</f>
        <v>517.51722222229137</v>
      </c>
    </row>
    <row r="329" spans="2:35" x14ac:dyDescent="0.25">
      <c r="B329" s="123" t="str">
        <f t="shared" si="28"/>
        <v>11 2025</v>
      </c>
      <c r="C329" s="122">
        <f t="shared" si="30"/>
        <v>45981</v>
      </c>
      <c r="D329" s="122">
        <f t="shared" si="31"/>
        <v>45982</v>
      </c>
      <c r="E329" s="123">
        <f t="shared" si="29"/>
        <v>1</v>
      </c>
      <c r="G329" s="124">
        <v>40000000</v>
      </c>
      <c r="H329" s="139">
        <f t="shared" si="20"/>
        <v>3.839324999999949E-2</v>
      </c>
      <c r="I329" s="431">
        <f t="shared" si="21"/>
        <v>4265.9166666666097</v>
      </c>
      <c r="J329" s="122"/>
      <c r="K329" s="122"/>
      <c r="L329" s="124">
        <f>I329-G329*'OverNight $'!$H329*'MM $'!$E329/360</f>
        <v>488.13888888883184</v>
      </c>
      <c r="N329" s="124">
        <v>40000000</v>
      </c>
      <c r="O329" s="124"/>
      <c r="P329" s="139">
        <f t="shared" si="22"/>
        <v>3.8233830000001801E-2</v>
      </c>
      <c r="Q329" s="431">
        <f t="shared" si="25"/>
        <v>4248.2033333335339</v>
      </c>
      <c r="R329" s="431"/>
      <c r="S329" s="122"/>
      <c r="T329" s="122"/>
      <c r="U329" s="124">
        <f>Q329-N329*'OverNight $'!$H329*'MM $'!$E329/360</f>
        <v>470.42555555575609</v>
      </c>
      <c r="W329" s="124">
        <v>40000000</v>
      </c>
      <c r="X329" s="139">
        <f t="shared" si="23"/>
        <v>3.8280630000000482E-2</v>
      </c>
      <c r="Y329" s="431">
        <f t="shared" si="26"/>
        <v>4253.4033333333873</v>
      </c>
      <c r="Z329" s="122"/>
      <c r="AA329" s="122"/>
      <c r="AB329" s="124">
        <f>Y329-W329*'OverNight $'!$H329*'MM $'!$E329/360</f>
        <v>475.62555555560948</v>
      </c>
      <c r="AD329" s="124">
        <v>40000000</v>
      </c>
      <c r="AE329" s="139">
        <f t="shared" si="24"/>
        <v>3.8657655000000624E-2</v>
      </c>
      <c r="AF329" s="431">
        <f t="shared" si="27"/>
        <v>4295.2950000000692</v>
      </c>
      <c r="AG329" s="122"/>
      <c r="AH329" s="122"/>
      <c r="AI329" s="124">
        <f>AF329-AD329*'OverNight $'!$H329*'MM $'!$E329/360</f>
        <v>517.51722222229137</v>
      </c>
    </row>
    <row r="330" spans="2:35" x14ac:dyDescent="0.25">
      <c r="B330" s="123" t="str">
        <f t="shared" si="28"/>
        <v>11 2025</v>
      </c>
      <c r="C330" s="122">
        <f t="shared" si="30"/>
        <v>45982</v>
      </c>
      <c r="D330" s="122">
        <f t="shared" si="31"/>
        <v>45983</v>
      </c>
      <c r="E330" s="123">
        <f t="shared" si="29"/>
        <v>1</v>
      </c>
      <c r="G330" s="124">
        <v>40000000</v>
      </c>
      <c r="H330" s="139">
        <f t="shared" si="20"/>
        <v>3.839324999999949E-2</v>
      </c>
      <c r="I330" s="431">
        <f t="shared" si="21"/>
        <v>4265.9166666666097</v>
      </c>
      <c r="J330" s="122"/>
      <c r="K330" s="122"/>
      <c r="L330" s="124">
        <f>I330-G330*'OverNight $'!$H330*'MM $'!$E330/360</f>
        <v>488.13888888883184</v>
      </c>
      <c r="N330" s="124">
        <v>40000000</v>
      </c>
      <c r="O330" s="124"/>
      <c r="P330" s="139">
        <f t="shared" si="22"/>
        <v>3.8233830000001801E-2</v>
      </c>
      <c r="Q330" s="431">
        <f t="shared" si="25"/>
        <v>4248.2033333335339</v>
      </c>
      <c r="R330" s="431"/>
      <c r="S330" s="122"/>
      <c r="T330" s="122"/>
      <c r="U330" s="124">
        <f>Q330-N330*'OverNight $'!$H330*'MM $'!$E330/360</f>
        <v>470.42555555575609</v>
      </c>
      <c r="W330" s="124">
        <v>40000000</v>
      </c>
      <c r="X330" s="139">
        <f t="shared" si="23"/>
        <v>3.8280630000000482E-2</v>
      </c>
      <c r="Y330" s="431">
        <f t="shared" si="26"/>
        <v>4253.4033333333873</v>
      </c>
      <c r="Z330" s="122"/>
      <c r="AA330" s="122"/>
      <c r="AB330" s="124">
        <f>Y330-W330*'OverNight $'!$H330*'MM $'!$E330/360</f>
        <v>475.62555555560948</v>
      </c>
      <c r="AD330" s="124">
        <v>40000000</v>
      </c>
      <c r="AE330" s="139">
        <f t="shared" si="24"/>
        <v>3.8657655000000624E-2</v>
      </c>
      <c r="AF330" s="431">
        <f t="shared" si="27"/>
        <v>4295.2950000000692</v>
      </c>
      <c r="AG330" s="122"/>
      <c r="AH330" s="122"/>
      <c r="AI330" s="124">
        <f>AF330-AD330*'OverNight $'!$H330*'MM $'!$E330/360</f>
        <v>517.51722222229137</v>
      </c>
    </row>
    <row r="331" spans="2:35" x14ac:dyDescent="0.25">
      <c r="B331" s="123" t="str">
        <f t="shared" si="28"/>
        <v>11 2025</v>
      </c>
      <c r="C331" s="122">
        <f t="shared" si="30"/>
        <v>45983</v>
      </c>
      <c r="D331" s="122">
        <f t="shared" si="31"/>
        <v>45984</v>
      </c>
      <c r="E331" s="123">
        <f t="shared" si="29"/>
        <v>1</v>
      </c>
      <c r="G331" s="124">
        <v>40000000</v>
      </c>
      <c r="H331" s="139">
        <f t="shared" si="20"/>
        <v>3.839324999999949E-2</v>
      </c>
      <c r="I331" s="431">
        <f t="shared" si="21"/>
        <v>4265.9166666666097</v>
      </c>
      <c r="J331" s="122"/>
      <c r="K331" s="122"/>
      <c r="L331" s="124">
        <f>I331-G331*'OverNight $'!$H331*'MM $'!$E331/360</f>
        <v>488.13888888883184</v>
      </c>
      <c r="N331" s="124">
        <v>40000000</v>
      </c>
      <c r="O331" s="124"/>
      <c r="P331" s="139">
        <f t="shared" si="22"/>
        <v>3.8233830000001801E-2</v>
      </c>
      <c r="Q331" s="431">
        <f t="shared" si="25"/>
        <v>4248.2033333335339</v>
      </c>
      <c r="R331" s="431"/>
      <c r="S331" s="122"/>
      <c r="T331" s="122"/>
      <c r="U331" s="124">
        <f>Q331-N331*'OverNight $'!$H331*'MM $'!$E331/360</f>
        <v>470.42555555575609</v>
      </c>
      <c r="W331" s="124">
        <v>40000000</v>
      </c>
      <c r="X331" s="139">
        <f t="shared" si="23"/>
        <v>3.8280630000000482E-2</v>
      </c>
      <c r="Y331" s="431">
        <f t="shared" si="26"/>
        <v>4253.4033333333873</v>
      </c>
      <c r="Z331" s="122"/>
      <c r="AA331" s="122"/>
      <c r="AB331" s="124">
        <f>Y331-W331*'OverNight $'!$H331*'MM $'!$E331/360</f>
        <v>475.62555555560948</v>
      </c>
      <c r="AD331" s="124">
        <v>40000000</v>
      </c>
      <c r="AE331" s="139">
        <f t="shared" si="24"/>
        <v>3.8657655000000624E-2</v>
      </c>
      <c r="AF331" s="431">
        <f t="shared" si="27"/>
        <v>4295.2950000000692</v>
      </c>
      <c r="AG331" s="122"/>
      <c r="AH331" s="122"/>
      <c r="AI331" s="124">
        <f>AF331-AD331*'OverNight $'!$H331*'MM $'!$E331/360</f>
        <v>517.51722222229137</v>
      </c>
    </row>
    <row r="332" spans="2:35" x14ac:dyDescent="0.25">
      <c r="B332" s="123" t="str">
        <f t="shared" si="28"/>
        <v>11 2025</v>
      </c>
      <c r="C332" s="122">
        <f t="shared" si="30"/>
        <v>45984</v>
      </c>
      <c r="D332" s="122">
        <f t="shared" si="31"/>
        <v>45985</v>
      </c>
      <c r="E332" s="123">
        <f t="shared" si="29"/>
        <v>1</v>
      </c>
      <c r="G332" s="124">
        <v>40000000</v>
      </c>
      <c r="H332" s="139">
        <f t="shared" si="20"/>
        <v>3.839324999999949E-2</v>
      </c>
      <c r="I332" s="431">
        <f t="shared" si="21"/>
        <v>4265.9166666666097</v>
      </c>
      <c r="J332" s="122"/>
      <c r="K332" s="122"/>
      <c r="L332" s="124">
        <f>I332-G332*'OverNight $'!$H332*'MM $'!$E332/360</f>
        <v>488.13888888883184</v>
      </c>
      <c r="N332" s="124">
        <v>40000000</v>
      </c>
      <c r="O332" s="124"/>
      <c r="P332" s="139">
        <f t="shared" si="22"/>
        <v>3.8233830000001801E-2</v>
      </c>
      <c r="Q332" s="431">
        <f t="shared" si="25"/>
        <v>4248.2033333335339</v>
      </c>
      <c r="R332" s="431"/>
      <c r="S332" s="122"/>
      <c r="T332" s="122"/>
      <c r="U332" s="124">
        <f>Q332-N332*'OverNight $'!$H332*'MM $'!$E332/360</f>
        <v>470.42555555575609</v>
      </c>
      <c r="W332" s="124">
        <v>40000000</v>
      </c>
      <c r="X332" s="139">
        <f t="shared" si="23"/>
        <v>3.8280630000000482E-2</v>
      </c>
      <c r="Y332" s="431">
        <f t="shared" si="26"/>
        <v>4253.4033333333873</v>
      </c>
      <c r="Z332" s="122"/>
      <c r="AA332" s="122"/>
      <c r="AB332" s="124">
        <f>Y332-W332*'OverNight $'!$H332*'MM $'!$E332/360</f>
        <v>475.62555555560948</v>
      </c>
      <c r="AD332" s="124">
        <v>40000000</v>
      </c>
      <c r="AE332" s="139">
        <f t="shared" si="24"/>
        <v>3.8657655000000624E-2</v>
      </c>
      <c r="AF332" s="431">
        <f t="shared" si="27"/>
        <v>4295.2950000000692</v>
      </c>
      <c r="AG332" s="122"/>
      <c r="AH332" s="122"/>
      <c r="AI332" s="124">
        <f>AF332-AD332*'OverNight $'!$H332*'MM $'!$E332/360</f>
        <v>517.51722222229137</v>
      </c>
    </row>
    <row r="333" spans="2:35" x14ac:dyDescent="0.25">
      <c r="B333" s="123" t="str">
        <f t="shared" si="28"/>
        <v>11 2025</v>
      </c>
      <c r="C333" s="122">
        <f t="shared" si="30"/>
        <v>45985</v>
      </c>
      <c r="D333" s="122">
        <f t="shared" si="31"/>
        <v>45986</v>
      </c>
      <c r="E333" s="123">
        <f t="shared" si="29"/>
        <v>1</v>
      </c>
      <c r="G333" s="124">
        <v>40000000</v>
      </c>
      <c r="H333" s="139">
        <f t="shared" si="20"/>
        <v>3.839324999999949E-2</v>
      </c>
      <c r="I333" s="431">
        <f t="shared" si="21"/>
        <v>4265.9166666666097</v>
      </c>
      <c r="J333" s="122"/>
      <c r="K333" s="122"/>
      <c r="L333" s="124">
        <f>I333-G333*'OverNight $'!$H333*'MM $'!$E333/360</f>
        <v>488.13888888883184</v>
      </c>
      <c r="N333" s="124">
        <v>40000000</v>
      </c>
      <c r="O333" s="124"/>
      <c r="P333" s="139">
        <f t="shared" si="22"/>
        <v>3.8233830000001801E-2</v>
      </c>
      <c r="Q333" s="431">
        <f t="shared" si="25"/>
        <v>4248.2033333335339</v>
      </c>
      <c r="R333" s="431"/>
      <c r="S333" s="122"/>
      <c r="T333" s="122"/>
      <c r="U333" s="124">
        <f>Q333-N333*'OverNight $'!$H333*'MM $'!$E333/360</f>
        <v>470.42555555575609</v>
      </c>
      <c r="W333" s="124">
        <v>40000000</v>
      </c>
      <c r="X333" s="139">
        <f t="shared" si="23"/>
        <v>3.8280630000000482E-2</v>
      </c>
      <c r="Y333" s="431">
        <f t="shared" si="26"/>
        <v>4253.4033333333873</v>
      </c>
      <c r="Z333" s="122"/>
      <c r="AA333" s="122"/>
      <c r="AB333" s="124">
        <f>Y333-W333*'OverNight $'!$H333*'MM $'!$E333/360</f>
        <v>475.62555555560948</v>
      </c>
      <c r="AD333" s="124">
        <v>40000000</v>
      </c>
      <c r="AE333" s="139">
        <f t="shared" si="24"/>
        <v>3.8657655000000624E-2</v>
      </c>
      <c r="AF333" s="431">
        <f t="shared" si="27"/>
        <v>4295.2950000000692</v>
      </c>
      <c r="AG333" s="122"/>
      <c r="AH333" s="122"/>
      <c r="AI333" s="124">
        <f>AF333-AD333*'OverNight $'!$H333*'MM $'!$E333/360</f>
        <v>517.51722222229137</v>
      </c>
    </row>
    <row r="334" spans="2:35" x14ac:dyDescent="0.25">
      <c r="B334" s="123" t="str">
        <f t="shared" si="28"/>
        <v>11 2025</v>
      </c>
      <c r="C334" s="122">
        <f t="shared" si="30"/>
        <v>45986</v>
      </c>
      <c r="D334" s="122">
        <f t="shared" si="31"/>
        <v>45987</v>
      </c>
      <c r="E334" s="123">
        <f t="shared" si="29"/>
        <v>1</v>
      </c>
      <c r="G334" s="124">
        <v>40000000</v>
      </c>
      <c r="H334" s="139">
        <f t="shared" si="20"/>
        <v>3.839324999999949E-2</v>
      </c>
      <c r="I334" s="431">
        <f t="shared" si="21"/>
        <v>4265.9166666666097</v>
      </c>
      <c r="J334" s="122"/>
      <c r="K334" s="122"/>
      <c r="L334" s="124">
        <f>I334-G334*'OverNight $'!$H334*'MM $'!$E334/360</f>
        <v>488.13888888883184</v>
      </c>
      <c r="N334" s="124">
        <v>40000000</v>
      </c>
      <c r="O334" s="124"/>
      <c r="P334" s="139">
        <f t="shared" si="22"/>
        <v>3.8233830000001801E-2</v>
      </c>
      <c r="Q334" s="431">
        <f t="shared" si="25"/>
        <v>4248.2033333335339</v>
      </c>
      <c r="R334" s="431"/>
      <c r="S334" s="122"/>
      <c r="T334" s="122"/>
      <c r="U334" s="124">
        <f>Q334-N334*'OverNight $'!$H334*'MM $'!$E334/360</f>
        <v>470.42555555575609</v>
      </c>
      <c r="W334" s="124">
        <v>40000000</v>
      </c>
      <c r="X334" s="139">
        <f t="shared" si="23"/>
        <v>3.8280630000000482E-2</v>
      </c>
      <c r="Y334" s="431">
        <f t="shared" si="26"/>
        <v>4253.4033333333873</v>
      </c>
      <c r="Z334" s="122"/>
      <c r="AA334" s="122"/>
      <c r="AB334" s="124">
        <f>Y334-W334*'OverNight $'!$H334*'MM $'!$E334/360</f>
        <v>475.62555555560948</v>
      </c>
      <c r="AD334" s="124">
        <v>40000000</v>
      </c>
      <c r="AE334" s="139">
        <f t="shared" si="24"/>
        <v>3.8657655000000624E-2</v>
      </c>
      <c r="AF334" s="431">
        <f t="shared" si="27"/>
        <v>4295.2950000000692</v>
      </c>
      <c r="AG334" s="122"/>
      <c r="AH334" s="122"/>
      <c r="AI334" s="124">
        <f>AF334-AD334*'OverNight $'!$H334*'MM $'!$E334/360</f>
        <v>517.51722222229137</v>
      </c>
    </row>
    <row r="335" spans="2:35" x14ac:dyDescent="0.25">
      <c r="B335" s="123" t="str">
        <f t="shared" si="28"/>
        <v>11 2025</v>
      </c>
      <c r="C335" s="122">
        <f t="shared" si="30"/>
        <v>45987</v>
      </c>
      <c r="D335" s="122">
        <f t="shared" si="31"/>
        <v>45988</v>
      </c>
      <c r="E335" s="123">
        <f t="shared" si="29"/>
        <v>1</v>
      </c>
      <c r="G335" s="124">
        <v>40000000</v>
      </c>
      <c r="H335" s="139">
        <f t="shared" si="20"/>
        <v>3.839324999999949E-2</v>
      </c>
      <c r="I335" s="431">
        <f t="shared" si="21"/>
        <v>4265.9166666666097</v>
      </c>
      <c r="J335" s="122"/>
      <c r="K335" s="122"/>
      <c r="L335" s="124">
        <f>I335-G335*'OverNight $'!$H335*'MM $'!$E335/360</f>
        <v>488.13888888883184</v>
      </c>
      <c r="N335" s="124">
        <v>40000000</v>
      </c>
      <c r="O335" s="124"/>
      <c r="P335" s="139">
        <f t="shared" si="22"/>
        <v>3.8233830000001801E-2</v>
      </c>
      <c r="Q335" s="431">
        <f t="shared" si="25"/>
        <v>4248.2033333335339</v>
      </c>
      <c r="R335" s="431"/>
      <c r="S335" s="122"/>
      <c r="T335" s="122"/>
      <c r="U335" s="124">
        <f>Q335-N335*'OverNight $'!$H335*'MM $'!$E335/360</f>
        <v>470.42555555575609</v>
      </c>
      <c r="W335" s="124">
        <v>40000000</v>
      </c>
      <c r="X335" s="139">
        <f t="shared" si="23"/>
        <v>3.8280630000000482E-2</v>
      </c>
      <c r="Y335" s="431">
        <f t="shared" si="26"/>
        <v>4253.4033333333873</v>
      </c>
      <c r="Z335" s="122"/>
      <c r="AA335" s="122"/>
      <c r="AB335" s="124">
        <f>Y335-W335*'OverNight $'!$H335*'MM $'!$E335/360</f>
        <v>475.62555555560948</v>
      </c>
      <c r="AD335" s="124">
        <v>40000000</v>
      </c>
      <c r="AE335" s="139">
        <f t="shared" si="24"/>
        <v>3.8657655000000624E-2</v>
      </c>
      <c r="AF335" s="431">
        <f t="shared" si="27"/>
        <v>4295.2950000000692</v>
      </c>
      <c r="AG335" s="122"/>
      <c r="AH335" s="122"/>
      <c r="AI335" s="124">
        <f>AF335-AD335*'OverNight $'!$H335*'MM $'!$E335/360</f>
        <v>517.51722222229137</v>
      </c>
    </row>
    <row r="336" spans="2:35" x14ac:dyDescent="0.25">
      <c r="B336" s="123" t="str">
        <f t="shared" si="28"/>
        <v>11 2025</v>
      </c>
      <c r="C336" s="122">
        <f t="shared" si="30"/>
        <v>45988</v>
      </c>
      <c r="D336" s="122">
        <f t="shared" si="31"/>
        <v>45989</v>
      </c>
      <c r="E336" s="123">
        <f t="shared" si="29"/>
        <v>1</v>
      </c>
      <c r="G336" s="124">
        <v>40000000</v>
      </c>
      <c r="H336" s="139">
        <f t="shared" si="20"/>
        <v>3.839324999999949E-2</v>
      </c>
      <c r="I336" s="431">
        <f t="shared" si="21"/>
        <v>4265.9166666666097</v>
      </c>
      <c r="J336" s="122"/>
      <c r="K336" s="122"/>
      <c r="L336" s="124">
        <f>I336-G336*'OverNight $'!$H336*'MM $'!$E336/360</f>
        <v>488.13888888883184</v>
      </c>
      <c r="N336" s="124">
        <v>40000000</v>
      </c>
      <c r="O336" s="124"/>
      <c r="P336" s="139">
        <f t="shared" si="22"/>
        <v>3.8233830000001801E-2</v>
      </c>
      <c r="Q336" s="431">
        <f t="shared" si="25"/>
        <v>4248.2033333335339</v>
      </c>
      <c r="R336" s="431"/>
      <c r="S336" s="122"/>
      <c r="T336" s="122"/>
      <c r="U336" s="124">
        <f>Q336-N336*'OverNight $'!$H336*'MM $'!$E336/360</f>
        <v>470.42555555575609</v>
      </c>
      <c r="W336" s="124">
        <v>40000000</v>
      </c>
      <c r="X336" s="139">
        <f t="shared" si="23"/>
        <v>3.8280630000000482E-2</v>
      </c>
      <c r="Y336" s="431">
        <f t="shared" si="26"/>
        <v>4253.4033333333873</v>
      </c>
      <c r="Z336" s="122"/>
      <c r="AA336" s="122"/>
      <c r="AB336" s="124">
        <f>Y336-W336*'OverNight $'!$H336*'MM $'!$E336/360</f>
        <v>475.62555555560948</v>
      </c>
      <c r="AD336" s="124">
        <v>40000000</v>
      </c>
      <c r="AE336" s="139">
        <f t="shared" si="24"/>
        <v>3.8657655000000624E-2</v>
      </c>
      <c r="AF336" s="431">
        <f t="shared" si="27"/>
        <v>4295.2950000000692</v>
      </c>
      <c r="AG336" s="122"/>
      <c r="AH336" s="122"/>
      <c r="AI336" s="124">
        <f>AF336-AD336*'OverNight $'!$H336*'MM $'!$E336/360</f>
        <v>517.51722222229137</v>
      </c>
    </row>
    <row r="337" spans="2:35" x14ac:dyDescent="0.25">
      <c r="B337" s="123" t="str">
        <f t="shared" si="28"/>
        <v>11 2025</v>
      </c>
      <c r="C337" s="122">
        <f t="shared" si="30"/>
        <v>45989</v>
      </c>
      <c r="D337" s="122">
        <f t="shared" si="31"/>
        <v>45990</v>
      </c>
      <c r="E337" s="123">
        <f t="shared" si="29"/>
        <v>1</v>
      </c>
      <c r="G337" s="124">
        <v>40000000</v>
      </c>
      <c r="H337" s="139">
        <f t="shared" si="20"/>
        <v>3.839324999999949E-2</v>
      </c>
      <c r="I337" s="431">
        <f t="shared" si="21"/>
        <v>4265.9166666666097</v>
      </c>
      <c r="J337" s="122"/>
      <c r="K337" s="122"/>
      <c r="L337" s="124">
        <f>I337-G337*'OverNight $'!$H337*'MM $'!$E337/360</f>
        <v>488.13888888883184</v>
      </c>
      <c r="N337" s="124">
        <v>40000000</v>
      </c>
      <c r="O337" s="124"/>
      <c r="P337" s="139">
        <f t="shared" si="22"/>
        <v>3.8233830000001801E-2</v>
      </c>
      <c r="Q337" s="431">
        <f t="shared" si="25"/>
        <v>4248.2033333335339</v>
      </c>
      <c r="R337" s="431"/>
      <c r="S337" s="122"/>
      <c r="T337" s="122"/>
      <c r="U337" s="124">
        <f>Q337-N337*'OverNight $'!$H337*'MM $'!$E337/360</f>
        <v>470.42555555575609</v>
      </c>
      <c r="W337" s="124">
        <v>40000000</v>
      </c>
      <c r="X337" s="139">
        <f t="shared" si="23"/>
        <v>3.8280630000000482E-2</v>
      </c>
      <c r="Y337" s="431">
        <f t="shared" si="26"/>
        <v>4253.4033333333873</v>
      </c>
      <c r="Z337" s="122"/>
      <c r="AA337" s="122"/>
      <c r="AB337" s="124">
        <f>Y337-W337*'OverNight $'!$H337*'MM $'!$E337/360</f>
        <v>475.62555555560948</v>
      </c>
      <c r="AD337" s="124">
        <v>40000000</v>
      </c>
      <c r="AE337" s="139">
        <f t="shared" si="24"/>
        <v>3.8657655000000624E-2</v>
      </c>
      <c r="AF337" s="431">
        <f t="shared" si="27"/>
        <v>4295.2950000000692</v>
      </c>
      <c r="AG337" s="122"/>
      <c r="AH337" s="122"/>
      <c r="AI337" s="124">
        <f>AF337-AD337*'OverNight $'!$H337*'MM $'!$E337/360</f>
        <v>517.51722222229137</v>
      </c>
    </row>
    <row r="338" spans="2:35" x14ac:dyDescent="0.25">
      <c r="B338" s="148" t="str">
        <f t="shared" si="28"/>
        <v>11 2025</v>
      </c>
      <c r="C338" s="149">
        <f t="shared" si="30"/>
        <v>45990</v>
      </c>
      <c r="D338" s="149">
        <f t="shared" si="31"/>
        <v>45991</v>
      </c>
      <c r="E338" s="148">
        <f t="shared" si="29"/>
        <v>1</v>
      </c>
      <c r="G338" s="124">
        <v>40000000</v>
      </c>
      <c r="H338" s="139">
        <f>H339</f>
        <v>3.839324999999949E-2</v>
      </c>
      <c r="I338" s="431">
        <f t="shared" si="21"/>
        <v>4265.9166666666097</v>
      </c>
      <c r="J338" s="122"/>
      <c r="K338" s="122"/>
      <c r="L338" s="124">
        <f>I338-G338*'OverNight $'!$H338*'MM $'!$E338/360</f>
        <v>488.13888888883184</v>
      </c>
      <c r="N338" s="124">
        <v>40000000</v>
      </c>
      <c r="O338" s="124"/>
      <c r="P338" s="139">
        <f>P339</f>
        <v>3.8233830000001801E-2</v>
      </c>
      <c r="Q338" s="431">
        <f t="shared" si="25"/>
        <v>4248.2033333335339</v>
      </c>
      <c r="R338" s="431"/>
      <c r="S338" s="122"/>
      <c r="T338" s="122"/>
      <c r="U338" s="124">
        <f>Q338-N338*'OverNight $'!$H338*'MM $'!$E338/360</f>
        <v>470.42555555575609</v>
      </c>
      <c r="W338" s="124">
        <v>40000000</v>
      </c>
      <c r="X338" s="139">
        <f>X339</f>
        <v>3.8280630000000482E-2</v>
      </c>
      <c r="Y338" s="431">
        <f t="shared" si="26"/>
        <v>4253.4033333333873</v>
      </c>
      <c r="Z338" s="122"/>
      <c r="AA338" s="122"/>
      <c r="AB338" s="124">
        <f>Y338-W338*'OverNight $'!$H338*'MM $'!$E338/360</f>
        <v>475.62555555560948</v>
      </c>
      <c r="AD338" s="124">
        <v>40000000</v>
      </c>
      <c r="AE338" s="139">
        <f>AE339</f>
        <v>3.8657655000000624E-2</v>
      </c>
      <c r="AF338" s="431">
        <f t="shared" si="27"/>
        <v>4295.2950000000692</v>
      </c>
      <c r="AG338" s="122"/>
      <c r="AH338" s="122"/>
      <c r="AI338" s="124">
        <f>AF338-AD338*'OverNight $'!$H338*'MM $'!$E338/360</f>
        <v>517.51722222229137</v>
      </c>
    </row>
    <row r="339" spans="2:35" x14ac:dyDescent="0.25">
      <c r="B339" s="123" t="str">
        <f t="shared" si="28"/>
        <v>12 2025</v>
      </c>
      <c r="C339" s="122">
        <f t="shared" si="30"/>
        <v>45991</v>
      </c>
      <c r="D339" s="122">
        <f t="shared" si="31"/>
        <v>45992</v>
      </c>
      <c r="E339" s="123">
        <f t="shared" si="29"/>
        <v>1</v>
      </c>
      <c r="G339" s="124">
        <v>40000000</v>
      </c>
      <c r="H339" s="139">
        <f>(K339/G316-1)*360/($C$339-$C$315)</f>
        <v>3.839324999999949E-2</v>
      </c>
      <c r="I339" s="431">
        <f t="shared" si="21"/>
        <v>4265.9166666666097</v>
      </c>
      <c r="J339" s="136">
        <v>102382</v>
      </c>
      <c r="K339" s="124">
        <f>G339+J339</f>
        <v>40102382</v>
      </c>
      <c r="L339" s="124">
        <f>I339-G339*'OverNight $'!$H339*'MM $'!$E339/360</f>
        <v>488.13888888883184</v>
      </c>
      <c r="N339" s="124">
        <v>40000000</v>
      </c>
      <c r="O339" s="124"/>
      <c r="P339" s="139">
        <f>(T339/N316-1)*360/($C$339-$C$315)</f>
        <v>3.8233830000001801E-2</v>
      </c>
      <c r="Q339" s="431">
        <f t="shared" si="25"/>
        <v>4248.2033333335339</v>
      </c>
      <c r="R339" s="431"/>
      <c r="S339" s="136">
        <v>101956.88</v>
      </c>
      <c r="T339" s="124">
        <f>N339+S339</f>
        <v>40101956.880000003</v>
      </c>
      <c r="U339" s="124">
        <f>Q339-N339*'OverNight $'!$H339*'MM $'!$E339/360</f>
        <v>470.42555555575609</v>
      </c>
      <c r="W339" s="124">
        <v>40000000</v>
      </c>
      <c r="X339" s="139">
        <f>(AA339/W316-1)*360/($C$339-$C$315)</f>
        <v>3.8280630000000482E-2</v>
      </c>
      <c r="Y339" s="431">
        <f t="shared" si="26"/>
        <v>4253.4033333333873</v>
      </c>
      <c r="Z339" s="136">
        <v>102081.68000000001</v>
      </c>
      <c r="AA339" s="124">
        <f>W339+Z339</f>
        <v>40102081.68</v>
      </c>
      <c r="AB339" s="124">
        <f>Y339-W339*'OverNight $'!$H339*'MM $'!$E339/360</f>
        <v>475.62555555560948</v>
      </c>
      <c r="AD339" s="124">
        <v>40000000</v>
      </c>
      <c r="AE339" s="139">
        <f>(AH339/AD316-1)*360/($C$339-$C$315)</f>
        <v>3.8657655000000624E-2</v>
      </c>
      <c r="AF339" s="431">
        <f t="shared" si="27"/>
        <v>4295.2950000000692</v>
      </c>
      <c r="AG339" s="136">
        <v>103087.08</v>
      </c>
      <c r="AH339" s="124">
        <f>AD339+AG339</f>
        <v>40103087.079999998</v>
      </c>
      <c r="AI339" s="124">
        <f>AF339-AD339*'OverNight $'!$H339*'MM $'!$E339/360</f>
        <v>517.51722222229137</v>
      </c>
    </row>
    <row r="340" spans="2:35" x14ac:dyDescent="0.25">
      <c r="B340" s="123" t="str">
        <f t="shared" si="28"/>
        <v>12 2025</v>
      </c>
      <c r="C340" s="122">
        <f t="shared" si="30"/>
        <v>45992</v>
      </c>
      <c r="D340" s="122">
        <f t="shared" si="31"/>
        <v>45993</v>
      </c>
      <c r="E340" s="123">
        <f t="shared" si="29"/>
        <v>1</v>
      </c>
      <c r="G340" s="322">
        <f>G339+J339</f>
        <v>40102382</v>
      </c>
      <c r="H340" s="139">
        <f t="shared" ref="H340:H367" si="32">H341</f>
        <v>3.6932471106482984E-2</v>
      </c>
      <c r="I340" s="431">
        <f>H340*G340*$E$340/360</f>
        <v>4114.1112903226203</v>
      </c>
      <c r="J340" s="124"/>
      <c r="K340" s="124"/>
      <c r="L340" s="124">
        <f>I340-G340*'OverNight $'!$H340*'MM $'!$E$340/360</f>
        <v>326.66410143373105</v>
      </c>
      <c r="N340" s="322">
        <f>N339+S339</f>
        <v>40101956.880000003</v>
      </c>
      <c r="O340" s="322"/>
      <c r="P340" s="139">
        <f t="shared" ref="P340:P367" si="33">P341</f>
        <v>3.6693347326196522E-2</v>
      </c>
      <c r="Q340" s="431">
        <f t="shared" si="25"/>
        <v>4087.4306451611005</v>
      </c>
      <c r="R340" s="431"/>
      <c r="S340" s="124"/>
      <c r="T340" s="124"/>
      <c r="U340" s="124">
        <f>Q340-N340*'OverNight $'!$H340*'MM $'!$E$340/360</f>
        <v>300.02360649443381</v>
      </c>
      <c r="W340" s="322">
        <f>W339+Z339</f>
        <v>40102081.68</v>
      </c>
      <c r="X340" s="139">
        <f t="shared" ref="X340:X367" si="34">X341</f>
        <v>3.6869725161289814E-2</v>
      </c>
      <c r="Y340" s="431">
        <f>X340*W340*$E$340/360</f>
        <v>4107.0909164922095</v>
      </c>
      <c r="Z340" s="124"/>
      <c r="AA340" s="124"/>
      <c r="AB340" s="124">
        <f>Y340-W340*'OverNight $'!$H340*'MM $'!$E340/360</f>
        <v>319.67209115887636</v>
      </c>
      <c r="AD340" s="322">
        <f>AD339+AG339</f>
        <v>40103087.079999998</v>
      </c>
      <c r="AE340" s="139">
        <f t="shared" ref="AE340:AE367" si="35">AE341</f>
        <v>3.7224545806451938E-2</v>
      </c>
      <c r="AF340" s="431">
        <f>AE340*AD340*$E$340/360</f>
        <v>4146.7200055266412</v>
      </c>
      <c r="AG340" s="124"/>
      <c r="AH340" s="124"/>
      <c r="AI340" s="124">
        <f>AF340-AD340*'OverNight $'!$H340*'MM $'!$E340/360</f>
        <v>359.20622574886329</v>
      </c>
    </row>
    <row r="341" spans="2:35" x14ac:dyDescent="0.25">
      <c r="B341" s="123" t="str">
        <f t="shared" si="28"/>
        <v>12 2025</v>
      </c>
      <c r="C341" s="122">
        <f t="shared" si="30"/>
        <v>45993</v>
      </c>
      <c r="D341" s="122">
        <f t="shared" si="31"/>
        <v>45994</v>
      </c>
      <c r="E341" s="123">
        <f t="shared" si="29"/>
        <v>1</v>
      </c>
      <c r="G341" s="140">
        <f>G340</f>
        <v>40102382</v>
      </c>
      <c r="H341" s="139">
        <f t="shared" si="32"/>
        <v>3.6932471106482984E-2</v>
      </c>
      <c r="I341" s="431">
        <f t="shared" ref="I341:I369" si="36">H341*G341*E$340/360</f>
        <v>4114.1112903226203</v>
      </c>
      <c r="J341" s="122"/>
      <c r="K341" s="122"/>
      <c r="L341" s="124">
        <f>I341-G341*'OverNight $'!$H341*'MM $'!$E341/360</f>
        <v>326.66410143373105</v>
      </c>
      <c r="N341" s="140">
        <f>N340</f>
        <v>40101956.880000003</v>
      </c>
      <c r="O341" s="140"/>
      <c r="P341" s="139">
        <f t="shared" si="33"/>
        <v>3.6693347326196522E-2</v>
      </c>
      <c r="Q341" s="431">
        <f t="shared" si="25"/>
        <v>4087.4306451611005</v>
      </c>
      <c r="R341" s="431"/>
      <c r="S341" s="122"/>
      <c r="T341" s="122"/>
      <c r="U341" s="124">
        <f>Q341-N341*'OverNight $'!$H341*'MM $'!$E341/360</f>
        <v>300.02360649443381</v>
      </c>
      <c r="W341" s="140">
        <f>W340</f>
        <v>40102081.68</v>
      </c>
      <c r="X341" s="139">
        <f t="shared" si="34"/>
        <v>3.6869725161289814E-2</v>
      </c>
      <c r="Y341" s="431">
        <f t="shared" ref="Y341:Y369" si="37">X341*W341*$E$340/360</f>
        <v>4107.0909164922095</v>
      </c>
      <c r="Z341" s="122"/>
      <c r="AA341" s="122"/>
      <c r="AB341" s="124">
        <f>Y341-W341*'OverNight $'!$H341*'MM $'!$E341/360</f>
        <v>319.67209115887636</v>
      </c>
      <c r="AD341" s="140">
        <f>AD340</f>
        <v>40103087.079999998</v>
      </c>
      <c r="AE341" s="139">
        <f t="shared" si="35"/>
        <v>3.7224545806451938E-2</v>
      </c>
      <c r="AF341" s="431">
        <f t="shared" ref="AF341:AF369" si="38">AE341*AD341*$E$340/360</f>
        <v>4146.7200055266412</v>
      </c>
      <c r="AG341" s="122"/>
      <c r="AH341" s="122"/>
      <c r="AI341" s="124">
        <f>AF341-AD341*'OverNight $'!$H341*'MM $'!$E341/360</f>
        <v>359.20622574886329</v>
      </c>
    </row>
    <row r="342" spans="2:35" x14ac:dyDescent="0.25">
      <c r="B342" s="123" t="str">
        <f t="shared" si="28"/>
        <v>12 2025</v>
      </c>
      <c r="C342" s="122">
        <f t="shared" si="30"/>
        <v>45994</v>
      </c>
      <c r="D342" s="122">
        <f t="shared" si="31"/>
        <v>45995</v>
      </c>
      <c r="E342" s="123">
        <f t="shared" si="29"/>
        <v>1</v>
      </c>
      <c r="G342" s="140">
        <f t="shared" ref="G342:G369" si="39">G341</f>
        <v>40102382</v>
      </c>
      <c r="H342" s="139">
        <f t="shared" si="32"/>
        <v>3.6932471106482984E-2</v>
      </c>
      <c r="I342" s="431">
        <f t="shared" si="36"/>
        <v>4114.1112903226203</v>
      </c>
      <c r="J342" s="122"/>
      <c r="K342" s="122"/>
      <c r="L342" s="124">
        <f>I342-G342*'OverNight $'!$H342*'MM $'!$E342/360</f>
        <v>326.66410143373105</v>
      </c>
      <c r="N342" s="140">
        <f t="shared" ref="N342:N369" si="40">N341</f>
        <v>40101956.880000003</v>
      </c>
      <c r="O342" s="140"/>
      <c r="P342" s="139">
        <f t="shared" si="33"/>
        <v>3.6693347326196522E-2</v>
      </c>
      <c r="Q342" s="431">
        <f t="shared" si="25"/>
        <v>4087.4306451611005</v>
      </c>
      <c r="R342" s="431"/>
      <c r="S342" s="122"/>
      <c r="T342" s="122"/>
      <c r="U342" s="124">
        <f>Q342-N342*'OverNight $'!$H342*'MM $'!$E342/360</f>
        <v>300.02360649443381</v>
      </c>
      <c r="W342" s="140">
        <f t="shared" ref="W342:W369" si="41">W341</f>
        <v>40102081.68</v>
      </c>
      <c r="X342" s="139">
        <f t="shared" si="34"/>
        <v>3.6869725161289814E-2</v>
      </c>
      <c r="Y342" s="431">
        <f t="shared" si="37"/>
        <v>4107.0909164922095</v>
      </c>
      <c r="Z342" s="122"/>
      <c r="AA342" s="122"/>
      <c r="AB342" s="124">
        <f>Y342-W342*'OverNight $'!$H342*'MM $'!$E342/360</f>
        <v>319.67209115887636</v>
      </c>
      <c r="AD342" s="140">
        <f t="shared" ref="AD342:AD369" si="42">AD341</f>
        <v>40103087.079999998</v>
      </c>
      <c r="AE342" s="139">
        <f t="shared" si="35"/>
        <v>3.7224545806451938E-2</v>
      </c>
      <c r="AF342" s="431">
        <f t="shared" si="38"/>
        <v>4146.7200055266412</v>
      </c>
      <c r="AG342" s="122"/>
      <c r="AH342" s="122"/>
      <c r="AI342" s="124">
        <f>AF342-AD342*'OverNight $'!$H342*'MM $'!$E342/360</f>
        <v>359.20622574886329</v>
      </c>
    </row>
    <row r="343" spans="2:35" x14ac:dyDescent="0.25">
      <c r="B343" s="123" t="str">
        <f t="shared" si="28"/>
        <v>12 2025</v>
      </c>
      <c r="C343" s="122">
        <f t="shared" si="30"/>
        <v>45995</v>
      </c>
      <c r="D343" s="122">
        <f t="shared" si="31"/>
        <v>45996</v>
      </c>
      <c r="E343" s="123">
        <f t="shared" si="29"/>
        <v>1</v>
      </c>
      <c r="G343" s="140">
        <f t="shared" si="39"/>
        <v>40102382</v>
      </c>
      <c r="H343" s="139">
        <f t="shared" si="32"/>
        <v>3.6932471106482984E-2</v>
      </c>
      <c r="I343" s="431">
        <f t="shared" si="36"/>
        <v>4114.1112903226203</v>
      </c>
      <c r="J343" s="122"/>
      <c r="K343" s="122"/>
      <c r="L343" s="124">
        <f>I343-G343*'OverNight $'!$H343*'MM $'!$E343/360</f>
        <v>326.66410143373105</v>
      </c>
      <c r="N343" s="140">
        <f t="shared" si="40"/>
        <v>40101956.880000003</v>
      </c>
      <c r="O343" s="140"/>
      <c r="P343" s="139">
        <f t="shared" si="33"/>
        <v>3.6693347326196522E-2</v>
      </c>
      <c r="Q343" s="431">
        <f t="shared" si="25"/>
        <v>4087.4306451611005</v>
      </c>
      <c r="R343" s="431"/>
      <c r="S343" s="122"/>
      <c r="T343" s="122"/>
      <c r="U343" s="124">
        <f>Q343-N343*'OverNight $'!$H343*'MM $'!$E343/360</f>
        <v>300.02360649443381</v>
      </c>
      <c r="W343" s="140">
        <f t="shared" si="41"/>
        <v>40102081.68</v>
      </c>
      <c r="X343" s="139">
        <f t="shared" si="34"/>
        <v>3.6869725161289814E-2</v>
      </c>
      <c r="Y343" s="431">
        <f t="shared" si="37"/>
        <v>4107.0909164922095</v>
      </c>
      <c r="Z343" s="122"/>
      <c r="AA343" s="122"/>
      <c r="AB343" s="124">
        <f>Y343-W343*'OverNight $'!$H343*'MM $'!$E343/360</f>
        <v>319.67209115887636</v>
      </c>
      <c r="AD343" s="140">
        <f t="shared" si="42"/>
        <v>40103087.079999998</v>
      </c>
      <c r="AE343" s="139">
        <f t="shared" si="35"/>
        <v>3.7224545806451938E-2</v>
      </c>
      <c r="AF343" s="431">
        <f t="shared" si="38"/>
        <v>4146.7200055266412</v>
      </c>
      <c r="AG343" s="122"/>
      <c r="AH343" s="122"/>
      <c r="AI343" s="124">
        <f>AF343-AD343*'OverNight $'!$H343*'MM $'!$E343/360</f>
        <v>359.20622574886329</v>
      </c>
    </row>
    <row r="344" spans="2:35" x14ac:dyDescent="0.25">
      <c r="B344" s="123" t="str">
        <f t="shared" si="28"/>
        <v>12 2025</v>
      </c>
      <c r="C344" s="122">
        <f t="shared" si="30"/>
        <v>45996</v>
      </c>
      <c r="D344" s="122">
        <f t="shared" si="31"/>
        <v>45997</v>
      </c>
      <c r="E344" s="123">
        <f t="shared" si="29"/>
        <v>1</v>
      </c>
      <c r="G344" s="140">
        <f t="shared" si="39"/>
        <v>40102382</v>
      </c>
      <c r="H344" s="139">
        <f t="shared" si="32"/>
        <v>3.6932471106482984E-2</v>
      </c>
      <c r="I344" s="431">
        <f t="shared" si="36"/>
        <v>4114.1112903226203</v>
      </c>
      <c r="J344" s="122"/>
      <c r="K344" s="122"/>
      <c r="L344" s="124">
        <f>I344-G344*'OverNight $'!$H344*'MM $'!$E344/360</f>
        <v>326.66410143373105</v>
      </c>
      <c r="N344" s="140">
        <f t="shared" si="40"/>
        <v>40101956.880000003</v>
      </c>
      <c r="O344" s="140"/>
      <c r="P344" s="139">
        <f t="shared" si="33"/>
        <v>3.6693347326196522E-2</v>
      </c>
      <c r="Q344" s="431">
        <f t="shared" si="25"/>
        <v>4087.4306451611005</v>
      </c>
      <c r="R344" s="431"/>
      <c r="S344" s="122"/>
      <c r="T344" s="122"/>
      <c r="U344" s="124">
        <f>Q344-N344*'OverNight $'!$H344*'MM $'!$E344/360</f>
        <v>300.02360649443381</v>
      </c>
      <c r="W344" s="140">
        <f t="shared" si="41"/>
        <v>40102081.68</v>
      </c>
      <c r="X344" s="139">
        <f t="shared" si="34"/>
        <v>3.6869725161289814E-2</v>
      </c>
      <c r="Y344" s="431">
        <f t="shared" si="37"/>
        <v>4107.0909164922095</v>
      </c>
      <c r="Z344" s="122"/>
      <c r="AA344" s="122"/>
      <c r="AB344" s="124">
        <f>Y344-W344*'OverNight $'!$H344*'MM $'!$E344/360</f>
        <v>319.67209115887636</v>
      </c>
      <c r="AD344" s="140">
        <f t="shared" si="42"/>
        <v>40103087.079999998</v>
      </c>
      <c r="AE344" s="139">
        <f t="shared" si="35"/>
        <v>3.7224545806451938E-2</v>
      </c>
      <c r="AF344" s="431">
        <f t="shared" si="38"/>
        <v>4146.7200055266412</v>
      </c>
      <c r="AG344" s="122"/>
      <c r="AH344" s="122"/>
      <c r="AI344" s="124">
        <f>AF344-AD344*'OverNight $'!$H344*'MM $'!$E344/360</f>
        <v>359.20622574886329</v>
      </c>
    </row>
    <row r="345" spans="2:35" x14ac:dyDescent="0.25">
      <c r="B345" s="123" t="str">
        <f t="shared" si="28"/>
        <v>12 2025</v>
      </c>
      <c r="C345" s="122">
        <f t="shared" si="30"/>
        <v>45997</v>
      </c>
      <c r="D345" s="122">
        <f t="shared" si="31"/>
        <v>45998</v>
      </c>
      <c r="E345" s="123">
        <f t="shared" si="29"/>
        <v>1</v>
      </c>
      <c r="G345" s="140">
        <f t="shared" si="39"/>
        <v>40102382</v>
      </c>
      <c r="H345" s="139">
        <f t="shared" si="32"/>
        <v>3.6932471106482984E-2</v>
      </c>
      <c r="I345" s="431">
        <f t="shared" si="36"/>
        <v>4114.1112903226203</v>
      </c>
      <c r="J345" s="122"/>
      <c r="K345" s="122"/>
      <c r="L345" s="124">
        <f>I345-G345*'OverNight $'!$H345*'MM $'!$E345/360</f>
        <v>326.66410143373105</v>
      </c>
      <c r="N345" s="140">
        <f t="shared" si="40"/>
        <v>40101956.880000003</v>
      </c>
      <c r="O345" s="140"/>
      <c r="P345" s="139">
        <f t="shared" si="33"/>
        <v>3.6693347326196522E-2</v>
      </c>
      <c r="Q345" s="431">
        <f t="shared" si="25"/>
        <v>4087.4306451611005</v>
      </c>
      <c r="R345" s="431"/>
      <c r="S345" s="122"/>
      <c r="T345" s="122"/>
      <c r="U345" s="124">
        <f>Q345-N345*'OverNight $'!$H345*'MM $'!$E345/360</f>
        <v>300.02360649443381</v>
      </c>
      <c r="W345" s="140">
        <f t="shared" si="41"/>
        <v>40102081.68</v>
      </c>
      <c r="X345" s="139">
        <f t="shared" si="34"/>
        <v>3.6869725161289814E-2</v>
      </c>
      <c r="Y345" s="431">
        <f t="shared" si="37"/>
        <v>4107.0909164922095</v>
      </c>
      <c r="Z345" s="122"/>
      <c r="AA345" s="122"/>
      <c r="AB345" s="124">
        <f>Y345-W345*'OverNight $'!$H345*'MM $'!$E345/360</f>
        <v>319.67209115887636</v>
      </c>
      <c r="AD345" s="140">
        <f t="shared" si="42"/>
        <v>40103087.079999998</v>
      </c>
      <c r="AE345" s="139">
        <f t="shared" si="35"/>
        <v>3.7224545806451938E-2</v>
      </c>
      <c r="AF345" s="431">
        <f t="shared" si="38"/>
        <v>4146.7200055266412</v>
      </c>
      <c r="AG345" s="122"/>
      <c r="AH345" s="122"/>
      <c r="AI345" s="124">
        <f>AF345-AD345*'OverNight $'!$H345*'MM $'!$E345/360</f>
        <v>359.20622574886329</v>
      </c>
    </row>
    <row r="346" spans="2:35" x14ac:dyDescent="0.25">
      <c r="B346" s="123" t="str">
        <f t="shared" si="28"/>
        <v>12 2025</v>
      </c>
      <c r="C346" s="122">
        <f t="shared" si="30"/>
        <v>45998</v>
      </c>
      <c r="D346" s="122">
        <f t="shared" si="31"/>
        <v>45999</v>
      </c>
      <c r="E346" s="123">
        <f t="shared" si="29"/>
        <v>1</v>
      </c>
      <c r="G346" s="140">
        <f t="shared" si="39"/>
        <v>40102382</v>
      </c>
      <c r="H346" s="139">
        <f t="shared" si="32"/>
        <v>3.6932471106482984E-2</v>
      </c>
      <c r="I346" s="431">
        <f t="shared" si="36"/>
        <v>4114.1112903226203</v>
      </c>
      <c r="J346" s="122"/>
      <c r="K346" s="122"/>
      <c r="L346" s="124">
        <f>I346-G346*'OverNight $'!$H346*'MM $'!$E346/360</f>
        <v>326.66410143373105</v>
      </c>
      <c r="N346" s="140">
        <f t="shared" si="40"/>
        <v>40101956.880000003</v>
      </c>
      <c r="O346" s="140"/>
      <c r="P346" s="139">
        <f t="shared" si="33"/>
        <v>3.6693347326196522E-2</v>
      </c>
      <c r="Q346" s="431">
        <f t="shared" si="25"/>
        <v>4087.4306451611005</v>
      </c>
      <c r="R346" s="431"/>
      <c r="S346" s="122"/>
      <c r="T346" s="122"/>
      <c r="U346" s="124">
        <f>Q346-N346*'OverNight $'!$H346*'MM $'!$E346/360</f>
        <v>300.02360649443381</v>
      </c>
      <c r="W346" s="140">
        <f t="shared" si="41"/>
        <v>40102081.68</v>
      </c>
      <c r="X346" s="139">
        <f t="shared" si="34"/>
        <v>3.6869725161289814E-2</v>
      </c>
      <c r="Y346" s="431">
        <f t="shared" si="37"/>
        <v>4107.0909164922095</v>
      </c>
      <c r="Z346" s="122"/>
      <c r="AA346" s="122"/>
      <c r="AB346" s="124">
        <f>Y346-W346*'OverNight $'!$H346*'MM $'!$E346/360</f>
        <v>319.67209115887636</v>
      </c>
      <c r="AD346" s="140">
        <f t="shared" si="42"/>
        <v>40103087.079999998</v>
      </c>
      <c r="AE346" s="139">
        <f t="shared" si="35"/>
        <v>3.7224545806451938E-2</v>
      </c>
      <c r="AF346" s="431">
        <f t="shared" si="38"/>
        <v>4146.7200055266412</v>
      </c>
      <c r="AG346" s="122"/>
      <c r="AH346" s="122"/>
      <c r="AI346" s="124">
        <f>AF346-AD346*'OverNight $'!$H346*'MM $'!$E346/360</f>
        <v>359.20622574886329</v>
      </c>
    </row>
    <row r="347" spans="2:35" x14ac:dyDescent="0.25">
      <c r="B347" s="123" t="str">
        <f t="shared" si="28"/>
        <v>12 2025</v>
      </c>
      <c r="C347" s="122">
        <f t="shared" si="30"/>
        <v>45999</v>
      </c>
      <c r="D347" s="122">
        <f t="shared" si="31"/>
        <v>46000</v>
      </c>
      <c r="E347" s="123">
        <f t="shared" si="29"/>
        <v>1</v>
      </c>
      <c r="G347" s="140">
        <f t="shared" si="39"/>
        <v>40102382</v>
      </c>
      <c r="H347" s="139">
        <f t="shared" si="32"/>
        <v>3.6932471106482984E-2</v>
      </c>
      <c r="I347" s="431">
        <f t="shared" si="36"/>
        <v>4114.1112903226203</v>
      </c>
      <c r="J347" s="122"/>
      <c r="K347" s="122"/>
      <c r="L347" s="124">
        <f>I347-G347*'OverNight $'!$H347*'MM $'!$E347/360</f>
        <v>326.66410143373105</v>
      </c>
      <c r="N347" s="140">
        <f t="shared" si="40"/>
        <v>40101956.880000003</v>
      </c>
      <c r="O347" s="140"/>
      <c r="P347" s="139">
        <f t="shared" si="33"/>
        <v>3.6693347326196522E-2</v>
      </c>
      <c r="Q347" s="431">
        <f t="shared" si="25"/>
        <v>4087.4306451611005</v>
      </c>
      <c r="R347" s="431"/>
      <c r="S347" s="122"/>
      <c r="T347" s="122"/>
      <c r="U347" s="124">
        <f>Q347-N347*'OverNight $'!$H347*'MM $'!$E347/360</f>
        <v>300.02360649443381</v>
      </c>
      <c r="W347" s="140">
        <f t="shared" si="41"/>
        <v>40102081.68</v>
      </c>
      <c r="X347" s="139">
        <f t="shared" si="34"/>
        <v>3.6869725161289814E-2</v>
      </c>
      <c r="Y347" s="431">
        <f t="shared" si="37"/>
        <v>4107.0909164922095</v>
      </c>
      <c r="Z347" s="122"/>
      <c r="AA347" s="122"/>
      <c r="AB347" s="124">
        <f>Y347-W347*'OverNight $'!$H347*'MM $'!$E347/360</f>
        <v>319.67209115887636</v>
      </c>
      <c r="AD347" s="140">
        <f t="shared" si="42"/>
        <v>40103087.079999998</v>
      </c>
      <c r="AE347" s="139">
        <f t="shared" si="35"/>
        <v>3.7224545806451938E-2</v>
      </c>
      <c r="AF347" s="431">
        <f t="shared" si="38"/>
        <v>4146.7200055266412</v>
      </c>
      <c r="AG347" s="122"/>
      <c r="AH347" s="122"/>
      <c r="AI347" s="124">
        <f>AF347-AD347*'OverNight $'!$H347*'MM $'!$E347/360</f>
        <v>359.20622574886329</v>
      </c>
    </row>
    <row r="348" spans="2:35" x14ac:dyDescent="0.25">
      <c r="B348" s="123" t="str">
        <f t="shared" si="28"/>
        <v>12 2025</v>
      </c>
      <c r="C348" s="122">
        <f t="shared" si="30"/>
        <v>46000</v>
      </c>
      <c r="D348" s="122">
        <f t="shared" si="31"/>
        <v>46001</v>
      </c>
      <c r="E348" s="123">
        <f t="shared" si="29"/>
        <v>1</v>
      </c>
      <c r="G348" s="140">
        <f t="shared" si="39"/>
        <v>40102382</v>
      </c>
      <c r="H348" s="139">
        <f t="shared" si="32"/>
        <v>3.6932471106482984E-2</v>
      </c>
      <c r="I348" s="431">
        <f t="shared" si="36"/>
        <v>4114.1112903226203</v>
      </c>
      <c r="J348" s="122"/>
      <c r="K348" s="122"/>
      <c r="L348" s="124">
        <f>I348-G348*'OverNight $'!$H348*'MM $'!$E348/360</f>
        <v>326.66410143373105</v>
      </c>
      <c r="N348" s="140">
        <f t="shared" si="40"/>
        <v>40101956.880000003</v>
      </c>
      <c r="O348" s="140"/>
      <c r="P348" s="139">
        <f t="shared" si="33"/>
        <v>3.6693347326196522E-2</v>
      </c>
      <c r="Q348" s="431">
        <f t="shared" si="25"/>
        <v>4087.4306451611005</v>
      </c>
      <c r="R348" s="431"/>
      <c r="S348" s="122"/>
      <c r="T348" s="122"/>
      <c r="U348" s="124">
        <f>Q348-N348*'OverNight $'!$H348*'MM $'!$E348/360</f>
        <v>300.02360649443381</v>
      </c>
      <c r="W348" s="140">
        <f t="shared" si="41"/>
        <v>40102081.68</v>
      </c>
      <c r="X348" s="139">
        <f t="shared" si="34"/>
        <v>3.6869725161289814E-2</v>
      </c>
      <c r="Y348" s="431">
        <f t="shared" si="37"/>
        <v>4107.0909164922095</v>
      </c>
      <c r="Z348" s="122"/>
      <c r="AA348" s="122"/>
      <c r="AB348" s="124">
        <f>Y348-W348*'OverNight $'!$H348*'MM $'!$E348/360</f>
        <v>319.67209115887636</v>
      </c>
      <c r="AD348" s="140">
        <f t="shared" si="42"/>
        <v>40103087.079999998</v>
      </c>
      <c r="AE348" s="139">
        <f t="shared" si="35"/>
        <v>3.7224545806451938E-2</v>
      </c>
      <c r="AF348" s="431">
        <f t="shared" si="38"/>
        <v>4146.7200055266412</v>
      </c>
      <c r="AG348" s="122"/>
      <c r="AH348" s="122"/>
      <c r="AI348" s="124">
        <f>AF348-AD348*'OverNight $'!$H348*'MM $'!$E348/360</f>
        <v>359.20622574886329</v>
      </c>
    </row>
    <row r="349" spans="2:35" x14ac:dyDescent="0.25">
      <c r="B349" s="123" t="str">
        <f t="shared" si="28"/>
        <v>12 2025</v>
      </c>
      <c r="C349" s="122">
        <f t="shared" si="30"/>
        <v>46001</v>
      </c>
      <c r="D349" s="122">
        <f t="shared" si="31"/>
        <v>46002</v>
      </c>
      <c r="E349" s="123">
        <f t="shared" si="29"/>
        <v>1</v>
      </c>
      <c r="G349" s="140">
        <f t="shared" si="39"/>
        <v>40102382</v>
      </c>
      <c r="H349" s="139">
        <f t="shared" si="32"/>
        <v>3.6932471106482984E-2</v>
      </c>
      <c r="I349" s="431">
        <f t="shared" si="36"/>
        <v>4114.1112903226203</v>
      </c>
      <c r="J349" s="122"/>
      <c r="K349" s="122"/>
      <c r="L349" s="124">
        <f>I349-G349*'OverNight $'!$H349*'MM $'!$E349/360</f>
        <v>326.66410143373105</v>
      </c>
      <c r="N349" s="140">
        <f t="shared" si="40"/>
        <v>40101956.880000003</v>
      </c>
      <c r="O349" s="140"/>
      <c r="P349" s="139">
        <f t="shared" si="33"/>
        <v>3.6693347326196522E-2</v>
      </c>
      <c r="Q349" s="431">
        <f t="shared" si="25"/>
        <v>4087.4306451611005</v>
      </c>
      <c r="R349" s="431"/>
      <c r="S349" s="122"/>
      <c r="T349" s="122"/>
      <c r="U349" s="124">
        <f>Q349-N349*'OverNight $'!$H349*'MM $'!$E349/360</f>
        <v>300.02360649443381</v>
      </c>
      <c r="W349" s="140">
        <f t="shared" si="41"/>
        <v>40102081.68</v>
      </c>
      <c r="X349" s="139">
        <f t="shared" si="34"/>
        <v>3.6869725161289814E-2</v>
      </c>
      <c r="Y349" s="431">
        <f t="shared" si="37"/>
        <v>4107.0909164922095</v>
      </c>
      <c r="Z349" s="122"/>
      <c r="AA349" s="122"/>
      <c r="AB349" s="124">
        <f>Y349-W349*'OverNight $'!$H349*'MM $'!$E349/360</f>
        <v>319.67209115887636</v>
      </c>
      <c r="AD349" s="140">
        <f t="shared" si="42"/>
        <v>40103087.079999998</v>
      </c>
      <c r="AE349" s="139">
        <f t="shared" si="35"/>
        <v>3.7224545806451938E-2</v>
      </c>
      <c r="AF349" s="431">
        <f t="shared" si="38"/>
        <v>4146.7200055266412</v>
      </c>
      <c r="AG349" s="122"/>
      <c r="AH349" s="122"/>
      <c r="AI349" s="124">
        <f>AF349-AD349*'OverNight $'!$H349*'MM $'!$E349/360</f>
        <v>359.20622574886329</v>
      </c>
    </row>
    <row r="350" spans="2:35" x14ac:dyDescent="0.25">
      <c r="B350" s="123" t="str">
        <f t="shared" si="28"/>
        <v>12 2025</v>
      </c>
      <c r="C350" s="122">
        <f t="shared" si="30"/>
        <v>46002</v>
      </c>
      <c r="D350" s="122">
        <f t="shared" si="31"/>
        <v>46003</v>
      </c>
      <c r="E350" s="123">
        <f t="shared" si="29"/>
        <v>1</v>
      </c>
      <c r="G350" s="140">
        <f t="shared" si="39"/>
        <v>40102382</v>
      </c>
      <c r="H350" s="139">
        <f t="shared" si="32"/>
        <v>3.6932471106482984E-2</v>
      </c>
      <c r="I350" s="431">
        <f t="shared" si="36"/>
        <v>4114.1112903226203</v>
      </c>
      <c r="J350" s="122"/>
      <c r="K350" s="122"/>
      <c r="L350" s="124">
        <f>I350-G350*'OverNight $'!$H350*'MM $'!$E350/360</f>
        <v>605.15286532262007</v>
      </c>
      <c r="N350" s="140">
        <f t="shared" si="40"/>
        <v>40101956.880000003</v>
      </c>
      <c r="O350" s="140"/>
      <c r="P350" s="139">
        <f t="shared" si="33"/>
        <v>3.6693347326196522E-2</v>
      </c>
      <c r="Q350" s="431">
        <f t="shared" si="25"/>
        <v>4087.4306451611005</v>
      </c>
      <c r="R350" s="431"/>
      <c r="S350" s="122"/>
      <c r="T350" s="122"/>
      <c r="U350" s="124">
        <f>Q350-N350*'OverNight $'!$H350*'MM $'!$E350/360</f>
        <v>578.5094181610998</v>
      </c>
      <c r="W350" s="140">
        <f t="shared" si="41"/>
        <v>40102081.68</v>
      </c>
      <c r="X350" s="139">
        <f t="shared" si="34"/>
        <v>3.6869725161289814E-2</v>
      </c>
      <c r="Y350" s="431">
        <f t="shared" si="37"/>
        <v>4107.0909164922095</v>
      </c>
      <c r="Z350" s="122"/>
      <c r="AA350" s="122"/>
      <c r="AB350" s="124">
        <f>Y350-W350*'OverNight $'!$H350*'MM $'!$E350/360</f>
        <v>598.15876949220956</v>
      </c>
      <c r="AD350" s="140">
        <f t="shared" si="42"/>
        <v>40103087.079999998</v>
      </c>
      <c r="AE350" s="139">
        <f t="shared" si="35"/>
        <v>3.7224545806451938E-2</v>
      </c>
      <c r="AF350" s="431">
        <f t="shared" si="38"/>
        <v>4146.7200055266412</v>
      </c>
      <c r="AG350" s="122"/>
      <c r="AH350" s="122"/>
      <c r="AI350" s="124">
        <f>AF350-AD350*'OverNight $'!$H350*'MM $'!$E350/360</f>
        <v>637.69988602664125</v>
      </c>
    </row>
    <row r="351" spans="2:35" x14ac:dyDescent="0.25">
      <c r="B351" s="123" t="str">
        <f t="shared" si="28"/>
        <v>12 2025</v>
      </c>
      <c r="C351" s="122">
        <f t="shared" si="30"/>
        <v>46003</v>
      </c>
      <c r="D351" s="122">
        <f t="shared" si="31"/>
        <v>46004</v>
      </c>
      <c r="E351" s="123">
        <f t="shared" si="29"/>
        <v>1</v>
      </c>
      <c r="G351" s="140">
        <f t="shared" si="39"/>
        <v>40102382</v>
      </c>
      <c r="H351" s="139">
        <f t="shared" si="32"/>
        <v>3.6932471106482984E-2</v>
      </c>
      <c r="I351" s="431">
        <f t="shared" si="36"/>
        <v>4114.1112903226203</v>
      </c>
      <c r="J351" s="122"/>
      <c r="K351" s="122"/>
      <c r="L351" s="124">
        <f>I351-G351*'OverNight $'!$H351*'MM $'!$E351/360</f>
        <v>605.15286532262007</v>
      </c>
      <c r="N351" s="140">
        <f t="shared" si="40"/>
        <v>40101956.880000003</v>
      </c>
      <c r="O351" s="140"/>
      <c r="P351" s="139">
        <f t="shared" si="33"/>
        <v>3.6693347326196522E-2</v>
      </c>
      <c r="Q351" s="431">
        <f t="shared" si="25"/>
        <v>4087.4306451611005</v>
      </c>
      <c r="R351" s="431"/>
      <c r="S351" s="122"/>
      <c r="T351" s="122"/>
      <c r="U351" s="124">
        <f>Q351-N351*'OverNight $'!$H351*'MM $'!$E351/360</f>
        <v>578.5094181610998</v>
      </c>
      <c r="W351" s="140">
        <f t="shared" si="41"/>
        <v>40102081.68</v>
      </c>
      <c r="X351" s="139">
        <f t="shared" si="34"/>
        <v>3.6869725161289814E-2</v>
      </c>
      <c r="Y351" s="431">
        <f t="shared" si="37"/>
        <v>4107.0909164922095</v>
      </c>
      <c r="Z351" s="122"/>
      <c r="AA351" s="122"/>
      <c r="AB351" s="124">
        <f>Y351-W351*'OverNight $'!$H351*'MM $'!$E351/360</f>
        <v>598.15876949220956</v>
      </c>
      <c r="AD351" s="140">
        <f t="shared" si="42"/>
        <v>40103087.079999998</v>
      </c>
      <c r="AE351" s="139">
        <f t="shared" si="35"/>
        <v>3.7224545806451938E-2</v>
      </c>
      <c r="AF351" s="431">
        <f t="shared" si="38"/>
        <v>4146.7200055266412</v>
      </c>
      <c r="AG351" s="122"/>
      <c r="AH351" s="122"/>
      <c r="AI351" s="124">
        <f>AF351-AD351*'OverNight $'!$H351*'MM $'!$E351/360</f>
        <v>637.69988602664125</v>
      </c>
    </row>
    <row r="352" spans="2:35" x14ac:dyDescent="0.25">
      <c r="B352" s="123" t="str">
        <f t="shared" si="28"/>
        <v>12 2025</v>
      </c>
      <c r="C352" s="122">
        <f t="shared" si="30"/>
        <v>46004</v>
      </c>
      <c r="D352" s="122">
        <f t="shared" si="31"/>
        <v>46005</v>
      </c>
      <c r="E352" s="123">
        <f t="shared" si="29"/>
        <v>1</v>
      </c>
      <c r="G352" s="140">
        <f t="shared" si="39"/>
        <v>40102382</v>
      </c>
      <c r="H352" s="139">
        <f t="shared" si="32"/>
        <v>3.6932471106482984E-2</v>
      </c>
      <c r="I352" s="431">
        <f t="shared" si="36"/>
        <v>4114.1112903226203</v>
      </c>
      <c r="J352" s="122"/>
      <c r="K352" s="122"/>
      <c r="L352" s="124">
        <f>I352-G352*'OverNight $'!$H352*'MM $'!$E352/360</f>
        <v>605.15286532262007</v>
      </c>
      <c r="N352" s="140">
        <f t="shared" si="40"/>
        <v>40101956.880000003</v>
      </c>
      <c r="O352" s="140"/>
      <c r="P352" s="139">
        <f t="shared" si="33"/>
        <v>3.6693347326196522E-2</v>
      </c>
      <c r="Q352" s="431">
        <f t="shared" si="25"/>
        <v>4087.4306451611005</v>
      </c>
      <c r="R352" s="431"/>
      <c r="S352" s="122"/>
      <c r="T352" s="122"/>
      <c r="U352" s="124">
        <f>Q352-N352*'OverNight $'!$H352*'MM $'!$E352/360</f>
        <v>578.5094181610998</v>
      </c>
      <c r="W352" s="140">
        <f t="shared" si="41"/>
        <v>40102081.68</v>
      </c>
      <c r="X352" s="139">
        <f t="shared" si="34"/>
        <v>3.6869725161289814E-2</v>
      </c>
      <c r="Y352" s="431">
        <f t="shared" si="37"/>
        <v>4107.0909164922095</v>
      </c>
      <c r="Z352" s="122"/>
      <c r="AA352" s="122"/>
      <c r="AB352" s="124">
        <f>Y352-W352*'OverNight $'!$H352*'MM $'!$E352/360</f>
        <v>598.15876949220956</v>
      </c>
      <c r="AD352" s="140">
        <f t="shared" si="42"/>
        <v>40103087.079999998</v>
      </c>
      <c r="AE352" s="139">
        <f t="shared" si="35"/>
        <v>3.7224545806451938E-2</v>
      </c>
      <c r="AF352" s="431">
        <f t="shared" si="38"/>
        <v>4146.7200055266412</v>
      </c>
      <c r="AG352" s="122"/>
      <c r="AH352" s="122"/>
      <c r="AI352" s="124">
        <f>AF352-AD352*'OverNight $'!$H352*'MM $'!$E352/360</f>
        <v>637.69988602664125</v>
      </c>
    </row>
    <row r="353" spans="2:35" x14ac:dyDescent="0.25">
      <c r="B353" s="123" t="str">
        <f t="shared" si="28"/>
        <v>12 2025</v>
      </c>
      <c r="C353" s="122">
        <f t="shared" si="30"/>
        <v>46005</v>
      </c>
      <c r="D353" s="122">
        <f t="shared" si="31"/>
        <v>46006</v>
      </c>
      <c r="E353" s="123">
        <f t="shared" si="29"/>
        <v>1</v>
      </c>
      <c r="G353" s="140">
        <f t="shared" si="39"/>
        <v>40102382</v>
      </c>
      <c r="H353" s="139">
        <f t="shared" si="32"/>
        <v>3.6932471106482984E-2</v>
      </c>
      <c r="I353" s="431">
        <f t="shared" si="36"/>
        <v>4114.1112903226203</v>
      </c>
      <c r="J353" s="122"/>
      <c r="K353" s="122"/>
      <c r="L353" s="124">
        <f>I353-G353*'OverNight $'!$H353*'MM $'!$E353/360</f>
        <v>605.15286532262007</v>
      </c>
      <c r="N353" s="140">
        <f t="shared" si="40"/>
        <v>40101956.880000003</v>
      </c>
      <c r="O353" s="140"/>
      <c r="P353" s="139">
        <f t="shared" si="33"/>
        <v>3.6693347326196522E-2</v>
      </c>
      <c r="Q353" s="431">
        <f t="shared" si="25"/>
        <v>4087.4306451611005</v>
      </c>
      <c r="R353" s="431"/>
      <c r="S353" s="122"/>
      <c r="T353" s="122"/>
      <c r="U353" s="124">
        <f>Q353-N353*'OverNight $'!$H353*'MM $'!$E353/360</f>
        <v>578.5094181610998</v>
      </c>
      <c r="W353" s="140">
        <f t="shared" si="41"/>
        <v>40102081.68</v>
      </c>
      <c r="X353" s="139">
        <f t="shared" si="34"/>
        <v>3.6869725161289814E-2</v>
      </c>
      <c r="Y353" s="431">
        <f t="shared" si="37"/>
        <v>4107.0909164922095</v>
      </c>
      <c r="Z353" s="122"/>
      <c r="AA353" s="122"/>
      <c r="AB353" s="124">
        <f>Y353-W353*'OverNight $'!$H353*'MM $'!$E353/360</f>
        <v>598.15876949220956</v>
      </c>
      <c r="AD353" s="140">
        <f t="shared" si="42"/>
        <v>40103087.079999998</v>
      </c>
      <c r="AE353" s="139">
        <f t="shared" si="35"/>
        <v>3.7224545806451938E-2</v>
      </c>
      <c r="AF353" s="431">
        <f t="shared" si="38"/>
        <v>4146.7200055266412</v>
      </c>
      <c r="AG353" s="122"/>
      <c r="AH353" s="122"/>
      <c r="AI353" s="124">
        <f>AF353-AD353*'OverNight $'!$H353*'MM $'!$E353/360</f>
        <v>637.69988602664125</v>
      </c>
    </row>
    <row r="354" spans="2:35" x14ac:dyDescent="0.25">
      <c r="B354" s="123" t="str">
        <f t="shared" si="28"/>
        <v>12 2025</v>
      </c>
      <c r="C354" s="122">
        <f t="shared" si="30"/>
        <v>46006</v>
      </c>
      <c r="D354" s="122">
        <f t="shared" si="31"/>
        <v>46007</v>
      </c>
      <c r="E354" s="123">
        <f t="shared" si="29"/>
        <v>1</v>
      </c>
      <c r="G354" s="140">
        <f t="shared" si="39"/>
        <v>40102382</v>
      </c>
      <c r="H354" s="139">
        <f t="shared" si="32"/>
        <v>3.6932471106482984E-2</v>
      </c>
      <c r="I354" s="431">
        <f t="shared" si="36"/>
        <v>4114.1112903226203</v>
      </c>
      <c r="J354" s="122"/>
      <c r="K354" s="122"/>
      <c r="L354" s="124">
        <f>I354-G354*'OverNight $'!$H354*'MM $'!$E354/360</f>
        <v>605.15286532262007</v>
      </c>
      <c r="N354" s="140">
        <f t="shared" si="40"/>
        <v>40101956.880000003</v>
      </c>
      <c r="O354" s="140"/>
      <c r="P354" s="139">
        <f t="shared" si="33"/>
        <v>3.6693347326196522E-2</v>
      </c>
      <c r="Q354" s="431">
        <f t="shared" si="25"/>
        <v>4087.4306451611005</v>
      </c>
      <c r="R354" s="431"/>
      <c r="S354" s="122"/>
      <c r="T354" s="122"/>
      <c r="U354" s="124">
        <f>Q354-N354*'OverNight $'!$H354*'MM $'!$E354/360</f>
        <v>578.5094181610998</v>
      </c>
      <c r="W354" s="140">
        <f t="shared" si="41"/>
        <v>40102081.68</v>
      </c>
      <c r="X354" s="139">
        <f t="shared" si="34"/>
        <v>3.6869725161289814E-2</v>
      </c>
      <c r="Y354" s="431">
        <f t="shared" si="37"/>
        <v>4107.0909164922095</v>
      </c>
      <c r="Z354" s="122"/>
      <c r="AA354" s="122"/>
      <c r="AB354" s="124">
        <f>Y354-W354*'OverNight $'!$H354*'MM $'!$E354/360</f>
        <v>598.15876949220956</v>
      </c>
      <c r="AD354" s="140">
        <f t="shared" si="42"/>
        <v>40103087.079999998</v>
      </c>
      <c r="AE354" s="139">
        <f t="shared" si="35"/>
        <v>3.7224545806451938E-2</v>
      </c>
      <c r="AF354" s="431">
        <f t="shared" si="38"/>
        <v>4146.7200055266412</v>
      </c>
      <c r="AG354" s="122"/>
      <c r="AH354" s="122"/>
      <c r="AI354" s="124">
        <f>AF354-AD354*'OverNight $'!$H354*'MM $'!$E354/360</f>
        <v>637.69988602664125</v>
      </c>
    </row>
    <row r="355" spans="2:35" x14ac:dyDescent="0.25">
      <c r="B355" s="123" t="str">
        <f t="shared" si="28"/>
        <v>12 2025</v>
      </c>
      <c r="C355" s="122">
        <f t="shared" si="30"/>
        <v>46007</v>
      </c>
      <c r="D355" s="122">
        <f t="shared" si="31"/>
        <v>46008</v>
      </c>
      <c r="E355" s="123">
        <f t="shared" si="29"/>
        <v>1</v>
      </c>
      <c r="G355" s="140">
        <f t="shared" si="39"/>
        <v>40102382</v>
      </c>
      <c r="H355" s="139">
        <f t="shared" si="32"/>
        <v>3.6932471106482984E-2</v>
      </c>
      <c r="I355" s="431">
        <f t="shared" si="36"/>
        <v>4114.1112903226203</v>
      </c>
      <c r="J355" s="122"/>
      <c r="K355" s="122"/>
      <c r="L355" s="124">
        <f>I355-G355*'OverNight $'!$H355*'MM $'!$E355/360</f>
        <v>605.15286532262007</v>
      </c>
      <c r="N355" s="140">
        <f t="shared" si="40"/>
        <v>40101956.880000003</v>
      </c>
      <c r="O355" s="140"/>
      <c r="P355" s="139">
        <f t="shared" si="33"/>
        <v>3.6693347326196522E-2</v>
      </c>
      <c r="Q355" s="431">
        <f t="shared" si="25"/>
        <v>4087.4306451611005</v>
      </c>
      <c r="R355" s="431"/>
      <c r="S355" s="122"/>
      <c r="T355" s="122"/>
      <c r="U355" s="124">
        <f>Q355-N355*'OverNight $'!$H355*'MM $'!$E355/360</f>
        <v>578.5094181610998</v>
      </c>
      <c r="W355" s="140">
        <f t="shared" si="41"/>
        <v>40102081.68</v>
      </c>
      <c r="X355" s="139">
        <f t="shared" si="34"/>
        <v>3.6869725161289814E-2</v>
      </c>
      <c r="Y355" s="431">
        <f t="shared" si="37"/>
        <v>4107.0909164922095</v>
      </c>
      <c r="Z355" s="122"/>
      <c r="AA355" s="122"/>
      <c r="AB355" s="124">
        <f>Y355-W355*'OverNight $'!$H355*'MM $'!$E355/360</f>
        <v>598.15876949220956</v>
      </c>
      <c r="AD355" s="140">
        <f t="shared" si="42"/>
        <v>40103087.079999998</v>
      </c>
      <c r="AE355" s="139">
        <f t="shared" si="35"/>
        <v>3.7224545806451938E-2</v>
      </c>
      <c r="AF355" s="431">
        <f t="shared" si="38"/>
        <v>4146.7200055266412</v>
      </c>
      <c r="AG355" s="122"/>
      <c r="AH355" s="122"/>
      <c r="AI355" s="124">
        <f>AF355-AD355*'OverNight $'!$H355*'MM $'!$E355/360</f>
        <v>637.69988602664125</v>
      </c>
    </row>
    <row r="356" spans="2:35" x14ac:dyDescent="0.25">
      <c r="B356" s="123" t="str">
        <f t="shared" si="28"/>
        <v>12 2025</v>
      </c>
      <c r="C356" s="122">
        <f t="shared" si="30"/>
        <v>46008</v>
      </c>
      <c r="D356" s="122">
        <f t="shared" si="31"/>
        <v>46009</v>
      </c>
      <c r="E356" s="123">
        <f t="shared" si="29"/>
        <v>1</v>
      </c>
      <c r="G356" s="140">
        <f t="shared" si="39"/>
        <v>40102382</v>
      </c>
      <c r="H356" s="139">
        <f t="shared" si="32"/>
        <v>3.6932471106482984E-2</v>
      </c>
      <c r="I356" s="431">
        <f t="shared" si="36"/>
        <v>4114.1112903226203</v>
      </c>
      <c r="J356" s="122"/>
      <c r="K356" s="122"/>
      <c r="L356" s="124">
        <f>I356-G356*'OverNight $'!$H356*'MM $'!$E356/360</f>
        <v>605.15286532262007</v>
      </c>
      <c r="N356" s="140">
        <f t="shared" si="40"/>
        <v>40101956.880000003</v>
      </c>
      <c r="O356" s="140"/>
      <c r="P356" s="139">
        <f t="shared" si="33"/>
        <v>3.6693347326196522E-2</v>
      </c>
      <c r="Q356" s="431">
        <f t="shared" si="25"/>
        <v>4087.4306451611005</v>
      </c>
      <c r="R356" s="431"/>
      <c r="S356" s="122"/>
      <c r="T356" s="122"/>
      <c r="U356" s="124">
        <f>Q356-N356*'OverNight $'!$H356*'MM $'!$E356/360</f>
        <v>578.5094181610998</v>
      </c>
      <c r="W356" s="140">
        <f t="shared" si="41"/>
        <v>40102081.68</v>
      </c>
      <c r="X356" s="139">
        <f t="shared" si="34"/>
        <v>3.6869725161289814E-2</v>
      </c>
      <c r="Y356" s="431">
        <f t="shared" si="37"/>
        <v>4107.0909164922095</v>
      </c>
      <c r="Z356" s="122"/>
      <c r="AA356" s="122"/>
      <c r="AB356" s="124">
        <f>Y356-W356*'OverNight $'!$H356*'MM $'!$E356/360</f>
        <v>598.15876949220956</v>
      </c>
      <c r="AD356" s="140">
        <f t="shared" si="42"/>
        <v>40103087.079999998</v>
      </c>
      <c r="AE356" s="139">
        <f t="shared" si="35"/>
        <v>3.7224545806451938E-2</v>
      </c>
      <c r="AF356" s="431">
        <f t="shared" si="38"/>
        <v>4146.7200055266412</v>
      </c>
      <c r="AG356" s="122"/>
      <c r="AH356" s="122"/>
      <c r="AI356" s="124">
        <f>AF356-AD356*'OverNight $'!$H356*'MM $'!$E356/360</f>
        <v>637.69988602664125</v>
      </c>
    </row>
    <row r="357" spans="2:35" x14ac:dyDescent="0.25">
      <c r="B357" s="123" t="str">
        <f t="shared" si="28"/>
        <v>12 2025</v>
      </c>
      <c r="C357" s="122">
        <f t="shared" si="30"/>
        <v>46009</v>
      </c>
      <c r="D357" s="122">
        <f t="shared" si="31"/>
        <v>46010</v>
      </c>
      <c r="E357" s="123">
        <f t="shared" si="29"/>
        <v>1</v>
      </c>
      <c r="G357" s="140">
        <f t="shared" si="39"/>
        <v>40102382</v>
      </c>
      <c r="H357" s="139">
        <f t="shared" si="32"/>
        <v>3.6932471106482984E-2</v>
      </c>
      <c r="I357" s="431">
        <f t="shared" si="36"/>
        <v>4114.1112903226203</v>
      </c>
      <c r="J357" s="122"/>
      <c r="K357" s="122"/>
      <c r="L357" s="124">
        <f>I357-G357*'OverNight $'!$H357*'MM $'!$E357/360</f>
        <v>605.15286532262007</v>
      </c>
      <c r="N357" s="140">
        <f t="shared" si="40"/>
        <v>40101956.880000003</v>
      </c>
      <c r="O357" s="140"/>
      <c r="P357" s="139">
        <f t="shared" si="33"/>
        <v>3.6693347326196522E-2</v>
      </c>
      <c r="Q357" s="431">
        <f t="shared" si="25"/>
        <v>4087.4306451611005</v>
      </c>
      <c r="R357" s="431"/>
      <c r="S357" s="122"/>
      <c r="T357" s="122"/>
      <c r="U357" s="124">
        <f>Q357-N357*'OverNight $'!$H357*'MM $'!$E357/360</f>
        <v>578.5094181610998</v>
      </c>
      <c r="W357" s="140">
        <f t="shared" si="41"/>
        <v>40102081.68</v>
      </c>
      <c r="X357" s="139">
        <f t="shared" si="34"/>
        <v>3.6869725161289814E-2</v>
      </c>
      <c r="Y357" s="431">
        <f t="shared" si="37"/>
        <v>4107.0909164922095</v>
      </c>
      <c r="Z357" s="122"/>
      <c r="AA357" s="122"/>
      <c r="AB357" s="124">
        <f>Y357-W357*'OverNight $'!$H357*'MM $'!$E357/360</f>
        <v>598.15876949220956</v>
      </c>
      <c r="AD357" s="140">
        <f t="shared" si="42"/>
        <v>40103087.079999998</v>
      </c>
      <c r="AE357" s="139">
        <f t="shared" si="35"/>
        <v>3.7224545806451938E-2</v>
      </c>
      <c r="AF357" s="431">
        <f t="shared" si="38"/>
        <v>4146.7200055266412</v>
      </c>
      <c r="AG357" s="122"/>
      <c r="AH357" s="122"/>
      <c r="AI357" s="124">
        <f>AF357-AD357*'OverNight $'!$H357*'MM $'!$E357/360</f>
        <v>637.69988602664125</v>
      </c>
    </row>
    <row r="358" spans="2:35" x14ac:dyDescent="0.25">
      <c r="B358" s="123" t="str">
        <f t="shared" si="28"/>
        <v>12 2025</v>
      </c>
      <c r="C358" s="122">
        <f t="shared" si="30"/>
        <v>46010</v>
      </c>
      <c r="D358" s="122">
        <f t="shared" si="31"/>
        <v>46011</v>
      </c>
      <c r="E358" s="123">
        <f t="shared" si="29"/>
        <v>1</v>
      </c>
      <c r="G358" s="140">
        <f t="shared" si="39"/>
        <v>40102382</v>
      </c>
      <c r="H358" s="139">
        <f t="shared" si="32"/>
        <v>3.6932471106482984E-2</v>
      </c>
      <c r="I358" s="431">
        <f t="shared" si="36"/>
        <v>4114.1112903226203</v>
      </c>
      <c r="J358" s="122"/>
      <c r="K358" s="122"/>
      <c r="L358" s="124">
        <f>I358-G358*'OverNight $'!$H358*'MM $'!$E358/360</f>
        <v>605.15286532262007</v>
      </c>
      <c r="N358" s="140">
        <f t="shared" si="40"/>
        <v>40101956.880000003</v>
      </c>
      <c r="O358" s="140"/>
      <c r="P358" s="139">
        <f t="shared" si="33"/>
        <v>3.6693347326196522E-2</v>
      </c>
      <c r="Q358" s="431">
        <f t="shared" si="25"/>
        <v>4087.4306451611005</v>
      </c>
      <c r="R358" s="431"/>
      <c r="S358" s="122"/>
      <c r="T358" s="122"/>
      <c r="U358" s="124">
        <f>Q358-N358*'OverNight $'!$H358*'MM $'!$E358/360</f>
        <v>578.5094181610998</v>
      </c>
      <c r="W358" s="140">
        <f t="shared" si="41"/>
        <v>40102081.68</v>
      </c>
      <c r="X358" s="139">
        <f t="shared" si="34"/>
        <v>3.6869725161289814E-2</v>
      </c>
      <c r="Y358" s="431">
        <f t="shared" si="37"/>
        <v>4107.0909164922095</v>
      </c>
      <c r="Z358" s="122"/>
      <c r="AA358" s="122"/>
      <c r="AB358" s="124">
        <f>Y358-W358*'OverNight $'!$H358*'MM $'!$E358/360</f>
        <v>598.15876949220956</v>
      </c>
      <c r="AD358" s="140">
        <f t="shared" si="42"/>
        <v>40103087.079999998</v>
      </c>
      <c r="AE358" s="139">
        <f t="shared" si="35"/>
        <v>3.7224545806451938E-2</v>
      </c>
      <c r="AF358" s="431">
        <f t="shared" si="38"/>
        <v>4146.7200055266412</v>
      </c>
      <c r="AG358" s="122"/>
      <c r="AH358" s="122"/>
      <c r="AI358" s="124">
        <f>AF358-AD358*'OverNight $'!$H358*'MM $'!$E358/360</f>
        <v>637.69988602664125</v>
      </c>
    </row>
    <row r="359" spans="2:35" x14ac:dyDescent="0.25">
      <c r="B359" s="123" t="str">
        <f t="shared" si="28"/>
        <v>12 2025</v>
      </c>
      <c r="C359" s="122">
        <f t="shared" si="30"/>
        <v>46011</v>
      </c>
      <c r="D359" s="122">
        <f t="shared" si="31"/>
        <v>46012</v>
      </c>
      <c r="E359" s="123">
        <f t="shared" si="29"/>
        <v>1</v>
      </c>
      <c r="G359" s="140">
        <f t="shared" si="39"/>
        <v>40102382</v>
      </c>
      <c r="H359" s="139">
        <f t="shared" si="32"/>
        <v>3.6932471106482984E-2</v>
      </c>
      <c r="I359" s="431">
        <f t="shared" si="36"/>
        <v>4114.1112903226203</v>
      </c>
      <c r="J359" s="122"/>
      <c r="K359" s="122"/>
      <c r="L359" s="124">
        <f>I359-G359*'OverNight $'!$H359*'MM $'!$E359/360</f>
        <v>605.15286532262007</v>
      </c>
      <c r="N359" s="140">
        <f t="shared" si="40"/>
        <v>40101956.880000003</v>
      </c>
      <c r="O359" s="140"/>
      <c r="P359" s="139">
        <f t="shared" si="33"/>
        <v>3.6693347326196522E-2</v>
      </c>
      <c r="Q359" s="431">
        <f t="shared" si="25"/>
        <v>4087.4306451611005</v>
      </c>
      <c r="R359" s="431"/>
      <c r="S359" s="122"/>
      <c r="T359" s="122"/>
      <c r="U359" s="124">
        <f>Q359-N359*'OverNight $'!$H359*'MM $'!$E359/360</f>
        <v>578.5094181610998</v>
      </c>
      <c r="W359" s="140">
        <f t="shared" si="41"/>
        <v>40102081.68</v>
      </c>
      <c r="X359" s="139">
        <f t="shared" si="34"/>
        <v>3.6869725161289814E-2</v>
      </c>
      <c r="Y359" s="431">
        <f t="shared" si="37"/>
        <v>4107.0909164922095</v>
      </c>
      <c r="Z359" s="122"/>
      <c r="AA359" s="122"/>
      <c r="AB359" s="124">
        <f>Y359-W359*'OverNight $'!$H359*'MM $'!$E359/360</f>
        <v>598.15876949220956</v>
      </c>
      <c r="AD359" s="140">
        <f t="shared" si="42"/>
        <v>40103087.079999998</v>
      </c>
      <c r="AE359" s="139">
        <f t="shared" si="35"/>
        <v>3.7224545806451938E-2</v>
      </c>
      <c r="AF359" s="431">
        <f t="shared" si="38"/>
        <v>4146.7200055266412</v>
      </c>
      <c r="AG359" s="122"/>
      <c r="AH359" s="122"/>
      <c r="AI359" s="124">
        <f>AF359-AD359*'OverNight $'!$H359*'MM $'!$E359/360</f>
        <v>637.69988602664125</v>
      </c>
    </row>
    <row r="360" spans="2:35" x14ac:dyDescent="0.25">
      <c r="B360" s="123" t="str">
        <f t="shared" si="28"/>
        <v>12 2025</v>
      </c>
      <c r="C360" s="122">
        <f t="shared" si="30"/>
        <v>46012</v>
      </c>
      <c r="D360" s="122">
        <f t="shared" si="31"/>
        <v>46013</v>
      </c>
      <c r="E360" s="123">
        <f t="shared" si="29"/>
        <v>1</v>
      </c>
      <c r="G360" s="140">
        <f t="shared" si="39"/>
        <v>40102382</v>
      </c>
      <c r="H360" s="139">
        <f t="shared" si="32"/>
        <v>3.6932471106482984E-2</v>
      </c>
      <c r="I360" s="431">
        <f t="shared" si="36"/>
        <v>4114.1112903226203</v>
      </c>
      <c r="J360" s="122"/>
      <c r="K360" s="122"/>
      <c r="L360" s="124">
        <f>I360-G360*'OverNight $'!$H360*'MM $'!$E360/360</f>
        <v>605.15286532262007</v>
      </c>
      <c r="N360" s="140">
        <f t="shared" si="40"/>
        <v>40101956.880000003</v>
      </c>
      <c r="O360" s="140"/>
      <c r="P360" s="139">
        <f t="shared" si="33"/>
        <v>3.6693347326196522E-2</v>
      </c>
      <c r="Q360" s="431">
        <f t="shared" si="25"/>
        <v>4087.4306451611005</v>
      </c>
      <c r="R360" s="431"/>
      <c r="S360" s="122"/>
      <c r="T360" s="122"/>
      <c r="U360" s="124">
        <f>Q360-N360*'OverNight $'!$H360*'MM $'!$E360/360</f>
        <v>578.5094181610998</v>
      </c>
      <c r="W360" s="140">
        <f t="shared" si="41"/>
        <v>40102081.68</v>
      </c>
      <c r="X360" s="139">
        <f t="shared" si="34"/>
        <v>3.6869725161289814E-2</v>
      </c>
      <c r="Y360" s="431">
        <f t="shared" si="37"/>
        <v>4107.0909164922095</v>
      </c>
      <c r="Z360" s="122"/>
      <c r="AA360" s="122"/>
      <c r="AB360" s="124">
        <f>Y360-W360*'OverNight $'!$H360*'MM $'!$E360/360</f>
        <v>598.15876949220956</v>
      </c>
      <c r="AD360" s="140">
        <f t="shared" si="42"/>
        <v>40103087.079999998</v>
      </c>
      <c r="AE360" s="139">
        <f t="shared" si="35"/>
        <v>3.7224545806451938E-2</v>
      </c>
      <c r="AF360" s="431">
        <f t="shared" si="38"/>
        <v>4146.7200055266412</v>
      </c>
      <c r="AG360" s="122"/>
      <c r="AH360" s="122"/>
      <c r="AI360" s="124">
        <f>AF360-AD360*'OverNight $'!$H360*'MM $'!$E360/360</f>
        <v>637.69988602664125</v>
      </c>
    </row>
    <row r="361" spans="2:35" x14ac:dyDescent="0.25">
      <c r="B361" s="123" t="str">
        <f t="shared" si="28"/>
        <v>12 2025</v>
      </c>
      <c r="C361" s="122">
        <f t="shared" si="30"/>
        <v>46013</v>
      </c>
      <c r="D361" s="122">
        <f t="shared" si="31"/>
        <v>46014</v>
      </c>
      <c r="E361" s="123">
        <f t="shared" si="29"/>
        <v>1</v>
      </c>
      <c r="G361" s="140">
        <f t="shared" si="39"/>
        <v>40102382</v>
      </c>
      <c r="H361" s="139">
        <f t="shared" si="32"/>
        <v>3.6932471106482984E-2</v>
      </c>
      <c r="I361" s="431">
        <f t="shared" si="36"/>
        <v>4114.1112903226203</v>
      </c>
      <c r="J361" s="122"/>
      <c r="K361" s="122"/>
      <c r="L361" s="124">
        <f>I361-G361*'OverNight $'!$H361*'MM $'!$E361/360</f>
        <v>605.15286532262007</v>
      </c>
      <c r="N361" s="140">
        <f t="shared" si="40"/>
        <v>40101956.880000003</v>
      </c>
      <c r="O361" s="140"/>
      <c r="P361" s="139">
        <f t="shared" si="33"/>
        <v>3.6693347326196522E-2</v>
      </c>
      <c r="Q361" s="431">
        <f t="shared" si="25"/>
        <v>4087.4306451611005</v>
      </c>
      <c r="R361" s="431"/>
      <c r="S361" s="122"/>
      <c r="T361" s="122"/>
      <c r="U361" s="124">
        <f>Q361-N361*'OverNight $'!$H361*'MM $'!$E361/360</f>
        <v>578.5094181610998</v>
      </c>
      <c r="W361" s="140">
        <f t="shared" si="41"/>
        <v>40102081.68</v>
      </c>
      <c r="X361" s="139">
        <f t="shared" si="34"/>
        <v>3.6869725161289814E-2</v>
      </c>
      <c r="Y361" s="431">
        <f t="shared" si="37"/>
        <v>4107.0909164922095</v>
      </c>
      <c r="Z361" s="122"/>
      <c r="AA361" s="122"/>
      <c r="AB361" s="124">
        <f>Y361-W361*'OverNight $'!$H361*'MM $'!$E361/360</f>
        <v>598.15876949220956</v>
      </c>
      <c r="AD361" s="140">
        <f t="shared" si="42"/>
        <v>40103087.079999998</v>
      </c>
      <c r="AE361" s="139">
        <f t="shared" si="35"/>
        <v>3.7224545806451938E-2</v>
      </c>
      <c r="AF361" s="431">
        <f t="shared" si="38"/>
        <v>4146.7200055266412</v>
      </c>
      <c r="AG361" s="122"/>
      <c r="AH361" s="122"/>
      <c r="AI361" s="124">
        <f>AF361-AD361*'OverNight $'!$H361*'MM $'!$E361/360</f>
        <v>637.69988602664125</v>
      </c>
    </row>
    <row r="362" spans="2:35" x14ac:dyDescent="0.25">
      <c r="B362" s="123" t="str">
        <f t="shared" si="28"/>
        <v>12 2025</v>
      </c>
      <c r="C362" s="122">
        <f t="shared" si="30"/>
        <v>46014</v>
      </c>
      <c r="D362" s="122">
        <f t="shared" si="31"/>
        <v>46015</v>
      </c>
      <c r="E362" s="123">
        <f t="shared" si="29"/>
        <v>1</v>
      </c>
      <c r="G362" s="140">
        <f t="shared" si="39"/>
        <v>40102382</v>
      </c>
      <c r="H362" s="139">
        <f t="shared" si="32"/>
        <v>3.6932471106482984E-2</v>
      </c>
      <c r="I362" s="431">
        <f t="shared" si="36"/>
        <v>4114.1112903226203</v>
      </c>
      <c r="J362" s="122"/>
      <c r="K362" s="122"/>
      <c r="L362" s="124">
        <f>I362-G362*'OverNight $'!$H362*'MM $'!$E362/360</f>
        <v>605.15286532262007</v>
      </c>
      <c r="N362" s="140">
        <f t="shared" si="40"/>
        <v>40101956.880000003</v>
      </c>
      <c r="O362" s="140"/>
      <c r="P362" s="139">
        <f t="shared" si="33"/>
        <v>3.6693347326196522E-2</v>
      </c>
      <c r="Q362" s="431">
        <f t="shared" si="25"/>
        <v>4087.4306451611005</v>
      </c>
      <c r="R362" s="431"/>
      <c r="S362" s="122"/>
      <c r="T362" s="122"/>
      <c r="U362" s="124">
        <f>Q362-N362*'OverNight $'!$H362*'MM $'!$E362/360</f>
        <v>578.5094181610998</v>
      </c>
      <c r="W362" s="140">
        <f t="shared" si="41"/>
        <v>40102081.68</v>
      </c>
      <c r="X362" s="139">
        <f t="shared" si="34"/>
        <v>3.6869725161289814E-2</v>
      </c>
      <c r="Y362" s="431">
        <f t="shared" si="37"/>
        <v>4107.0909164922095</v>
      </c>
      <c r="Z362" s="122"/>
      <c r="AA362" s="122"/>
      <c r="AB362" s="124">
        <f>Y362-W362*'OverNight $'!$H362*'MM $'!$E362/360</f>
        <v>598.15876949220956</v>
      </c>
      <c r="AD362" s="140">
        <f t="shared" si="42"/>
        <v>40103087.079999998</v>
      </c>
      <c r="AE362" s="139">
        <f t="shared" si="35"/>
        <v>3.7224545806451938E-2</v>
      </c>
      <c r="AF362" s="431">
        <f t="shared" si="38"/>
        <v>4146.7200055266412</v>
      </c>
      <c r="AG362" s="122"/>
      <c r="AH362" s="122"/>
      <c r="AI362" s="124">
        <f>AF362-AD362*'OverNight $'!$H362*'MM $'!$E362/360</f>
        <v>637.69988602664125</v>
      </c>
    </row>
    <row r="363" spans="2:35" x14ac:dyDescent="0.25">
      <c r="B363" s="123" t="str">
        <f t="shared" si="28"/>
        <v>12 2025</v>
      </c>
      <c r="C363" s="122">
        <f t="shared" si="30"/>
        <v>46015</v>
      </c>
      <c r="D363" s="122">
        <f t="shared" si="31"/>
        <v>46016</v>
      </c>
      <c r="E363" s="123">
        <f t="shared" si="29"/>
        <v>1</v>
      </c>
      <c r="G363" s="140">
        <f t="shared" si="39"/>
        <v>40102382</v>
      </c>
      <c r="H363" s="139">
        <f t="shared" si="32"/>
        <v>3.6932471106482984E-2</v>
      </c>
      <c r="I363" s="431">
        <f t="shared" si="36"/>
        <v>4114.1112903226203</v>
      </c>
      <c r="J363" s="122"/>
      <c r="K363" s="122"/>
      <c r="L363" s="124">
        <f>I363-G363*'OverNight $'!$H363*'MM $'!$E363/360</f>
        <v>605.15286532262007</v>
      </c>
      <c r="N363" s="140">
        <f t="shared" si="40"/>
        <v>40101956.880000003</v>
      </c>
      <c r="O363" s="140"/>
      <c r="P363" s="139">
        <f t="shared" si="33"/>
        <v>3.6693347326196522E-2</v>
      </c>
      <c r="Q363" s="431">
        <f t="shared" si="25"/>
        <v>4087.4306451611005</v>
      </c>
      <c r="R363" s="431"/>
      <c r="S363" s="122"/>
      <c r="T363" s="122"/>
      <c r="U363" s="124">
        <f>Q363-N363*'OverNight $'!$H363*'MM $'!$E363/360</f>
        <v>578.5094181610998</v>
      </c>
      <c r="W363" s="140">
        <f t="shared" si="41"/>
        <v>40102081.68</v>
      </c>
      <c r="X363" s="139">
        <f t="shared" si="34"/>
        <v>3.6869725161289814E-2</v>
      </c>
      <c r="Y363" s="431">
        <f t="shared" si="37"/>
        <v>4107.0909164922095</v>
      </c>
      <c r="Z363" s="122"/>
      <c r="AA363" s="122"/>
      <c r="AB363" s="124">
        <f>Y363-W363*'OverNight $'!$H363*'MM $'!$E363/360</f>
        <v>598.15876949220956</v>
      </c>
      <c r="AD363" s="140">
        <f t="shared" si="42"/>
        <v>40103087.079999998</v>
      </c>
      <c r="AE363" s="139">
        <f t="shared" si="35"/>
        <v>3.7224545806451938E-2</v>
      </c>
      <c r="AF363" s="431">
        <f t="shared" si="38"/>
        <v>4146.7200055266412</v>
      </c>
      <c r="AG363" s="122"/>
      <c r="AH363" s="122"/>
      <c r="AI363" s="124">
        <f>AF363-AD363*'OverNight $'!$H363*'MM $'!$E363/360</f>
        <v>637.69988602664125</v>
      </c>
    </row>
    <row r="364" spans="2:35" x14ac:dyDescent="0.25">
      <c r="B364" s="123" t="str">
        <f t="shared" si="28"/>
        <v>12 2025</v>
      </c>
      <c r="C364" s="122">
        <f t="shared" si="30"/>
        <v>46016</v>
      </c>
      <c r="D364" s="122">
        <f t="shared" si="31"/>
        <v>46017</v>
      </c>
      <c r="E364" s="123">
        <f t="shared" si="29"/>
        <v>1</v>
      </c>
      <c r="G364" s="140">
        <f t="shared" si="39"/>
        <v>40102382</v>
      </c>
      <c r="H364" s="139">
        <f t="shared" si="32"/>
        <v>3.6932471106482984E-2</v>
      </c>
      <c r="I364" s="431">
        <f t="shared" si="36"/>
        <v>4114.1112903226203</v>
      </c>
      <c r="J364" s="122"/>
      <c r="K364" s="122"/>
      <c r="L364" s="124">
        <f>I364-G364*'OverNight $'!$H364*'MM $'!$E364/360</f>
        <v>605.15286532262007</v>
      </c>
      <c r="N364" s="140">
        <f t="shared" si="40"/>
        <v>40101956.880000003</v>
      </c>
      <c r="O364" s="140"/>
      <c r="P364" s="139">
        <f t="shared" si="33"/>
        <v>3.6693347326196522E-2</v>
      </c>
      <c r="Q364" s="431">
        <f t="shared" si="25"/>
        <v>4087.4306451611005</v>
      </c>
      <c r="R364" s="431"/>
      <c r="S364" s="122"/>
      <c r="T364" s="122"/>
      <c r="U364" s="124">
        <f>Q364-N364*'OverNight $'!$H364*'MM $'!$E364/360</f>
        <v>578.5094181610998</v>
      </c>
      <c r="W364" s="140">
        <f t="shared" si="41"/>
        <v>40102081.68</v>
      </c>
      <c r="X364" s="139">
        <f t="shared" si="34"/>
        <v>3.6869725161289814E-2</v>
      </c>
      <c r="Y364" s="431">
        <f t="shared" si="37"/>
        <v>4107.0909164922095</v>
      </c>
      <c r="Z364" s="122"/>
      <c r="AA364" s="122"/>
      <c r="AB364" s="124">
        <f>Y364-W364*'OverNight $'!$H364*'MM $'!$E364/360</f>
        <v>598.15876949220956</v>
      </c>
      <c r="AD364" s="140">
        <f t="shared" si="42"/>
        <v>40103087.079999998</v>
      </c>
      <c r="AE364" s="139">
        <f t="shared" si="35"/>
        <v>3.7224545806451938E-2</v>
      </c>
      <c r="AF364" s="431">
        <f t="shared" si="38"/>
        <v>4146.7200055266412</v>
      </c>
      <c r="AG364" s="122"/>
      <c r="AH364" s="122"/>
      <c r="AI364" s="124">
        <f>AF364-AD364*'OverNight $'!$H364*'MM $'!$E364/360</f>
        <v>637.69988602664125</v>
      </c>
    </row>
    <row r="365" spans="2:35" x14ac:dyDescent="0.25">
      <c r="B365" s="123" t="str">
        <f t="shared" si="28"/>
        <v>12 2025</v>
      </c>
      <c r="C365" s="122">
        <f t="shared" si="30"/>
        <v>46017</v>
      </c>
      <c r="D365" s="122">
        <f t="shared" si="31"/>
        <v>46018</v>
      </c>
      <c r="E365" s="123">
        <f t="shared" si="29"/>
        <v>1</v>
      </c>
      <c r="G365" s="140">
        <f t="shared" si="39"/>
        <v>40102382</v>
      </c>
      <c r="H365" s="139">
        <f t="shared" si="32"/>
        <v>3.6932471106482984E-2</v>
      </c>
      <c r="I365" s="431">
        <f t="shared" si="36"/>
        <v>4114.1112903226203</v>
      </c>
      <c r="J365" s="122"/>
      <c r="K365" s="122"/>
      <c r="L365" s="124">
        <f>I365-G365*'OverNight $'!$H365*'MM $'!$E365/360</f>
        <v>605.15286532262007</v>
      </c>
      <c r="N365" s="140">
        <f t="shared" si="40"/>
        <v>40101956.880000003</v>
      </c>
      <c r="O365" s="140"/>
      <c r="P365" s="139">
        <f t="shared" si="33"/>
        <v>3.6693347326196522E-2</v>
      </c>
      <c r="Q365" s="431">
        <f t="shared" si="25"/>
        <v>4087.4306451611005</v>
      </c>
      <c r="R365" s="431"/>
      <c r="S365" s="122"/>
      <c r="T365" s="122"/>
      <c r="U365" s="124">
        <f>Q365-N365*'OverNight $'!$H365*'MM $'!$E365/360</f>
        <v>578.5094181610998</v>
      </c>
      <c r="W365" s="140">
        <f t="shared" si="41"/>
        <v>40102081.68</v>
      </c>
      <c r="X365" s="139">
        <f t="shared" si="34"/>
        <v>3.6869725161289814E-2</v>
      </c>
      <c r="Y365" s="431">
        <f t="shared" si="37"/>
        <v>4107.0909164922095</v>
      </c>
      <c r="Z365" s="122"/>
      <c r="AA365" s="122"/>
      <c r="AB365" s="124">
        <f>Y365-W365*'OverNight $'!$H365*'MM $'!$E365/360</f>
        <v>598.15876949220956</v>
      </c>
      <c r="AD365" s="140">
        <f t="shared" si="42"/>
        <v>40103087.079999998</v>
      </c>
      <c r="AE365" s="139">
        <f t="shared" si="35"/>
        <v>3.7224545806451938E-2</v>
      </c>
      <c r="AF365" s="431">
        <f t="shared" si="38"/>
        <v>4146.7200055266412</v>
      </c>
      <c r="AG365" s="122"/>
      <c r="AH365" s="122"/>
      <c r="AI365" s="124">
        <f>AF365-AD365*'OverNight $'!$H365*'MM $'!$E365/360</f>
        <v>637.69988602664125</v>
      </c>
    </row>
    <row r="366" spans="2:35" x14ac:dyDescent="0.25">
      <c r="B366" s="123" t="str">
        <f t="shared" si="28"/>
        <v>12 2025</v>
      </c>
      <c r="C366" s="122">
        <f t="shared" si="30"/>
        <v>46018</v>
      </c>
      <c r="D366" s="122">
        <f t="shared" si="31"/>
        <v>46019</v>
      </c>
      <c r="E366" s="123">
        <f t="shared" si="29"/>
        <v>1</v>
      </c>
      <c r="G366" s="140">
        <f t="shared" si="39"/>
        <v>40102382</v>
      </c>
      <c r="H366" s="139">
        <f t="shared" si="32"/>
        <v>3.6932471106482984E-2</v>
      </c>
      <c r="I366" s="431">
        <f t="shared" si="36"/>
        <v>4114.1112903226203</v>
      </c>
      <c r="J366" s="122"/>
      <c r="K366" s="122"/>
      <c r="L366" s="124">
        <f>I366-G366*'OverNight $'!$H366*'MM $'!$E366/360</f>
        <v>605.15286532262007</v>
      </c>
      <c r="N366" s="140">
        <f t="shared" si="40"/>
        <v>40101956.880000003</v>
      </c>
      <c r="O366" s="140"/>
      <c r="P366" s="139">
        <f t="shared" si="33"/>
        <v>3.6693347326196522E-2</v>
      </c>
      <c r="Q366" s="431">
        <f t="shared" si="25"/>
        <v>4087.4306451611005</v>
      </c>
      <c r="R366" s="431"/>
      <c r="S366" s="122"/>
      <c r="T366" s="122"/>
      <c r="U366" s="124">
        <f>Q366-N366*'OverNight $'!$H366*'MM $'!$E366/360</f>
        <v>578.5094181610998</v>
      </c>
      <c r="W366" s="140">
        <f t="shared" si="41"/>
        <v>40102081.68</v>
      </c>
      <c r="X366" s="139">
        <f t="shared" si="34"/>
        <v>3.6869725161289814E-2</v>
      </c>
      <c r="Y366" s="431">
        <f t="shared" si="37"/>
        <v>4107.0909164922095</v>
      </c>
      <c r="Z366" s="122"/>
      <c r="AA366" s="122"/>
      <c r="AB366" s="124">
        <f>Y366-W366*'OverNight $'!$H366*'MM $'!$E366/360</f>
        <v>598.15876949220956</v>
      </c>
      <c r="AD366" s="140">
        <f t="shared" si="42"/>
        <v>40103087.079999998</v>
      </c>
      <c r="AE366" s="139">
        <f t="shared" si="35"/>
        <v>3.7224545806451938E-2</v>
      </c>
      <c r="AF366" s="431">
        <f t="shared" si="38"/>
        <v>4146.7200055266412</v>
      </c>
      <c r="AG366" s="122"/>
      <c r="AH366" s="122"/>
      <c r="AI366" s="124">
        <f>AF366-AD366*'OverNight $'!$H366*'MM $'!$E366/360</f>
        <v>637.69988602664125</v>
      </c>
    </row>
    <row r="367" spans="2:35" x14ac:dyDescent="0.25">
      <c r="B367" s="123" t="str">
        <f t="shared" si="28"/>
        <v>12 2025</v>
      </c>
      <c r="C367" s="122">
        <f t="shared" si="30"/>
        <v>46019</v>
      </c>
      <c r="D367" s="122">
        <f t="shared" si="31"/>
        <v>46020</v>
      </c>
      <c r="E367" s="123">
        <f t="shared" si="29"/>
        <v>1</v>
      </c>
      <c r="G367" s="140">
        <f t="shared" si="39"/>
        <v>40102382</v>
      </c>
      <c r="H367" s="139">
        <f t="shared" si="32"/>
        <v>3.6932471106482984E-2</v>
      </c>
      <c r="I367" s="431">
        <f t="shared" si="36"/>
        <v>4114.1112903226203</v>
      </c>
      <c r="J367" s="122"/>
      <c r="K367" s="122"/>
      <c r="L367" s="124">
        <f>I367-G367*'OverNight $'!$H367*'MM $'!$E367/360</f>
        <v>605.15286532262007</v>
      </c>
      <c r="N367" s="140">
        <f t="shared" si="40"/>
        <v>40101956.880000003</v>
      </c>
      <c r="O367" s="140"/>
      <c r="P367" s="139">
        <f t="shared" si="33"/>
        <v>3.6693347326196522E-2</v>
      </c>
      <c r="Q367" s="431">
        <f t="shared" si="25"/>
        <v>4087.4306451611005</v>
      </c>
      <c r="R367" s="431"/>
      <c r="S367" s="122"/>
      <c r="T367" s="122"/>
      <c r="U367" s="124">
        <f>Q367-N367*'OverNight $'!$H367*'MM $'!$E367/360</f>
        <v>578.5094181610998</v>
      </c>
      <c r="W367" s="140">
        <f t="shared" si="41"/>
        <v>40102081.68</v>
      </c>
      <c r="X367" s="139">
        <f t="shared" si="34"/>
        <v>3.6869725161289814E-2</v>
      </c>
      <c r="Y367" s="431">
        <f t="shared" si="37"/>
        <v>4107.0909164922095</v>
      </c>
      <c r="Z367" s="122"/>
      <c r="AA367" s="122"/>
      <c r="AB367" s="124">
        <f>Y367-W367*'OverNight $'!$H367*'MM $'!$E367/360</f>
        <v>598.15876949220956</v>
      </c>
      <c r="AD367" s="140">
        <f t="shared" si="42"/>
        <v>40103087.079999998</v>
      </c>
      <c r="AE367" s="139">
        <f t="shared" si="35"/>
        <v>3.7224545806451938E-2</v>
      </c>
      <c r="AF367" s="431">
        <f t="shared" si="38"/>
        <v>4146.7200055266412</v>
      </c>
      <c r="AG367" s="122"/>
      <c r="AH367" s="122"/>
      <c r="AI367" s="124">
        <f>AF367-AD367*'OverNight $'!$H367*'MM $'!$E367/360</f>
        <v>637.69988602664125</v>
      </c>
    </row>
    <row r="368" spans="2:35" x14ac:dyDescent="0.25">
      <c r="B368" s="123" t="str">
        <f t="shared" si="28"/>
        <v>12 2025</v>
      </c>
      <c r="C368" s="122">
        <f t="shared" si="30"/>
        <v>46020</v>
      </c>
      <c r="D368" s="122">
        <f t="shared" si="31"/>
        <v>46021</v>
      </c>
      <c r="E368" s="123">
        <f t="shared" si="29"/>
        <v>1</v>
      </c>
      <c r="G368" s="140">
        <f t="shared" si="39"/>
        <v>40102382</v>
      </c>
      <c r="H368" s="139">
        <f>H369</f>
        <v>3.6932471106482984E-2</v>
      </c>
      <c r="I368" s="431">
        <f t="shared" si="36"/>
        <v>4114.1112903226203</v>
      </c>
      <c r="J368" s="122"/>
      <c r="K368" s="122"/>
      <c r="L368" s="124">
        <f>I368-G368*'OverNight $'!$H368*'MM $'!$E368/360</f>
        <v>605.15286532262007</v>
      </c>
      <c r="N368" s="140">
        <f t="shared" si="40"/>
        <v>40101956.880000003</v>
      </c>
      <c r="O368" s="140"/>
      <c r="P368" s="139">
        <f>P369</f>
        <v>3.6693347326196522E-2</v>
      </c>
      <c r="Q368" s="431">
        <f t="shared" si="25"/>
        <v>4087.4306451611005</v>
      </c>
      <c r="R368" s="431"/>
      <c r="S368" s="122"/>
      <c r="T368" s="122"/>
      <c r="U368" s="124">
        <f>Q368-N368*'OverNight $'!$H368*'MM $'!$E368/360</f>
        <v>578.5094181610998</v>
      </c>
      <c r="W368" s="140">
        <f t="shared" si="41"/>
        <v>40102081.68</v>
      </c>
      <c r="X368" s="139">
        <f>X369</f>
        <v>3.6869725161289814E-2</v>
      </c>
      <c r="Y368" s="431">
        <f t="shared" si="37"/>
        <v>4107.0909164922095</v>
      </c>
      <c r="Z368" s="122"/>
      <c r="AA368" s="122"/>
      <c r="AB368" s="124">
        <f>Y368-W368*'OverNight $'!$H368*'MM $'!$E368/360</f>
        <v>598.15876949220956</v>
      </c>
      <c r="AD368" s="140">
        <f t="shared" si="42"/>
        <v>40103087.079999998</v>
      </c>
      <c r="AE368" s="139">
        <f>AE369</f>
        <v>3.7224545806451938E-2</v>
      </c>
      <c r="AF368" s="431">
        <f t="shared" si="38"/>
        <v>4146.7200055266412</v>
      </c>
      <c r="AG368" s="122"/>
      <c r="AH368" s="122"/>
      <c r="AI368" s="124">
        <f>AF368-AD368*'OverNight $'!$H368*'MM $'!$E368/360</f>
        <v>637.69988602664125</v>
      </c>
    </row>
    <row r="369" spans="2:35" x14ac:dyDescent="0.25">
      <c r="B369" s="148" t="str">
        <f t="shared" si="28"/>
        <v>12 2025</v>
      </c>
      <c r="C369" s="149">
        <f t="shared" si="30"/>
        <v>46021</v>
      </c>
      <c r="D369" s="149">
        <f t="shared" si="31"/>
        <v>46022</v>
      </c>
      <c r="E369" s="148">
        <f t="shared" si="29"/>
        <v>1</v>
      </c>
      <c r="G369" s="140">
        <f t="shared" si="39"/>
        <v>40102382</v>
      </c>
      <c r="H369" s="125">
        <f>H373</f>
        <v>3.6932471106482984E-2</v>
      </c>
      <c r="I369" s="431">
        <f t="shared" si="36"/>
        <v>4114.1112903226203</v>
      </c>
      <c r="J369" s="122"/>
      <c r="K369" s="122"/>
      <c r="L369" s="124">
        <f>I369-G369*'OverNight $'!$H369*'MM $'!$E369/360</f>
        <v>605.15286532262007</v>
      </c>
      <c r="N369" s="140">
        <f t="shared" si="40"/>
        <v>40101956.880000003</v>
      </c>
      <c r="O369" s="140"/>
      <c r="P369" s="125">
        <f>P373</f>
        <v>3.6693347326196522E-2</v>
      </c>
      <c r="Q369" s="431">
        <f t="shared" si="25"/>
        <v>4087.4306451611005</v>
      </c>
      <c r="R369" s="431"/>
      <c r="S369" s="122"/>
      <c r="T369" s="122"/>
      <c r="U369" s="124">
        <f>Q369-N369*'OverNight $'!$H369*'MM $'!$E369/360</f>
        <v>578.5094181610998</v>
      </c>
      <c r="V369" s="140"/>
      <c r="W369" s="140">
        <f t="shared" si="41"/>
        <v>40102081.68</v>
      </c>
      <c r="X369" s="125">
        <f>X373</f>
        <v>3.6869725161289814E-2</v>
      </c>
      <c r="Y369" s="431">
        <f t="shared" si="37"/>
        <v>4107.0909164922095</v>
      </c>
      <c r="Z369" s="122"/>
      <c r="AA369" s="122"/>
      <c r="AB369" s="124">
        <f>Y369-W369*'OverNight $'!$H369*'MM $'!$E369/360</f>
        <v>598.15876949220956</v>
      </c>
      <c r="AC369" s="140"/>
      <c r="AD369" s="140">
        <f t="shared" si="42"/>
        <v>40103087.079999998</v>
      </c>
      <c r="AE369" s="125">
        <f>AE373</f>
        <v>3.7224545806451938E-2</v>
      </c>
      <c r="AF369" s="431">
        <f t="shared" si="38"/>
        <v>4146.7200055266412</v>
      </c>
      <c r="AG369" s="122"/>
      <c r="AH369" s="122"/>
      <c r="AI369" s="124">
        <f>AF369-AD369*'OverNight $'!$H369*'MM $'!$E369/360</f>
        <v>637.69988602664125</v>
      </c>
    </row>
    <row r="373" spans="2:35" x14ac:dyDescent="0.25">
      <c r="B373" s="9" t="str">
        <f>CONCATENATE(MONTH(D373)," ",YEAR(D373))</f>
        <v>1 2026</v>
      </c>
      <c r="C373" s="88">
        <f>D369</f>
        <v>46022</v>
      </c>
      <c r="D373" s="88">
        <f>D369+1</f>
        <v>46023</v>
      </c>
      <c r="E373" s="89">
        <f>D373-C373</f>
        <v>1</v>
      </c>
      <c r="G373" s="451">
        <f>G369</f>
        <v>40102382</v>
      </c>
      <c r="H373" s="684">
        <f>(K373/G340-1)*360/($C$373-$C$339)</f>
        <v>3.6932471106482984E-2</v>
      </c>
      <c r="I373" s="688">
        <f t="shared" ref="I373:I404" si="43">H373*G373*E$340/360</f>
        <v>4114.1112903226203</v>
      </c>
      <c r="J373" s="451">
        <v>127537.45000000298</v>
      </c>
      <c r="K373" s="451">
        <f>J373+G373</f>
        <v>40229919.450000003</v>
      </c>
      <c r="L373" s="322">
        <f>I373-G373*'OverNight $'!$H373*'MM $'!$E373/360</f>
        <v>605.15286532262007</v>
      </c>
      <c r="N373" s="451">
        <f>N369</f>
        <v>40101956.880000003</v>
      </c>
      <c r="O373" s="140"/>
      <c r="P373" s="684">
        <f>(T373/N340-1)*360/($C$373-$C$339)</f>
        <v>3.6693347326196522E-2</v>
      </c>
      <c r="Q373" s="688">
        <f t="shared" ref="Q373" si="44">P373*N373*$E373/360</f>
        <v>4087.4306451611005</v>
      </c>
      <c r="R373" s="688"/>
      <c r="S373" s="451">
        <v>126710.34999999404</v>
      </c>
      <c r="T373" s="451">
        <f>S373+N373</f>
        <v>40228667.229999997</v>
      </c>
      <c r="U373" s="322">
        <f>Q373-N373*'OverNight $'!$H373*'MM $'!$E373/360</f>
        <v>578.5094181610998</v>
      </c>
      <c r="W373" s="451">
        <f>W369</f>
        <v>40102081.68</v>
      </c>
      <c r="X373" s="684">
        <f>(AA373/W340-1)*360/($C$373-$C$339)</f>
        <v>3.6869725161289814E-2</v>
      </c>
      <c r="Y373" s="688">
        <f t="shared" ref="Y373:Y404" si="45">X373*W373*$E$340/360</f>
        <v>4107.0909164922095</v>
      </c>
      <c r="Z373" s="451">
        <v>127319.81841126023</v>
      </c>
      <c r="AA373" s="451">
        <f>Z373+W373</f>
        <v>40229401.498411261</v>
      </c>
      <c r="AB373" s="322">
        <f>Y373-W373*'OverNight $'!$H373*'MM $'!$E373/360</f>
        <v>598.15876949220956</v>
      </c>
      <c r="AD373" s="451">
        <f>AD369</f>
        <v>40103087.079999998</v>
      </c>
      <c r="AE373" s="684">
        <f>(AH373/AD340-1)*360/($C$373-$C$339)</f>
        <v>3.7224545806451938E-2</v>
      </c>
      <c r="AF373" s="688">
        <f t="shared" ref="AF373:AF404" si="46">AE373*AD373*$E$340/360</f>
        <v>4146.7200055266412</v>
      </c>
      <c r="AG373" s="451">
        <v>128548.32017132474</v>
      </c>
      <c r="AH373" s="451">
        <f>AG373+AD373</f>
        <v>40231635.400171325</v>
      </c>
      <c r="AI373" s="322">
        <f>AF373-AD373*'OverNight $'!$H373*'MM $'!$E373/360</f>
        <v>637.69988602664125</v>
      </c>
    </row>
    <row r="374" spans="2:35" x14ac:dyDescent="0.25">
      <c r="B374" s="9" t="str">
        <f t="shared" ref="B374:B403" si="47">CONCATENATE(MONTH(D374)," ",YEAR(D374))</f>
        <v>1 2026</v>
      </c>
      <c r="C374" s="88">
        <f>D373</f>
        <v>46023</v>
      </c>
      <c r="D374" s="88">
        <f>C374+1</f>
        <v>46024</v>
      </c>
      <c r="E374" s="89">
        <f t="shared" ref="E374:E403" si="48">D374-C374</f>
        <v>1</v>
      </c>
      <c r="G374" s="633">
        <f>G375</f>
        <v>40229919.450000003</v>
      </c>
      <c r="H374" s="139">
        <f t="shared" ref="H374:H402" si="49">H375</f>
        <v>3.5862108320285337E-2</v>
      </c>
      <c r="I374" s="431">
        <f t="shared" si="43"/>
        <v>4007.5825806451503</v>
      </c>
      <c r="J374" s="122"/>
      <c r="K374" s="122"/>
      <c r="L374" s="124">
        <f>I374-G374*'OverNight $'!$H374*'MM $'!$E374/360</f>
        <v>487.46462877015028</v>
      </c>
      <c r="N374" s="633">
        <f>N373+S373</f>
        <v>40228667.229999997</v>
      </c>
      <c r="O374" s="684">
        <v>3.6354239999999996E-2</v>
      </c>
      <c r="P374" s="479">
        <f t="shared" ref="P374:P402" si="50">P375</f>
        <v>3.5670240000000006E-2</v>
      </c>
      <c r="Q374" s="687">
        <f>P374*N374*E374/360</f>
        <v>3986.0172638173203</v>
      </c>
      <c r="R374" s="687"/>
      <c r="S374" s="122"/>
      <c r="T374" s="122"/>
      <c r="U374" s="124">
        <f>Q374-N374*'OverNight $'!$H374*'MM $'!$E374/360</f>
        <v>466.00888119232059</v>
      </c>
      <c r="W374" s="662">
        <f>W373+Z373</f>
        <v>40229401.498411261</v>
      </c>
      <c r="X374" s="686">
        <f t="shared" ref="X374:X402" si="51">X375</f>
        <v>3.5809455303371117E-2</v>
      </c>
      <c r="Y374" s="431">
        <f t="shared" si="45"/>
        <v>4001.6470967742471</v>
      </c>
      <c r="Z374" s="122"/>
      <c r="AA374" s="122"/>
      <c r="AB374" s="124">
        <f>Y374-W374*'OverNight $'!$H374*'MM $'!$E374/360</f>
        <v>481.57446566326189</v>
      </c>
      <c r="AD374" s="662">
        <f>AD373+AG373</f>
        <v>40231635.400171325</v>
      </c>
      <c r="AE374" s="139">
        <f t="shared" ref="AE374:AE402" si="52">AE375</f>
        <v>3.6136742730033262E-2</v>
      </c>
      <c r="AF374" s="431">
        <f t="shared" si="46"/>
        <v>4038.4451612902503</v>
      </c>
      <c r="AG374" s="122"/>
      <c r="AH374" s="122"/>
      <c r="AI374" s="124">
        <f>AF374-AD374*'OverNight $'!$H374*'MM $'!$E374/360</f>
        <v>518.17706377525928</v>
      </c>
    </row>
    <row r="375" spans="2:35" x14ac:dyDescent="0.25">
      <c r="B375" s="9" t="str">
        <f t="shared" si="47"/>
        <v>1 2026</v>
      </c>
      <c r="C375" s="88">
        <f>D374</f>
        <v>46024</v>
      </c>
      <c r="D375" s="88">
        <f>D374+1</f>
        <v>46025</v>
      </c>
      <c r="E375" s="89">
        <f t="shared" si="48"/>
        <v>1</v>
      </c>
      <c r="G375" s="633">
        <f>G373+J373</f>
        <v>40229919.450000003</v>
      </c>
      <c r="H375" s="139">
        <f t="shared" si="49"/>
        <v>3.5862108320285337E-2</v>
      </c>
      <c r="I375" s="431">
        <f t="shared" si="43"/>
        <v>4007.5825806451503</v>
      </c>
      <c r="J375" s="122"/>
      <c r="K375" s="122"/>
      <c r="L375" s="124">
        <f>I375-G375*'OverNight $'!$H375*'MM $'!$E375/360</f>
        <v>487.46462877015028</v>
      </c>
      <c r="N375" s="140">
        <f t="shared" ref="N375:N404" si="53">N374</f>
        <v>40228667.229999997</v>
      </c>
      <c r="O375" s="139">
        <v>3.6549720000000001E-2</v>
      </c>
      <c r="P375" s="479">
        <f t="shared" si="50"/>
        <v>3.5670240000000006E-2</v>
      </c>
      <c r="Q375" s="687">
        <f t="shared" ref="Q375:Q404" si="54">P375*N375*E375/360</f>
        <v>3986.0172638173203</v>
      </c>
      <c r="R375" s="687"/>
      <c r="S375" s="122"/>
      <c r="T375" s="122"/>
      <c r="U375" s="124">
        <f>Q375-N375*'OverNight $'!$H375*'MM $'!$E375/360</f>
        <v>466.00888119232059</v>
      </c>
      <c r="W375" s="140">
        <f>W374</f>
        <v>40229401.498411261</v>
      </c>
      <c r="X375" s="686">
        <f t="shared" si="51"/>
        <v>3.5809455303371117E-2</v>
      </c>
      <c r="Y375" s="431">
        <f t="shared" si="45"/>
        <v>4001.6470967742471</v>
      </c>
      <c r="Z375" s="122"/>
      <c r="AA375" s="122"/>
      <c r="AB375" s="124">
        <f>Y375-W375*'OverNight $'!$H375*'MM $'!$E375/360</f>
        <v>481.57446566326189</v>
      </c>
      <c r="AD375" s="140">
        <f>AD374</f>
        <v>40231635.400171325</v>
      </c>
      <c r="AE375" s="139">
        <f t="shared" si="52"/>
        <v>3.6136742730033262E-2</v>
      </c>
      <c r="AF375" s="431">
        <f t="shared" si="46"/>
        <v>4038.4451612902503</v>
      </c>
      <c r="AG375" s="122"/>
      <c r="AH375" s="122"/>
      <c r="AI375" s="124">
        <f>AF375-AD375*'OverNight $'!$H375*'MM $'!$E375/360</f>
        <v>518.17706377525928</v>
      </c>
    </row>
    <row r="376" spans="2:35" x14ac:dyDescent="0.25">
      <c r="B376" s="9" t="str">
        <f t="shared" si="47"/>
        <v>1 2026</v>
      </c>
      <c r="C376" s="88">
        <f t="shared" ref="C376:C403" si="55">D375</f>
        <v>46025</v>
      </c>
      <c r="D376" s="88">
        <f t="shared" ref="D376:D415" si="56">D375+1</f>
        <v>46026</v>
      </c>
      <c r="E376" s="89">
        <f t="shared" si="48"/>
        <v>1</v>
      </c>
      <c r="G376" s="140">
        <f>G375</f>
        <v>40229919.450000003</v>
      </c>
      <c r="H376" s="139">
        <f t="shared" si="49"/>
        <v>3.5862108320285337E-2</v>
      </c>
      <c r="I376" s="431">
        <f t="shared" si="43"/>
        <v>4007.5825806451503</v>
      </c>
      <c r="J376" s="122"/>
      <c r="K376" s="122"/>
      <c r="L376" s="124">
        <f>I376-G376*'OverNight $'!$H376*'MM $'!$E376/360</f>
        <v>487.46462877015028</v>
      </c>
      <c r="N376" s="140">
        <f t="shared" si="53"/>
        <v>40228667.229999997</v>
      </c>
      <c r="O376" s="139">
        <v>3.6549720000000001E-2</v>
      </c>
      <c r="P376" s="479">
        <f t="shared" si="50"/>
        <v>3.5670240000000006E-2</v>
      </c>
      <c r="Q376" s="687">
        <f t="shared" si="54"/>
        <v>3986.0172638173203</v>
      </c>
      <c r="R376" s="687"/>
      <c r="S376" s="122"/>
      <c r="T376" s="122"/>
      <c r="U376" s="124">
        <f>Q376-N376*'OverNight $'!$H376*'MM $'!$E376/360</f>
        <v>466.00888119232059</v>
      </c>
      <c r="W376" s="140">
        <f>W375</f>
        <v>40229401.498411261</v>
      </c>
      <c r="X376" s="686">
        <f t="shared" si="51"/>
        <v>3.5809455303371117E-2</v>
      </c>
      <c r="Y376" s="431">
        <f t="shared" si="45"/>
        <v>4001.6470967742471</v>
      </c>
      <c r="Z376" s="122"/>
      <c r="AA376" s="122"/>
      <c r="AB376" s="124">
        <f>Y376-W376*'OverNight $'!$H376*'MM $'!$E376/360</f>
        <v>481.57446566326189</v>
      </c>
      <c r="AD376" s="140">
        <f>AD375</f>
        <v>40231635.400171325</v>
      </c>
      <c r="AE376" s="139">
        <f t="shared" si="52"/>
        <v>3.6136742730033262E-2</v>
      </c>
      <c r="AF376" s="431">
        <f t="shared" si="46"/>
        <v>4038.4451612902503</v>
      </c>
      <c r="AG376" s="122"/>
      <c r="AH376" s="122"/>
      <c r="AI376" s="124">
        <f>AF376-AD376*'OverNight $'!$H376*'MM $'!$E376/360</f>
        <v>518.17706377525928</v>
      </c>
    </row>
    <row r="377" spans="2:35" x14ac:dyDescent="0.25">
      <c r="B377" s="9" t="str">
        <f t="shared" si="47"/>
        <v>1 2026</v>
      </c>
      <c r="C377" s="88">
        <f t="shared" si="55"/>
        <v>46026</v>
      </c>
      <c r="D377" s="88">
        <f t="shared" si="56"/>
        <v>46027</v>
      </c>
      <c r="E377" s="89">
        <f t="shared" si="48"/>
        <v>1</v>
      </c>
      <c r="G377" s="140">
        <f t="shared" ref="G377:G404" si="57">G376</f>
        <v>40229919.450000003</v>
      </c>
      <c r="H377" s="139">
        <f t="shared" si="49"/>
        <v>3.5862108320285337E-2</v>
      </c>
      <c r="I377" s="431">
        <f t="shared" si="43"/>
        <v>4007.5825806451503</v>
      </c>
      <c r="J377" s="122"/>
      <c r="K377" s="122"/>
      <c r="L377" s="124">
        <f>I377-G377*'OverNight $'!$H377*'MM $'!$E377/360</f>
        <v>487.46462877015028</v>
      </c>
      <c r="N377" s="140">
        <f t="shared" si="53"/>
        <v>40228667.229999997</v>
      </c>
      <c r="O377" s="139">
        <v>3.6549720000000001E-2</v>
      </c>
      <c r="P377" s="479">
        <f t="shared" si="50"/>
        <v>3.5670240000000006E-2</v>
      </c>
      <c r="Q377" s="687">
        <f t="shared" si="54"/>
        <v>3986.0172638173203</v>
      </c>
      <c r="R377" s="687"/>
      <c r="S377" s="122"/>
      <c r="T377" s="122"/>
      <c r="U377" s="124">
        <f>Q377-N377*'OverNight $'!$H377*'MM $'!$E377/360</f>
        <v>466.00888119232059</v>
      </c>
      <c r="W377" s="140">
        <f t="shared" ref="W377:W404" si="58">W376</f>
        <v>40229401.498411261</v>
      </c>
      <c r="X377" s="686">
        <f t="shared" si="51"/>
        <v>3.5809455303371117E-2</v>
      </c>
      <c r="Y377" s="431">
        <f t="shared" si="45"/>
        <v>4001.6470967742471</v>
      </c>
      <c r="Z377" s="122"/>
      <c r="AA377" s="122"/>
      <c r="AB377" s="124">
        <f>Y377-W377*'OverNight $'!$H377*'MM $'!$E377/360</f>
        <v>481.57446566326189</v>
      </c>
      <c r="AD377" s="140">
        <f t="shared" ref="AD377:AD404" si="59">AD376</f>
        <v>40231635.400171325</v>
      </c>
      <c r="AE377" s="139">
        <f t="shared" si="52"/>
        <v>3.6136742730033262E-2</v>
      </c>
      <c r="AF377" s="431">
        <f t="shared" si="46"/>
        <v>4038.4451612902503</v>
      </c>
      <c r="AG377" s="122"/>
      <c r="AH377" s="122"/>
      <c r="AI377" s="124">
        <f>AF377-AD377*'OverNight $'!$H377*'MM $'!$E377/360</f>
        <v>518.17706377525928</v>
      </c>
    </row>
    <row r="378" spans="2:35" x14ac:dyDescent="0.25">
      <c r="B378" s="9" t="str">
        <f t="shared" si="47"/>
        <v>1 2026</v>
      </c>
      <c r="C378" s="88">
        <f t="shared" si="55"/>
        <v>46027</v>
      </c>
      <c r="D378" s="88">
        <f t="shared" si="56"/>
        <v>46028</v>
      </c>
      <c r="E378" s="89">
        <f t="shared" si="48"/>
        <v>1</v>
      </c>
      <c r="G378" s="140">
        <f t="shared" si="57"/>
        <v>40229919.450000003</v>
      </c>
      <c r="H378" s="139">
        <f t="shared" si="49"/>
        <v>3.5862108320285337E-2</v>
      </c>
      <c r="I378" s="431">
        <f t="shared" si="43"/>
        <v>4007.5825806451503</v>
      </c>
      <c r="J378" s="122"/>
      <c r="K378" s="122"/>
      <c r="L378" s="124">
        <f>I378-G378*'OverNight $'!$H378*'MM $'!$E378/360</f>
        <v>487.46462877015028</v>
      </c>
      <c r="N378" s="140">
        <f t="shared" si="53"/>
        <v>40228667.229999997</v>
      </c>
      <c r="O378" s="139">
        <v>3.6015119999999998E-2</v>
      </c>
      <c r="P378" s="479">
        <f t="shared" si="50"/>
        <v>3.5670240000000006E-2</v>
      </c>
      <c r="Q378" s="687">
        <f t="shared" si="54"/>
        <v>3986.0172638173203</v>
      </c>
      <c r="R378" s="687"/>
      <c r="S378" s="122"/>
      <c r="T378" s="122"/>
      <c r="U378" s="124">
        <f>Q378-N378*'OverNight $'!$H378*'MM $'!$E378/360</f>
        <v>466.00888119232059</v>
      </c>
      <c r="W378" s="140">
        <f t="shared" si="58"/>
        <v>40229401.498411261</v>
      </c>
      <c r="X378" s="686">
        <f t="shared" si="51"/>
        <v>3.5809455303371117E-2</v>
      </c>
      <c r="Y378" s="431">
        <f t="shared" si="45"/>
        <v>4001.6470967742471</v>
      </c>
      <c r="Z378" s="122"/>
      <c r="AA378" s="122"/>
      <c r="AB378" s="124">
        <f>Y378-W378*'OverNight $'!$H378*'MM $'!$E378/360</f>
        <v>481.57446566326189</v>
      </c>
      <c r="AD378" s="140">
        <f t="shared" si="59"/>
        <v>40231635.400171325</v>
      </c>
      <c r="AE378" s="139">
        <f t="shared" si="52"/>
        <v>3.6136742730033262E-2</v>
      </c>
      <c r="AF378" s="431">
        <f t="shared" si="46"/>
        <v>4038.4451612902503</v>
      </c>
      <c r="AG378" s="122"/>
      <c r="AH378" s="122"/>
      <c r="AI378" s="124">
        <f>AF378-AD378*'OverNight $'!$H378*'MM $'!$E378/360</f>
        <v>518.17706377525928</v>
      </c>
    </row>
    <row r="379" spans="2:35" x14ac:dyDescent="0.25">
      <c r="B379" s="9" t="str">
        <f t="shared" si="47"/>
        <v>1 2026</v>
      </c>
      <c r="C379" s="88">
        <f t="shared" si="55"/>
        <v>46028</v>
      </c>
      <c r="D379" s="88">
        <f t="shared" si="56"/>
        <v>46029</v>
      </c>
      <c r="E379" s="89">
        <f t="shared" si="48"/>
        <v>1</v>
      </c>
      <c r="G379" s="140">
        <f t="shared" si="57"/>
        <v>40229919.450000003</v>
      </c>
      <c r="H379" s="139">
        <f t="shared" si="49"/>
        <v>3.5862108320285337E-2</v>
      </c>
      <c r="I379" s="431">
        <f t="shared" si="43"/>
        <v>4007.5825806451503</v>
      </c>
      <c r="J379" s="122"/>
      <c r="K379" s="122"/>
      <c r="L379" s="124">
        <f>I379-G379*'OverNight $'!$H379*'MM $'!$E379/360</f>
        <v>487.46462877015028</v>
      </c>
      <c r="N379" s="140">
        <f t="shared" si="53"/>
        <v>40228667.229999997</v>
      </c>
      <c r="O379" s="139">
        <v>3.5760239999999999E-2</v>
      </c>
      <c r="P379" s="479">
        <f t="shared" si="50"/>
        <v>3.5670240000000006E-2</v>
      </c>
      <c r="Q379" s="687">
        <f t="shared" si="54"/>
        <v>3986.0172638173203</v>
      </c>
      <c r="R379" s="687"/>
      <c r="S379" s="122"/>
      <c r="T379" s="122"/>
      <c r="U379" s="124">
        <f>Q379-N379*'OverNight $'!$H379*'MM $'!$E379/360</f>
        <v>466.00888119232059</v>
      </c>
      <c r="W379" s="140">
        <f t="shared" si="58"/>
        <v>40229401.498411261</v>
      </c>
      <c r="X379" s="686">
        <f t="shared" si="51"/>
        <v>3.5809455303371117E-2</v>
      </c>
      <c r="Y379" s="431">
        <f t="shared" si="45"/>
        <v>4001.6470967742471</v>
      </c>
      <c r="Z379" s="122"/>
      <c r="AA379" s="122"/>
      <c r="AB379" s="124">
        <f>Y379-W379*'OverNight $'!$H379*'MM $'!$E379/360</f>
        <v>481.57446566326189</v>
      </c>
      <c r="AD379" s="140">
        <f t="shared" si="59"/>
        <v>40231635.400171325</v>
      </c>
      <c r="AE379" s="139">
        <f t="shared" si="52"/>
        <v>3.6136742730033262E-2</v>
      </c>
      <c r="AF379" s="431">
        <f t="shared" si="46"/>
        <v>4038.4451612902503</v>
      </c>
      <c r="AG379" s="122"/>
      <c r="AH379" s="122"/>
      <c r="AI379" s="124">
        <f>AF379-AD379*'OverNight $'!$H379*'MM $'!$E379/360</f>
        <v>518.17706377525928</v>
      </c>
    </row>
    <row r="380" spans="2:35" x14ac:dyDescent="0.25">
      <c r="B380" s="9" t="str">
        <f t="shared" si="47"/>
        <v>1 2026</v>
      </c>
      <c r="C380" s="88">
        <f t="shared" si="55"/>
        <v>46029</v>
      </c>
      <c r="D380" s="88">
        <f t="shared" si="56"/>
        <v>46030</v>
      </c>
      <c r="E380" s="89">
        <f t="shared" si="48"/>
        <v>1</v>
      </c>
      <c r="G380" s="140">
        <f t="shared" si="57"/>
        <v>40229919.450000003</v>
      </c>
      <c r="H380" s="139">
        <f t="shared" si="49"/>
        <v>3.5862108320285337E-2</v>
      </c>
      <c r="I380" s="431">
        <f t="shared" si="43"/>
        <v>4007.5825806451503</v>
      </c>
      <c r="J380" s="122"/>
      <c r="K380" s="122"/>
      <c r="L380" s="124">
        <f>I380-G380*'OverNight $'!$H380*'MM $'!$E380/360</f>
        <v>487.46462877015028</v>
      </c>
      <c r="N380" s="140">
        <f t="shared" si="53"/>
        <v>40228667.229999997</v>
      </c>
      <c r="O380" s="139">
        <v>3.5569079999999996E-2</v>
      </c>
      <c r="P380" s="479">
        <f t="shared" si="50"/>
        <v>3.5670240000000006E-2</v>
      </c>
      <c r="Q380" s="687">
        <f t="shared" si="54"/>
        <v>3986.0172638173203</v>
      </c>
      <c r="R380" s="687"/>
      <c r="S380" s="122"/>
      <c r="T380" s="122"/>
      <c r="U380" s="124">
        <f>Q380-N380*'OverNight $'!$H380*'MM $'!$E380/360</f>
        <v>466.00888119232059</v>
      </c>
      <c r="W380" s="140">
        <f t="shared" si="58"/>
        <v>40229401.498411261</v>
      </c>
      <c r="X380" s="686">
        <f t="shared" si="51"/>
        <v>3.5809455303371117E-2</v>
      </c>
      <c r="Y380" s="431">
        <f t="shared" si="45"/>
        <v>4001.6470967742471</v>
      </c>
      <c r="Z380" s="122"/>
      <c r="AA380" s="122"/>
      <c r="AB380" s="124">
        <f>Y380-W380*'OverNight $'!$H380*'MM $'!$E380/360</f>
        <v>481.57446566326189</v>
      </c>
      <c r="AD380" s="140">
        <f t="shared" si="59"/>
        <v>40231635.400171325</v>
      </c>
      <c r="AE380" s="139">
        <f t="shared" si="52"/>
        <v>3.6136742730033262E-2</v>
      </c>
      <c r="AF380" s="431">
        <f t="shared" si="46"/>
        <v>4038.4451612902503</v>
      </c>
      <c r="AG380" s="122"/>
      <c r="AH380" s="122"/>
      <c r="AI380" s="124">
        <f>AF380-AD380*'OverNight $'!$H380*'MM $'!$E380/360</f>
        <v>518.17706377525928</v>
      </c>
    </row>
    <row r="381" spans="2:35" x14ac:dyDescent="0.25">
      <c r="B381" s="9" t="str">
        <f t="shared" si="47"/>
        <v>1 2026</v>
      </c>
      <c r="C381" s="88">
        <f t="shared" si="55"/>
        <v>46030</v>
      </c>
      <c r="D381" s="88">
        <f t="shared" si="56"/>
        <v>46031</v>
      </c>
      <c r="E381" s="89">
        <f t="shared" si="48"/>
        <v>1</v>
      </c>
      <c r="G381" s="140">
        <f t="shared" si="57"/>
        <v>40229919.450000003</v>
      </c>
      <c r="H381" s="139">
        <f t="shared" si="49"/>
        <v>3.5862108320285337E-2</v>
      </c>
      <c r="I381" s="431">
        <f t="shared" si="43"/>
        <v>4007.5825806451503</v>
      </c>
      <c r="J381" s="122"/>
      <c r="K381" s="122"/>
      <c r="L381" s="124">
        <f>I381-G381*'OverNight $'!$H381*'MM $'!$E381/360</f>
        <v>487.46462877015028</v>
      </c>
      <c r="N381" s="633">
        <f>N380+R381</f>
        <v>40228691.289999999</v>
      </c>
      <c r="O381" s="139">
        <v>3.5510400000000004E-2</v>
      </c>
      <c r="P381" s="479">
        <f t="shared" si="50"/>
        <v>3.5670240000000006E-2</v>
      </c>
      <c r="Q381" s="687">
        <f t="shared" si="54"/>
        <v>3986.0196477783606</v>
      </c>
      <c r="R381" s="451">
        <v>24.06</v>
      </c>
      <c r="T381" s="122"/>
      <c r="U381" s="124">
        <f>Q381-N381*'OverNight $'!$H381*'MM $'!$E381/360</f>
        <v>466.00915990336034</v>
      </c>
      <c r="W381" s="140">
        <f t="shared" si="58"/>
        <v>40229401.498411261</v>
      </c>
      <c r="X381" s="686">
        <f t="shared" si="51"/>
        <v>3.5809455303371117E-2</v>
      </c>
      <c r="Y381" s="431">
        <f t="shared" si="45"/>
        <v>4001.6470967742471</v>
      </c>
      <c r="Z381" s="122"/>
      <c r="AA381" s="122"/>
      <c r="AB381" s="124">
        <f>Y381-W381*'OverNight $'!$H381*'MM $'!$E381/360</f>
        <v>481.57446566326189</v>
      </c>
      <c r="AD381" s="140">
        <f t="shared" si="59"/>
        <v>40231635.400171325</v>
      </c>
      <c r="AE381" s="139">
        <f t="shared" si="52"/>
        <v>3.6136742730033262E-2</v>
      </c>
      <c r="AF381" s="431">
        <f t="shared" si="46"/>
        <v>4038.4451612902503</v>
      </c>
      <c r="AG381" s="122"/>
      <c r="AH381" s="122"/>
      <c r="AI381" s="124">
        <f>AF381-AD381*'OverNight $'!$H381*'MM $'!$E381/360</f>
        <v>518.17706377525928</v>
      </c>
    </row>
    <row r="382" spans="2:35" x14ac:dyDescent="0.25">
      <c r="B382" s="9" t="str">
        <f t="shared" si="47"/>
        <v>1 2026</v>
      </c>
      <c r="C382" s="88">
        <f t="shared" si="55"/>
        <v>46031</v>
      </c>
      <c r="D382" s="88">
        <f t="shared" si="56"/>
        <v>46032</v>
      </c>
      <c r="E382" s="89">
        <f t="shared" si="48"/>
        <v>1</v>
      </c>
      <c r="G382" s="140">
        <f t="shared" si="57"/>
        <v>40229919.450000003</v>
      </c>
      <c r="H382" s="139">
        <f t="shared" si="49"/>
        <v>3.5862108320285337E-2</v>
      </c>
      <c r="I382" s="431">
        <f t="shared" si="43"/>
        <v>4007.5825806451503</v>
      </c>
      <c r="J382" s="122"/>
      <c r="K382" s="122"/>
      <c r="L382" s="124">
        <f>I382-G382*'OverNight $'!$H382*'MM $'!$E382/360</f>
        <v>487.46462877015028</v>
      </c>
      <c r="N382" s="140">
        <f t="shared" si="53"/>
        <v>40228691.289999999</v>
      </c>
      <c r="O382" s="139">
        <v>3.5508240000000003E-2</v>
      </c>
      <c r="P382" s="479">
        <f t="shared" si="50"/>
        <v>3.5670240000000006E-2</v>
      </c>
      <c r="Q382" s="687">
        <f t="shared" si="54"/>
        <v>3986.0196477783606</v>
      </c>
      <c r="R382" s="687"/>
      <c r="S382" s="122"/>
      <c r="T382" s="122"/>
      <c r="U382" s="124">
        <f>Q382-N382*'OverNight $'!$H382*'MM $'!$E382/360</f>
        <v>466.00915990336034</v>
      </c>
      <c r="W382" s="140">
        <f t="shared" si="58"/>
        <v>40229401.498411261</v>
      </c>
      <c r="X382" s="686">
        <f t="shared" si="51"/>
        <v>3.5809455303371117E-2</v>
      </c>
      <c r="Y382" s="431">
        <f t="shared" si="45"/>
        <v>4001.6470967742471</v>
      </c>
      <c r="Z382" s="122"/>
      <c r="AA382" s="122"/>
      <c r="AB382" s="124">
        <f>Y382-W382*'OverNight $'!$H382*'MM $'!$E382/360</f>
        <v>481.57446566326189</v>
      </c>
      <c r="AD382" s="140">
        <f t="shared" si="59"/>
        <v>40231635.400171325</v>
      </c>
      <c r="AE382" s="139">
        <f t="shared" si="52"/>
        <v>3.6136742730033262E-2</v>
      </c>
      <c r="AF382" s="431">
        <f t="shared" si="46"/>
        <v>4038.4451612902503</v>
      </c>
      <c r="AG382" s="122"/>
      <c r="AH382" s="122"/>
      <c r="AI382" s="124">
        <f>AF382-AD382*'OverNight $'!$H382*'MM $'!$E382/360</f>
        <v>518.17706377525928</v>
      </c>
    </row>
    <row r="383" spans="2:35" x14ac:dyDescent="0.25">
      <c r="B383" s="9" t="str">
        <f t="shared" si="47"/>
        <v>1 2026</v>
      </c>
      <c r="C383" s="88">
        <f t="shared" si="55"/>
        <v>46032</v>
      </c>
      <c r="D383" s="88">
        <f t="shared" si="56"/>
        <v>46033</v>
      </c>
      <c r="E383" s="89">
        <f t="shared" si="48"/>
        <v>1</v>
      </c>
      <c r="G383" s="140">
        <f t="shared" si="57"/>
        <v>40229919.450000003</v>
      </c>
      <c r="H383" s="139">
        <f t="shared" si="49"/>
        <v>3.5862108320285337E-2</v>
      </c>
      <c r="I383" s="431">
        <f t="shared" si="43"/>
        <v>4007.5825806451503</v>
      </c>
      <c r="J383" s="122"/>
      <c r="K383" s="122"/>
      <c r="L383" s="124">
        <f>I383-G383*'OverNight $'!$H383*'MM $'!$E383/360</f>
        <v>487.46462877015028</v>
      </c>
      <c r="N383" s="140">
        <f t="shared" si="53"/>
        <v>40228691.289999999</v>
      </c>
      <c r="O383" s="139">
        <v>3.5508240000000003E-2</v>
      </c>
      <c r="P383" s="479">
        <f t="shared" si="50"/>
        <v>3.5670240000000006E-2</v>
      </c>
      <c r="Q383" s="687">
        <f t="shared" si="54"/>
        <v>3986.0196477783606</v>
      </c>
      <c r="R383" s="687"/>
      <c r="S383" s="122"/>
      <c r="T383" s="122"/>
      <c r="U383" s="124">
        <f>Q383-N383*'OverNight $'!$H383*'MM $'!$E383/360</f>
        <v>466.00915990336034</v>
      </c>
      <c r="W383" s="140">
        <f t="shared" si="58"/>
        <v>40229401.498411261</v>
      </c>
      <c r="X383" s="686">
        <f t="shared" si="51"/>
        <v>3.5809455303371117E-2</v>
      </c>
      <c r="Y383" s="431">
        <f t="shared" si="45"/>
        <v>4001.6470967742471</v>
      </c>
      <c r="Z383" s="122"/>
      <c r="AA383" s="122"/>
      <c r="AB383" s="124">
        <f>Y383-W383*'OverNight $'!$H383*'MM $'!$E383/360</f>
        <v>481.57446566326189</v>
      </c>
      <c r="AD383" s="140">
        <f t="shared" si="59"/>
        <v>40231635.400171325</v>
      </c>
      <c r="AE383" s="139">
        <f t="shared" si="52"/>
        <v>3.6136742730033262E-2</v>
      </c>
      <c r="AF383" s="431">
        <f t="shared" si="46"/>
        <v>4038.4451612902503</v>
      </c>
      <c r="AG383" s="122"/>
      <c r="AH383" s="122"/>
      <c r="AI383" s="124">
        <f>AF383-AD383*'OverNight $'!$H383*'MM $'!$E383/360</f>
        <v>518.17706377525928</v>
      </c>
    </row>
    <row r="384" spans="2:35" x14ac:dyDescent="0.25">
      <c r="B384" s="9" t="str">
        <f t="shared" si="47"/>
        <v>1 2026</v>
      </c>
      <c r="C384" s="88">
        <f t="shared" si="55"/>
        <v>46033</v>
      </c>
      <c r="D384" s="88">
        <f t="shared" si="56"/>
        <v>46034</v>
      </c>
      <c r="E384" s="89">
        <f t="shared" si="48"/>
        <v>1</v>
      </c>
      <c r="G384" s="140">
        <f t="shared" si="57"/>
        <v>40229919.450000003</v>
      </c>
      <c r="H384" s="139">
        <f t="shared" si="49"/>
        <v>3.5862108320285337E-2</v>
      </c>
      <c r="I384" s="431">
        <f t="shared" si="43"/>
        <v>4007.5825806451503</v>
      </c>
      <c r="J384" s="122"/>
      <c r="K384" s="122"/>
      <c r="L384" s="124">
        <f>I384-G384*'OverNight $'!$H384*'MM $'!$E384/360</f>
        <v>487.46462877015028</v>
      </c>
      <c r="N384" s="140">
        <f t="shared" si="53"/>
        <v>40228691.289999999</v>
      </c>
      <c r="O384" s="139">
        <v>3.5508240000000003E-2</v>
      </c>
      <c r="P384" s="479">
        <f t="shared" si="50"/>
        <v>3.5670240000000006E-2</v>
      </c>
      <c r="Q384" s="687">
        <f t="shared" si="54"/>
        <v>3986.0196477783606</v>
      </c>
      <c r="R384" s="687"/>
      <c r="S384" s="122"/>
      <c r="T384" s="122"/>
      <c r="U384" s="124">
        <f>Q384-N384*'OverNight $'!$H384*'MM $'!$E384/360</f>
        <v>466.00915990336034</v>
      </c>
      <c r="W384" s="140">
        <f t="shared" si="58"/>
        <v>40229401.498411261</v>
      </c>
      <c r="X384" s="686">
        <f t="shared" si="51"/>
        <v>3.5809455303371117E-2</v>
      </c>
      <c r="Y384" s="431">
        <f t="shared" si="45"/>
        <v>4001.6470967742471</v>
      </c>
      <c r="Z384" s="122"/>
      <c r="AA384" s="122"/>
      <c r="AB384" s="124">
        <f>Y384-W384*'OverNight $'!$H384*'MM $'!$E384/360</f>
        <v>481.57446566326189</v>
      </c>
      <c r="AD384" s="140">
        <f t="shared" si="59"/>
        <v>40231635.400171325</v>
      </c>
      <c r="AE384" s="139">
        <f t="shared" si="52"/>
        <v>3.6136742730033262E-2</v>
      </c>
      <c r="AF384" s="431">
        <f t="shared" si="46"/>
        <v>4038.4451612902503</v>
      </c>
      <c r="AG384" s="122"/>
      <c r="AH384" s="122"/>
      <c r="AI384" s="124">
        <f>AF384-AD384*'OverNight $'!$H384*'MM $'!$E384/360</f>
        <v>518.17706377525928</v>
      </c>
    </row>
    <row r="385" spans="2:35" x14ac:dyDescent="0.25">
      <c r="B385" s="9" t="str">
        <f t="shared" si="47"/>
        <v>1 2026</v>
      </c>
      <c r="C385" s="88">
        <f t="shared" si="55"/>
        <v>46034</v>
      </c>
      <c r="D385" s="88">
        <f t="shared" si="56"/>
        <v>46035</v>
      </c>
      <c r="E385" s="89">
        <f t="shared" si="48"/>
        <v>1</v>
      </c>
      <c r="G385" s="140">
        <f t="shared" si="57"/>
        <v>40229919.450000003</v>
      </c>
      <c r="H385" s="139">
        <f t="shared" si="49"/>
        <v>3.5862108320285337E-2</v>
      </c>
      <c r="I385" s="431">
        <f t="shared" si="43"/>
        <v>4007.5825806451503</v>
      </c>
      <c r="J385" s="122"/>
      <c r="K385" s="122"/>
      <c r="L385" s="124">
        <f>I385-G385*'OverNight $'!$H385*'MM $'!$E385/360</f>
        <v>487.46462877015028</v>
      </c>
      <c r="N385" s="140">
        <f t="shared" si="53"/>
        <v>40228691.289999999</v>
      </c>
      <c r="O385" s="139">
        <v>3.5479440000000001E-2</v>
      </c>
      <c r="P385" s="479">
        <f t="shared" si="50"/>
        <v>3.5670240000000006E-2</v>
      </c>
      <c r="Q385" s="687">
        <f t="shared" si="54"/>
        <v>3986.0196477783606</v>
      </c>
      <c r="R385" s="687"/>
      <c r="S385" s="122"/>
      <c r="T385" s="122"/>
      <c r="U385" s="124">
        <f>Q385-N385*'OverNight $'!$H385*'MM $'!$E385/360</f>
        <v>466.00915990336034</v>
      </c>
      <c r="W385" s="140">
        <f t="shared" si="58"/>
        <v>40229401.498411261</v>
      </c>
      <c r="X385" s="686">
        <f t="shared" si="51"/>
        <v>3.5809455303371117E-2</v>
      </c>
      <c r="Y385" s="431">
        <f t="shared" si="45"/>
        <v>4001.6470967742471</v>
      </c>
      <c r="Z385" s="122"/>
      <c r="AA385" s="122"/>
      <c r="AB385" s="124">
        <f>Y385-W385*'OverNight $'!$H385*'MM $'!$E385/360</f>
        <v>481.57446566326189</v>
      </c>
      <c r="AD385" s="140">
        <f t="shared" si="59"/>
        <v>40231635.400171325</v>
      </c>
      <c r="AE385" s="139">
        <f t="shared" si="52"/>
        <v>3.6136742730033262E-2</v>
      </c>
      <c r="AF385" s="431">
        <f t="shared" si="46"/>
        <v>4038.4451612902503</v>
      </c>
      <c r="AG385" s="122"/>
      <c r="AH385" s="122"/>
      <c r="AI385" s="124">
        <f>AF385-AD385*'OverNight $'!$H385*'MM $'!$E385/360</f>
        <v>518.17706377525928</v>
      </c>
    </row>
    <row r="386" spans="2:35" x14ac:dyDescent="0.25">
      <c r="B386" s="9" t="str">
        <f t="shared" si="47"/>
        <v>1 2026</v>
      </c>
      <c r="C386" s="88">
        <f t="shared" si="55"/>
        <v>46035</v>
      </c>
      <c r="D386" s="88">
        <f t="shared" si="56"/>
        <v>46036</v>
      </c>
      <c r="E386" s="89">
        <f t="shared" si="48"/>
        <v>1</v>
      </c>
      <c r="G386" s="140">
        <f t="shared" si="57"/>
        <v>40229919.450000003</v>
      </c>
      <c r="H386" s="139">
        <f t="shared" si="49"/>
        <v>3.5862108320285337E-2</v>
      </c>
      <c r="I386" s="431">
        <f t="shared" si="43"/>
        <v>4007.5825806451503</v>
      </c>
      <c r="J386" s="122"/>
      <c r="K386" s="122"/>
      <c r="L386" s="124">
        <f>I386-G386*'OverNight $'!$H386*'MM $'!$E386/360</f>
        <v>487.46462877015028</v>
      </c>
      <c r="N386" s="140">
        <f t="shared" si="53"/>
        <v>40228691.289999999</v>
      </c>
      <c r="O386" s="139">
        <v>3.5525880000000003E-2</v>
      </c>
      <c r="P386" s="479">
        <f t="shared" si="50"/>
        <v>3.5670240000000006E-2</v>
      </c>
      <c r="Q386" s="687">
        <f t="shared" si="54"/>
        <v>3986.0196477783606</v>
      </c>
      <c r="R386" s="687"/>
      <c r="S386" s="122"/>
      <c r="T386" s="122"/>
      <c r="U386" s="124">
        <f>Q386-N386*'OverNight $'!$H386*'MM $'!$E386/360</f>
        <v>466.00915990336034</v>
      </c>
      <c r="W386" s="140">
        <f t="shared" si="58"/>
        <v>40229401.498411261</v>
      </c>
      <c r="X386" s="686">
        <f t="shared" si="51"/>
        <v>3.5809455303371117E-2</v>
      </c>
      <c r="Y386" s="431">
        <f t="shared" si="45"/>
        <v>4001.6470967742471</v>
      </c>
      <c r="Z386" s="122"/>
      <c r="AA386" s="122"/>
      <c r="AB386" s="124">
        <f>Y386-W386*'OverNight $'!$H386*'MM $'!$E386/360</f>
        <v>481.57446566326189</v>
      </c>
      <c r="AD386" s="140">
        <f t="shared" si="59"/>
        <v>40231635.400171325</v>
      </c>
      <c r="AE386" s="139">
        <f t="shared" si="52"/>
        <v>3.6136742730033262E-2</v>
      </c>
      <c r="AF386" s="431">
        <f t="shared" si="46"/>
        <v>4038.4451612902503</v>
      </c>
      <c r="AG386" s="122"/>
      <c r="AH386" s="122"/>
      <c r="AI386" s="124">
        <f>AF386-AD386*'OverNight $'!$H386*'MM $'!$E386/360</f>
        <v>518.17706377525928</v>
      </c>
    </row>
    <row r="387" spans="2:35" x14ac:dyDescent="0.25">
      <c r="B387" s="9" t="str">
        <f t="shared" si="47"/>
        <v>1 2026</v>
      </c>
      <c r="C387" s="88">
        <f t="shared" si="55"/>
        <v>46036</v>
      </c>
      <c r="D387" s="88">
        <f t="shared" si="56"/>
        <v>46037</v>
      </c>
      <c r="E387" s="89">
        <f t="shared" si="48"/>
        <v>1</v>
      </c>
      <c r="G387" s="140">
        <f t="shared" si="57"/>
        <v>40229919.450000003</v>
      </c>
      <c r="H387" s="139">
        <f t="shared" si="49"/>
        <v>3.5862108320285337E-2</v>
      </c>
      <c r="I387" s="431">
        <f t="shared" si="43"/>
        <v>4007.5825806451503</v>
      </c>
      <c r="J387" s="122"/>
      <c r="K387" s="122"/>
      <c r="L387" s="124">
        <f>I387-G387*'OverNight $'!$H387*'MM $'!$E387/360</f>
        <v>487.46462877015028</v>
      </c>
      <c r="N387" s="140">
        <f t="shared" si="53"/>
        <v>40228691.289999999</v>
      </c>
      <c r="O387" s="139">
        <v>3.5595000000000002E-2</v>
      </c>
      <c r="P387" s="479">
        <f t="shared" si="50"/>
        <v>3.5670240000000006E-2</v>
      </c>
      <c r="Q387" s="687">
        <f t="shared" si="54"/>
        <v>3986.0196477783606</v>
      </c>
      <c r="R387" s="687"/>
      <c r="S387" s="122"/>
      <c r="T387" s="122"/>
      <c r="U387" s="124">
        <f>Q387-N387*'OverNight $'!$H387*'MM $'!$E387/360</f>
        <v>466.00915990336034</v>
      </c>
      <c r="W387" s="140">
        <f t="shared" si="58"/>
        <v>40229401.498411261</v>
      </c>
      <c r="X387" s="686">
        <f t="shared" si="51"/>
        <v>3.5809455303371117E-2</v>
      </c>
      <c r="Y387" s="431">
        <f t="shared" si="45"/>
        <v>4001.6470967742471</v>
      </c>
      <c r="Z387" s="122"/>
      <c r="AA387" s="122"/>
      <c r="AB387" s="124">
        <f>Y387-W387*'OverNight $'!$H387*'MM $'!$E387/360</f>
        <v>481.57446566326189</v>
      </c>
      <c r="AD387" s="140">
        <f t="shared" si="59"/>
        <v>40231635.400171325</v>
      </c>
      <c r="AE387" s="139">
        <f t="shared" si="52"/>
        <v>3.6136742730033262E-2</v>
      </c>
      <c r="AF387" s="431">
        <f t="shared" si="46"/>
        <v>4038.4451612902503</v>
      </c>
      <c r="AG387" s="122"/>
      <c r="AH387" s="122"/>
      <c r="AI387" s="124">
        <f>AF387-AD387*'OverNight $'!$H387*'MM $'!$E387/360</f>
        <v>518.17706377525928</v>
      </c>
    </row>
    <row r="388" spans="2:35" x14ac:dyDescent="0.25">
      <c r="B388" s="9" t="str">
        <f t="shared" si="47"/>
        <v>1 2026</v>
      </c>
      <c r="C388" s="88">
        <f t="shared" si="55"/>
        <v>46037</v>
      </c>
      <c r="D388" s="88">
        <f t="shared" si="56"/>
        <v>46038</v>
      </c>
      <c r="E388" s="89">
        <f t="shared" si="48"/>
        <v>1</v>
      </c>
      <c r="G388" s="140">
        <f t="shared" si="57"/>
        <v>40229919.450000003</v>
      </c>
      <c r="H388" s="139">
        <f t="shared" si="49"/>
        <v>3.5862108320285337E-2</v>
      </c>
      <c r="I388" s="431">
        <f t="shared" si="43"/>
        <v>4007.5825806451503</v>
      </c>
      <c r="J388" s="122"/>
      <c r="K388" s="122"/>
      <c r="L388" s="124">
        <f>I388-G388*'OverNight $'!$H388*'MM $'!$E388/360</f>
        <v>487.46462877015028</v>
      </c>
      <c r="N388" s="140">
        <f t="shared" si="53"/>
        <v>40228691.289999999</v>
      </c>
      <c r="O388" s="139">
        <v>3.5569799999999999E-2</v>
      </c>
      <c r="P388" s="479">
        <f t="shared" si="50"/>
        <v>3.5670240000000006E-2</v>
      </c>
      <c r="Q388" s="687">
        <f t="shared" si="54"/>
        <v>3986.0196477783606</v>
      </c>
      <c r="R388" s="687"/>
      <c r="S388" s="122"/>
      <c r="T388" s="122"/>
      <c r="U388" s="124">
        <f>Q388-N388*'OverNight $'!$H388*'MM $'!$E388/360</f>
        <v>466.00915990336034</v>
      </c>
      <c r="W388" s="140">
        <f t="shared" si="58"/>
        <v>40229401.498411261</v>
      </c>
      <c r="X388" s="686">
        <f t="shared" si="51"/>
        <v>3.5809455303371117E-2</v>
      </c>
      <c r="Y388" s="431">
        <f t="shared" si="45"/>
        <v>4001.6470967742471</v>
      </c>
      <c r="Z388" s="122"/>
      <c r="AA388" s="122"/>
      <c r="AB388" s="124">
        <f>Y388-W388*'OverNight $'!$H388*'MM $'!$E388/360</f>
        <v>481.57446566326189</v>
      </c>
      <c r="AD388" s="140">
        <f t="shared" si="59"/>
        <v>40231635.400171325</v>
      </c>
      <c r="AE388" s="139">
        <f t="shared" si="52"/>
        <v>3.6136742730033262E-2</v>
      </c>
      <c r="AF388" s="431">
        <f t="shared" si="46"/>
        <v>4038.4451612902503</v>
      </c>
      <c r="AG388" s="122"/>
      <c r="AH388" s="122"/>
      <c r="AI388" s="124">
        <f>AF388-AD388*'OverNight $'!$H388*'MM $'!$E388/360</f>
        <v>518.17706377525928</v>
      </c>
    </row>
    <row r="389" spans="2:35" x14ac:dyDescent="0.25">
      <c r="B389" s="9" t="str">
        <f t="shared" si="47"/>
        <v>1 2026</v>
      </c>
      <c r="C389" s="88">
        <f t="shared" si="55"/>
        <v>46038</v>
      </c>
      <c r="D389" s="88">
        <f t="shared" si="56"/>
        <v>46039</v>
      </c>
      <c r="E389" s="89">
        <f t="shared" si="48"/>
        <v>1</v>
      </c>
      <c r="G389" s="140">
        <f t="shared" si="57"/>
        <v>40229919.450000003</v>
      </c>
      <c r="H389" s="139">
        <f t="shared" si="49"/>
        <v>3.5862108320285337E-2</v>
      </c>
      <c r="I389" s="431">
        <f t="shared" si="43"/>
        <v>4007.5825806451503</v>
      </c>
      <c r="J389" s="122"/>
      <c r="K389" s="122"/>
      <c r="L389" s="124">
        <f>I389-G389*'OverNight $'!$H389*'MM $'!$E389/360</f>
        <v>487.46462877015028</v>
      </c>
      <c r="N389" s="140">
        <f t="shared" si="53"/>
        <v>40228691.289999999</v>
      </c>
      <c r="O389" s="139">
        <v>3.5636399999999999E-2</v>
      </c>
      <c r="P389" s="479">
        <f t="shared" si="50"/>
        <v>3.5670240000000006E-2</v>
      </c>
      <c r="Q389" s="687">
        <f t="shared" si="54"/>
        <v>3986.0196477783606</v>
      </c>
      <c r="R389" s="687"/>
      <c r="S389" s="122"/>
      <c r="T389" s="122"/>
      <c r="U389" s="124">
        <f>Q389-N389*'OverNight $'!$H389*'MM $'!$E389/360</f>
        <v>466.00915990336034</v>
      </c>
      <c r="W389" s="140">
        <f t="shared" si="58"/>
        <v>40229401.498411261</v>
      </c>
      <c r="X389" s="686">
        <f t="shared" si="51"/>
        <v>3.5809455303371117E-2</v>
      </c>
      <c r="Y389" s="431">
        <f t="shared" si="45"/>
        <v>4001.6470967742471</v>
      </c>
      <c r="Z389" s="122"/>
      <c r="AA389" s="122"/>
      <c r="AB389" s="124">
        <f>Y389-W389*'OverNight $'!$H389*'MM $'!$E389/360</f>
        <v>481.57446566326189</v>
      </c>
      <c r="AD389" s="140">
        <f t="shared" si="59"/>
        <v>40231635.400171325</v>
      </c>
      <c r="AE389" s="139">
        <f t="shared" si="52"/>
        <v>3.6136742730033262E-2</v>
      </c>
      <c r="AF389" s="431">
        <f t="shared" si="46"/>
        <v>4038.4451612902503</v>
      </c>
      <c r="AG389" s="122"/>
      <c r="AH389" s="122"/>
      <c r="AI389" s="124">
        <f>AF389-AD389*'OverNight $'!$H389*'MM $'!$E389/360</f>
        <v>518.17706377525928</v>
      </c>
    </row>
    <row r="390" spans="2:35" x14ac:dyDescent="0.25">
      <c r="B390" s="9" t="str">
        <f t="shared" si="47"/>
        <v>1 2026</v>
      </c>
      <c r="C390" s="88">
        <f t="shared" si="55"/>
        <v>46039</v>
      </c>
      <c r="D390" s="88">
        <f t="shared" si="56"/>
        <v>46040</v>
      </c>
      <c r="E390" s="89">
        <f t="shared" si="48"/>
        <v>1</v>
      </c>
      <c r="G390" s="140">
        <f t="shared" si="57"/>
        <v>40229919.450000003</v>
      </c>
      <c r="H390" s="139">
        <f t="shared" si="49"/>
        <v>3.5862108320285337E-2</v>
      </c>
      <c r="I390" s="431">
        <f t="shared" si="43"/>
        <v>4007.5825806451503</v>
      </c>
      <c r="J390" s="122"/>
      <c r="K390" s="122"/>
      <c r="L390" s="124">
        <f>I390-G390*'OverNight $'!$H390*'MM $'!$E390/360</f>
        <v>487.46462877015028</v>
      </c>
      <c r="N390" s="140">
        <f t="shared" si="53"/>
        <v>40228691.289999999</v>
      </c>
      <c r="O390" s="139">
        <v>3.5636399999999999E-2</v>
      </c>
      <c r="P390" s="479">
        <f t="shared" si="50"/>
        <v>3.5670240000000006E-2</v>
      </c>
      <c r="Q390" s="687">
        <f t="shared" si="54"/>
        <v>3986.0196477783606</v>
      </c>
      <c r="R390" s="687"/>
      <c r="S390" s="122"/>
      <c r="T390" s="122"/>
      <c r="U390" s="124">
        <f>Q390-N390*'OverNight $'!$H390*'MM $'!$E390/360</f>
        <v>466.00915990336034</v>
      </c>
      <c r="W390" s="140">
        <f t="shared" si="58"/>
        <v>40229401.498411261</v>
      </c>
      <c r="X390" s="686">
        <f t="shared" si="51"/>
        <v>3.5809455303371117E-2</v>
      </c>
      <c r="Y390" s="431">
        <f t="shared" si="45"/>
        <v>4001.6470967742471</v>
      </c>
      <c r="Z390" s="122"/>
      <c r="AA390" s="122"/>
      <c r="AB390" s="124">
        <f>Y390-W390*'OverNight $'!$H390*'MM $'!$E390/360</f>
        <v>481.57446566326189</v>
      </c>
      <c r="AD390" s="140">
        <f t="shared" si="59"/>
        <v>40231635.400171325</v>
      </c>
      <c r="AE390" s="139">
        <f t="shared" si="52"/>
        <v>3.6136742730033262E-2</v>
      </c>
      <c r="AF390" s="431">
        <f t="shared" si="46"/>
        <v>4038.4451612902503</v>
      </c>
      <c r="AG390" s="122"/>
      <c r="AH390" s="122"/>
      <c r="AI390" s="124">
        <f>AF390-AD390*'OverNight $'!$H390*'MM $'!$E390/360</f>
        <v>518.17706377525928</v>
      </c>
    </row>
    <row r="391" spans="2:35" x14ac:dyDescent="0.25">
      <c r="B391" s="9" t="str">
        <f t="shared" si="47"/>
        <v>1 2026</v>
      </c>
      <c r="C391" s="88">
        <f t="shared" si="55"/>
        <v>46040</v>
      </c>
      <c r="D391" s="88">
        <f t="shared" si="56"/>
        <v>46041</v>
      </c>
      <c r="E391" s="89">
        <f t="shared" si="48"/>
        <v>1</v>
      </c>
      <c r="G391" s="140">
        <f t="shared" si="57"/>
        <v>40229919.450000003</v>
      </c>
      <c r="H391" s="139">
        <f t="shared" si="49"/>
        <v>3.5862108320285337E-2</v>
      </c>
      <c r="I391" s="431">
        <f t="shared" si="43"/>
        <v>4007.5825806451503</v>
      </c>
      <c r="J391" s="122"/>
      <c r="K391" s="122"/>
      <c r="L391" s="124">
        <f>I391-G391*'OverNight $'!$H391*'MM $'!$E391/360</f>
        <v>487.46462877015028</v>
      </c>
      <c r="N391" s="140">
        <f t="shared" si="53"/>
        <v>40228691.289999999</v>
      </c>
      <c r="O391" s="139">
        <v>3.5636399999999999E-2</v>
      </c>
      <c r="P391" s="479">
        <f t="shared" si="50"/>
        <v>3.5670240000000006E-2</v>
      </c>
      <c r="Q391" s="687">
        <f t="shared" si="54"/>
        <v>3986.0196477783606</v>
      </c>
      <c r="R391" s="687"/>
      <c r="S391" s="122"/>
      <c r="T391" s="122"/>
      <c r="U391" s="124">
        <f>Q391-N391*'OverNight $'!$H391*'MM $'!$E391/360</f>
        <v>466.00915990336034</v>
      </c>
      <c r="W391" s="140">
        <f t="shared" si="58"/>
        <v>40229401.498411261</v>
      </c>
      <c r="X391" s="686">
        <f t="shared" si="51"/>
        <v>3.5809455303371117E-2</v>
      </c>
      <c r="Y391" s="431">
        <f t="shared" si="45"/>
        <v>4001.6470967742471</v>
      </c>
      <c r="Z391" s="122"/>
      <c r="AA391" s="122"/>
      <c r="AB391" s="124">
        <f>Y391-W391*'OverNight $'!$H391*'MM $'!$E391/360</f>
        <v>481.57446566326189</v>
      </c>
      <c r="AD391" s="140">
        <f t="shared" si="59"/>
        <v>40231635.400171325</v>
      </c>
      <c r="AE391" s="139">
        <f t="shared" si="52"/>
        <v>3.6136742730033262E-2</v>
      </c>
      <c r="AF391" s="431">
        <f t="shared" si="46"/>
        <v>4038.4451612902503</v>
      </c>
      <c r="AG391" s="122"/>
      <c r="AH391" s="122"/>
      <c r="AI391" s="124">
        <f>AF391-AD391*'OverNight $'!$H391*'MM $'!$E391/360</f>
        <v>518.17706377525928</v>
      </c>
    </row>
    <row r="392" spans="2:35" x14ac:dyDescent="0.25">
      <c r="B392" s="9" t="str">
        <f t="shared" si="47"/>
        <v>1 2026</v>
      </c>
      <c r="C392" s="88">
        <f t="shared" si="55"/>
        <v>46041</v>
      </c>
      <c r="D392" s="88">
        <f t="shared" si="56"/>
        <v>46042</v>
      </c>
      <c r="E392" s="89">
        <f t="shared" si="48"/>
        <v>1</v>
      </c>
      <c r="G392" s="140">
        <f t="shared" si="57"/>
        <v>40229919.450000003</v>
      </c>
      <c r="H392" s="139">
        <f t="shared" si="49"/>
        <v>3.5862108320285337E-2</v>
      </c>
      <c r="I392" s="431">
        <f t="shared" si="43"/>
        <v>4007.5825806451503</v>
      </c>
      <c r="J392" s="122"/>
      <c r="K392" s="122"/>
      <c r="L392" s="124">
        <f>I392-G392*'OverNight $'!$H392*'MM $'!$E392/360</f>
        <v>487.46462877015028</v>
      </c>
      <c r="N392" s="140">
        <f t="shared" si="53"/>
        <v>40228691.289999999</v>
      </c>
      <c r="O392" s="139">
        <v>3.5636399999999999E-2</v>
      </c>
      <c r="P392" s="479">
        <f t="shared" si="50"/>
        <v>3.5670240000000006E-2</v>
      </c>
      <c r="Q392" s="687">
        <f t="shared" si="54"/>
        <v>3986.0196477783606</v>
      </c>
      <c r="R392" s="687"/>
      <c r="S392" s="122"/>
      <c r="T392" s="122"/>
      <c r="U392" s="124">
        <f>Q392-N392*'OverNight $'!$H392*'MM $'!$E392/360</f>
        <v>466.00915990336034</v>
      </c>
      <c r="W392" s="140">
        <f t="shared" si="58"/>
        <v>40229401.498411261</v>
      </c>
      <c r="X392" s="686">
        <f t="shared" si="51"/>
        <v>3.5809455303371117E-2</v>
      </c>
      <c r="Y392" s="431">
        <f t="shared" si="45"/>
        <v>4001.6470967742471</v>
      </c>
      <c r="Z392" s="122"/>
      <c r="AA392" s="122"/>
      <c r="AB392" s="124">
        <f>Y392-W392*'OverNight $'!$H392*'MM $'!$E392/360</f>
        <v>481.57446566326189</v>
      </c>
      <c r="AD392" s="140">
        <f t="shared" si="59"/>
        <v>40231635.400171325</v>
      </c>
      <c r="AE392" s="139">
        <f t="shared" si="52"/>
        <v>3.6136742730033262E-2</v>
      </c>
      <c r="AF392" s="431">
        <f t="shared" si="46"/>
        <v>4038.4451612902503</v>
      </c>
      <c r="AG392" s="122"/>
      <c r="AH392" s="122"/>
      <c r="AI392" s="124">
        <f>AF392-AD392*'OverNight $'!$H392*'MM $'!$E392/360</f>
        <v>518.17706377525928</v>
      </c>
    </row>
    <row r="393" spans="2:35" x14ac:dyDescent="0.25">
      <c r="B393" s="9" t="str">
        <f t="shared" si="47"/>
        <v>1 2026</v>
      </c>
      <c r="C393" s="88">
        <f t="shared" si="55"/>
        <v>46042</v>
      </c>
      <c r="D393" s="88">
        <f t="shared" si="56"/>
        <v>46043</v>
      </c>
      <c r="E393" s="89">
        <f t="shared" si="48"/>
        <v>1</v>
      </c>
      <c r="G393" s="140">
        <f t="shared" si="57"/>
        <v>40229919.450000003</v>
      </c>
      <c r="H393" s="139">
        <f t="shared" si="49"/>
        <v>3.5862108320285337E-2</v>
      </c>
      <c r="I393" s="431">
        <f t="shared" si="43"/>
        <v>4007.5825806451503</v>
      </c>
      <c r="J393" s="122"/>
      <c r="K393" s="122"/>
      <c r="L393" s="124">
        <f>I393-G393*'OverNight $'!$H393*'MM $'!$E393/360</f>
        <v>487.46462877015028</v>
      </c>
      <c r="N393" s="140">
        <f t="shared" si="53"/>
        <v>40228691.289999999</v>
      </c>
      <c r="O393" s="139">
        <v>3.5494200000000004E-2</v>
      </c>
      <c r="P393" s="479">
        <f t="shared" si="50"/>
        <v>3.5670240000000006E-2</v>
      </c>
      <c r="Q393" s="687">
        <f t="shared" si="54"/>
        <v>3986.0196477783606</v>
      </c>
      <c r="R393" s="687"/>
      <c r="S393" s="122"/>
      <c r="T393" s="122"/>
      <c r="U393" s="124">
        <f>Q393-N393*'OverNight $'!$H393*'MM $'!$E393/360</f>
        <v>466.00915990336034</v>
      </c>
      <c r="W393" s="140">
        <f t="shared" si="58"/>
        <v>40229401.498411261</v>
      </c>
      <c r="X393" s="686">
        <f t="shared" si="51"/>
        <v>3.5809455303371117E-2</v>
      </c>
      <c r="Y393" s="431">
        <f t="shared" si="45"/>
        <v>4001.6470967742471</v>
      </c>
      <c r="Z393" s="122"/>
      <c r="AA393" s="122"/>
      <c r="AB393" s="124">
        <f>Y393-W393*'OverNight $'!$H393*'MM $'!$E393/360</f>
        <v>481.57446566326189</v>
      </c>
      <c r="AD393" s="140">
        <f t="shared" si="59"/>
        <v>40231635.400171325</v>
      </c>
      <c r="AE393" s="139">
        <f t="shared" si="52"/>
        <v>3.6136742730033262E-2</v>
      </c>
      <c r="AF393" s="431">
        <f t="shared" si="46"/>
        <v>4038.4451612902503</v>
      </c>
      <c r="AG393" s="122"/>
      <c r="AH393" s="122"/>
      <c r="AI393" s="124">
        <f>AF393-AD393*'OverNight $'!$H393*'MM $'!$E393/360</f>
        <v>518.17706377525928</v>
      </c>
    </row>
    <row r="394" spans="2:35" x14ac:dyDescent="0.25">
      <c r="B394" s="9" t="str">
        <f t="shared" si="47"/>
        <v>1 2026</v>
      </c>
      <c r="C394" s="88">
        <f t="shared" si="55"/>
        <v>46043</v>
      </c>
      <c r="D394" s="88">
        <f t="shared" si="56"/>
        <v>46044</v>
      </c>
      <c r="E394" s="89">
        <f t="shared" si="48"/>
        <v>1</v>
      </c>
      <c r="G394" s="140">
        <f t="shared" si="57"/>
        <v>40229919.450000003</v>
      </c>
      <c r="H394" s="139">
        <f t="shared" si="49"/>
        <v>3.5862108320285337E-2</v>
      </c>
      <c r="I394" s="431">
        <f t="shared" si="43"/>
        <v>4007.5825806451503</v>
      </c>
      <c r="J394" s="122"/>
      <c r="K394" s="122"/>
      <c r="L394" s="124">
        <f>I394-G394*'OverNight $'!$H394*'MM $'!$E394/360</f>
        <v>487.46462877015028</v>
      </c>
      <c r="N394" s="140">
        <f t="shared" si="53"/>
        <v>40228691.289999999</v>
      </c>
      <c r="O394" s="139">
        <v>3.554388E-2</v>
      </c>
      <c r="P394" s="479">
        <f t="shared" si="50"/>
        <v>3.5670240000000006E-2</v>
      </c>
      <c r="Q394" s="687">
        <f t="shared" si="54"/>
        <v>3986.0196477783606</v>
      </c>
      <c r="R394" s="687"/>
      <c r="S394" s="122"/>
      <c r="T394" s="122"/>
      <c r="U394" s="124">
        <f>Q394-N394*'OverNight $'!$H394*'MM $'!$E394/360</f>
        <v>466.00915990336034</v>
      </c>
      <c r="W394" s="140">
        <f t="shared" si="58"/>
        <v>40229401.498411261</v>
      </c>
      <c r="X394" s="686">
        <f t="shared" si="51"/>
        <v>3.5809455303371117E-2</v>
      </c>
      <c r="Y394" s="431">
        <f t="shared" si="45"/>
        <v>4001.6470967742471</v>
      </c>
      <c r="Z394" s="122"/>
      <c r="AA394" s="122"/>
      <c r="AB394" s="124">
        <f>Y394-W394*'OverNight $'!$H394*'MM $'!$E394/360</f>
        <v>481.57446566326189</v>
      </c>
      <c r="AD394" s="140">
        <f t="shared" si="59"/>
        <v>40231635.400171325</v>
      </c>
      <c r="AE394" s="139">
        <f t="shared" si="52"/>
        <v>3.6136742730033262E-2</v>
      </c>
      <c r="AF394" s="431">
        <f t="shared" si="46"/>
        <v>4038.4451612902503</v>
      </c>
      <c r="AG394" s="122"/>
      <c r="AH394" s="122"/>
      <c r="AI394" s="124">
        <f>AF394-AD394*'OverNight $'!$H394*'MM $'!$E394/360</f>
        <v>518.17706377525928</v>
      </c>
    </row>
    <row r="395" spans="2:35" x14ac:dyDescent="0.25">
      <c r="B395" s="9" t="str">
        <f t="shared" si="47"/>
        <v>1 2026</v>
      </c>
      <c r="C395" s="88">
        <f t="shared" si="55"/>
        <v>46044</v>
      </c>
      <c r="D395" s="88">
        <f t="shared" si="56"/>
        <v>46045</v>
      </c>
      <c r="E395" s="89">
        <f t="shared" si="48"/>
        <v>1</v>
      </c>
      <c r="G395" s="140">
        <f t="shared" si="57"/>
        <v>40229919.450000003</v>
      </c>
      <c r="H395" s="139">
        <f t="shared" si="49"/>
        <v>3.5862108320285337E-2</v>
      </c>
      <c r="I395" s="431">
        <f t="shared" si="43"/>
        <v>4007.5825806451503</v>
      </c>
      <c r="J395" s="122"/>
      <c r="K395" s="122"/>
      <c r="L395" s="124">
        <f>I395-G395*'OverNight $'!$H395*'MM $'!$E395/360</f>
        <v>487.46462877015028</v>
      </c>
      <c r="N395" s="140">
        <f t="shared" si="53"/>
        <v>40228691.289999999</v>
      </c>
      <c r="O395" s="139">
        <v>3.5393399999999998E-2</v>
      </c>
      <c r="P395" s="479">
        <f t="shared" si="50"/>
        <v>3.5670240000000006E-2</v>
      </c>
      <c r="Q395" s="687">
        <f t="shared" si="54"/>
        <v>3986.0196477783606</v>
      </c>
      <c r="R395" s="687"/>
      <c r="S395" s="122"/>
      <c r="T395" s="122"/>
      <c r="U395" s="124">
        <f>Q395-N395*'OverNight $'!$H395*'MM $'!$E395/360</f>
        <v>466.00915990336034</v>
      </c>
      <c r="W395" s="140">
        <f t="shared" si="58"/>
        <v>40229401.498411261</v>
      </c>
      <c r="X395" s="686">
        <f t="shared" si="51"/>
        <v>3.5809455303371117E-2</v>
      </c>
      <c r="Y395" s="431">
        <f t="shared" si="45"/>
        <v>4001.6470967742471</v>
      </c>
      <c r="Z395" s="122"/>
      <c r="AA395" s="122"/>
      <c r="AB395" s="124">
        <f>Y395-W395*'OverNight $'!$H395*'MM $'!$E395/360</f>
        <v>481.57446566326189</v>
      </c>
      <c r="AD395" s="140">
        <f t="shared" si="59"/>
        <v>40231635.400171325</v>
      </c>
      <c r="AE395" s="139">
        <f t="shared" si="52"/>
        <v>3.6136742730033262E-2</v>
      </c>
      <c r="AF395" s="431">
        <f t="shared" si="46"/>
        <v>4038.4451612902503</v>
      </c>
      <c r="AG395" s="122"/>
      <c r="AH395" s="122"/>
      <c r="AI395" s="124">
        <f>AF395-AD395*'OverNight $'!$H395*'MM $'!$E395/360</f>
        <v>518.17706377525928</v>
      </c>
    </row>
    <row r="396" spans="2:35" x14ac:dyDescent="0.25">
      <c r="B396" s="9" t="str">
        <f t="shared" si="47"/>
        <v>1 2026</v>
      </c>
      <c r="C396" s="88">
        <f t="shared" si="55"/>
        <v>46045</v>
      </c>
      <c r="D396" s="88">
        <f t="shared" si="56"/>
        <v>46046</v>
      </c>
      <c r="E396" s="89">
        <f t="shared" si="48"/>
        <v>1</v>
      </c>
      <c r="G396" s="140">
        <f t="shared" si="57"/>
        <v>40229919.450000003</v>
      </c>
      <c r="H396" s="139">
        <f t="shared" si="49"/>
        <v>3.5862108320285337E-2</v>
      </c>
      <c r="I396" s="431">
        <f t="shared" si="43"/>
        <v>4007.5825806451503</v>
      </c>
      <c r="J396" s="122"/>
      <c r="K396" s="122"/>
      <c r="L396" s="124">
        <f>I396-G396*'OverNight $'!$H396*'MM $'!$E396/360</f>
        <v>487.46462877015028</v>
      </c>
      <c r="N396" s="140">
        <f t="shared" si="53"/>
        <v>40228691.289999999</v>
      </c>
      <c r="O396" s="139">
        <v>3.5513280000000001E-2</v>
      </c>
      <c r="P396" s="479">
        <f t="shared" si="50"/>
        <v>3.5670240000000006E-2</v>
      </c>
      <c r="Q396" s="687">
        <f t="shared" si="54"/>
        <v>3986.0196477783606</v>
      </c>
      <c r="R396" s="687"/>
      <c r="S396" s="122"/>
      <c r="T396" s="122"/>
      <c r="U396" s="124">
        <f>Q396-N396*'OverNight $'!$H396*'MM $'!$E396/360</f>
        <v>466.00915990336034</v>
      </c>
      <c r="W396" s="140">
        <f t="shared" si="58"/>
        <v>40229401.498411261</v>
      </c>
      <c r="X396" s="686">
        <f t="shared" si="51"/>
        <v>3.5809455303371117E-2</v>
      </c>
      <c r="Y396" s="431">
        <f t="shared" si="45"/>
        <v>4001.6470967742471</v>
      </c>
      <c r="Z396" s="122"/>
      <c r="AA396" s="122"/>
      <c r="AB396" s="124">
        <f>Y396-W396*'OverNight $'!$H396*'MM $'!$E396/360</f>
        <v>481.57446566326189</v>
      </c>
      <c r="AD396" s="140">
        <f t="shared" si="59"/>
        <v>40231635.400171325</v>
      </c>
      <c r="AE396" s="139">
        <f t="shared" si="52"/>
        <v>3.6136742730033262E-2</v>
      </c>
      <c r="AF396" s="431">
        <f t="shared" si="46"/>
        <v>4038.4451612902503</v>
      </c>
      <c r="AG396" s="122"/>
      <c r="AH396" s="122"/>
      <c r="AI396" s="124">
        <f>AF396-AD396*'OverNight $'!$H396*'MM $'!$E396/360</f>
        <v>518.17706377525928</v>
      </c>
    </row>
    <row r="397" spans="2:35" x14ac:dyDescent="0.25">
      <c r="B397" s="9" t="str">
        <f t="shared" si="47"/>
        <v>1 2026</v>
      </c>
      <c r="C397" s="88">
        <f t="shared" si="55"/>
        <v>46046</v>
      </c>
      <c r="D397" s="88">
        <f t="shared" si="56"/>
        <v>46047</v>
      </c>
      <c r="E397" s="89">
        <f t="shared" si="48"/>
        <v>1</v>
      </c>
      <c r="G397" s="140">
        <f t="shared" si="57"/>
        <v>40229919.450000003</v>
      </c>
      <c r="H397" s="139">
        <f t="shared" si="49"/>
        <v>3.5862108320285337E-2</v>
      </c>
      <c r="I397" s="431">
        <f t="shared" si="43"/>
        <v>4007.5825806451503</v>
      </c>
      <c r="J397" s="122"/>
      <c r="K397" s="122"/>
      <c r="L397" s="124">
        <f>I397-G397*'OverNight $'!$H397*'MM $'!$E397/360</f>
        <v>487.46462877015028</v>
      </c>
      <c r="N397" s="140">
        <f t="shared" si="53"/>
        <v>40228691.289999999</v>
      </c>
      <c r="O397" s="139">
        <v>3.5513280000000001E-2</v>
      </c>
      <c r="P397" s="479">
        <f t="shared" si="50"/>
        <v>3.5670240000000006E-2</v>
      </c>
      <c r="Q397" s="687">
        <f t="shared" si="54"/>
        <v>3986.0196477783606</v>
      </c>
      <c r="R397" s="687"/>
      <c r="S397" s="122"/>
      <c r="T397" s="122"/>
      <c r="U397" s="124">
        <f>Q397-N397*'OverNight $'!$H397*'MM $'!$E397/360</f>
        <v>466.00915990336034</v>
      </c>
      <c r="W397" s="140">
        <f t="shared" si="58"/>
        <v>40229401.498411261</v>
      </c>
      <c r="X397" s="686">
        <f t="shared" si="51"/>
        <v>3.5809455303371117E-2</v>
      </c>
      <c r="Y397" s="431">
        <f t="shared" si="45"/>
        <v>4001.6470967742471</v>
      </c>
      <c r="Z397" s="122"/>
      <c r="AA397" s="122"/>
      <c r="AB397" s="124">
        <f>Y397-W397*'OverNight $'!$H397*'MM $'!$E397/360</f>
        <v>481.57446566326189</v>
      </c>
      <c r="AD397" s="140">
        <f t="shared" si="59"/>
        <v>40231635.400171325</v>
      </c>
      <c r="AE397" s="139">
        <f t="shared" si="52"/>
        <v>3.6136742730033262E-2</v>
      </c>
      <c r="AF397" s="431">
        <f t="shared" si="46"/>
        <v>4038.4451612902503</v>
      </c>
      <c r="AG397" s="122"/>
      <c r="AH397" s="122"/>
      <c r="AI397" s="124">
        <f>AF397-AD397*'OverNight $'!$H397*'MM $'!$E397/360</f>
        <v>518.17706377525928</v>
      </c>
    </row>
    <row r="398" spans="2:35" x14ac:dyDescent="0.25">
      <c r="B398" s="9" t="str">
        <f t="shared" si="47"/>
        <v>1 2026</v>
      </c>
      <c r="C398" s="88">
        <f t="shared" si="55"/>
        <v>46047</v>
      </c>
      <c r="D398" s="88">
        <f t="shared" si="56"/>
        <v>46048</v>
      </c>
      <c r="E398" s="89">
        <f t="shared" si="48"/>
        <v>1</v>
      </c>
      <c r="G398" s="140">
        <f t="shared" si="57"/>
        <v>40229919.450000003</v>
      </c>
      <c r="H398" s="139">
        <f t="shared" si="49"/>
        <v>3.5862108320285337E-2</v>
      </c>
      <c r="I398" s="431">
        <f t="shared" si="43"/>
        <v>4007.5825806451503</v>
      </c>
      <c r="J398" s="122"/>
      <c r="K398" s="122"/>
      <c r="L398" s="124">
        <f>I398-G398*'OverNight $'!$H398*'MM $'!$E398/360</f>
        <v>487.46462877015028</v>
      </c>
      <c r="N398" s="140">
        <f t="shared" si="53"/>
        <v>40228691.289999999</v>
      </c>
      <c r="O398" s="139">
        <v>3.5513280000000001E-2</v>
      </c>
      <c r="P398" s="479">
        <f t="shared" si="50"/>
        <v>3.5670240000000006E-2</v>
      </c>
      <c r="Q398" s="687">
        <f t="shared" si="54"/>
        <v>3986.0196477783606</v>
      </c>
      <c r="R398" s="687"/>
      <c r="S398" s="122"/>
      <c r="T398" s="122"/>
      <c r="U398" s="124">
        <f>Q398-N398*'OverNight $'!$H398*'MM $'!$E398/360</f>
        <v>466.00915990336034</v>
      </c>
      <c r="W398" s="140">
        <f t="shared" si="58"/>
        <v>40229401.498411261</v>
      </c>
      <c r="X398" s="686">
        <f t="shared" si="51"/>
        <v>3.5809455303371117E-2</v>
      </c>
      <c r="Y398" s="431">
        <f t="shared" si="45"/>
        <v>4001.6470967742471</v>
      </c>
      <c r="Z398" s="122"/>
      <c r="AA398" s="122"/>
      <c r="AB398" s="124">
        <f>Y398-W398*'OverNight $'!$H398*'MM $'!$E398/360</f>
        <v>481.57446566326189</v>
      </c>
      <c r="AD398" s="140">
        <f t="shared" si="59"/>
        <v>40231635.400171325</v>
      </c>
      <c r="AE398" s="139">
        <f t="shared" si="52"/>
        <v>3.6136742730033262E-2</v>
      </c>
      <c r="AF398" s="431">
        <f t="shared" si="46"/>
        <v>4038.4451612902503</v>
      </c>
      <c r="AG398" s="122"/>
      <c r="AH398" s="122"/>
      <c r="AI398" s="124">
        <f>AF398-AD398*'OverNight $'!$H398*'MM $'!$E398/360</f>
        <v>518.17706377525928</v>
      </c>
    </row>
    <row r="399" spans="2:35" x14ac:dyDescent="0.25">
      <c r="B399" s="9" t="str">
        <f t="shared" si="47"/>
        <v>1 2026</v>
      </c>
      <c r="C399" s="88">
        <f t="shared" si="55"/>
        <v>46048</v>
      </c>
      <c r="D399" s="88">
        <f t="shared" si="56"/>
        <v>46049</v>
      </c>
      <c r="E399" s="89">
        <f t="shared" si="48"/>
        <v>1</v>
      </c>
      <c r="G399" s="140">
        <f t="shared" si="57"/>
        <v>40229919.450000003</v>
      </c>
      <c r="H399" s="139">
        <f t="shared" si="49"/>
        <v>3.5862108320285337E-2</v>
      </c>
      <c r="I399" s="431">
        <f t="shared" si="43"/>
        <v>4007.5825806451503</v>
      </c>
      <c r="J399" s="122"/>
      <c r="K399" s="122"/>
      <c r="L399" s="124">
        <f>I399-G399*'OverNight $'!$H399*'MM $'!$E399/360</f>
        <v>487.46462877015028</v>
      </c>
      <c r="N399" s="140">
        <f t="shared" si="53"/>
        <v>40228691.289999999</v>
      </c>
      <c r="O399" s="139">
        <v>3.5482680000000003E-2</v>
      </c>
      <c r="P399" s="479">
        <f t="shared" si="50"/>
        <v>3.5670240000000006E-2</v>
      </c>
      <c r="Q399" s="687">
        <f t="shared" si="54"/>
        <v>3986.0196477783606</v>
      </c>
      <c r="R399" s="687"/>
      <c r="S399" s="122"/>
      <c r="T399" s="122"/>
      <c r="U399" s="124">
        <f>Q399-N399*'OverNight $'!$H399*'MM $'!$E399/360</f>
        <v>466.00915990336034</v>
      </c>
      <c r="W399" s="140">
        <f t="shared" si="58"/>
        <v>40229401.498411261</v>
      </c>
      <c r="X399" s="686">
        <f t="shared" si="51"/>
        <v>3.5809455303371117E-2</v>
      </c>
      <c r="Y399" s="431">
        <f t="shared" si="45"/>
        <v>4001.6470967742471</v>
      </c>
      <c r="Z399" s="122"/>
      <c r="AA399" s="122"/>
      <c r="AB399" s="124">
        <f>Y399-W399*'OverNight $'!$H399*'MM $'!$E399/360</f>
        <v>481.57446566326189</v>
      </c>
      <c r="AD399" s="140">
        <f t="shared" si="59"/>
        <v>40231635.400171325</v>
      </c>
      <c r="AE399" s="139">
        <f t="shared" si="52"/>
        <v>3.6136742730033262E-2</v>
      </c>
      <c r="AF399" s="431">
        <f t="shared" si="46"/>
        <v>4038.4451612902503</v>
      </c>
      <c r="AG399" s="122"/>
      <c r="AH399" s="122"/>
      <c r="AI399" s="124">
        <f>AF399-AD399*'OverNight $'!$H399*'MM $'!$E399/360</f>
        <v>518.17706377525928</v>
      </c>
    </row>
    <row r="400" spans="2:35" x14ac:dyDescent="0.25">
      <c r="B400" s="9" t="str">
        <f t="shared" si="47"/>
        <v>1 2026</v>
      </c>
      <c r="C400" s="88">
        <f t="shared" si="55"/>
        <v>46049</v>
      </c>
      <c r="D400" s="88">
        <f t="shared" si="56"/>
        <v>46050</v>
      </c>
      <c r="E400" s="89">
        <f t="shared" si="48"/>
        <v>1</v>
      </c>
      <c r="G400" s="140">
        <f t="shared" si="57"/>
        <v>40229919.450000003</v>
      </c>
      <c r="H400" s="139">
        <f t="shared" si="49"/>
        <v>3.5862108320285337E-2</v>
      </c>
      <c r="I400" s="431">
        <f t="shared" si="43"/>
        <v>4007.5825806451503</v>
      </c>
      <c r="J400" s="122"/>
      <c r="K400" s="122"/>
      <c r="L400" s="124">
        <f>I400-G400*'OverNight $'!$H400*'MM $'!$E400/360</f>
        <v>487.46462877015028</v>
      </c>
      <c r="N400" s="140">
        <f t="shared" si="53"/>
        <v>40228691.289999999</v>
      </c>
      <c r="O400" s="139">
        <v>3.55392E-2</v>
      </c>
      <c r="P400" s="479">
        <f t="shared" si="50"/>
        <v>3.5670240000000006E-2</v>
      </c>
      <c r="Q400" s="687">
        <f t="shared" si="54"/>
        <v>3986.0196477783606</v>
      </c>
      <c r="R400" s="687"/>
      <c r="S400" s="122"/>
      <c r="T400" s="122"/>
      <c r="U400" s="124">
        <f>Q400-N400*'OverNight $'!$H400*'MM $'!$E400/360</f>
        <v>466.00915990336034</v>
      </c>
      <c r="W400" s="140">
        <f t="shared" si="58"/>
        <v>40229401.498411261</v>
      </c>
      <c r="X400" s="686">
        <f t="shared" si="51"/>
        <v>3.5809455303371117E-2</v>
      </c>
      <c r="Y400" s="431">
        <f t="shared" si="45"/>
        <v>4001.6470967742471</v>
      </c>
      <c r="Z400" s="122"/>
      <c r="AA400" s="122"/>
      <c r="AB400" s="124">
        <f>Y400-W400*'OverNight $'!$H400*'MM $'!$E400/360</f>
        <v>481.57446566326189</v>
      </c>
      <c r="AD400" s="140">
        <f t="shared" si="59"/>
        <v>40231635.400171325</v>
      </c>
      <c r="AE400" s="139">
        <f t="shared" si="52"/>
        <v>3.6136742730033262E-2</v>
      </c>
      <c r="AF400" s="431">
        <f t="shared" si="46"/>
        <v>4038.4451612902503</v>
      </c>
      <c r="AG400" s="122"/>
      <c r="AH400" s="122"/>
      <c r="AI400" s="124">
        <f>AF400-AD400*'OverNight $'!$H400*'MM $'!$E400/360</f>
        <v>518.17706377525928</v>
      </c>
    </row>
    <row r="401" spans="2:36" x14ac:dyDescent="0.25">
      <c r="B401" s="9" t="str">
        <f t="shared" si="47"/>
        <v>1 2026</v>
      </c>
      <c r="C401" s="88">
        <f t="shared" si="55"/>
        <v>46050</v>
      </c>
      <c r="D401" s="88">
        <f t="shared" si="56"/>
        <v>46051</v>
      </c>
      <c r="E401" s="89">
        <f t="shared" si="48"/>
        <v>1</v>
      </c>
      <c r="G401" s="140">
        <f t="shared" si="57"/>
        <v>40229919.450000003</v>
      </c>
      <c r="H401" s="139">
        <f t="shared" si="49"/>
        <v>3.5862108320285337E-2</v>
      </c>
      <c r="I401" s="431">
        <f t="shared" si="43"/>
        <v>4007.5825806451503</v>
      </c>
      <c r="J401" s="122"/>
      <c r="K401" s="122"/>
      <c r="L401" s="124">
        <f>I401-G401*'OverNight $'!$H401*'MM $'!$E401/360</f>
        <v>487.46462877015028</v>
      </c>
      <c r="N401" s="140">
        <f t="shared" si="53"/>
        <v>40228691.289999999</v>
      </c>
      <c r="O401" s="139">
        <v>3.5510400000000004E-2</v>
      </c>
      <c r="P401" s="479">
        <f t="shared" si="50"/>
        <v>3.5670240000000006E-2</v>
      </c>
      <c r="Q401" s="687">
        <f t="shared" si="54"/>
        <v>3986.0196477783606</v>
      </c>
      <c r="R401" s="687"/>
      <c r="S401" s="122"/>
      <c r="T401" s="122"/>
      <c r="U401" s="124">
        <f>Q401-N401*'OverNight $'!$H401*'MM $'!$E401/360</f>
        <v>466.00915990336034</v>
      </c>
      <c r="W401" s="140">
        <f t="shared" si="58"/>
        <v>40229401.498411261</v>
      </c>
      <c r="X401" s="686">
        <f t="shared" si="51"/>
        <v>3.5809455303371117E-2</v>
      </c>
      <c r="Y401" s="431">
        <f t="shared" si="45"/>
        <v>4001.6470967742471</v>
      </c>
      <c r="Z401" s="122"/>
      <c r="AA401" s="122"/>
      <c r="AB401" s="124">
        <f>Y401-W401*'OverNight $'!$H401*'MM $'!$E401/360</f>
        <v>481.57446566326189</v>
      </c>
      <c r="AD401" s="140">
        <f t="shared" si="59"/>
        <v>40231635.400171325</v>
      </c>
      <c r="AE401" s="139">
        <f t="shared" si="52"/>
        <v>3.6136742730033262E-2</v>
      </c>
      <c r="AF401" s="431">
        <f t="shared" si="46"/>
        <v>4038.4451612902503</v>
      </c>
      <c r="AG401" s="122"/>
      <c r="AH401" s="122"/>
      <c r="AI401" s="124">
        <f>AF401-AD401*'OverNight $'!$H401*'MM $'!$E401/360</f>
        <v>518.17706377525928</v>
      </c>
    </row>
    <row r="402" spans="2:36" x14ac:dyDescent="0.25">
      <c r="B402" s="9" t="str">
        <f t="shared" si="47"/>
        <v>1 2026</v>
      </c>
      <c r="C402" s="88">
        <f t="shared" si="55"/>
        <v>46051</v>
      </c>
      <c r="D402" s="88">
        <f t="shared" si="56"/>
        <v>46052</v>
      </c>
      <c r="E402" s="89">
        <f t="shared" si="48"/>
        <v>1</v>
      </c>
      <c r="G402" s="140">
        <f t="shared" si="57"/>
        <v>40229919.450000003</v>
      </c>
      <c r="H402" s="139">
        <f t="shared" si="49"/>
        <v>3.5862108320285337E-2</v>
      </c>
      <c r="I402" s="431">
        <f t="shared" si="43"/>
        <v>4007.5825806451503</v>
      </c>
      <c r="J402" s="122"/>
      <c r="K402" s="122"/>
      <c r="L402" s="124">
        <f>I402-G402*'OverNight $'!$H402*'MM $'!$E402/360</f>
        <v>487.46462877015028</v>
      </c>
      <c r="N402" s="140">
        <f t="shared" si="53"/>
        <v>40228691.289999999</v>
      </c>
      <c r="O402" s="139">
        <v>3.5350199999999998E-2</v>
      </c>
      <c r="P402" s="479">
        <f t="shared" si="50"/>
        <v>3.5670240000000006E-2</v>
      </c>
      <c r="Q402" s="687">
        <f t="shared" si="54"/>
        <v>3986.0196477783606</v>
      </c>
      <c r="R402" s="687"/>
      <c r="S402" s="122"/>
      <c r="T402" s="122"/>
      <c r="U402" s="124">
        <f>Q402-N402*'OverNight $'!$H402*'MM $'!$E402/360</f>
        <v>466.00915990336034</v>
      </c>
      <c r="W402" s="140">
        <f t="shared" si="58"/>
        <v>40229401.498411261</v>
      </c>
      <c r="X402" s="686">
        <f t="shared" si="51"/>
        <v>3.5809455303371117E-2</v>
      </c>
      <c r="Y402" s="431">
        <f t="shared" si="45"/>
        <v>4001.6470967742471</v>
      </c>
      <c r="Z402" s="122"/>
      <c r="AA402" s="122"/>
      <c r="AB402" s="124">
        <f>Y402-W402*'OverNight $'!$H402*'MM $'!$E402/360</f>
        <v>481.57446566326189</v>
      </c>
      <c r="AD402" s="140">
        <f t="shared" si="59"/>
        <v>40231635.400171325</v>
      </c>
      <c r="AE402" s="139">
        <f t="shared" si="52"/>
        <v>3.6136742730033262E-2</v>
      </c>
      <c r="AF402" s="431">
        <f t="shared" si="46"/>
        <v>4038.4451612902503</v>
      </c>
      <c r="AG402" s="122"/>
      <c r="AH402" s="122"/>
      <c r="AI402" s="124">
        <f>AF402-AD402*'OverNight $'!$H402*'MM $'!$E402/360</f>
        <v>518.17706377525928</v>
      </c>
    </row>
    <row r="403" spans="2:36" x14ac:dyDescent="0.25">
      <c r="B403" s="9" t="str">
        <f t="shared" si="47"/>
        <v>1 2026</v>
      </c>
      <c r="C403" s="142">
        <f t="shared" si="55"/>
        <v>46052</v>
      </c>
      <c r="D403" s="142">
        <f t="shared" si="56"/>
        <v>46053</v>
      </c>
      <c r="E403" s="143">
        <f t="shared" si="48"/>
        <v>1</v>
      </c>
      <c r="G403" s="140">
        <f t="shared" si="57"/>
        <v>40229919.450000003</v>
      </c>
      <c r="H403" s="139">
        <f>H404</f>
        <v>3.5862108320285337E-2</v>
      </c>
      <c r="I403" s="431">
        <f t="shared" si="43"/>
        <v>4007.5825806451503</v>
      </c>
      <c r="J403" s="122"/>
      <c r="K403" s="122"/>
      <c r="L403" s="124">
        <f>I403-G403*'OverNight $'!$H403*'MM $'!$E403/360</f>
        <v>487.46462877015028</v>
      </c>
      <c r="N403" s="140">
        <f t="shared" si="53"/>
        <v>40228691.289999999</v>
      </c>
      <c r="O403" s="139">
        <v>3.5412480000000003E-2</v>
      </c>
      <c r="P403" s="479">
        <f>P404</f>
        <v>3.5670240000000006E-2</v>
      </c>
      <c r="Q403" s="687">
        <f t="shared" si="54"/>
        <v>3986.0196477783606</v>
      </c>
      <c r="R403" s="687"/>
      <c r="S403" s="122"/>
      <c r="T403" s="122"/>
      <c r="U403" s="124">
        <f>Q403-N403*'OverNight $'!$H403*'MM $'!$E403/360</f>
        <v>466.00915990336034</v>
      </c>
      <c r="V403" s="690">
        <f>(T404/T373-1)*360/(31)</f>
        <v>3.5677201281832972E-2</v>
      </c>
      <c r="W403" s="140">
        <f t="shared" si="58"/>
        <v>40229401.498411261</v>
      </c>
      <c r="X403" s="686">
        <f>X404</f>
        <v>3.5809455303371117E-2</v>
      </c>
      <c r="Y403" s="431">
        <f t="shared" si="45"/>
        <v>4001.6470967742471</v>
      </c>
      <c r="Z403" s="122"/>
      <c r="AA403" s="122"/>
      <c r="AB403" s="124">
        <f>Y403-W403*'OverNight $'!$H403*'MM $'!$E403/360</f>
        <v>481.57446566326189</v>
      </c>
      <c r="AD403" s="140">
        <f t="shared" si="59"/>
        <v>40231635.400171325</v>
      </c>
      <c r="AE403" s="139">
        <f>AE404</f>
        <v>3.6136742730033262E-2</v>
      </c>
      <c r="AF403" s="431">
        <f t="shared" si="46"/>
        <v>4038.4451612902503</v>
      </c>
      <c r="AG403" s="122"/>
      <c r="AH403" s="122"/>
      <c r="AI403" s="124">
        <f>AF403-AD403*'OverNight $'!$H403*'MM $'!$E403/360</f>
        <v>518.17706377525928</v>
      </c>
    </row>
    <row r="404" spans="2:36" x14ac:dyDescent="0.25">
      <c r="B404" s="9" t="str">
        <f t="shared" ref="B404:B405" si="60">CONCATENATE(MONTH(D404)," ",YEAR(D404))</f>
        <v>2 2026</v>
      </c>
      <c r="C404" s="88">
        <f t="shared" ref="C404:C405" si="61">D403</f>
        <v>46053</v>
      </c>
      <c r="D404" s="88">
        <f t="shared" si="56"/>
        <v>46054</v>
      </c>
      <c r="E404" s="89">
        <f t="shared" ref="E404:E405" si="62">D404-C404</f>
        <v>1</v>
      </c>
      <c r="G404" s="451">
        <f t="shared" si="57"/>
        <v>40229919.450000003</v>
      </c>
      <c r="H404" s="684">
        <f>(K404/K373-1)*360/(31)</f>
        <v>3.5862108320285337E-2</v>
      </c>
      <c r="I404" s="688">
        <f t="shared" si="43"/>
        <v>4007.5825806451503</v>
      </c>
      <c r="J404" s="451">
        <v>124235.06</v>
      </c>
      <c r="K404" s="451">
        <f>J404+G404</f>
        <v>40354154.510000005</v>
      </c>
      <c r="L404" s="322">
        <f>I404-G404*'OverNight $'!$H404*'MM $'!$E404/360</f>
        <v>487.46462877015028</v>
      </c>
      <c r="M404" s="683">
        <f>J404-SUM(I374:I404)</f>
        <v>4.220055416226387E-10</v>
      </c>
      <c r="N404" s="451">
        <f t="shared" si="53"/>
        <v>40228691.289999999</v>
      </c>
      <c r="O404" s="684">
        <v>3.5412480000000003E-2</v>
      </c>
      <c r="P404" s="684">
        <f>AVERAGE(O374:O404)</f>
        <v>3.5670240000000006E-2</v>
      </c>
      <c r="Q404" s="688">
        <f t="shared" si="54"/>
        <v>3986.0196477783606</v>
      </c>
      <c r="R404" s="688"/>
      <c r="S404" s="451">
        <v>123566.59</v>
      </c>
      <c r="T404" s="451">
        <f>S404+N404</f>
        <v>40352257.880000003</v>
      </c>
      <c r="U404" s="322">
        <f>Q404-N404*'OverNight $'!$H404*'MM $'!$E404/360</f>
        <v>466.00915990336034</v>
      </c>
      <c r="V404" s="683">
        <f>S404-SUM(Q374:Q404)</f>
        <v>-2.3934019118314609E-3</v>
      </c>
      <c r="W404" s="451">
        <f t="shared" si="58"/>
        <v>40229401.498411261</v>
      </c>
      <c r="X404" s="684">
        <f>(AA404/AA373-1)*360/(31)</f>
        <v>3.5809455303371117E-2</v>
      </c>
      <c r="Y404" s="688">
        <f t="shared" si="45"/>
        <v>4001.6470967742471</v>
      </c>
      <c r="Z404" s="451">
        <v>124051.06</v>
      </c>
      <c r="AA404" s="451">
        <f>Z404+W404</f>
        <v>40353452.558411263</v>
      </c>
      <c r="AB404" s="322">
        <f>Y404-W404*'OverNight $'!$H404*'MM $'!$E404/360</f>
        <v>481.57446566326189</v>
      </c>
      <c r="AC404" s="683">
        <f>Z404-SUM(Y374:Y404)</f>
        <v>-1.7171259969472885E-9</v>
      </c>
      <c r="AD404" s="451">
        <f t="shared" si="59"/>
        <v>40231635.400171325</v>
      </c>
      <c r="AE404" s="689">
        <f>(AH404/AD374-1)*360/(31)</f>
        <v>3.6136742730033262E-2</v>
      </c>
      <c r="AF404" s="688">
        <f t="shared" si="46"/>
        <v>4038.4451612902503</v>
      </c>
      <c r="AG404" s="451">
        <v>125191.8</v>
      </c>
      <c r="AH404" s="451">
        <f>AG404+AD404</f>
        <v>40356827.200171322</v>
      </c>
      <c r="AI404" s="322">
        <f>AF404-AD404*'OverNight $'!$H404*'MM $'!$E404/360</f>
        <v>518.17706377525928</v>
      </c>
      <c r="AJ404" s="683">
        <f>AG404-SUM(AF374:AF404)</f>
        <v>2.2846506908535957E-9</v>
      </c>
    </row>
    <row r="405" spans="2:36" x14ac:dyDescent="0.25">
      <c r="B405" s="9" t="str">
        <f t="shared" si="60"/>
        <v>2 2026</v>
      </c>
      <c r="C405" s="88">
        <f t="shared" si="61"/>
        <v>46054</v>
      </c>
      <c r="D405" s="88">
        <f t="shared" si="56"/>
        <v>46055</v>
      </c>
      <c r="E405" s="89">
        <f t="shared" si="62"/>
        <v>1</v>
      </c>
      <c r="G405" s="633">
        <f>G404+J404</f>
        <v>40354154.510000005</v>
      </c>
      <c r="H405" s="122"/>
      <c r="I405" s="122"/>
      <c r="J405" s="122"/>
      <c r="K405" s="122"/>
      <c r="L405" s="122"/>
      <c r="N405" s="662">
        <f>N404+S404</f>
        <v>40352257.880000003</v>
      </c>
      <c r="O405" s="122"/>
      <c r="P405" s="139"/>
      <c r="Q405" s="122"/>
      <c r="R405" s="122"/>
      <c r="S405" s="122"/>
      <c r="T405" s="122"/>
      <c r="U405" s="122"/>
      <c r="W405" s="662">
        <f>W404+Z404</f>
        <v>40353452.558411263</v>
      </c>
      <c r="X405" s="122"/>
      <c r="Y405" s="122"/>
      <c r="Z405" s="122"/>
      <c r="AA405" s="122"/>
      <c r="AB405" s="122"/>
      <c r="AD405" s="662">
        <f>AD404+AG404</f>
        <v>40356827.200171322</v>
      </c>
      <c r="AE405" s="122"/>
      <c r="AF405" s="122"/>
      <c r="AG405" s="122"/>
      <c r="AH405" s="122"/>
      <c r="AI405" s="122"/>
    </row>
    <row r="406" spans="2:36" x14ac:dyDescent="0.25">
      <c r="B406" s="9" t="str">
        <f t="shared" ref="B406:B415" si="63">CONCATENATE(MONTH(D406)," ",YEAR(D406))</f>
        <v>2 2026</v>
      </c>
      <c r="C406" s="88">
        <f t="shared" ref="C406:C415" si="64">D405</f>
        <v>46055</v>
      </c>
      <c r="D406" s="88">
        <f t="shared" si="56"/>
        <v>46056</v>
      </c>
      <c r="E406" s="89">
        <f t="shared" ref="E406:E415" si="65">D406-C406</f>
        <v>1</v>
      </c>
      <c r="G406" s="140"/>
      <c r="H406" s="122"/>
      <c r="I406" s="122"/>
      <c r="J406" s="122"/>
      <c r="K406" s="122"/>
      <c r="L406" s="122"/>
      <c r="N406" s="122"/>
      <c r="O406" s="122"/>
      <c r="P406" s="139"/>
      <c r="Q406" s="122"/>
      <c r="R406" s="122"/>
      <c r="S406" s="122"/>
      <c r="T406" s="122"/>
      <c r="U406" s="122"/>
      <c r="W406" s="122"/>
      <c r="X406" s="122"/>
      <c r="Y406" s="122"/>
      <c r="Z406" s="122"/>
      <c r="AA406" s="122"/>
      <c r="AB406" s="122"/>
      <c r="AD406" s="122"/>
      <c r="AE406" s="122"/>
      <c r="AF406" s="122"/>
      <c r="AG406" s="122"/>
      <c r="AH406" s="122"/>
      <c r="AI406" s="122"/>
    </row>
    <row r="407" spans="2:36" x14ac:dyDescent="0.25">
      <c r="B407" s="9" t="str">
        <f t="shared" si="63"/>
        <v>2 2026</v>
      </c>
      <c r="C407" s="88">
        <f t="shared" si="64"/>
        <v>46056</v>
      </c>
      <c r="D407" s="88">
        <f t="shared" si="56"/>
        <v>46057</v>
      </c>
      <c r="E407" s="89">
        <f t="shared" si="65"/>
        <v>1</v>
      </c>
      <c r="G407" s="140"/>
      <c r="H407" s="122"/>
      <c r="I407" s="122"/>
      <c r="J407" s="122"/>
      <c r="K407" s="122"/>
      <c r="L407" s="122"/>
      <c r="N407" s="122"/>
      <c r="O407" s="122"/>
      <c r="P407" s="139"/>
      <c r="Q407" s="122"/>
      <c r="R407" s="122"/>
      <c r="S407" s="122"/>
      <c r="T407" s="122"/>
      <c r="U407" s="122"/>
      <c r="W407" s="122"/>
      <c r="X407" s="122"/>
      <c r="Y407" s="122"/>
      <c r="Z407" s="122"/>
      <c r="AA407" s="122"/>
      <c r="AB407" s="122"/>
      <c r="AD407" s="122"/>
      <c r="AE407" s="122"/>
      <c r="AF407" s="122"/>
      <c r="AG407" s="122"/>
      <c r="AH407" s="122"/>
      <c r="AI407" s="122"/>
    </row>
    <row r="408" spans="2:36" x14ac:dyDescent="0.25">
      <c r="B408" s="9" t="str">
        <f t="shared" si="63"/>
        <v>2 2026</v>
      </c>
      <c r="C408" s="88">
        <f t="shared" si="64"/>
        <v>46057</v>
      </c>
      <c r="D408" s="88">
        <f t="shared" si="56"/>
        <v>46058</v>
      </c>
      <c r="E408" s="89">
        <f t="shared" si="65"/>
        <v>1</v>
      </c>
      <c r="G408" s="140"/>
      <c r="H408" s="122"/>
      <c r="I408" s="122"/>
      <c r="J408" s="122"/>
      <c r="K408" s="122"/>
      <c r="L408" s="122"/>
      <c r="N408" s="122"/>
      <c r="O408" s="122"/>
      <c r="P408" s="139"/>
      <c r="Q408" s="122"/>
      <c r="R408" s="122"/>
      <c r="S408" s="122"/>
      <c r="T408" s="122"/>
      <c r="U408" s="122"/>
      <c r="W408" s="122"/>
      <c r="X408" s="122"/>
      <c r="Y408" s="122"/>
      <c r="Z408" s="122"/>
      <c r="AA408" s="122"/>
      <c r="AB408" s="122"/>
      <c r="AD408" s="122"/>
      <c r="AE408" s="122"/>
      <c r="AF408" s="122"/>
      <c r="AG408" s="122"/>
      <c r="AH408" s="122"/>
      <c r="AI408" s="122"/>
    </row>
    <row r="409" spans="2:36" x14ac:dyDescent="0.25">
      <c r="B409" s="9" t="str">
        <f t="shared" si="63"/>
        <v>2 2026</v>
      </c>
      <c r="C409" s="88">
        <f t="shared" si="64"/>
        <v>46058</v>
      </c>
      <c r="D409" s="88">
        <f t="shared" si="56"/>
        <v>46059</v>
      </c>
      <c r="E409" s="89">
        <f t="shared" si="65"/>
        <v>1</v>
      </c>
      <c r="G409" s="140"/>
      <c r="H409" s="122"/>
      <c r="I409" s="122"/>
      <c r="J409" s="122"/>
      <c r="K409" s="122"/>
      <c r="L409" s="122"/>
      <c r="N409" s="122"/>
      <c r="O409" s="122"/>
      <c r="P409" s="139"/>
      <c r="Q409" s="122"/>
      <c r="R409" s="122"/>
      <c r="S409" s="122"/>
      <c r="T409" s="122"/>
      <c r="U409" s="122"/>
      <c r="W409" s="122"/>
      <c r="X409" s="122"/>
      <c r="Y409" s="122"/>
      <c r="Z409" s="122"/>
      <c r="AA409" s="122"/>
      <c r="AB409" s="122"/>
      <c r="AD409" s="122"/>
      <c r="AE409" s="122"/>
      <c r="AF409" s="122"/>
      <c r="AG409" s="122"/>
      <c r="AH409" s="122"/>
      <c r="AI409" s="122"/>
    </row>
    <row r="410" spans="2:36" x14ac:dyDescent="0.25">
      <c r="B410" s="9" t="str">
        <f t="shared" si="63"/>
        <v>2 2026</v>
      </c>
      <c r="C410" s="88">
        <f t="shared" si="64"/>
        <v>46059</v>
      </c>
      <c r="D410" s="88">
        <f t="shared" si="56"/>
        <v>46060</v>
      </c>
      <c r="E410" s="89">
        <f t="shared" si="65"/>
        <v>1</v>
      </c>
      <c r="G410" s="140"/>
      <c r="H410" s="122"/>
      <c r="I410" s="122"/>
      <c r="J410" s="122"/>
      <c r="K410" s="122"/>
      <c r="L410" s="122"/>
      <c r="N410" s="122"/>
      <c r="O410" s="122"/>
      <c r="P410" s="139"/>
      <c r="Q410" s="122"/>
      <c r="R410" s="122"/>
      <c r="S410" s="122"/>
      <c r="T410" s="122"/>
      <c r="U410" s="122"/>
      <c r="W410" s="122"/>
      <c r="X410" s="122"/>
      <c r="Y410" s="122"/>
      <c r="Z410" s="122"/>
      <c r="AA410" s="122"/>
      <c r="AB410" s="122"/>
      <c r="AD410" s="122"/>
      <c r="AE410" s="122"/>
      <c r="AF410" s="122"/>
      <c r="AG410" s="122"/>
      <c r="AH410" s="122"/>
      <c r="AI410" s="122"/>
    </row>
    <row r="411" spans="2:36" x14ac:dyDescent="0.25">
      <c r="B411" s="9" t="str">
        <f t="shared" si="63"/>
        <v>2 2026</v>
      </c>
      <c r="C411" s="88">
        <f t="shared" si="64"/>
        <v>46060</v>
      </c>
      <c r="D411" s="88">
        <f t="shared" si="56"/>
        <v>46061</v>
      </c>
      <c r="E411" s="89">
        <f t="shared" si="65"/>
        <v>1</v>
      </c>
      <c r="G411" s="140"/>
      <c r="H411" s="122"/>
      <c r="I411" s="122"/>
      <c r="J411" s="122"/>
      <c r="K411" s="122"/>
      <c r="L411" s="122"/>
      <c r="N411" s="122"/>
      <c r="O411" s="122"/>
      <c r="P411" s="139"/>
      <c r="Q411" s="122"/>
      <c r="R411" s="122"/>
      <c r="S411" s="122"/>
      <c r="T411" s="122"/>
      <c r="U411" s="122"/>
      <c r="W411" s="122"/>
      <c r="X411" s="122"/>
      <c r="Y411" s="122"/>
      <c r="Z411" s="122"/>
      <c r="AA411" s="122"/>
      <c r="AB411" s="122"/>
      <c r="AD411" s="122"/>
      <c r="AE411" s="122"/>
      <c r="AF411" s="122"/>
      <c r="AG411" s="122"/>
      <c r="AH411" s="122"/>
      <c r="AI411" s="122"/>
    </row>
    <row r="412" spans="2:36" x14ac:dyDescent="0.25">
      <c r="B412" s="9" t="str">
        <f t="shared" si="63"/>
        <v>2 2026</v>
      </c>
      <c r="C412" s="88">
        <f t="shared" si="64"/>
        <v>46061</v>
      </c>
      <c r="D412" s="88">
        <f t="shared" si="56"/>
        <v>46062</v>
      </c>
      <c r="E412" s="89">
        <f t="shared" si="65"/>
        <v>1</v>
      </c>
      <c r="G412" s="140"/>
      <c r="H412" s="122"/>
      <c r="I412" s="122"/>
      <c r="J412" s="122"/>
      <c r="K412" s="122"/>
      <c r="L412" s="122"/>
      <c r="N412" s="122"/>
      <c r="O412" s="122"/>
      <c r="P412" s="139"/>
      <c r="Q412" s="122"/>
      <c r="R412" s="122"/>
      <c r="S412" s="122"/>
      <c r="T412" s="122"/>
      <c r="U412" s="122"/>
      <c r="W412" s="122"/>
      <c r="X412" s="122"/>
      <c r="Y412" s="122"/>
      <c r="Z412" s="122"/>
      <c r="AA412" s="122"/>
      <c r="AB412" s="122"/>
      <c r="AD412" s="122"/>
      <c r="AE412" s="122"/>
      <c r="AF412" s="122"/>
      <c r="AG412" s="122"/>
      <c r="AH412" s="122"/>
      <c r="AI412" s="122"/>
    </row>
    <row r="413" spans="2:36" x14ac:dyDescent="0.25">
      <c r="B413" s="9" t="str">
        <f t="shared" si="63"/>
        <v>2 2026</v>
      </c>
      <c r="C413" s="88">
        <f t="shared" si="64"/>
        <v>46062</v>
      </c>
      <c r="D413" s="88">
        <f t="shared" si="56"/>
        <v>46063</v>
      </c>
      <c r="E413" s="89">
        <f t="shared" si="65"/>
        <v>1</v>
      </c>
      <c r="G413" s="140"/>
      <c r="H413" s="122"/>
      <c r="I413" s="122"/>
      <c r="J413" s="122"/>
      <c r="K413" s="122"/>
      <c r="L413" s="122"/>
      <c r="N413" s="122"/>
      <c r="O413" s="122"/>
      <c r="P413" s="139"/>
      <c r="Q413" s="122"/>
      <c r="R413" s="122"/>
      <c r="S413" s="122"/>
      <c r="T413" s="122"/>
      <c r="U413" s="122"/>
      <c r="W413" s="122"/>
      <c r="X413" s="122"/>
      <c r="Y413" s="122"/>
      <c r="Z413" s="122"/>
      <c r="AA413" s="122"/>
      <c r="AB413" s="122"/>
      <c r="AD413" s="122"/>
      <c r="AE413" s="122"/>
      <c r="AF413" s="122"/>
      <c r="AG413" s="122"/>
      <c r="AH413" s="122"/>
      <c r="AI413" s="122"/>
    </row>
    <row r="414" spans="2:36" x14ac:dyDescent="0.25">
      <c r="B414" s="9" t="str">
        <f t="shared" si="63"/>
        <v>2 2026</v>
      </c>
      <c r="C414" s="88">
        <f t="shared" si="64"/>
        <v>46063</v>
      </c>
      <c r="D414" s="88">
        <f t="shared" si="56"/>
        <v>46064</v>
      </c>
      <c r="E414" s="89">
        <f t="shared" si="65"/>
        <v>1</v>
      </c>
      <c r="G414" s="140"/>
      <c r="H414" s="122"/>
      <c r="I414" s="122"/>
      <c r="J414" s="122"/>
      <c r="K414" s="122"/>
      <c r="L414" s="122"/>
      <c r="N414" s="122"/>
      <c r="O414" s="122"/>
      <c r="P414" s="139"/>
      <c r="Q414" s="122"/>
      <c r="R414" s="122"/>
      <c r="S414" s="122"/>
      <c r="T414" s="122"/>
      <c r="U414" s="122"/>
      <c r="W414" s="122"/>
      <c r="X414" s="122"/>
      <c r="Y414" s="122"/>
      <c r="Z414" s="122"/>
      <c r="AA414" s="122"/>
      <c r="AB414" s="122"/>
      <c r="AD414" s="122"/>
      <c r="AE414" s="122"/>
      <c r="AF414" s="122"/>
      <c r="AG414" s="122"/>
      <c r="AH414" s="122"/>
      <c r="AI414" s="122"/>
    </row>
    <row r="415" spans="2:36" x14ac:dyDescent="0.25">
      <c r="B415" s="9" t="str">
        <f t="shared" si="63"/>
        <v>2 2026</v>
      </c>
      <c r="C415" s="88">
        <f t="shared" si="64"/>
        <v>46064</v>
      </c>
      <c r="D415" s="88">
        <f t="shared" si="56"/>
        <v>46065</v>
      </c>
      <c r="E415" s="89">
        <f t="shared" si="65"/>
        <v>1</v>
      </c>
      <c r="G415" s="140"/>
      <c r="H415" s="122"/>
      <c r="I415" s="122"/>
      <c r="J415" s="122"/>
      <c r="K415" s="122"/>
      <c r="L415" s="122"/>
      <c r="N415" s="122"/>
      <c r="O415" s="122"/>
      <c r="P415" s="139"/>
      <c r="Q415" s="122"/>
      <c r="R415" s="122"/>
      <c r="S415" s="122"/>
      <c r="T415" s="122"/>
      <c r="U415" s="122"/>
      <c r="W415" s="122"/>
      <c r="X415" s="122"/>
      <c r="Y415" s="122"/>
      <c r="Z415" s="122"/>
      <c r="AA415" s="122"/>
      <c r="AB415" s="122"/>
      <c r="AD415" s="122"/>
      <c r="AE415" s="122"/>
      <c r="AF415" s="122"/>
      <c r="AG415" s="122"/>
      <c r="AH415" s="122"/>
      <c r="AI415" s="122"/>
    </row>
    <row r="416" spans="2:36" x14ac:dyDescent="0.25">
      <c r="AD416" s="122"/>
      <c r="AE416" s="122"/>
      <c r="AF416" s="122"/>
      <c r="AG416" s="122"/>
      <c r="AH416" s="122"/>
      <c r="AI416" s="122"/>
    </row>
    <row r="417" spans="30:35" x14ac:dyDescent="0.25">
      <c r="AD417" s="122"/>
      <c r="AE417" s="122"/>
      <c r="AF417" s="122"/>
      <c r="AG417" s="122"/>
      <c r="AH417" s="122"/>
      <c r="AI417" s="122"/>
    </row>
    <row r="418" spans="30:35" x14ac:dyDescent="0.25">
      <c r="AD418" s="122"/>
      <c r="AE418" s="122"/>
      <c r="AF418" s="122"/>
      <c r="AG418" s="122"/>
      <c r="AH418" s="122"/>
      <c r="AI418" s="122"/>
    </row>
    <row r="419" spans="30:35" x14ac:dyDescent="0.25">
      <c r="AD419" s="122"/>
      <c r="AE419" s="122"/>
      <c r="AF419" s="122"/>
      <c r="AG419" s="122"/>
      <c r="AH419" s="122"/>
      <c r="AI419" s="122"/>
    </row>
    <row r="420" spans="30:35" x14ac:dyDescent="0.25">
      <c r="AD420" s="122"/>
      <c r="AE420" s="122"/>
      <c r="AF420" s="122"/>
      <c r="AG420" s="122"/>
      <c r="AH420" s="122"/>
      <c r="AI420" s="122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3</vt:i4>
      </vt:variant>
    </vt:vector>
  </HeadingPairs>
  <TitlesOfParts>
    <vt:vector size="16" baseType="lpstr">
      <vt:lpstr>2026-1</vt:lpstr>
      <vt:lpstr>2026-2</vt:lpstr>
      <vt:lpstr>Monthly Report 2026 €</vt:lpstr>
      <vt:lpstr>Monthly Report 2025 €</vt:lpstr>
      <vt:lpstr>OverNight €</vt:lpstr>
      <vt:lpstr>codeis €</vt:lpstr>
      <vt:lpstr>CT- € Ellipsis BNP</vt:lpstr>
      <vt:lpstr>Préparation paiements</vt:lpstr>
      <vt:lpstr>mouvement tréso &amp; change</vt:lpstr>
      <vt:lpstr>Monthly Report 2026 $</vt:lpstr>
      <vt:lpstr>OverNight $</vt:lpstr>
      <vt:lpstr>codeis $</vt:lpstr>
      <vt:lpstr>MM $</vt:lpstr>
      <vt:lpstr>'Monthly Report 2025 €'!Zone_d_impression</vt:lpstr>
      <vt:lpstr>'Monthly Report 2026 $'!Zone_d_impression</vt:lpstr>
      <vt:lpstr>'Monthly Report 2026 €'!Zone_d_impression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Daumal</dc:creator>
  <cp:lastModifiedBy>Roxandra Sturdza</cp:lastModifiedBy>
  <cp:lastPrinted>2024-09-06T15:38:33Z</cp:lastPrinted>
  <dcterms:created xsi:type="dcterms:W3CDTF">2023-10-05T08:16:01Z</dcterms:created>
  <dcterms:modified xsi:type="dcterms:W3CDTF">2026-03-05T13:38:15Z</dcterms:modified>
</cp:coreProperties>
</file>